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oniakhamitkar/Desktop/Babson Grad/Semester 2/Investment Banking/Wingstop Assignment 1/"/>
    </mc:Choice>
  </mc:AlternateContent>
  <xr:revisionPtr revIDLastSave="0" documentId="13_ncr:1_{FEBA4596-3322-F14C-8A99-0ACFCBCED83F}" xr6:coauthVersionLast="47" xr6:coauthVersionMax="47" xr10:uidLastSave="{00000000-0000-0000-0000-000000000000}"/>
  <bookViews>
    <workbookView xWindow="0" yWindow="740" windowWidth="29340" windowHeight="16980" activeTab="1" xr2:uid="{F1E7CD72-8C63-C24D-B8BE-CDA293255D75}"/>
  </bookViews>
  <sheets>
    <sheet name="Ratios and Assumptions" sheetId="1" r:id="rId1"/>
    <sheet name="Financial Model" sheetId="2" r:id="rId2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13" i="2" l="1"/>
  <c r="F124" i="2"/>
  <c r="F126" i="2" s="1"/>
  <c r="G120" i="2"/>
  <c r="H120" i="2"/>
  <c r="I120" i="2"/>
  <c r="J120" i="2"/>
  <c r="F120" i="2"/>
  <c r="J113" i="2"/>
  <c r="I113" i="2"/>
  <c r="G113" i="2"/>
  <c r="F113" i="2"/>
  <c r="J118" i="2"/>
  <c r="I118" i="2"/>
  <c r="H118" i="2"/>
  <c r="G118" i="2"/>
  <c r="F118" i="2"/>
  <c r="F117" i="2"/>
  <c r="F110" i="2"/>
  <c r="J89" i="2"/>
  <c r="I89" i="2"/>
  <c r="H89" i="2"/>
  <c r="G89" i="2"/>
  <c r="F89" i="2"/>
  <c r="F64" i="2"/>
  <c r="G64" i="2" s="1"/>
  <c r="H64" i="2" s="1"/>
  <c r="I64" i="2" s="1"/>
  <c r="J64" i="2" s="1"/>
  <c r="F62" i="2"/>
  <c r="G62" i="2" s="1"/>
  <c r="J58" i="2"/>
  <c r="I58" i="2"/>
  <c r="H58" i="2"/>
  <c r="G58" i="2"/>
  <c r="F58" i="2"/>
  <c r="F119" i="2" l="1"/>
  <c r="G117" i="2" s="1"/>
  <c r="G119" i="2" s="1"/>
  <c r="F57" i="2"/>
  <c r="H62" i="2"/>
  <c r="G96" i="2"/>
  <c r="G124" i="2"/>
  <c r="F95" i="2"/>
  <c r="F121" i="2"/>
  <c r="F96" i="2"/>
  <c r="F94" i="2"/>
  <c r="H117" i="2" l="1"/>
  <c r="H119" i="2" s="1"/>
  <c r="I117" i="2" s="1"/>
  <c r="G94" i="2"/>
  <c r="H121" i="2"/>
  <c r="G126" i="2"/>
  <c r="I62" i="2"/>
  <c r="H96" i="2"/>
  <c r="G57" i="2"/>
  <c r="G121" i="2"/>
  <c r="I119" i="2"/>
  <c r="J117" i="2" s="1"/>
  <c r="H94" i="2"/>
  <c r="I121" i="2" l="1"/>
  <c r="J62" i="2"/>
  <c r="J96" i="2" s="1"/>
  <c r="I96" i="2"/>
  <c r="G95" i="2"/>
  <c r="H124" i="2"/>
  <c r="J119" i="2"/>
  <c r="J121" i="2" s="1"/>
  <c r="I94" i="2"/>
  <c r="F28" i="2"/>
  <c r="G28" i="2" s="1"/>
  <c r="H28" i="2" s="1"/>
  <c r="I28" i="2" s="1"/>
  <c r="J28" i="2" s="1"/>
  <c r="H126" i="2" l="1"/>
  <c r="J94" i="2"/>
  <c r="I124" i="2" l="1"/>
  <c r="H95" i="2"/>
  <c r="H57" i="2"/>
  <c r="I126" i="2" l="1"/>
  <c r="I95" i="2" l="1"/>
  <c r="J124" i="2"/>
  <c r="I57" i="2"/>
  <c r="J126" i="2" l="1"/>
  <c r="J95" i="2" l="1"/>
  <c r="J57" i="2"/>
  <c r="E104" i="2" l="1"/>
  <c r="F102" i="2" s="1"/>
  <c r="E65" i="2" l="1"/>
  <c r="D65" i="2"/>
  <c r="C65" i="2"/>
  <c r="B65" i="2"/>
  <c r="J127" i="2"/>
  <c r="J128" i="2" s="1"/>
  <c r="I127" i="2"/>
  <c r="I128" i="2" s="1"/>
  <c r="H127" i="2"/>
  <c r="H128" i="2" s="1"/>
  <c r="G127" i="2"/>
  <c r="G128" i="2" s="1"/>
  <c r="F127" i="2"/>
  <c r="F128" i="2" s="1"/>
  <c r="F6" i="2"/>
  <c r="J32" i="1"/>
  <c r="K32" i="1" s="1"/>
  <c r="K35" i="1" s="1"/>
  <c r="H35" i="1"/>
  <c r="J35" i="1"/>
  <c r="I35" i="1"/>
  <c r="F26" i="1"/>
  <c r="E26" i="1"/>
  <c r="D26" i="1"/>
  <c r="C26" i="1"/>
  <c r="F25" i="1"/>
  <c r="E25" i="1"/>
  <c r="D25" i="1"/>
  <c r="C25" i="1"/>
  <c r="F24" i="1"/>
  <c r="E24" i="1"/>
  <c r="D24" i="1"/>
  <c r="C24" i="1"/>
  <c r="F23" i="1"/>
  <c r="E23" i="1"/>
  <c r="D23" i="1"/>
  <c r="C23" i="1"/>
  <c r="F21" i="1"/>
  <c r="E21" i="1"/>
  <c r="D21" i="1"/>
  <c r="C21" i="1"/>
  <c r="D20" i="1"/>
  <c r="E20" i="1"/>
  <c r="F20" i="1"/>
  <c r="C20" i="1"/>
  <c r="D19" i="1"/>
  <c r="E19" i="1"/>
  <c r="F19" i="1"/>
  <c r="C19" i="1"/>
  <c r="F18" i="1"/>
  <c r="E18" i="1"/>
  <c r="D18" i="1"/>
  <c r="C18" i="1"/>
  <c r="F17" i="1"/>
  <c r="E17" i="1"/>
  <c r="D17" i="1"/>
  <c r="C17" i="1"/>
  <c r="F12" i="1"/>
  <c r="E12" i="1"/>
  <c r="D12" i="1"/>
  <c r="C12" i="1"/>
  <c r="F11" i="1"/>
  <c r="E11" i="1"/>
  <c r="D11" i="1"/>
  <c r="C11" i="1"/>
  <c r="F10" i="1"/>
  <c r="E10" i="1"/>
  <c r="D10" i="1"/>
  <c r="C10" i="1"/>
  <c r="F9" i="1"/>
  <c r="E9" i="1"/>
  <c r="D9" i="1"/>
  <c r="C9" i="1"/>
  <c r="F8" i="1"/>
  <c r="E8" i="1"/>
  <c r="D8" i="1"/>
  <c r="C8" i="1"/>
  <c r="C55" i="2"/>
  <c r="C59" i="2" s="1"/>
  <c r="D55" i="2"/>
  <c r="D59" i="2" s="1"/>
  <c r="E55" i="2"/>
  <c r="E59" i="2" s="1"/>
  <c r="B55" i="2"/>
  <c r="B59" i="2" s="1"/>
  <c r="E44" i="2"/>
  <c r="D44" i="2"/>
  <c r="C44" i="2"/>
  <c r="B44" i="2"/>
  <c r="D40" i="2"/>
  <c r="D47" i="2" s="1"/>
  <c r="C40" i="2"/>
  <c r="E40" i="2"/>
  <c r="B40" i="2"/>
  <c r="C24" i="2"/>
  <c r="D14" i="1" s="1"/>
  <c r="D24" i="2"/>
  <c r="E14" i="1" s="1"/>
  <c r="E24" i="2"/>
  <c r="F14" i="1" s="1"/>
  <c r="B24" i="2"/>
  <c r="C14" i="1" s="1"/>
  <c r="C20" i="2"/>
  <c r="D20" i="2"/>
  <c r="E20" i="2"/>
  <c r="B20" i="2"/>
  <c r="E10" i="2"/>
  <c r="E16" i="2" s="1"/>
  <c r="C10" i="2"/>
  <c r="C16" i="2" s="1"/>
  <c r="D10" i="2"/>
  <c r="D16" i="2" s="1"/>
  <c r="B10" i="2"/>
  <c r="B16" i="2" s="1"/>
  <c r="G32" i="1"/>
  <c r="H32" i="1" s="1"/>
  <c r="I32" i="1" s="1"/>
  <c r="F54" i="2" l="1"/>
  <c r="F83" i="2" s="1"/>
  <c r="F87" i="2"/>
  <c r="F46" i="2"/>
  <c r="F36" i="2"/>
  <c r="F39" i="2"/>
  <c r="G6" i="2"/>
  <c r="G8" i="2" s="1"/>
  <c r="G35" i="1"/>
  <c r="C47" i="2"/>
  <c r="D67" i="2"/>
  <c r="C67" i="2"/>
  <c r="F12" i="2"/>
  <c r="F8" i="2"/>
  <c r="B47" i="2"/>
  <c r="E47" i="2"/>
  <c r="B67" i="2"/>
  <c r="E67" i="2"/>
  <c r="G50" i="2" l="1"/>
  <c r="G51" i="2"/>
  <c r="G38" i="2"/>
  <c r="F50" i="2"/>
  <c r="F80" i="2" s="1"/>
  <c r="F51" i="2"/>
  <c r="F81" i="2" s="1"/>
  <c r="F38" i="2"/>
  <c r="G12" i="2"/>
  <c r="G46" i="2"/>
  <c r="G87" i="2"/>
  <c r="G54" i="2"/>
  <c r="G83" i="2" s="1"/>
  <c r="G39" i="2"/>
  <c r="F79" i="2"/>
  <c r="G79" i="2"/>
  <c r="F76" i="2"/>
  <c r="F88" i="2"/>
  <c r="F90" i="2" s="1"/>
  <c r="F42" i="2"/>
  <c r="F37" i="2"/>
  <c r="F10" i="2"/>
  <c r="G37" i="2"/>
  <c r="H6" i="2"/>
  <c r="G36" i="2"/>
  <c r="G76" i="2" s="1"/>
  <c r="G10" i="2"/>
  <c r="C68" i="2"/>
  <c r="D68" i="2"/>
  <c r="E68" i="2"/>
  <c r="B68" i="2"/>
  <c r="F78" i="2" l="1"/>
  <c r="G78" i="2"/>
  <c r="F77" i="2"/>
  <c r="G77" i="2"/>
  <c r="H79" i="2"/>
  <c r="G81" i="2"/>
  <c r="H76" i="2"/>
  <c r="H46" i="2"/>
  <c r="H87" i="2"/>
  <c r="H54" i="2"/>
  <c r="H83" i="2" s="1"/>
  <c r="H39" i="2"/>
  <c r="F14" i="2"/>
  <c r="F16" i="2" s="1"/>
  <c r="G42" i="2"/>
  <c r="G88" i="2"/>
  <c r="G90" i="2"/>
  <c r="G80" i="2"/>
  <c r="I6" i="2"/>
  <c r="H36" i="2"/>
  <c r="H8" i="2"/>
  <c r="H12" i="2"/>
  <c r="G14" i="2" l="1"/>
  <c r="H42" i="2"/>
  <c r="H50" i="2"/>
  <c r="H80" i="2" s="1"/>
  <c r="H51" i="2"/>
  <c r="H81" i="2" s="1"/>
  <c r="H38" i="2"/>
  <c r="I76" i="2"/>
  <c r="I54" i="2"/>
  <c r="I83" i="2" s="1"/>
  <c r="I87" i="2"/>
  <c r="I46" i="2"/>
  <c r="I39" i="2"/>
  <c r="F74" i="2"/>
  <c r="F43" i="2"/>
  <c r="I79" i="2"/>
  <c r="I88" i="2"/>
  <c r="H88" i="2"/>
  <c r="H90" i="2" s="1"/>
  <c r="H37" i="2"/>
  <c r="H10" i="2"/>
  <c r="J6" i="2"/>
  <c r="I36" i="2"/>
  <c r="I12" i="2"/>
  <c r="I8" i="2"/>
  <c r="H78" i="2" l="1"/>
  <c r="G43" i="2"/>
  <c r="F44" i="2"/>
  <c r="H77" i="2"/>
  <c r="I10" i="2"/>
  <c r="I50" i="2"/>
  <c r="I80" i="2" s="1"/>
  <c r="I51" i="2"/>
  <c r="I81" i="2" s="1"/>
  <c r="I38" i="2"/>
  <c r="J87" i="2"/>
  <c r="J46" i="2"/>
  <c r="J88" i="2" s="1"/>
  <c r="J54" i="2"/>
  <c r="J83" i="2" s="1"/>
  <c r="J39" i="2"/>
  <c r="J79" i="2"/>
  <c r="H14" i="2"/>
  <c r="H74" i="2" s="1"/>
  <c r="I42" i="2"/>
  <c r="I90" i="2"/>
  <c r="G74" i="2"/>
  <c r="G16" i="2"/>
  <c r="I37" i="2"/>
  <c r="I77" i="2" s="1"/>
  <c r="J12" i="2"/>
  <c r="J36" i="2"/>
  <c r="J76" i="2" s="1"/>
  <c r="J8" i="2"/>
  <c r="H16" i="2"/>
  <c r="J90" i="2" l="1"/>
  <c r="J10" i="2"/>
  <c r="J50" i="2"/>
  <c r="J80" i="2" s="1"/>
  <c r="J51" i="2"/>
  <c r="J81" i="2" s="1"/>
  <c r="J38" i="2"/>
  <c r="H43" i="2"/>
  <c r="G44" i="2"/>
  <c r="J78" i="2"/>
  <c r="I14" i="2"/>
  <c r="J42" i="2"/>
  <c r="J14" i="2" s="1"/>
  <c r="J74" i="2" s="1"/>
  <c r="I78" i="2"/>
  <c r="J16" i="2"/>
  <c r="J37" i="2"/>
  <c r="J77" i="2" s="1"/>
  <c r="I43" i="2" l="1"/>
  <c r="H44" i="2"/>
  <c r="I74" i="2"/>
  <c r="I16" i="2"/>
  <c r="J43" i="2" l="1"/>
  <c r="J44" i="2" s="1"/>
  <c r="I44" i="2"/>
  <c r="F18" i="2"/>
  <c r="G18" i="2"/>
  <c r="H18" i="2"/>
  <c r="I18" i="2"/>
  <c r="J18" i="2"/>
  <c r="F19" i="2"/>
  <c r="G19" i="2"/>
  <c r="H19" i="2"/>
  <c r="I19" i="2"/>
  <c r="J19" i="2"/>
  <c r="F20" i="2"/>
  <c r="G20" i="2"/>
  <c r="H20" i="2"/>
  <c r="I20" i="2"/>
  <c r="J20" i="2"/>
  <c r="F22" i="2"/>
  <c r="G22" i="2"/>
  <c r="H22" i="2"/>
  <c r="I22" i="2"/>
  <c r="J22" i="2"/>
  <c r="F23" i="2"/>
  <c r="G23" i="2"/>
  <c r="H23" i="2"/>
  <c r="I23" i="2"/>
  <c r="J23" i="2"/>
  <c r="F24" i="2"/>
  <c r="G24" i="2"/>
  <c r="H24" i="2"/>
  <c r="I24" i="2"/>
  <c r="J24" i="2"/>
  <c r="F27" i="2"/>
  <c r="G27" i="2"/>
  <c r="H27" i="2"/>
  <c r="I27" i="2"/>
  <c r="J27" i="2"/>
  <c r="F30" i="2"/>
  <c r="G30" i="2"/>
  <c r="H30" i="2"/>
  <c r="I30" i="2"/>
  <c r="J30" i="2"/>
  <c r="F31" i="2"/>
  <c r="G31" i="2"/>
  <c r="H31" i="2"/>
  <c r="I31" i="2"/>
  <c r="J31" i="2"/>
  <c r="F35" i="2"/>
  <c r="G35" i="2"/>
  <c r="H35" i="2"/>
  <c r="I35" i="2"/>
  <c r="J35" i="2"/>
  <c r="F40" i="2"/>
  <c r="G40" i="2"/>
  <c r="H40" i="2"/>
  <c r="I40" i="2"/>
  <c r="J40" i="2"/>
  <c r="F47" i="2"/>
  <c r="G47" i="2"/>
  <c r="H47" i="2"/>
  <c r="I47" i="2"/>
  <c r="J47" i="2"/>
  <c r="F52" i="2"/>
  <c r="G52" i="2"/>
  <c r="H52" i="2"/>
  <c r="I52" i="2"/>
  <c r="J52" i="2"/>
  <c r="F53" i="2"/>
  <c r="G53" i="2"/>
  <c r="H53" i="2"/>
  <c r="I53" i="2"/>
  <c r="J53" i="2"/>
  <c r="F55" i="2"/>
  <c r="G55" i="2"/>
  <c r="H55" i="2"/>
  <c r="I55" i="2"/>
  <c r="J55" i="2"/>
  <c r="F59" i="2"/>
  <c r="G59" i="2"/>
  <c r="H59" i="2"/>
  <c r="I59" i="2"/>
  <c r="J59" i="2"/>
  <c r="F63" i="2"/>
  <c r="G63" i="2"/>
  <c r="H63" i="2"/>
  <c r="I63" i="2"/>
  <c r="J63" i="2"/>
  <c r="F65" i="2"/>
  <c r="G65" i="2"/>
  <c r="H65" i="2"/>
  <c r="I65" i="2"/>
  <c r="J65" i="2"/>
  <c r="F67" i="2"/>
  <c r="G67" i="2"/>
  <c r="H67" i="2"/>
  <c r="I67" i="2"/>
  <c r="J67" i="2"/>
  <c r="F68" i="2"/>
  <c r="G68" i="2"/>
  <c r="H68" i="2"/>
  <c r="I68" i="2"/>
  <c r="J68" i="2"/>
  <c r="F72" i="2"/>
  <c r="G72" i="2"/>
  <c r="H72" i="2"/>
  <c r="I72" i="2"/>
  <c r="J72" i="2"/>
  <c r="F82" i="2"/>
  <c r="G82" i="2"/>
  <c r="H82" i="2"/>
  <c r="I82" i="2"/>
  <c r="J82" i="2"/>
  <c r="F84" i="2"/>
  <c r="G84" i="2"/>
  <c r="H84" i="2"/>
  <c r="I84" i="2"/>
  <c r="J84" i="2"/>
  <c r="F93" i="2"/>
  <c r="G93" i="2"/>
  <c r="H93" i="2"/>
  <c r="I93" i="2"/>
  <c r="J93" i="2"/>
  <c r="F97" i="2"/>
  <c r="G97" i="2"/>
  <c r="H97" i="2"/>
  <c r="I97" i="2"/>
  <c r="J97" i="2"/>
  <c r="F98" i="2"/>
  <c r="G98" i="2"/>
  <c r="H98" i="2"/>
  <c r="I98" i="2"/>
  <c r="J98" i="2"/>
  <c r="F100" i="2"/>
  <c r="G100" i="2"/>
  <c r="H100" i="2"/>
  <c r="I100" i="2"/>
  <c r="J100" i="2"/>
  <c r="G102" i="2"/>
  <c r="H102" i="2"/>
  <c r="I102" i="2"/>
  <c r="J102" i="2"/>
  <c r="F103" i="2"/>
  <c r="G103" i="2"/>
  <c r="H103" i="2"/>
  <c r="I103" i="2"/>
  <c r="J103" i="2"/>
  <c r="F104" i="2"/>
  <c r="G104" i="2"/>
  <c r="H104" i="2"/>
  <c r="I104" i="2"/>
  <c r="J104" i="2"/>
  <c r="F106" i="2"/>
  <c r="G106" i="2"/>
  <c r="H106" i="2"/>
  <c r="I106" i="2"/>
  <c r="J106" i="2"/>
  <c r="G110" i="2"/>
  <c r="H110" i="2"/>
  <c r="I110" i="2"/>
  <c r="J110" i="2"/>
  <c r="F111" i="2"/>
  <c r="G111" i="2"/>
  <c r="H111" i="2"/>
  <c r="I111" i="2"/>
  <c r="J111" i="2"/>
  <c r="F112" i="2"/>
  <c r="G112" i="2"/>
  <c r="H112" i="2"/>
  <c r="I112" i="2"/>
  <c r="J112" i="2"/>
  <c r="F114" i="2"/>
  <c r="G114" i="2"/>
  <c r="H114" i="2"/>
  <c r="I114" i="2"/>
  <c r="J114" i="2"/>
  <c r="F130" i="2"/>
  <c r="G130" i="2"/>
  <c r="H130" i="2"/>
  <c r="I130" i="2"/>
  <c r="J130" i="2"/>
  <c r="F132" i="2"/>
  <c r="G132" i="2"/>
  <c r="H132" i="2"/>
  <c r="I132" i="2"/>
  <c r="J132" i="2"/>
</calcChain>
</file>

<file path=xl/sharedStrings.xml><?xml version="1.0" encoding="utf-8"?>
<sst xmlns="http://schemas.openxmlformats.org/spreadsheetml/2006/main" count="141" uniqueCount="125">
  <si>
    <t>HISTORIC VARIABLES AND ASSUMPTIONS FOR PROJECTIONS</t>
  </si>
  <si>
    <t>WINGSTOP EARNINGS FINANCIAL MODEL</t>
  </si>
  <si>
    <t>INCOME STATEMENT:</t>
  </si>
  <si>
    <t xml:space="preserve">Year Over Year Revenue Growth Rate </t>
  </si>
  <si>
    <t>Cost of Goods Sold (% of Sales)</t>
  </si>
  <si>
    <t>SG&amp;A (% of Sales)</t>
  </si>
  <si>
    <t>Depreciation (% of Gross PP&amp;E)</t>
  </si>
  <si>
    <t>Effective Tax Rate (% of Pre Tax Income)</t>
  </si>
  <si>
    <t xml:space="preserve">Dividend Pay Ratio (% of Net Income) </t>
  </si>
  <si>
    <t>BALANCE SHEET:</t>
  </si>
  <si>
    <t>Accounts Receivable Days</t>
  </si>
  <si>
    <t>Inventory Days</t>
  </si>
  <si>
    <t>Pre Paid Expenses (% of COGS)</t>
  </si>
  <si>
    <t>Other Current Assets (% of Revenue)</t>
  </si>
  <si>
    <t>Other Long  Term Assets (% of Revenue)</t>
  </si>
  <si>
    <t>Accounts Payable Days</t>
  </si>
  <si>
    <t>Income Taxes Payable (% of Taxable Income)</t>
  </si>
  <si>
    <t>Unearned Revenue (% of Revenue)</t>
  </si>
  <si>
    <t>Other Non-Current Liabilities (million $)</t>
  </si>
  <si>
    <t>CAPEX (% of Revenue)</t>
  </si>
  <si>
    <t>Asset Dispositions (Sales of PP&amp;E)</t>
  </si>
  <si>
    <t>INTEREST RATE ASSUMPTIONS:</t>
  </si>
  <si>
    <t>SOFR (Secured Overnight Financing Rate)</t>
  </si>
  <si>
    <t>Interest earned on cash</t>
  </si>
  <si>
    <t>Revolver</t>
  </si>
  <si>
    <t>Term Loan</t>
  </si>
  <si>
    <t>Unsecured Debt</t>
  </si>
  <si>
    <t>Term Loan Ammortization</t>
  </si>
  <si>
    <t>ASSUMPTIONS FOR PROJECTIONS</t>
  </si>
  <si>
    <t>HISTORICAL VARIABLES AND DRIVERS</t>
  </si>
  <si>
    <t>Weight Average Basic Shares</t>
  </si>
  <si>
    <t>Fiscal Year Ending December 31</t>
  </si>
  <si>
    <t>(in million of $)</t>
  </si>
  <si>
    <t>INCOME STATEMENT</t>
  </si>
  <si>
    <t>Revenue</t>
  </si>
  <si>
    <t>Cost of Goods Sold</t>
  </si>
  <si>
    <t>Gross Profit</t>
  </si>
  <si>
    <t>Depreciation &amp; Ammoritization</t>
  </si>
  <si>
    <t>Interest Expense</t>
  </si>
  <si>
    <t xml:space="preserve">Pretax Income </t>
  </si>
  <si>
    <t>Net Income</t>
  </si>
  <si>
    <t>Basic EPS</t>
  </si>
  <si>
    <t>Total Dividends</t>
  </si>
  <si>
    <t>Dividends Per Share</t>
  </si>
  <si>
    <t xml:space="preserve">ACTUAL HISTORICAL VARIABLES &amp; DRIVERS </t>
  </si>
  <si>
    <t>Selling General &amp; Admin (SGA) Expenses</t>
  </si>
  <si>
    <t>Operating Income / EBIT (Earnings Before Income Tax)</t>
  </si>
  <si>
    <t>Income Tax Expense</t>
  </si>
  <si>
    <t>Interest and Investment Income</t>
  </si>
  <si>
    <t>BALANCE SHEET</t>
  </si>
  <si>
    <t xml:space="preserve">        Net Interest Expense</t>
  </si>
  <si>
    <t>Assets</t>
  </si>
  <si>
    <t>Cash and Equivalents</t>
  </si>
  <si>
    <t>Receivables</t>
  </si>
  <si>
    <t>Inventory</t>
  </si>
  <si>
    <t>Prepaid Expenses</t>
  </si>
  <si>
    <t>Other Current Assets</t>
  </si>
  <si>
    <t xml:space="preserve">        Total Current Assets</t>
  </si>
  <si>
    <t>Gross Property, Plant, &amp; Equipment (Gross PPE)</t>
  </si>
  <si>
    <t xml:space="preserve">        Net Property, Plant, and Equipment</t>
  </si>
  <si>
    <t>Per Share Items</t>
  </si>
  <si>
    <t xml:space="preserve">Other Long  Term Assets </t>
  </si>
  <si>
    <t xml:space="preserve">Liabilities </t>
  </si>
  <si>
    <t>Accumulated Depreciation</t>
  </si>
  <si>
    <t xml:space="preserve">        Total Assets </t>
  </si>
  <si>
    <t>Accounts Payable</t>
  </si>
  <si>
    <t>Accrued Expenses</t>
  </si>
  <si>
    <t>Short Term Debt</t>
  </si>
  <si>
    <t>Current Income Taxes Payable</t>
  </si>
  <si>
    <t>Current Unearned Revenue</t>
  </si>
  <si>
    <t>Long Term Debt</t>
  </si>
  <si>
    <t>Other Non-Current Operating Liabilities</t>
  </si>
  <si>
    <t>Common Stock &amp; APIC</t>
  </si>
  <si>
    <t>Shareholders Equity</t>
  </si>
  <si>
    <t>Retained Earnings</t>
  </si>
  <si>
    <t>Treasury Stock</t>
  </si>
  <si>
    <t>Total Liabilities &amp; Equity</t>
  </si>
  <si>
    <t>Accrued Expenses (% of COGS)</t>
  </si>
  <si>
    <t>CASH FLOW</t>
  </si>
  <si>
    <t>Cash Flow from Operations</t>
  </si>
  <si>
    <t>Plus / (minus):</t>
  </si>
  <si>
    <t>Depreciation and Ammoritization</t>
  </si>
  <si>
    <t xml:space="preserve">        Accounts Recievable</t>
  </si>
  <si>
    <t xml:space="preserve">        Inventory</t>
  </si>
  <si>
    <t xml:space="preserve">        Other Current Assets</t>
  </si>
  <si>
    <t xml:space="preserve">        Accounts Payable</t>
  </si>
  <si>
    <t xml:space="preserve">        Accrued Expenses</t>
  </si>
  <si>
    <t xml:space="preserve">        Current Income Taxes Payable</t>
  </si>
  <si>
    <t xml:space="preserve">        Current Unearned Revenue</t>
  </si>
  <si>
    <t xml:space="preserve">Cash Flow from Investing </t>
  </si>
  <si>
    <t>Capital Expenditures</t>
  </si>
  <si>
    <t>Changes in Other Assets</t>
  </si>
  <si>
    <t>Asset Dispositions</t>
  </si>
  <si>
    <t xml:space="preserve">Cash Flow from Financing </t>
  </si>
  <si>
    <t>Change in Revolver</t>
  </si>
  <si>
    <t>Change in Term Loan</t>
  </si>
  <si>
    <t>Change in Unsecured Debt</t>
  </si>
  <si>
    <t>Change in Equity</t>
  </si>
  <si>
    <t>Dividends</t>
  </si>
  <si>
    <t>Beginning Cash Position</t>
  </si>
  <si>
    <t>Change in Cash Position</t>
  </si>
  <si>
    <t>Ending Cash Position</t>
  </si>
  <si>
    <t>Cash before Revolver</t>
  </si>
  <si>
    <t>DEBT AND INTEREST SCHEDULE</t>
  </si>
  <si>
    <t>Beginning Revolver Balance</t>
  </si>
  <si>
    <t>(Paydown / Drawdown)</t>
  </si>
  <si>
    <t>Ending Revolver Balance</t>
  </si>
  <si>
    <t>Interest Rate</t>
  </si>
  <si>
    <t>Term Loan Beginning Balance</t>
  </si>
  <si>
    <t>Term Loan Ending Balance</t>
  </si>
  <si>
    <t>Unsecured Debt Beginning Balance</t>
  </si>
  <si>
    <t>Unsecured Debt Ending Balance</t>
  </si>
  <si>
    <t>Total Interest Expense</t>
  </si>
  <si>
    <t>Interest Earned on Cash</t>
  </si>
  <si>
    <t>Changes In Operating Capital:</t>
  </si>
  <si>
    <t xml:space="preserve">        Prepaid Expenses</t>
  </si>
  <si>
    <t xml:space="preserve">        Total Current Liabilities</t>
  </si>
  <si>
    <t xml:space="preserve">        Total Liabilities</t>
  </si>
  <si>
    <t xml:space="preserve">        Total Sharesholders Equity</t>
  </si>
  <si>
    <t>Weighted Average Basic Shares Outstanding</t>
  </si>
  <si>
    <r>
      <t xml:space="preserve">        </t>
    </r>
    <r>
      <rPr>
        <b/>
        <i/>
        <sz val="12"/>
        <color theme="1"/>
        <rFont val="Times New Roman"/>
        <family val="1"/>
      </rPr>
      <t>Check</t>
    </r>
  </si>
  <si>
    <r>
      <t xml:space="preserve">                  </t>
    </r>
    <r>
      <rPr>
        <b/>
        <sz val="12"/>
        <color theme="1"/>
        <rFont val="Times New Roman"/>
        <family val="1"/>
      </rPr>
      <t>Cash Flow from Operations</t>
    </r>
  </si>
  <si>
    <r>
      <t xml:space="preserve">                  </t>
    </r>
    <r>
      <rPr>
        <b/>
        <sz val="12"/>
        <color theme="1"/>
        <rFont val="Times New Roman"/>
        <family val="1"/>
      </rPr>
      <t>Cash Flow from Investing</t>
    </r>
  </si>
  <si>
    <r>
      <t xml:space="preserve">                  </t>
    </r>
    <r>
      <rPr>
        <b/>
        <sz val="12"/>
        <color theme="1"/>
        <rFont val="Times New Roman"/>
        <family val="1"/>
      </rPr>
      <t>Cash Flow from Financing</t>
    </r>
  </si>
  <si>
    <r>
      <t xml:space="preserve">                  </t>
    </r>
    <r>
      <rPr>
        <b/>
        <sz val="12"/>
        <color theme="1"/>
        <rFont val="Times New Roman"/>
        <family val="1"/>
      </rPr>
      <t>Net Cash Flow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</si>
</sst>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4" formatCode="_(&quot;$&quot;* #,##0.00_);_(&quot;$&quot;* \(#,##0.00\);_(&quot;$&quot;* &quot;-&quot;??_);_(@_)"/>
    <numFmt numFmtId="164" formatCode="0.0%"/>
    <numFmt numFmtId="165" formatCode="0.0"/>
    <numFmt numFmtId="166" formatCode="&quot;$&quot;#,##0.0"/>
    <numFmt numFmtId="167" formatCode="&quot;$&quot;#,##0.0_);[Red]\(&quot;$&quot;#,##0.0\)"/>
    <numFmt numFmtId="168" formatCode="0.0_);\(0.0\)"/>
    <numFmt numFmtId="169" formatCode="#,##0.0"/>
    <numFmt numFmtId="170" formatCode="#,##0.0_);\(#,##0.0\)"/>
    <numFmt numFmtId="171" formatCode="&quot;$&quot;#,##0.0_);\(&quot;$&quot;#,##0.0\)"/>
  </numFmts>
  <fonts count="11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u/>
      <sz val="12"/>
      <color theme="1"/>
      <name val="Times New Roman"/>
      <family val="1"/>
    </font>
    <font>
      <i/>
      <sz val="12"/>
      <color theme="1"/>
      <name val="Times New Roman"/>
      <family val="1"/>
    </font>
    <font>
      <u/>
      <sz val="12"/>
      <color theme="1"/>
      <name val="Times New Roman"/>
      <family val="1"/>
    </font>
    <font>
      <b/>
      <i/>
      <sz val="12"/>
      <color theme="1"/>
      <name val="Times New Roman"/>
      <family val="1"/>
    </font>
    <font>
      <sz val="12"/>
      <color rgb="FF000000"/>
      <name val="Times New Roman"/>
      <family val="1"/>
    </font>
    <font>
      <b/>
      <i/>
      <u/>
      <sz val="12"/>
      <color theme="1"/>
      <name val="Times New Roman"/>
      <family val="1"/>
    </font>
    <font>
      <sz val="12"/>
      <color rgb="FF0000FF"/>
      <name val="Times New Roman"/>
      <family val="1"/>
    </font>
  </fonts>
  <fills count="2">
    <fill>
      <patternFill patternType="none"/>
    </fill>
    <fill>
      <patternFill patternType="gray125"/>
    </fill>
  </fills>
  <borders count="3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9">
    <xf numFmtId="0" fontId="0" fillId="0" borderId="0" xfId="0"/>
    <xf numFmtId="168" fontId="2" fillId="0" borderId="25" xfId="0" applyNumberFormat="1" applyFont="1" applyBorder="1"/>
    <xf numFmtId="168" fontId="3" fillId="0" borderId="3" xfId="0" applyNumberFormat="1" applyFont="1" applyBorder="1"/>
    <xf numFmtId="168" fontId="3" fillId="0" borderId="4" xfId="0" applyNumberFormat="1" applyFont="1" applyBorder="1"/>
    <xf numFmtId="168" fontId="3" fillId="0" borderId="0" xfId="0" applyNumberFormat="1" applyFont="1"/>
    <xf numFmtId="168" fontId="2" fillId="0" borderId="26" xfId="0" applyNumberFormat="1" applyFont="1" applyBorder="1"/>
    <xf numFmtId="168" fontId="3" fillId="0" borderId="26" xfId="0" applyNumberFormat="1" applyFont="1" applyBorder="1"/>
    <xf numFmtId="168" fontId="3" fillId="0" borderId="27" xfId="0" applyNumberFormat="1" applyFont="1" applyBorder="1"/>
    <xf numFmtId="168" fontId="2" fillId="0" borderId="8" xfId="0" applyNumberFormat="1" applyFont="1" applyBorder="1" applyAlignment="1">
      <alignment horizontal="center"/>
    </xf>
    <xf numFmtId="168" fontId="2" fillId="0" borderId="9" xfId="0" applyNumberFormat="1" applyFont="1" applyBorder="1" applyAlignment="1">
      <alignment horizontal="center"/>
    </xf>
    <xf numFmtId="168" fontId="4" fillId="0" borderId="26" xfId="0" applyNumberFormat="1" applyFont="1" applyBorder="1"/>
    <xf numFmtId="168" fontId="3" fillId="0" borderId="3" xfId="0" applyNumberFormat="1" applyFont="1" applyBorder="1" applyAlignment="1">
      <alignment horizontal="center"/>
    </xf>
    <xf numFmtId="168" fontId="3" fillId="0" borderId="18" xfId="0" applyNumberFormat="1" applyFont="1" applyBorder="1" applyAlignment="1">
      <alignment horizontal="center"/>
    </xf>
    <xf numFmtId="168" fontId="3" fillId="0" borderId="18" xfId="0" applyNumberFormat="1" applyFont="1" applyBorder="1"/>
    <xf numFmtId="166" fontId="3" fillId="0" borderId="26" xfId="0" applyNumberFormat="1" applyFont="1" applyBorder="1"/>
    <xf numFmtId="166" fontId="3" fillId="0" borderId="0" xfId="1" applyNumberFormat="1" applyFont="1" applyFill="1" applyBorder="1" applyAlignment="1">
      <alignment horizontal="center"/>
    </xf>
    <xf numFmtId="166" fontId="3" fillId="0" borderId="17" xfId="1" applyNumberFormat="1" applyFont="1" applyFill="1" applyBorder="1" applyAlignment="1">
      <alignment horizontal="center"/>
    </xf>
    <xf numFmtId="166" fontId="3" fillId="0" borderId="0" xfId="1" applyNumberFormat="1" applyFont="1" applyFill="1" applyAlignment="1">
      <alignment horizontal="center"/>
    </xf>
    <xf numFmtId="166" fontId="3" fillId="0" borderId="0" xfId="0" applyNumberFormat="1" applyFont="1"/>
    <xf numFmtId="166" fontId="3" fillId="0" borderId="17" xfId="0" applyNumberFormat="1" applyFont="1" applyBorder="1"/>
    <xf numFmtId="166" fontId="3" fillId="0" borderId="0" xfId="0" applyNumberFormat="1" applyFont="1" applyAlignment="1">
      <alignment horizontal="center"/>
    </xf>
    <xf numFmtId="166" fontId="3" fillId="0" borderId="17" xfId="0" applyNumberFormat="1" applyFont="1" applyBorder="1" applyAlignment="1">
      <alignment horizontal="center"/>
    </xf>
    <xf numFmtId="166" fontId="3" fillId="0" borderId="37" xfId="0" applyNumberFormat="1" applyFont="1" applyBorder="1"/>
    <xf numFmtId="166" fontId="3" fillId="0" borderId="35" xfId="1" applyNumberFormat="1" applyFont="1" applyFill="1" applyBorder="1" applyAlignment="1">
      <alignment horizontal="center"/>
    </xf>
    <xf numFmtId="166" fontId="3" fillId="0" borderId="22" xfId="1" applyNumberFormat="1" applyFont="1" applyFill="1" applyBorder="1" applyAlignment="1">
      <alignment horizontal="center"/>
    </xf>
    <xf numFmtId="166" fontId="3" fillId="0" borderId="23" xfId="1" applyNumberFormat="1" applyFont="1" applyFill="1" applyBorder="1" applyAlignment="1">
      <alignment horizontal="center"/>
    </xf>
    <xf numFmtId="166" fontId="3" fillId="0" borderId="29" xfId="0" applyNumberFormat="1" applyFont="1" applyBorder="1" applyAlignment="1">
      <alignment horizontal="center"/>
    </xf>
    <xf numFmtId="166" fontId="3" fillId="0" borderId="22" xfId="0" applyNumberFormat="1" applyFont="1" applyBorder="1" applyAlignment="1">
      <alignment horizontal="center"/>
    </xf>
    <xf numFmtId="166" fontId="3" fillId="0" borderId="23" xfId="0" applyNumberFormat="1" applyFont="1" applyBorder="1" applyAlignment="1">
      <alignment horizontal="center"/>
    </xf>
    <xf numFmtId="166" fontId="5" fillId="0" borderId="0" xfId="0" applyNumberFormat="1" applyFont="1"/>
    <xf numFmtId="166" fontId="3" fillId="0" borderId="31" xfId="0" applyNumberFormat="1" applyFont="1" applyBorder="1" applyAlignment="1">
      <alignment horizontal="center"/>
    </xf>
    <xf numFmtId="166" fontId="3" fillId="0" borderId="1" xfId="0" applyNumberFormat="1" applyFont="1" applyBorder="1" applyAlignment="1">
      <alignment horizontal="center"/>
    </xf>
    <xf numFmtId="166" fontId="3" fillId="0" borderId="24" xfId="0" applyNumberFormat="1" applyFont="1" applyBorder="1" applyAlignment="1">
      <alignment horizontal="center"/>
    </xf>
    <xf numFmtId="166" fontId="6" fillId="0" borderId="0" xfId="0" applyNumberFormat="1" applyFont="1" applyAlignment="1">
      <alignment horizontal="center"/>
    </xf>
    <xf numFmtId="166" fontId="3" fillId="0" borderId="36" xfId="0" applyNumberFormat="1" applyFont="1" applyBorder="1"/>
    <xf numFmtId="166" fontId="3" fillId="0" borderId="28" xfId="0" applyNumberFormat="1" applyFont="1" applyBorder="1" applyAlignment="1">
      <alignment horizontal="center"/>
    </xf>
    <xf numFmtId="166" fontId="3" fillId="0" borderId="32" xfId="0" applyNumberFormat="1" applyFont="1" applyBorder="1" applyAlignment="1">
      <alignment horizontal="center"/>
    </xf>
    <xf numFmtId="168" fontId="3" fillId="0" borderId="0" xfId="0" applyNumberFormat="1" applyFont="1" applyAlignment="1">
      <alignment horizontal="center"/>
    </xf>
    <xf numFmtId="168" fontId="3" fillId="0" borderId="17" xfId="0" applyNumberFormat="1" applyFont="1" applyBorder="1" applyAlignment="1">
      <alignment horizontal="center"/>
    </xf>
    <xf numFmtId="168" fontId="5" fillId="0" borderId="26" xfId="0" applyNumberFormat="1" applyFont="1" applyBorder="1"/>
    <xf numFmtId="168" fontId="3" fillId="0" borderId="38" xfId="0" applyNumberFormat="1" applyFont="1" applyBorder="1"/>
    <xf numFmtId="166" fontId="3" fillId="0" borderId="1" xfId="1" applyNumberFormat="1" applyFont="1" applyFill="1" applyBorder="1" applyAlignment="1">
      <alignment horizontal="center"/>
    </xf>
    <xf numFmtId="166" fontId="3" fillId="0" borderId="24" xfId="1" applyNumberFormat="1" applyFont="1" applyFill="1" applyBorder="1" applyAlignment="1">
      <alignment horizontal="center"/>
    </xf>
    <xf numFmtId="166" fontId="3" fillId="0" borderId="31" xfId="1" applyNumberFormat="1" applyFont="1" applyFill="1" applyBorder="1" applyAlignment="1">
      <alignment horizontal="center"/>
    </xf>
    <xf numFmtId="168" fontId="3" fillId="0" borderId="17" xfId="0" applyNumberFormat="1" applyFont="1" applyBorder="1"/>
    <xf numFmtId="168" fontId="3" fillId="0" borderId="37" xfId="0" applyNumberFormat="1" applyFont="1" applyBorder="1"/>
    <xf numFmtId="168" fontId="2" fillId="0" borderId="36" xfId="0" applyNumberFormat="1" applyFont="1" applyBorder="1"/>
    <xf numFmtId="166" fontId="3" fillId="0" borderId="30" xfId="0" applyNumberFormat="1" applyFont="1" applyBorder="1" applyAlignment="1">
      <alignment horizontal="center"/>
    </xf>
    <xf numFmtId="168" fontId="2" fillId="0" borderId="0" xfId="0" applyNumberFormat="1" applyFont="1"/>
    <xf numFmtId="168" fontId="3" fillId="0" borderId="36" xfId="0" applyNumberFormat="1" applyFont="1" applyBorder="1"/>
    <xf numFmtId="166" fontId="3" fillId="0" borderId="33" xfId="0" applyNumberFormat="1" applyFont="1" applyBorder="1" applyAlignment="1">
      <alignment horizontal="center"/>
    </xf>
    <xf numFmtId="166" fontId="2" fillId="0" borderId="22" xfId="0" applyNumberFormat="1" applyFont="1" applyBorder="1" applyAlignment="1">
      <alignment horizontal="center"/>
    </xf>
    <xf numFmtId="166" fontId="2" fillId="0" borderId="23" xfId="0" applyNumberFormat="1" applyFont="1" applyBorder="1" applyAlignment="1">
      <alignment horizontal="center"/>
    </xf>
    <xf numFmtId="166" fontId="2" fillId="0" borderId="0" xfId="0" applyNumberFormat="1" applyFont="1" applyAlignment="1">
      <alignment horizontal="center"/>
    </xf>
    <xf numFmtId="166" fontId="2" fillId="0" borderId="17" xfId="0" applyNumberFormat="1" applyFont="1" applyBorder="1" applyAlignment="1">
      <alignment horizontal="center"/>
    </xf>
    <xf numFmtId="166" fontId="3" fillId="0" borderId="8" xfId="0" applyNumberFormat="1" applyFont="1" applyBorder="1"/>
    <xf numFmtId="166" fontId="3" fillId="0" borderId="16" xfId="0" applyNumberFormat="1" applyFont="1" applyBorder="1"/>
    <xf numFmtId="166" fontId="3" fillId="0" borderId="21" xfId="0" applyNumberFormat="1" applyFont="1" applyBorder="1"/>
    <xf numFmtId="168" fontId="4" fillId="0" borderId="25" xfId="0" applyNumberFormat="1" applyFont="1" applyBorder="1"/>
    <xf numFmtId="166" fontId="3" fillId="0" borderId="20" xfId="0" applyNumberFormat="1" applyFont="1" applyBorder="1"/>
    <xf numFmtId="166" fontId="3" fillId="0" borderId="19" xfId="0" applyNumberFormat="1" applyFont="1" applyBorder="1"/>
    <xf numFmtId="166" fontId="3" fillId="0" borderId="19" xfId="0" applyNumberFormat="1" applyFont="1" applyBorder="1" applyAlignment="1">
      <alignment horizontal="center"/>
    </xf>
    <xf numFmtId="166" fontId="3" fillId="0" borderId="28" xfId="0" applyNumberFormat="1" applyFont="1" applyBorder="1"/>
    <xf numFmtId="166" fontId="3" fillId="0" borderId="32" xfId="0" applyNumberFormat="1" applyFont="1" applyBorder="1"/>
    <xf numFmtId="166" fontId="3" fillId="0" borderId="23" xfId="0" applyNumberFormat="1" applyFont="1" applyBorder="1"/>
    <xf numFmtId="168" fontId="6" fillId="0" borderId="26" xfId="0" applyNumberFormat="1" applyFont="1" applyBorder="1"/>
    <xf numFmtId="10" fontId="3" fillId="0" borderId="0" xfId="2" applyNumberFormat="1" applyFont="1" applyFill="1" applyAlignment="1">
      <alignment horizontal="center"/>
    </xf>
    <xf numFmtId="10" fontId="3" fillId="0" borderId="17" xfId="2" applyNumberFormat="1" applyFont="1" applyFill="1" applyBorder="1" applyAlignment="1">
      <alignment horizontal="center"/>
    </xf>
    <xf numFmtId="166" fontId="8" fillId="0" borderId="17" xfId="0" applyNumberFormat="1" applyFont="1" applyBorder="1" applyAlignment="1">
      <alignment horizontal="center"/>
    </xf>
    <xf numFmtId="166" fontId="3" fillId="0" borderId="0" xfId="0" applyNumberFormat="1" applyFont="1" applyAlignment="1">
      <alignment horizontal="center" vertical="center"/>
    </xf>
    <xf numFmtId="166" fontId="3" fillId="0" borderId="17" xfId="0" applyNumberFormat="1" applyFont="1" applyBorder="1" applyAlignment="1">
      <alignment horizontal="center" vertical="center"/>
    </xf>
    <xf numFmtId="166" fontId="3" fillId="0" borderId="0" xfId="0" applyNumberFormat="1" applyFont="1" applyAlignment="1">
      <alignment vertical="center"/>
    </xf>
    <xf numFmtId="166" fontId="3" fillId="0" borderId="17" xfId="0" applyNumberFormat="1" applyFont="1" applyBorder="1" applyAlignment="1">
      <alignment vertical="center"/>
    </xf>
    <xf numFmtId="168" fontId="3" fillId="0" borderId="8" xfId="0" applyNumberFormat="1" applyFont="1" applyBorder="1"/>
    <xf numFmtId="166" fontId="3" fillId="0" borderId="21" xfId="0" applyNumberFormat="1" applyFont="1" applyBorder="1" applyAlignment="1">
      <alignment horizontal="center" vertical="center"/>
    </xf>
    <xf numFmtId="166" fontId="3" fillId="0" borderId="8" xfId="0" applyNumberFormat="1" applyFont="1" applyBorder="1" applyAlignment="1">
      <alignment horizontal="center" vertical="center"/>
    </xf>
    <xf numFmtId="166" fontId="3" fillId="0" borderId="16" xfId="0" applyNumberFormat="1" applyFont="1" applyBorder="1" applyAlignment="1">
      <alignment horizontal="center" vertical="center"/>
    </xf>
    <xf numFmtId="0" fontId="2" fillId="0" borderId="34" xfId="0" applyFont="1" applyBorder="1"/>
    <xf numFmtId="0" fontId="2" fillId="0" borderId="10" xfId="0" applyFont="1" applyBorder="1"/>
    <xf numFmtId="0" fontId="3" fillId="0" borderId="10" xfId="0" applyFont="1" applyBorder="1" applyAlignment="1">
      <alignment horizontal="left"/>
    </xf>
    <xf numFmtId="0" fontId="3" fillId="0" borderId="15" xfId="0" applyFont="1" applyBorder="1"/>
    <xf numFmtId="0" fontId="3" fillId="0" borderId="10" xfId="0" applyFont="1" applyBorder="1"/>
    <xf numFmtId="0" fontId="3" fillId="0" borderId="11" xfId="0" applyFont="1" applyBorder="1"/>
    <xf numFmtId="0" fontId="3" fillId="0" borderId="0" xfId="0" applyFont="1"/>
    <xf numFmtId="0" fontId="3" fillId="0" borderId="27" xfId="0" applyFont="1" applyBorder="1"/>
    <xf numFmtId="0" fontId="3" fillId="0" borderId="17" xfId="0" applyFont="1" applyBorder="1"/>
    <xf numFmtId="0" fontId="3" fillId="0" borderId="8" xfId="0" applyFont="1" applyBorder="1"/>
    <xf numFmtId="0" fontId="3" fillId="0" borderId="9" xfId="0" applyFont="1" applyBorder="1"/>
    <xf numFmtId="0" fontId="3" fillId="0" borderId="5" xfId="0" applyFont="1" applyBorder="1"/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9" fillId="0" borderId="2" xfId="0" applyFont="1" applyBorder="1"/>
    <xf numFmtId="0" fontId="3" fillId="0" borderId="20" xfId="0" applyFont="1" applyBorder="1"/>
    <xf numFmtId="0" fontId="3" fillId="0" borderId="18" xfId="0" applyFont="1" applyBorder="1"/>
    <xf numFmtId="0" fontId="3" fillId="0" borderId="19" xfId="0" applyFont="1" applyBorder="1"/>
    <xf numFmtId="164" fontId="3" fillId="0" borderId="0" xfId="2" applyNumberFormat="1" applyFont="1" applyBorder="1" applyAlignment="1">
      <alignment horizontal="center"/>
    </xf>
    <xf numFmtId="164" fontId="3" fillId="0" borderId="17" xfId="2" applyNumberFormat="1" applyFont="1" applyBorder="1" applyAlignment="1">
      <alignment horizontal="center"/>
    </xf>
    <xf numFmtId="164" fontId="10" fillId="0" borderId="0" xfId="0" applyNumberFormat="1" applyFont="1" applyAlignment="1">
      <alignment horizontal="center"/>
    </xf>
    <xf numFmtId="164" fontId="10" fillId="0" borderId="17" xfId="0" applyNumberFormat="1" applyFont="1" applyBorder="1" applyAlignment="1">
      <alignment horizontal="center"/>
    </xf>
    <xf numFmtId="165" fontId="10" fillId="0" borderId="0" xfId="0" applyNumberFormat="1" applyFont="1" applyAlignment="1">
      <alignment horizontal="center"/>
    </xf>
    <xf numFmtId="165" fontId="10" fillId="0" borderId="17" xfId="0" applyNumberFormat="1" applyFont="1" applyBorder="1" applyAlignment="1">
      <alignment horizontal="center"/>
    </xf>
    <xf numFmtId="0" fontId="3" fillId="0" borderId="7" xfId="0" applyFont="1" applyBorder="1"/>
    <xf numFmtId="0" fontId="3" fillId="0" borderId="21" xfId="0" applyFont="1" applyBorder="1"/>
    <xf numFmtId="0" fontId="3" fillId="0" borderId="8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9" fillId="0" borderId="12" xfId="0" applyFont="1" applyBorder="1"/>
    <xf numFmtId="0" fontId="3" fillId="0" borderId="14" xfId="0" applyFont="1" applyBorder="1"/>
    <xf numFmtId="165" fontId="3" fillId="0" borderId="0" xfId="0" applyNumberFormat="1" applyFont="1" applyAlignment="1">
      <alignment horizontal="center"/>
    </xf>
    <xf numFmtId="165" fontId="3" fillId="0" borderId="17" xfId="0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17" xfId="0" applyFont="1" applyBorder="1" applyAlignment="1">
      <alignment horizontal="center"/>
    </xf>
    <xf numFmtId="166" fontId="10" fillId="0" borderId="0" xfId="1" applyNumberFormat="1" applyFont="1" applyFill="1" applyBorder="1" applyAlignment="1">
      <alignment horizontal="center"/>
    </xf>
    <xf numFmtId="166" fontId="10" fillId="0" borderId="17" xfId="1" applyNumberFormat="1" applyFont="1" applyFill="1" applyBorder="1" applyAlignment="1">
      <alignment horizontal="center"/>
    </xf>
    <xf numFmtId="0" fontId="3" fillId="0" borderId="16" xfId="0" applyFont="1" applyBorder="1"/>
    <xf numFmtId="10" fontId="3" fillId="0" borderId="17" xfId="0" applyNumberFormat="1" applyFont="1" applyBorder="1" applyAlignment="1">
      <alignment horizontal="center"/>
    </xf>
    <xf numFmtId="10" fontId="3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164" fontId="3" fillId="0" borderId="17" xfId="0" applyNumberFormat="1" applyFont="1" applyBorder="1" applyAlignment="1">
      <alignment horizontal="center"/>
    </xf>
    <xf numFmtId="167" fontId="3" fillId="0" borderId="0" xfId="0" applyNumberFormat="1" applyFont="1" applyAlignment="1">
      <alignment horizontal="center"/>
    </xf>
    <xf numFmtId="167" fontId="3" fillId="0" borderId="17" xfId="0" applyNumberFormat="1" applyFont="1" applyBorder="1" applyAlignment="1">
      <alignment horizontal="center"/>
    </xf>
    <xf numFmtId="0" fontId="3" fillId="0" borderId="13" xfId="0" applyFont="1" applyBorder="1"/>
    <xf numFmtId="0" fontId="2" fillId="0" borderId="5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6" xfId="0" applyFont="1" applyBorder="1" applyAlignment="1">
      <alignment horizontal="center"/>
    </xf>
    <xf numFmtId="168" fontId="2" fillId="0" borderId="0" xfId="0" applyNumberFormat="1" applyFont="1" applyAlignment="1">
      <alignment horizontal="center"/>
    </xf>
    <xf numFmtId="168" fontId="2" fillId="0" borderId="6" xfId="0" applyNumberFormat="1" applyFont="1" applyBorder="1" applyAlignment="1">
      <alignment horizontal="center"/>
    </xf>
    <xf numFmtId="169" fontId="3" fillId="0" borderId="26" xfId="0" applyNumberFormat="1" applyFont="1" applyBorder="1"/>
    <xf numFmtId="169" fontId="3" fillId="0" borderId="0" xfId="0" applyNumberFormat="1" applyFont="1"/>
    <xf numFmtId="170" fontId="3" fillId="0" borderId="0" xfId="0" applyNumberFormat="1" applyFont="1" applyAlignment="1">
      <alignment horizontal="center"/>
    </xf>
    <xf numFmtId="170" fontId="3" fillId="0" borderId="17" xfId="0" applyNumberFormat="1" applyFont="1" applyBorder="1" applyAlignment="1">
      <alignment horizontal="center"/>
    </xf>
    <xf numFmtId="171" fontId="3" fillId="0" borderId="35" xfId="0" applyNumberFormat="1" applyFont="1" applyBorder="1" applyAlignment="1">
      <alignment horizontal="center"/>
    </xf>
    <xf numFmtId="171" fontId="3" fillId="0" borderId="22" xfId="0" applyNumberFormat="1" applyFont="1" applyBorder="1" applyAlignment="1">
      <alignment horizontal="center"/>
    </xf>
    <xf numFmtId="171" fontId="3" fillId="0" borderId="23" xfId="0" applyNumberFormat="1" applyFont="1" applyBorder="1" applyAlignment="1">
      <alignment horizontal="center"/>
    </xf>
    <xf numFmtId="171" fontId="3" fillId="0" borderId="29" xfId="0" applyNumberFormat="1" applyFont="1" applyBorder="1" applyAlignment="1">
      <alignment horizontal="center"/>
    </xf>
    <xf numFmtId="171" fontId="3" fillId="0" borderId="0" xfId="0" applyNumberFormat="1" applyFont="1" applyAlignment="1">
      <alignment horizontal="center"/>
    </xf>
    <xf numFmtId="171" fontId="3" fillId="0" borderId="17" xfId="0" applyNumberFormat="1" applyFont="1" applyBorder="1" applyAlignment="1">
      <alignment horizontal="center"/>
    </xf>
    <xf numFmtId="171" fontId="3" fillId="0" borderId="28" xfId="0" applyNumberFormat="1" applyFont="1" applyBorder="1" applyAlignment="1">
      <alignment horizontal="center"/>
    </xf>
    <xf numFmtId="171" fontId="3" fillId="0" borderId="32" xfId="0" applyNumberFormat="1" applyFont="1" applyBorder="1" applyAlignment="1">
      <alignment horizontal="center"/>
    </xf>
    <xf numFmtId="171" fontId="3" fillId="0" borderId="19" xfId="0" applyNumberFormat="1" applyFont="1" applyBorder="1" applyAlignment="1">
      <alignment horizontal="center"/>
    </xf>
    <xf numFmtId="171" fontId="3" fillId="0" borderId="19" xfId="0" applyNumberFormat="1" applyFont="1" applyBorder="1"/>
    <xf numFmtId="171" fontId="3" fillId="0" borderId="0" xfId="0" applyNumberFormat="1" applyFont="1"/>
    <xf numFmtId="171" fontId="3" fillId="0" borderId="17" xfId="0" applyNumberFormat="1" applyFont="1" applyBorder="1"/>
    <xf numFmtId="171" fontId="3" fillId="0" borderId="30" xfId="0" applyNumberFormat="1" applyFont="1" applyBorder="1" applyAlignment="1">
      <alignment horizontal="center"/>
    </xf>
    <xf numFmtId="168" fontId="2" fillId="0" borderId="0" xfId="0" applyNumberFormat="1" applyFont="1" applyAlignment="1">
      <alignment horizontal="center" vertical="center"/>
    </xf>
    <xf numFmtId="168" fontId="2" fillId="0" borderId="6" xfId="0" applyNumberFormat="1" applyFont="1" applyBorder="1" applyAlignment="1">
      <alignment horizontal="center" vertic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CE1E01-9A83-1A44-810E-5C706A66FC3C}">
  <dimension ref="A1:K41"/>
  <sheetViews>
    <sheetView workbookViewId="0">
      <selection activeCell="E24" sqref="E24"/>
    </sheetView>
  </sheetViews>
  <sheetFormatPr baseColWidth="10" defaultRowHeight="16" x14ac:dyDescent="0.2"/>
  <cols>
    <col min="1" max="1" width="50" style="83" customWidth="1"/>
    <col min="2" max="2" width="10.83203125" style="83"/>
    <col min="3" max="3" width="10.83203125" style="83" customWidth="1"/>
    <col min="4" max="6" width="11.6640625" style="83" bestFit="1" customWidth="1"/>
    <col min="7" max="16384" width="10.83203125" style="83"/>
  </cols>
  <sheetData>
    <row r="1" spans="1:11" ht="17" thickBot="1" x14ac:dyDescent="0.25">
      <c r="A1" s="77" t="s">
        <v>1</v>
      </c>
      <c r="B1" s="78"/>
      <c r="C1" s="78"/>
      <c r="D1" s="79"/>
      <c r="E1" s="79"/>
      <c r="F1" s="80"/>
      <c r="G1" s="81"/>
      <c r="H1" s="81"/>
      <c r="I1" s="81"/>
      <c r="J1" s="81"/>
      <c r="K1" s="82"/>
    </row>
    <row r="2" spans="1:11" ht="17" thickBot="1" x14ac:dyDescent="0.25">
      <c r="A2" s="84" t="s">
        <v>0</v>
      </c>
      <c r="F2" s="85"/>
      <c r="G2" s="86"/>
      <c r="H2" s="86"/>
      <c r="I2" s="86"/>
      <c r="J2" s="86"/>
      <c r="K2" s="87"/>
    </row>
    <row r="3" spans="1:11" x14ac:dyDescent="0.2">
      <c r="A3" s="88"/>
      <c r="B3" s="89"/>
      <c r="C3" s="90"/>
      <c r="D3" s="90"/>
      <c r="E3" s="90"/>
      <c r="F3" s="91"/>
      <c r="G3" s="90"/>
      <c r="H3" s="90"/>
      <c r="I3" s="90"/>
      <c r="J3" s="90"/>
      <c r="K3" s="91"/>
    </row>
    <row r="4" spans="1:11" x14ac:dyDescent="0.2">
      <c r="A4" s="88"/>
      <c r="B4" s="125" t="s">
        <v>29</v>
      </c>
      <c r="C4" s="126"/>
      <c r="D4" s="126"/>
      <c r="E4" s="126"/>
      <c r="F4" s="127"/>
      <c r="G4" s="126" t="s">
        <v>28</v>
      </c>
      <c r="H4" s="126"/>
      <c r="I4" s="126"/>
      <c r="J4" s="126"/>
      <c r="K4" s="127"/>
    </row>
    <row r="5" spans="1:11" x14ac:dyDescent="0.2">
      <c r="A5" s="88"/>
      <c r="B5" s="125" t="s">
        <v>31</v>
      </c>
      <c r="C5" s="126"/>
      <c r="D5" s="126"/>
      <c r="E5" s="126"/>
      <c r="F5" s="127"/>
      <c r="G5" s="126" t="s">
        <v>31</v>
      </c>
      <c r="H5" s="126"/>
      <c r="I5" s="126"/>
      <c r="J5" s="126"/>
      <c r="K5" s="127"/>
    </row>
    <row r="6" spans="1:11" ht="17" thickBot="1" x14ac:dyDescent="0.25">
      <c r="A6" s="88"/>
      <c r="B6" s="92"/>
      <c r="C6" s="93">
        <v>2020</v>
      </c>
      <c r="D6" s="93">
        <v>2021</v>
      </c>
      <c r="E6" s="93">
        <v>2022</v>
      </c>
      <c r="F6" s="94">
        <v>2023</v>
      </c>
      <c r="G6" s="93">
        <v>2024</v>
      </c>
      <c r="H6" s="93">
        <v>2025</v>
      </c>
      <c r="I6" s="93">
        <v>2026</v>
      </c>
      <c r="J6" s="93">
        <v>2027</v>
      </c>
      <c r="K6" s="94">
        <v>2028</v>
      </c>
    </row>
    <row r="7" spans="1:11" x14ac:dyDescent="0.2">
      <c r="A7" s="95" t="s">
        <v>2</v>
      </c>
      <c r="B7" s="96"/>
      <c r="C7" s="90"/>
      <c r="D7" s="90"/>
      <c r="E7" s="90"/>
      <c r="F7" s="97"/>
      <c r="G7" s="90"/>
      <c r="H7" s="90"/>
      <c r="I7" s="90"/>
      <c r="J7" s="90"/>
      <c r="K7" s="97"/>
    </row>
    <row r="8" spans="1:11" x14ac:dyDescent="0.2">
      <c r="A8" s="88" t="s">
        <v>3</v>
      </c>
      <c r="B8" s="98"/>
      <c r="C8" s="99">
        <f>('Financial Model'!B6-199.7)/199.7</f>
        <v>0.24586880320480733</v>
      </c>
      <c r="D8" s="99">
        <f>('Financial Model'!C6-'Financial Model'!B6)/'Financial Model'!B6</f>
        <v>0.13545016077170413</v>
      </c>
      <c r="E8" s="99">
        <f>('Financial Model'!D6-'Financial Model'!C6)/'Financial Model'!C6</f>
        <v>0.26442477876106191</v>
      </c>
      <c r="F8" s="100">
        <f>('Financial Model'!E6-'Financial Model'!D6)/'Financial Model'!D6</f>
        <v>0.28807390817469214</v>
      </c>
      <c r="G8" s="101">
        <v>0.2</v>
      </c>
      <c r="H8" s="101">
        <v>0.2</v>
      </c>
      <c r="I8" s="101">
        <v>0.2</v>
      </c>
      <c r="J8" s="101">
        <v>0.2</v>
      </c>
      <c r="K8" s="102">
        <v>0.2</v>
      </c>
    </row>
    <row r="9" spans="1:11" x14ac:dyDescent="0.2">
      <c r="A9" s="88" t="s">
        <v>4</v>
      </c>
      <c r="B9" s="98"/>
      <c r="C9" s="99">
        <f>'Financial Model'!B8/'Financial Model'!B6</f>
        <v>0.50602893890675238</v>
      </c>
      <c r="D9" s="99">
        <f>'Financial Model'!C8/'Financial Model'!C6</f>
        <v>0.49911504424778763</v>
      </c>
      <c r="E9" s="99">
        <f>'Financial Model'!D8/'Financial Model'!D6</f>
        <v>0.52211646136618139</v>
      </c>
      <c r="F9" s="100">
        <f>'Financial Model'!E8/'Financial Model'!E6</f>
        <v>0.51554009997826555</v>
      </c>
      <c r="G9" s="101">
        <v>0.52</v>
      </c>
      <c r="H9" s="101">
        <v>0.52</v>
      </c>
      <c r="I9" s="101">
        <v>0.52</v>
      </c>
      <c r="J9" s="101">
        <v>0.52</v>
      </c>
      <c r="K9" s="102">
        <v>0.52</v>
      </c>
    </row>
    <row r="10" spans="1:11" x14ac:dyDescent="0.2">
      <c r="A10" s="88" t="s">
        <v>5</v>
      </c>
      <c r="B10" s="98"/>
      <c r="C10" s="99">
        <f>'Financial Model'!B12/'Financial Model'!B6</f>
        <v>0.28697749196141481</v>
      </c>
      <c r="D10" s="99">
        <f>'Financial Model'!C12/'Financial Model'!C6</f>
        <v>0.21026548672566372</v>
      </c>
      <c r="E10" s="99">
        <f>'Financial Model'!D12/'Financial Model'!D6</f>
        <v>0.19540873460246361</v>
      </c>
      <c r="F10" s="100">
        <f>'Financial Model'!E12/'Financial Model'!E6</f>
        <v>0.21104107802651595</v>
      </c>
      <c r="G10" s="101">
        <v>0.21</v>
      </c>
      <c r="H10" s="101">
        <v>0.21</v>
      </c>
      <c r="I10" s="101">
        <v>0.21</v>
      </c>
      <c r="J10" s="101">
        <v>0.21</v>
      </c>
      <c r="K10" s="102">
        <v>0.21</v>
      </c>
    </row>
    <row r="11" spans="1:11" x14ac:dyDescent="0.2">
      <c r="A11" s="88" t="s">
        <v>6</v>
      </c>
      <c r="B11" s="98"/>
      <c r="C11" s="99">
        <f>'Financial Model'!B14/'Financial Model'!B42</f>
        <v>0.146484375</v>
      </c>
      <c r="D11" s="99">
        <f>'Financial Model'!C14/'Financial Model'!C42</f>
        <v>8.5497835497835503E-2</v>
      </c>
      <c r="E11" s="99">
        <f>'Financial Model'!D14/'Financial Model'!D42</f>
        <v>9.5697980684811237E-2</v>
      </c>
      <c r="F11" s="100">
        <f>'Financial Model'!E14/'Financial Model'!E42</f>
        <v>8.7385019710906717E-2</v>
      </c>
      <c r="G11" s="101">
        <v>0.09</v>
      </c>
      <c r="H11" s="101">
        <v>0.09</v>
      </c>
      <c r="I11" s="101">
        <v>0.09</v>
      </c>
      <c r="J11" s="101">
        <v>0.09</v>
      </c>
      <c r="K11" s="102">
        <v>0.09</v>
      </c>
    </row>
    <row r="12" spans="1:11" x14ac:dyDescent="0.2">
      <c r="A12" s="88" t="s">
        <v>7</v>
      </c>
      <c r="B12" s="98"/>
      <c r="C12" s="99">
        <f>'Financial Model'!B23/'Financial Model'!B22</f>
        <v>0.13235294117647059</v>
      </c>
      <c r="D12" s="99">
        <f>'Financial Model'!C23/'Financial Model'!C22</f>
        <v>0.27533783783783783</v>
      </c>
      <c r="E12" s="99">
        <f>'Financial Model'!D23/'Financial Model'!D22</f>
        <v>0.23837209302325579</v>
      </c>
      <c r="F12" s="100">
        <f>'Financial Model'!E23/'Financial Model'!E22</f>
        <v>0.25662778366914102</v>
      </c>
      <c r="G12" s="101">
        <v>0.26</v>
      </c>
      <c r="H12" s="101">
        <v>0.26</v>
      </c>
      <c r="I12" s="101">
        <v>0.26</v>
      </c>
      <c r="J12" s="101">
        <v>0.26</v>
      </c>
      <c r="K12" s="102">
        <v>0.26</v>
      </c>
    </row>
    <row r="13" spans="1:11" x14ac:dyDescent="0.2">
      <c r="A13" s="88" t="s">
        <v>30</v>
      </c>
      <c r="B13" s="98"/>
      <c r="C13" s="113">
        <v>0</v>
      </c>
      <c r="D13" s="113">
        <v>0</v>
      </c>
      <c r="E13" s="113">
        <v>0</v>
      </c>
      <c r="F13" s="114">
        <v>0</v>
      </c>
      <c r="G13" s="103">
        <v>29.9</v>
      </c>
      <c r="H13" s="103">
        <v>29.9</v>
      </c>
      <c r="I13" s="103">
        <v>29.9</v>
      </c>
      <c r="J13" s="103">
        <v>29.9</v>
      </c>
      <c r="K13" s="104">
        <v>29.9</v>
      </c>
    </row>
    <row r="14" spans="1:11" x14ac:dyDescent="0.2">
      <c r="A14" s="88" t="s">
        <v>8</v>
      </c>
      <c r="B14" s="98"/>
      <c r="C14" s="99">
        <f>'Financial Model'!B30/'Financial Model'!B24</f>
        <v>0.65677966101694918</v>
      </c>
      <c r="D14" s="99">
        <f>'Financial Model'!C30/'Financial Model'!C24</f>
        <v>0.46386946386946376</v>
      </c>
      <c r="E14" s="99">
        <f>'Financial Model'!D30/'Financial Model'!D24</f>
        <v>0.41030534351145037</v>
      </c>
      <c r="F14" s="100">
        <f>'Financial Model'!E30/'Financial Model'!E24</f>
        <v>0.35520684736091301</v>
      </c>
      <c r="G14" s="101">
        <v>0.25</v>
      </c>
      <c r="H14" s="101">
        <v>0.15</v>
      </c>
      <c r="I14" s="101">
        <v>0.15</v>
      </c>
      <c r="J14" s="101">
        <v>0.15</v>
      </c>
      <c r="K14" s="102">
        <v>0.15</v>
      </c>
    </row>
    <row r="15" spans="1:11" ht="17" thickBot="1" x14ac:dyDescent="0.25">
      <c r="A15" s="105"/>
      <c r="B15" s="106"/>
      <c r="C15" s="107"/>
      <c r="D15" s="107"/>
      <c r="E15" s="107"/>
      <c r="F15" s="108"/>
      <c r="G15" s="101"/>
      <c r="H15" s="101"/>
      <c r="I15" s="101"/>
      <c r="J15" s="101"/>
      <c r="K15" s="102"/>
    </row>
    <row r="16" spans="1:11" x14ac:dyDescent="0.2">
      <c r="A16" s="109" t="s">
        <v>9</v>
      </c>
      <c r="B16" s="90"/>
      <c r="C16" s="90"/>
      <c r="D16" s="90"/>
      <c r="E16" s="90"/>
      <c r="F16" s="97"/>
      <c r="G16" s="90"/>
      <c r="H16" s="90"/>
      <c r="I16" s="90"/>
      <c r="J16" s="90"/>
      <c r="K16" s="97"/>
    </row>
    <row r="17" spans="1:11" x14ac:dyDescent="0.2">
      <c r="A17" s="110" t="s">
        <v>10</v>
      </c>
      <c r="C17" s="111">
        <f>'Financial Model'!B36/'Financial Model'!B6*360</f>
        <v>12.29903536977492</v>
      </c>
      <c r="D17" s="111">
        <f>'Financial Model'!C36/'Financial Model'!C6*360</f>
        <v>10.32212389380531</v>
      </c>
      <c r="E17" s="111">
        <f>'Financial Model'!D36/'Financial Model'!D6*360</f>
        <v>9.5744680851063837</v>
      </c>
      <c r="F17" s="112">
        <f>'Financial Model'!E36/'Financial Model'!E6*360</f>
        <v>9.702238643773093</v>
      </c>
      <c r="G17" s="103">
        <v>10</v>
      </c>
      <c r="H17" s="103">
        <v>10</v>
      </c>
      <c r="I17" s="103">
        <v>10</v>
      </c>
      <c r="J17" s="103">
        <v>10</v>
      </c>
      <c r="K17" s="104">
        <v>10</v>
      </c>
    </row>
    <row r="18" spans="1:11" x14ac:dyDescent="0.2">
      <c r="A18" s="110" t="s">
        <v>11</v>
      </c>
      <c r="C18" s="111">
        <f>'Financial Model'!B37/'Financial Model'!B8*360</f>
        <v>1.1437648927720412</v>
      </c>
      <c r="D18" s="111">
        <f>'Financial Model'!C37/'Financial Model'!C8*360</f>
        <v>1.2765957446808511</v>
      </c>
      <c r="E18" s="111">
        <f>'Financial Model'!D37/'Financial Model'!D8*360</f>
        <v>1.1581769436997318</v>
      </c>
      <c r="F18" s="112">
        <f>'Financial Model'!E37/'Financial Model'!E8*360</f>
        <v>0.9106239460370994</v>
      </c>
      <c r="G18" s="103">
        <v>3</v>
      </c>
      <c r="H18" s="103">
        <v>3</v>
      </c>
      <c r="I18" s="103">
        <v>3</v>
      </c>
      <c r="J18" s="103">
        <v>3</v>
      </c>
      <c r="K18" s="104">
        <v>3</v>
      </c>
    </row>
    <row r="19" spans="1:11" x14ac:dyDescent="0.2">
      <c r="A19" s="110" t="s">
        <v>12</v>
      </c>
      <c r="C19" s="99">
        <f>'Financial Model'!B38/'Financial Model'!B8</f>
        <v>1.1914217633042096E-2</v>
      </c>
      <c r="D19" s="99">
        <f>'Financial Model'!C38/'Financial Model'!C8</f>
        <v>1.7730496453900711E-2</v>
      </c>
      <c r="E19" s="99">
        <f>'Financial Model'!D38/'Financial Model'!D8</f>
        <v>1.5013404825737264E-2</v>
      </c>
      <c r="F19" s="100">
        <f>'Financial Model'!E38/'Financial Model'!E8</f>
        <v>1.5177065767284992E-2</v>
      </c>
      <c r="G19" s="101">
        <v>0.02</v>
      </c>
      <c r="H19" s="101">
        <v>0.02</v>
      </c>
      <c r="I19" s="101">
        <v>0.02</v>
      </c>
      <c r="J19" s="101">
        <v>0.02</v>
      </c>
      <c r="K19" s="102">
        <v>0.02</v>
      </c>
    </row>
    <row r="20" spans="1:11" x14ac:dyDescent="0.2">
      <c r="A20" s="110" t="s">
        <v>13</v>
      </c>
      <c r="C20" s="99">
        <f>'Financial Model'!B39/'Financial Model'!B6</f>
        <v>8.5610932475884249E-2</v>
      </c>
      <c r="D20" s="99">
        <f>'Financial Model'!C39/'Financial Model'!C6</f>
        <v>3.6814159292035402E-2</v>
      </c>
      <c r="E20" s="99">
        <f>'Financial Model'!D39/'Financial Model'!D6</f>
        <v>8.286674132138859E-2</v>
      </c>
      <c r="F20" s="100">
        <f>'Financial Model'!E39/'Financial Model'!E6</f>
        <v>8.172136492066942E-2</v>
      </c>
      <c r="G20" s="101">
        <v>0.09</v>
      </c>
      <c r="H20" s="101">
        <v>0.09</v>
      </c>
      <c r="I20" s="101">
        <v>0.09</v>
      </c>
      <c r="J20" s="101">
        <v>0.09</v>
      </c>
      <c r="K20" s="102">
        <v>0.09</v>
      </c>
    </row>
    <row r="21" spans="1:11" x14ac:dyDescent="0.2">
      <c r="A21" s="110" t="s">
        <v>14</v>
      </c>
      <c r="C21" s="99">
        <f>'Financial Model'!B46/'Financial Model'!B6</f>
        <v>0.42081993569131831</v>
      </c>
      <c r="D21" s="99">
        <f>'Financial Model'!C46/'Financial Model'!C6</f>
        <v>0.38761061946902653</v>
      </c>
      <c r="E21" s="99">
        <f>'Financial Model'!D46/'Financial Model'!D6</f>
        <v>0.32194848824188133</v>
      </c>
      <c r="F21" s="100">
        <f>'Financial Model'!E46/'Financial Model'!E6</f>
        <v>0.26755053249293631</v>
      </c>
      <c r="G21" s="101">
        <v>0.26</v>
      </c>
      <c r="H21" s="101">
        <v>0.26</v>
      </c>
      <c r="I21" s="101">
        <v>0.26</v>
      </c>
      <c r="J21" s="101">
        <v>0.26</v>
      </c>
      <c r="K21" s="102">
        <v>0.26</v>
      </c>
    </row>
    <row r="22" spans="1:11" x14ac:dyDescent="0.2">
      <c r="A22" s="110"/>
      <c r="F22" s="85"/>
      <c r="K22" s="85"/>
    </row>
    <row r="23" spans="1:11" x14ac:dyDescent="0.2">
      <c r="A23" s="110" t="s">
        <v>15</v>
      </c>
      <c r="C23" s="111">
        <f>'Financial Model'!B50/'Financial Model'!B8*360</f>
        <v>10.579825258141382</v>
      </c>
      <c r="D23" s="111">
        <f>'Financial Model'!C50/'Financial Model'!C8*360</f>
        <v>13.787234042553191</v>
      </c>
      <c r="E23" s="111">
        <f>'Financial Model'!D50/'Financial Model'!D8*360</f>
        <v>10.037533512064345</v>
      </c>
      <c r="F23" s="112">
        <f>'Financial Model'!E50/'Financial Model'!E8*360</f>
        <v>7.1332209106239475</v>
      </c>
      <c r="G23" s="103">
        <v>10</v>
      </c>
      <c r="H23" s="103">
        <v>10</v>
      </c>
      <c r="I23" s="103">
        <v>10</v>
      </c>
      <c r="J23" s="103">
        <v>10</v>
      </c>
      <c r="K23" s="104">
        <v>10</v>
      </c>
    </row>
    <row r="24" spans="1:11" x14ac:dyDescent="0.2">
      <c r="A24" s="110" t="s">
        <v>77</v>
      </c>
      <c r="C24" s="99">
        <f>'Financial Model'!B51/'Financial Model'!B8</f>
        <v>0.28911834789515484</v>
      </c>
      <c r="D24" s="99">
        <f>'Financial Model'!C51/'Financial Model'!C8</f>
        <v>0.1773049645390071</v>
      </c>
      <c r="E24" s="99">
        <f>'Financial Model'!D51/'Financial Model'!D8</f>
        <v>0.18873994638069708</v>
      </c>
      <c r="F24" s="100">
        <f>'Financial Model'!E51/'Financial Model'!E8</f>
        <v>0.22849915682967961</v>
      </c>
      <c r="G24" s="101">
        <v>0.2</v>
      </c>
      <c r="H24" s="101">
        <v>0.2</v>
      </c>
      <c r="I24" s="101">
        <v>0.2</v>
      </c>
      <c r="J24" s="101">
        <v>0.2</v>
      </c>
      <c r="K24" s="102">
        <v>0.2</v>
      </c>
    </row>
    <row r="25" spans="1:11" x14ac:dyDescent="0.2">
      <c r="A25" s="110" t="s">
        <v>16</v>
      </c>
      <c r="C25" s="99">
        <f>'Financial Model'!B53/'Financial Model'!B22</f>
        <v>0</v>
      </c>
      <c r="D25" s="99">
        <f>'Financial Model'!C53/'Financial Model'!C22</f>
        <v>3.0405405405405404E-2</v>
      </c>
      <c r="E25" s="99">
        <f>'Financial Model'!D53/'Financial Model'!D22</f>
        <v>9.3023255813953501E-2</v>
      </c>
      <c r="F25" s="100">
        <f>'Financial Model'!E53/'Financial Model'!E22</f>
        <v>3.1813361611876992E-2</v>
      </c>
      <c r="G25" s="101">
        <v>0.03</v>
      </c>
      <c r="H25" s="101">
        <v>0.03</v>
      </c>
      <c r="I25" s="101">
        <v>0.03</v>
      </c>
      <c r="J25" s="101">
        <v>0.03</v>
      </c>
      <c r="K25" s="102">
        <v>0.03</v>
      </c>
    </row>
    <row r="26" spans="1:11" x14ac:dyDescent="0.2">
      <c r="A26" s="110" t="s">
        <v>17</v>
      </c>
      <c r="C26" s="99">
        <f>'Financial Model'!B54/'Financial Model'!B6</f>
        <v>1.8488745980707395E-2</v>
      </c>
      <c r="D26" s="99">
        <f>'Financial Model'!C54/'Financial Model'!C6</f>
        <v>1.7699115044247787E-2</v>
      </c>
      <c r="E26" s="99">
        <f>'Financial Model'!D54/'Financial Model'!D6</f>
        <v>1.707726763717805E-2</v>
      </c>
      <c r="F26" s="100">
        <f>'Financial Model'!E54/'Financial Model'!E6</f>
        <v>1.477939578352532E-2</v>
      </c>
      <c r="G26" s="101">
        <v>1.4999999999999999E-2</v>
      </c>
      <c r="H26" s="101">
        <v>1.4999999999999999E-2</v>
      </c>
      <c r="I26" s="101">
        <v>1.4999999999999999E-2</v>
      </c>
      <c r="J26" s="101">
        <v>1.4999999999999999E-2</v>
      </c>
      <c r="K26" s="102">
        <v>1.4999999999999999E-2</v>
      </c>
    </row>
    <row r="27" spans="1:11" x14ac:dyDescent="0.2">
      <c r="A27" s="110" t="s">
        <v>18</v>
      </c>
      <c r="C27" s="113">
        <v>0</v>
      </c>
      <c r="D27" s="113">
        <v>0</v>
      </c>
      <c r="E27" s="113">
        <v>0</v>
      </c>
      <c r="F27" s="114">
        <v>0</v>
      </c>
      <c r="G27" s="115">
        <v>34</v>
      </c>
      <c r="H27" s="115">
        <v>34</v>
      </c>
      <c r="I27" s="115">
        <v>34</v>
      </c>
      <c r="J27" s="115">
        <v>34</v>
      </c>
      <c r="K27" s="116">
        <v>34</v>
      </c>
    </row>
    <row r="28" spans="1:11" x14ac:dyDescent="0.2">
      <c r="A28" s="110" t="s">
        <v>19</v>
      </c>
      <c r="C28" s="113">
        <v>0</v>
      </c>
      <c r="D28" s="113">
        <v>0</v>
      </c>
      <c r="E28" s="113">
        <v>0</v>
      </c>
      <c r="F28" s="114">
        <v>0</v>
      </c>
      <c r="G28" s="101">
        <v>0.14000000000000001</v>
      </c>
      <c r="H28" s="101">
        <v>0.09</v>
      </c>
      <c r="I28" s="101">
        <v>0.09</v>
      </c>
      <c r="J28" s="101">
        <v>0.09</v>
      </c>
      <c r="K28" s="102">
        <v>0.09</v>
      </c>
    </row>
    <row r="29" spans="1:11" x14ac:dyDescent="0.2">
      <c r="A29" s="110" t="s">
        <v>20</v>
      </c>
      <c r="C29" s="113">
        <v>0</v>
      </c>
      <c r="D29" s="113">
        <v>0</v>
      </c>
      <c r="E29" s="113">
        <v>0</v>
      </c>
      <c r="F29" s="114">
        <v>0</v>
      </c>
      <c r="G29" s="115">
        <v>0</v>
      </c>
      <c r="H29" s="115">
        <v>0</v>
      </c>
      <c r="I29" s="115">
        <v>0</v>
      </c>
      <c r="J29" s="115">
        <v>0</v>
      </c>
      <c r="K29" s="116">
        <v>0</v>
      </c>
    </row>
    <row r="30" spans="1:11" ht="17" thickBot="1" x14ac:dyDescent="0.25">
      <c r="A30" s="85"/>
      <c r="F30" s="85"/>
      <c r="K30" s="117"/>
    </row>
    <row r="31" spans="1:11" x14ac:dyDescent="0.2">
      <c r="A31" s="109" t="s">
        <v>21</v>
      </c>
      <c r="B31" s="90"/>
      <c r="C31" s="90"/>
      <c r="D31" s="90"/>
      <c r="E31" s="90"/>
      <c r="F31" s="97"/>
      <c r="G31" s="90"/>
      <c r="H31" s="90"/>
      <c r="I31" s="90"/>
      <c r="J31" s="90"/>
      <c r="K31" s="97"/>
    </row>
    <row r="32" spans="1:11" x14ac:dyDescent="0.2">
      <c r="A32" s="110" t="s">
        <v>22</v>
      </c>
      <c r="F32" s="118">
        <v>5.3400000000000003E-2</v>
      </c>
      <c r="G32" s="119">
        <f>F32-0.5%</f>
        <v>4.8400000000000006E-2</v>
      </c>
      <c r="H32" s="119">
        <f>G32-0.25%</f>
        <v>4.5900000000000003E-2</v>
      </c>
      <c r="I32" s="119">
        <f>H32-0.25%</f>
        <v>4.3400000000000001E-2</v>
      </c>
      <c r="J32" s="119">
        <f>I32</f>
        <v>4.3400000000000001E-2</v>
      </c>
      <c r="K32" s="118">
        <f>J32</f>
        <v>4.3400000000000001E-2</v>
      </c>
    </row>
    <row r="33" spans="1:11" x14ac:dyDescent="0.2">
      <c r="A33" s="110" t="s">
        <v>23</v>
      </c>
      <c r="F33" s="114"/>
      <c r="G33" s="120">
        <v>0.02</v>
      </c>
      <c r="H33" s="120">
        <v>0.02</v>
      </c>
      <c r="I33" s="120">
        <v>0.02</v>
      </c>
      <c r="J33" s="120">
        <v>0.02</v>
      </c>
      <c r="K33" s="121">
        <v>0.02</v>
      </c>
    </row>
    <row r="34" spans="1:11" x14ac:dyDescent="0.2">
      <c r="A34" s="110"/>
      <c r="F34" s="114"/>
      <c r="G34" s="113"/>
      <c r="H34" s="113"/>
      <c r="I34" s="113"/>
      <c r="J34" s="113"/>
      <c r="K34" s="114"/>
    </row>
    <row r="35" spans="1:11" x14ac:dyDescent="0.2">
      <c r="A35" s="110" t="s">
        <v>24</v>
      </c>
      <c r="F35" s="121">
        <v>0.01</v>
      </c>
      <c r="G35" s="120">
        <f>G32+$F$35</f>
        <v>5.8400000000000007E-2</v>
      </c>
      <c r="H35" s="120">
        <f>H32+$F$35</f>
        <v>5.5900000000000005E-2</v>
      </c>
      <c r="I35" s="120">
        <f t="shared" ref="I35:K35" si="0">I32+$F$35</f>
        <v>5.3400000000000003E-2</v>
      </c>
      <c r="J35" s="120">
        <f t="shared" si="0"/>
        <v>5.3400000000000003E-2</v>
      </c>
      <c r="K35" s="121">
        <f t="shared" si="0"/>
        <v>5.3400000000000003E-2</v>
      </c>
    </row>
    <row r="36" spans="1:11" x14ac:dyDescent="0.2">
      <c r="A36" s="110" t="s">
        <v>25</v>
      </c>
      <c r="F36" s="114"/>
      <c r="G36" s="119">
        <v>3.7499999999999999E-2</v>
      </c>
      <c r="H36" s="119">
        <v>3.7499999999999999E-2</v>
      </c>
      <c r="I36" s="119">
        <v>3.7499999999999999E-2</v>
      </c>
      <c r="J36" s="119">
        <v>3.7499999999999999E-2</v>
      </c>
      <c r="K36" s="118">
        <v>3.7499999999999999E-2</v>
      </c>
    </row>
    <row r="37" spans="1:11" x14ac:dyDescent="0.2">
      <c r="A37" s="110" t="s">
        <v>26</v>
      </c>
      <c r="F37" s="114"/>
      <c r="G37" s="119">
        <v>2.8400000000000002E-2</v>
      </c>
      <c r="H37" s="119">
        <v>2.8400000000000002E-2</v>
      </c>
      <c r="I37" s="119">
        <v>2.8400000000000002E-2</v>
      </c>
      <c r="J37" s="119">
        <v>2.8400000000000002E-2</v>
      </c>
      <c r="K37" s="118">
        <v>2.8400000000000002E-2</v>
      </c>
    </row>
    <row r="38" spans="1:11" x14ac:dyDescent="0.2">
      <c r="A38" s="110"/>
      <c r="F38" s="114"/>
      <c r="G38" s="113"/>
      <c r="H38" s="113"/>
      <c r="I38" s="113"/>
      <c r="J38" s="113"/>
      <c r="K38" s="114"/>
    </row>
    <row r="39" spans="1:11" x14ac:dyDescent="0.2">
      <c r="A39" s="110" t="s">
        <v>27</v>
      </c>
      <c r="F39" s="114"/>
      <c r="G39" s="122">
        <v>25</v>
      </c>
      <c r="H39" s="122">
        <v>25</v>
      </c>
      <c r="I39" s="122">
        <v>25</v>
      </c>
      <c r="J39" s="122">
        <v>25</v>
      </c>
      <c r="K39" s="123">
        <v>25</v>
      </c>
    </row>
    <row r="40" spans="1:11" x14ac:dyDescent="0.2">
      <c r="A40" s="110"/>
      <c r="F40" s="85"/>
      <c r="K40" s="85"/>
    </row>
    <row r="41" spans="1:11" ht="17" thickBot="1" x14ac:dyDescent="0.25">
      <c r="A41" s="124"/>
      <c r="B41" s="86"/>
      <c r="C41" s="86"/>
      <c r="D41" s="86"/>
      <c r="E41" s="86"/>
      <c r="F41" s="117"/>
      <c r="G41" s="86"/>
      <c r="H41" s="86"/>
      <c r="I41" s="86"/>
      <c r="J41" s="86"/>
      <c r="K41" s="117"/>
    </row>
  </sheetData>
  <mergeCells count="4">
    <mergeCell ref="B4:F4"/>
    <mergeCell ref="B5:F5"/>
    <mergeCell ref="G4:K4"/>
    <mergeCell ref="G5:K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279CA-D11B-A54A-A2EC-7A9543254057}">
  <dimension ref="A1:K132"/>
  <sheetViews>
    <sheetView tabSelected="1" topLeftCell="A12" zoomScaleNormal="100" workbookViewId="0">
      <pane xSplit="1" topLeftCell="B1" activePane="topRight" state="frozen"/>
      <selection pane="topRight" activeCell="A16" sqref="A16"/>
    </sheetView>
  </sheetViews>
  <sheetFormatPr baseColWidth="10" defaultRowHeight="16" x14ac:dyDescent="0.2"/>
  <cols>
    <col min="1" max="1" width="47.6640625" style="4" customWidth="1"/>
    <col min="2" max="5" width="14" style="4" customWidth="1"/>
    <col min="6" max="16384" width="10.83203125" style="4"/>
  </cols>
  <sheetData>
    <row r="1" spans="1:11" x14ac:dyDescent="0.2">
      <c r="A1" s="1" t="s">
        <v>1</v>
      </c>
      <c r="B1" s="2"/>
      <c r="C1" s="2"/>
      <c r="D1" s="2"/>
      <c r="E1" s="3"/>
      <c r="F1" s="2"/>
      <c r="G1" s="2"/>
      <c r="H1" s="2"/>
      <c r="I1" s="2"/>
      <c r="J1" s="3"/>
    </row>
    <row r="2" spans="1:11" x14ac:dyDescent="0.2">
      <c r="A2" s="5" t="s">
        <v>32</v>
      </c>
      <c r="B2" s="147" t="s">
        <v>44</v>
      </c>
      <c r="C2" s="147"/>
      <c r="D2" s="147"/>
      <c r="E2" s="148"/>
      <c r="F2" s="128" t="s">
        <v>28</v>
      </c>
      <c r="G2" s="128"/>
      <c r="H2" s="128"/>
      <c r="I2" s="128"/>
      <c r="J2" s="129"/>
    </row>
    <row r="3" spans="1:11" x14ac:dyDescent="0.2">
      <c r="A3" s="6"/>
      <c r="B3" s="128" t="s">
        <v>31</v>
      </c>
      <c r="C3" s="128"/>
      <c r="D3" s="128"/>
      <c r="E3" s="129"/>
      <c r="F3" s="128" t="s">
        <v>31</v>
      </c>
      <c r="G3" s="128"/>
      <c r="H3" s="128"/>
      <c r="I3" s="128"/>
      <c r="J3" s="129"/>
    </row>
    <row r="4" spans="1:11" ht="17" thickBot="1" x14ac:dyDescent="0.25">
      <c r="A4" s="7"/>
      <c r="B4" s="8">
        <v>2020</v>
      </c>
      <c r="C4" s="8">
        <v>2021</v>
      </c>
      <c r="D4" s="8">
        <v>2022</v>
      </c>
      <c r="E4" s="9">
        <v>2023</v>
      </c>
      <c r="F4" s="8">
        <v>2024</v>
      </c>
      <c r="G4" s="8">
        <v>2025</v>
      </c>
      <c r="H4" s="8">
        <v>2026</v>
      </c>
      <c r="I4" s="8">
        <v>2027</v>
      </c>
      <c r="J4" s="9">
        <v>2028</v>
      </c>
    </row>
    <row r="5" spans="1:11" x14ac:dyDescent="0.2">
      <c r="A5" s="10" t="s">
        <v>33</v>
      </c>
      <c r="B5" s="11"/>
      <c r="C5" s="11"/>
      <c r="D5" s="11"/>
      <c r="E5" s="12"/>
      <c r="J5" s="13"/>
    </row>
    <row r="6" spans="1:11" s="18" customFormat="1" x14ac:dyDescent="0.2">
      <c r="A6" s="14" t="s">
        <v>34</v>
      </c>
      <c r="B6" s="15">
        <v>248.8</v>
      </c>
      <c r="C6" s="15">
        <v>282.5</v>
      </c>
      <c r="D6" s="15">
        <v>357.2</v>
      </c>
      <c r="E6" s="16">
        <v>460.1</v>
      </c>
      <c r="F6" s="17">
        <f>E6*(1+'Ratios and Assumptions'!G8)</f>
        <v>552.12</v>
      </c>
      <c r="G6" s="17">
        <f>F6*(1+'Ratios and Assumptions'!H8)</f>
        <v>662.54399999999998</v>
      </c>
      <c r="H6" s="17">
        <f>G6*(1+'Ratios and Assumptions'!I8)</f>
        <v>795.05279999999993</v>
      </c>
      <c r="I6" s="17">
        <f>H6*(1+'Ratios and Assumptions'!J8)</f>
        <v>954.06335999999988</v>
      </c>
      <c r="J6" s="16">
        <f>I6*(1+'Ratios and Assumptions'!K8)</f>
        <v>1144.8760319999999</v>
      </c>
    </row>
    <row r="7" spans="1:11" s="18" customFormat="1" x14ac:dyDescent="0.2">
      <c r="A7" s="14"/>
      <c r="B7" s="15"/>
      <c r="C7" s="15"/>
      <c r="D7" s="15"/>
      <c r="E7" s="16"/>
      <c r="J7" s="19"/>
    </row>
    <row r="8" spans="1:11" s="18" customFormat="1" x14ac:dyDescent="0.2">
      <c r="A8" s="14" t="s">
        <v>35</v>
      </c>
      <c r="B8" s="15">
        <v>125.9</v>
      </c>
      <c r="C8" s="15">
        <v>141</v>
      </c>
      <c r="D8" s="15">
        <v>186.5</v>
      </c>
      <c r="E8" s="16">
        <v>237.2</v>
      </c>
      <c r="F8" s="20">
        <f>F6*'Ratios and Assumptions'!G9</f>
        <v>287.10239999999999</v>
      </c>
      <c r="G8" s="20">
        <f>G6*'Ratios and Assumptions'!H9</f>
        <v>344.52287999999999</v>
      </c>
      <c r="H8" s="20">
        <f>H6*'Ratios and Assumptions'!I9</f>
        <v>413.42745600000001</v>
      </c>
      <c r="I8" s="20">
        <f>I6*'Ratios and Assumptions'!J9</f>
        <v>496.11294719999995</v>
      </c>
      <c r="J8" s="21">
        <f>J6*'Ratios and Assumptions'!K9</f>
        <v>595.33553663999999</v>
      </c>
    </row>
    <row r="9" spans="1:11" s="18" customFormat="1" x14ac:dyDescent="0.2">
      <c r="A9" s="14"/>
      <c r="B9" s="15"/>
      <c r="C9" s="15"/>
      <c r="D9" s="15"/>
      <c r="E9" s="16"/>
      <c r="J9" s="19"/>
    </row>
    <row r="10" spans="1:11" s="18" customFormat="1" x14ac:dyDescent="0.2">
      <c r="A10" s="22" t="s">
        <v>36</v>
      </c>
      <c r="B10" s="23">
        <f t="shared" ref="B10:J10" si="0">B6-B8</f>
        <v>122.9</v>
      </c>
      <c r="C10" s="24">
        <f t="shared" si="0"/>
        <v>141.5</v>
      </c>
      <c r="D10" s="24">
        <f t="shared" si="0"/>
        <v>170.7</v>
      </c>
      <c r="E10" s="25">
        <f t="shared" si="0"/>
        <v>222.90000000000003</v>
      </c>
      <c r="F10" s="26">
        <f t="shared" si="0"/>
        <v>265.01760000000002</v>
      </c>
      <c r="G10" s="27">
        <f t="shared" si="0"/>
        <v>318.02112</v>
      </c>
      <c r="H10" s="27">
        <f t="shared" si="0"/>
        <v>381.62534399999993</v>
      </c>
      <c r="I10" s="27">
        <f t="shared" si="0"/>
        <v>457.95041279999992</v>
      </c>
      <c r="J10" s="28">
        <f t="shared" si="0"/>
        <v>549.54049535999991</v>
      </c>
    </row>
    <row r="11" spans="1:11" s="18" customFormat="1" x14ac:dyDescent="0.2">
      <c r="A11" s="14"/>
      <c r="B11" s="15"/>
      <c r="C11" s="15"/>
      <c r="D11" s="15"/>
      <c r="E11" s="16"/>
      <c r="J11" s="19"/>
    </row>
    <row r="12" spans="1:11" s="18" customFormat="1" x14ac:dyDescent="0.2">
      <c r="A12" s="14" t="s">
        <v>45</v>
      </c>
      <c r="B12" s="15">
        <v>71.400000000000006</v>
      </c>
      <c r="C12" s="15">
        <v>59.4</v>
      </c>
      <c r="D12" s="15">
        <v>69.8</v>
      </c>
      <c r="E12" s="16">
        <v>97.1</v>
      </c>
      <c r="F12" s="20">
        <f>F6*'Ratios and Assumptions'!G10</f>
        <v>115.9452</v>
      </c>
      <c r="G12" s="20">
        <f>G6*'Ratios and Assumptions'!H10</f>
        <v>139.13423999999998</v>
      </c>
      <c r="H12" s="20">
        <f>H6*'Ratios and Assumptions'!I10</f>
        <v>166.96108799999999</v>
      </c>
      <c r="I12" s="20">
        <f>I6*'Ratios and Assumptions'!J10</f>
        <v>200.35330559999997</v>
      </c>
      <c r="J12" s="21">
        <f>J6*'Ratios and Assumptions'!K10</f>
        <v>240.42396671999998</v>
      </c>
    </row>
    <row r="13" spans="1:11" s="18" customFormat="1" x14ac:dyDescent="0.2">
      <c r="A13" s="14"/>
      <c r="B13" s="15"/>
      <c r="C13" s="15"/>
      <c r="D13" s="15"/>
      <c r="E13" s="16"/>
      <c r="J13" s="19"/>
    </row>
    <row r="14" spans="1:11" s="18" customFormat="1" x14ac:dyDescent="0.2">
      <c r="A14" s="14" t="s">
        <v>37</v>
      </c>
      <c r="B14" s="15">
        <v>7.5</v>
      </c>
      <c r="C14" s="15">
        <v>7.9</v>
      </c>
      <c r="D14" s="15">
        <v>10.9</v>
      </c>
      <c r="E14" s="16">
        <v>13.3</v>
      </c>
      <c r="F14" s="20">
        <f>F42*'Ratios and Assumptions'!G11</f>
        <v>20.654712</v>
      </c>
      <c r="G14" s="20">
        <f>G42*'Ratios and Assumptions'!H11</f>
        <v>26.021318400000002</v>
      </c>
      <c r="H14" s="20">
        <f>H42*'Ratios and Assumptions'!I11</f>
        <v>32.461246080000002</v>
      </c>
      <c r="I14" s="20">
        <f>I42*'Ratios and Assumptions'!J11</f>
        <v>40.189159296</v>
      </c>
      <c r="J14" s="21">
        <f>J42*'Ratios and Assumptions'!K11</f>
        <v>49.462655155199997</v>
      </c>
      <c r="K14" s="29"/>
    </row>
    <row r="15" spans="1:11" s="18" customFormat="1" x14ac:dyDescent="0.2">
      <c r="A15" s="14"/>
      <c r="B15" s="15"/>
      <c r="C15" s="15"/>
      <c r="D15" s="15"/>
      <c r="E15" s="16"/>
      <c r="F15" s="30"/>
      <c r="G15" s="31"/>
      <c r="H15" s="31"/>
      <c r="I15" s="31"/>
      <c r="J15" s="32"/>
    </row>
    <row r="16" spans="1:11" s="18" customFormat="1" x14ac:dyDescent="0.2">
      <c r="A16" s="22" t="s">
        <v>46</v>
      </c>
      <c r="B16" s="24">
        <f t="shared" ref="B16:J16" si="1">B10-B12-B14</f>
        <v>44</v>
      </c>
      <c r="C16" s="24">
        <f t="shared" si="1"/>
        <v>74.199999999999989</v>
      </c>
      <c r="D16" s="24">
        <f t="shared" si="1"/>
        <v>89.999999999999986</v>
      </c>
      <c r="E16" s="25">
        <f t="shared" si="1"/>
        <v>112.50000000000004</v>
      </c>
      <c r="F16" s="20">
        <f t="shared" si="1"/>
        <v>128.41768800000003</v>
      </c>
      <c r="G16" s="20">
        <f t="shared" si="1"/>
        <v>152.86556160000001</v>
      </c>
      <c r="H16" s="20">
        <f t="shared" si="1"/>
        <v>182.20300991999994</v>
      </c>
      <c r="I16" s="20">
        <f t="shared" si="1"/>
        <v>217.40794790399997</v>
      </c>
      <c r="J16" s="21">
        <f t="shared" si="1"/>
        <v>259.65387348479999</v>
      </c>
      <c r="K16" s="29"/>
    </row>
    <row r="17" spans="1:11" s="18" customFormat="1" x14ac:dyDescent="0.2">
      <c r="A17" s="14"/>
      <c r="B17" s="20"/>
      <c r="C17" s="20"/>
      <c r="D17" s="20"/>
      <c r="E17" s="21"/>
      <c r="F17" s="20"/>
      <c r="G17" s="20"/>
      <c r="H17" s="20"/>
      <c r="I17" s="20"/>
      <c r="J17" s="21"/>
    </row>
    <row r="18" spans="1:11" s="131" customFormat="1" x14ac:dyDescent="0.2">
      <c r="A18" s="130" t="s">
        <v>38</v>
      </c>
      <c r="B18" s="132">
        <v>-16.8</v>
      </c>
      <c r="C18" s="132">
        <v>-15</v>
      </c>
      <c r="D18" s="132">
        <v>-21.2</v>
      </c>
      <c r="E18" s="133">
        <v>-18.2</v>
      </c>
      <c r="F18" s="132">
        <f ca="1">-F130</f>
        <v>-22.180250000000001</v>
      </c>
      <c r="G18" s="132">
        <f ca="1">-G130</f>
        <v>-20.293750000000003</v>
      </c>
      <c r="H18" s="132">
        <f ca="1">-H130</f>
        <v>-19.356250000000003</v>
      </c>
      <c r="I18" s="132">
        <f ca="1">-I130</f>
        <v>-18.418750000000003</v>
      </c>
      <c r="J18" s="133">
        <f ca="1">-J130</f>
        <v>-17.481250000000003</v>
      </c>
    </row>
    <row r="19" spans="1:11" s="18" customFormat="1" x14ac:dyDescent="0.2">
      <c r="A19" s="14" t="s">
        <v>48</v>
      </c>
      <c r="B19" s="20">
        <v>0</v>
      </c>
      <c r="C19" s="20">
        <v>0</v>
      </c>
      <c r="D19" s="20">
        <v>0</v>
      </c>
      <c r="E19" s="21">
        <v>0</v>
      </c>
      <c r="F19" s="20">
        <f ca="1">F132</f>
        <v>0.94523889986420573</v>
      </c>
      <c r="G19" s="20">
        <f t="shared" ref="G19:J19" ca="1" si="2">G132</f>
        <v>5.6193357327238617E-2</v>
      </c>
      <c r="H19" s="20">
        <f t="shared" ca="1" si="2"/>
        <v>7.5557394139043554E-2</v>
      </c>
      <c r="I19" s="20">
        <f t="shared" ca="1" si="2"/>
        <v>0.270743402890186</v>
      </c>
      <c r="J19" s="21">
        <f t="shared" ca="1" si="2"/>
        <v>0.67678665669272076</v>
      </c>
    </row>
    <row r="20" spans="1:11" s="18" customFormat="1" x14ac:dyDescent="0.2">
      <c r="A20" s="22" t="s">
        <v>50</v>
      </c>
      <c r="B20" s="134">
        <f>B18+B19</f>
        <v>-16.8</v>
      </c>
      <c r="C20" s="135">
        <f t="shared" ref="C20:E20" si="3">C18+C19</f>
        <v>-15</v>
      </c>
      <c r="D20" s="135">
        <f t="shared" si="3"/>
        <v>-21.2</v>
      </c>
      <c r="E20" s="136">
        <f t="shared" si="3"/>
        <v>-18.2</v>
      </c>
      <c r="F20" s="137">
        <f ca="1">F18+F19</f>
        <v>-21.235011100135797</v>
      </c>
      <c r="G20" s="135">
        <f t="shared" ref="G20:J20" ca="1" si="4">G18+G19</f>
        <v>-20.237556642672764</v>
      </c>
      <c r="H20" s="135">
        <f t="shared" ca="1" si="4"/>
        <v>-19.28069260586096</v>
      </c>
      <c r="I20" s="135">
        <f t="shared" ca="1" si="4"/>
        <v>-18.148006597109816</v>
      </c>
      <c r="J20" s="136">
        <f t="shared" ca="1" si="4"/>
        <v>-16.804463343307283</v>
      </c>
    </row>
    <row r="21" spans="1:11" s="18" customFormat="1" x14ac:dyDescent="0.2">
      <c r="A21" s="14"/>
      <c r="B21" s="20"/>
      <c r="C21" s="20"/>
      <c r="D21" s="20"/>
      <c r="E21" s="21"/>
      <c r="F21" s="20"/>
      <c r="G21" s="20"/>
      <c r="H21" s="20"/>
      <c r="I21" s="20"/>
      <c r="J21" s="21"/>
    </row>
    <row r="22" spans="1:11" s="18" customFormat="1" x14ac:dyDescent="0.2">
      <c r="A22" s="14" t="s">
        <v>39</v>
      </c>
      <c r="B22" s="20">
        <v>27.2</v>
      </c>
      <c r="C22" s="20">
        <v>59.2</v>
      </c>
      <c r="D22" s="20">
        <v>68.8</v>
      </c>
      <c r="E22" s="21">
        <v>94.3</v>
      </c>
      <c r="F22" s="20">
        <f ca="1">F16+F20</f>
        <v>107.18267689986423</v>
      </c>
      <c r="G22" s="20">
        <f ca="1">G16+G20</f>
        <v>132.62800495732725</v>
      </c>
      <c r="H22" s="20">
        <f ca="1">H16+H20</f>
        <v>162.92231731413898</v>
      </c>
      <c r="I22" s="20">
        <f ca="1">I16+I20</f>
        <v>199.25994130689014</v>
      </c>
      <c r="J22" s="21">
        <f ca="1">J16+J20</f>
        <v>242.84941014149271</v>
      </c>
    </row>
    <row r="23" spans="1:11" s="18" customFormat="1" x14ac:dyDescent="0.2">
      <c r="A23" s="14" t="s">
        <v>47</v>
      </c>
      <c r="B23" s="20">
        <v>3.6</v>
      </c>
      <c r="C23" s="20">
        <v>16.3</v>
      </c>
      <c r="D23" s="20">
        <v>16.399999999999999</v>
      </c>
      <c r="E23" s="21">
        <v>24.2</v>
      </c>
      <c r="F23" s="20">
        <f ca="1">F22*'Ratios and Assumptions'!G12</f>
        <v>27.867495993964702</v>
      </c>
      <c r="G23" s="20">
        <f ca="1">G22*'Ratios and Assumptions'!H12</f>
        <v>34.483281288905083</v>
      </c>
      <c r="H23" s="20">
        <f ca="1">H22*'Ratios and Assumptions'!I12</f>
        <v>42.359802501676135</v>
      </c>
      <c r="I23" s="20">
        <f ca="1">I22*'Ratios and Assumptions'!J12</f>
        <v>51.807584739791437</v>
      </c>
      <c r="J23" s="21">
        <f ca="1">J22*'Ratios and Assumptions'!K12</f>
        <v>63.140846636788105</v>
      </c>
      <c r="K23" s="33"/>
    </row>
    <row r="24" spans="1:11" s="18" customFormat="1" x14ac:dyDescent="0.2">
      <c r="A24" s="34" t="s">
        <v>40</v>
      </c>
      <c r="B24" s="35">
        <f t="shared" ref="B24:J24" si="5">B22-B23</f>
        <v>23.599999999999998</v>
      </c>
      <c r="C24" s="35">
        <f t="shared" si="5"/>
        <v>42.900000000000006</v>
      </c>
      <c r="D24" s="35">
        <f t="shared" si="5"/>
        <v>52.4</v>
      </c>
      <c r="E24" s="36">
        <f t="shared" si="5"/>
        <v>70.099999999999994</v>
      </c>
      <c r="F24" s="35">
        <f t="shared" ca="1" si="5"/>
        <v>79.315180905899524</v>
      </c>
      <c r="G24" s="35">
        <f t="shared" ca="1" si="5"/>
        <v>98.144723668422159</v>
      </c>
      <c r="H24" s="35">
        <f t="shared" ca="1" si="5"/>
        <v>120.56251481246284</v>
      </c>
      <c r="I24" s="35">
        <f t="shared" ca="1" si="5"/>
        <v>147.45235656709872</v>
      </c>
      <c r="J24" s="36">
        <f t="shared" ca="1" si="5"/>
        <v>179.70856350470461</v>
      </c>
    </row>
    <row r="25" spans="1:11" x14ac:dyDescent="0.2">
      <c r="A25" s="5"/>
      <c r="B25" s="37"/>
      <c r="C25" s="37"/>
      <c r="D25" s="37"/>
      <c r="E25" s="38"/>
      <c r="F25" s="37"/>
      <c r="G25" s="37"/>
      <c r="H25" s="37"/>
      <c r="I25" s="37"/>
      <c r="J25" s="38"/>
    </row>
    <row r="26" spans="1:11" x14ac:dyDescent="0.2">
      <c r="A26" s="5" t="s">
        <v>60</v>
      </c>
      <c r="B26" s="37"/>
      <c r="C26" s="37"/>
      <c r="D26" s="37"/>
      <c r="E26" s="38"/>
      <c r="F26" s="37"/>
      <c r="G26" s="37"/>
      <c r="H26" s="37"/>
      <c r="I26" s="37"/>
      <c r="J26" s="38"/>
    </row>
    <row r="27" spans="1:11" x14ac:dyDescent="0.2">
      <c r="A27" s="39" t="s">
        <v>41</v>
      </c>
      <c r="B27" s="20">
        <v>0.79</v>
      </c>
      <c r="C27" s="20">
        <v>1.43</v>
      </c>
      <c r="D27" s="20">
        <v>1.77</v>
      </c>
      <c r="E27" s="21">
        <v>2.36</v>
      </c>
      <c r="F27" s="20">
        <f ca="1">F24/F28</f>
        <v>2.6526816356488134</v>
      </c>
      <c r="G27" s="20">
        <f ca="1">G24/G28</f>
        <v>3.2824322297131157</v>
      </c>
      <c r="H27" s="20">
        <f ca="1">H24/H28</f>
        <v>4.0321911308515999</v>
      </c>
      <c r="I27" s="20">
        <f ca="1">I24/I28</f>
        <v>4.9315169420434355</v>
      </c>
      <c r="J27" s="21">
        <f ca="1">J24/J28</f>
        <v>6.0103198496556729</v>
      </c>
    </row>
    <row r="28" spans="1:11" x14ac:dyDescent="0.2">
      <c r="A28" s="39" t="s">
        <v>119</v>
      </c>
      <c r="B28" s="20">
        <v>29.6</v>
      </c>
      <c r="C28" s="20">
        <v>29.8</v>
      </c>
      <c r="D28" s="20">
        <v>29.9</v>
      </c>
      <c r="E28" s="21">
        <v>29.9</v>
      </c>
      <c r="F28" s="20">
        <f>E28</f>
        <v>29.9</v>
      </c>
      <c r="G28" s="20">
        <f t="shared" ref="G28:J28" si="6">F28</f>
        <v>29.9</v>
      </c>
      <c r="H28" s="20">
        <f t="shared" si="6"/>
        <v>29.9</v>
      </c>
      <c r="I28" s="20">
        <f t="shared" si="6"/>
        <v>29.9</v>
      </c>
      <c r="J28" s="21">
        <f t="shared" si="6"/>
        <v>29.9</v>
      </c>
    </row>
    <row r="29" spans="1:11" x14ac:dyDescent="0.2">
      <c r="A29" s="6"/>
      <c r="B29" s="20"/>
      <c r="C29" s="20"/>
      <c r="D29" s="20"/>
      <c r="E29" s="21"/>
      <c r="F29" s="20"/>
      <c r="G29" s="20"/>
      <c r="H29" s="20"/>
      <c r="I29" s="20"/>
      <c r="J29" s="21"/>
    </row>
    <row r="30" spans="1:11" x14ac:dyDescent="0.2">
      <c r="A30" s="39" t="s">
        <v>42</v>
      </c>
      <c r="B30" s="20">
        <v>15.5</v>
      </c>
      <c r="C30" s="20">
        <v>19.899999999999999</v>
      </c>
      <c r="D30" s="20">
        <v>21.5</v>
      </c>
      <c r="E30" s="21">
        <v>24.9</v>
      </c>
      <c r="F30" s="20">
        <f ca="1">F24*'Ratios and Assumptions'!G14</f>
        <v>19.828795226474881</v>
      </c>
      <c r="G30" s="20">
        <f ca="1">G24*'Ratios and Assumptions'!H14</f>
        <v>14.721708550263322</v>
      </c>
      <c r="H30" s="20">
        <f ca="1">H24*'Ratios and Assumptions'!I14</f>
        <v>18.084377221869424</v>
      </c>
      <c r="I30" s="20">
        <f ca="1">I24*'Ratios and Assumptions'!J14</f>
        <v>22.117853485064806</v>
      </c>
      <c r="J30" s="21">
        <f ca="1">J24*'Ratios and Assumptions'!K14</f>
        <v>26.956284525705691</v>
      </c>
    </row>
    <row r="31" spans="1:11" x14ac:dyDescent="0.2">
      <c r="A31" s="39" t="s">
        <v>43</v>
      </c>
      <c r="B31" s="20">
        <v>0.53</v>
      </c>
      <c r="C31" s="20">
        <v>0.67</v>
      </c>
      <c r="D31" s="20">
        <v>0.72</v>
      </c>
      <c r="E31" s="21">
        <v>0.83</v>
      </c>
      <c r="F31" s="20">
        <f ca="1">F30/F28</f>
        <v>0.66317040891220336</v>
      </c>
      <c r="G31" s="20">
        <f t="shared" ref="G31:J31" ca="1" si="7">G30/G28</f>
        <v>0.49236483445696733</v>
      </c>
      <c r="H31" s="20">
        <f t="shared" ca="1" si="7"/>
        <v>0.60482866962773996</v>
      </c>
      <c r="I31" s="20">
        <f t="shared" ca="1" si="7"/>
        <v>0.7397275413065153</v>
      </c>
      <c r="J31" s="21">
        <f t="shared" ca="1" si="7"/>
        <v>0.90154797744835091</v>
      </c>
    </row>
    <row r="32" spans="1:11" x14ac:dyDescent="0.2">
      <c r="A32" s="40"/>
      <c r="B32" s="31"/>
      <c r="C32" s="31"/>
      <c r="D32" s="31"/>
      <c r="E32" s="32"/>
      <c r="F32" s="30"/>
      <c r="G32" s="31"/>
      <c r="H32" s="31"/>
      <c r="I32" s="31"/>
      <c r="J32" s="32"/>
    </row>
    <row r="33" spans="1:10" x14ac:dyDescent="0.2">
      <c r="A33" s="10" t="s">
        <v>49</v>
      </c>
      <c r="B33" s="37"/>
      <c r="C33" s="37"/>
      <c r="D33" s="37"/>
      <c r="E33" s="38"/>
      <c r="F33" s="37"/>
      <c r="G33" s="37"/>
      <c r="H33" s="37"/>
      <c r="I33" s="37"/>
      <c r="J33" s="38"/>
    </row>
    <row r="34" spans="1:10" x14ac:dyDescent="0.2">
      <c r="A34" s="10" t="s">
        <v>51</v>
      </c>
      <c r="B34" s="37"/>
      <c r="C34" s="37"/>
      <c r="D34" s="37"/>
      <c r="E34" s="38"/>
      <c r="F34" s="37"/>
      <c r="G34" s="37"/>
      <c r="H34" s="37"/>
      <c r="I34" s="37"/>
      <c r="J34" s="38"/>
    </row>
    <row r="35" spans="1:10" x14ac:dyDescent="0.2">
      <c r="A35" s="6" t="s">
        <v>52</v>
      </c>
      <c r="B35" s="15">
        <v>40.799999999999997</v>
      </c>
      <c r="C35" s="17">
        <v>48.6</v>
      </c>
      <c r="D35" s="17">
        <v>184.5</v>
      </c>
      <c r="E35" s="16">
        <v>90.2</v>
      </c>
      <c r="F35" s="17">
        <f ca="1">F104</f>
        <v>4.3238899864205678</v>
      </c>
      <c r="G35" s="17">
        <f t="shared" ref="G35:J35" ca="1" si="8">G104</f>
        <v>1.2954457463032938</v>
      </c>
      <c r="H35" s="17">
        <f t="shared" ca="1" si="8"/>
        <v>6.2602936676010614</v>
      </c>
      <c r="I35" s="17">
        <f t="shared" ca="1" si="8"/>
        <v>20.814046621417539</v>
      </c>
      <c r="J35" s="16">
        <f t="shared" ca="1" si="8"/>
        <v>46.864619047854546</v>
      </c>
    </row>
    <row r="36" spans="1:10" x14ac:dyDescent="0.2">
      <c r="A36" s="6" t="s">
        <v>53</v>
      </c>
      <c r="B36" s="15">
        <v>8.5</v>
      </c>
      <c r="C36" s="17">
        <v>8.1</v>
      </c>
      <c r="D36" s="17">
        <v>9.5</v>
      </c>
      <c r="E36" s="16">
        <v>12.4</v>
      </c>
      <c r="F36" s="17">
        <f>F6/360*'Ratios and Assumptions'!G17</f>
        <v>15.336666666666668</v>
      </c>
      <c r="G36" s="17">
        <f>G6/360*'Ratios and Assumptions'!H17</f>
        <v>18.404</v>
      </c>
      <c r="H36" s="17">
        <f>H6/360*'Ratios and Assumptions'!I17</f>
        <v>22.084799999999998</v>
      </c>
      <c r="I36" s="17">
        <f>I6/360*'Ratios and Assumptions'!J17</f>
        <v>26.501759999999997</v>
      </c>
      <c r="J36" s="16">
        <f>J6/360*'Ratios and Assumptions'!K17</f>
        <v>31.802111999999994</v>
      </c>
    </row>
    <row r="37" spans="1:10" x14ac:dyDescent="0.2">
      <c r="A37" s="6" t="s">
        <v>54</v>
      </c>
      <c r="B37" s="15">
        <v>0.4</v>
      </c>
      <c r="C37" s="17">
        <v>0.5</v>
      </c>
      <c r="D37" s="17">
        <v>0.6</v>
      </c>
      <c r="E37" s="16">
        <v>0.6</v>
      </c>
      <c r="F37" s="17">
        <f>F8/360*'Ratios and Assumptions'!G18</f>
        <v>2.3925199999999998</v>
      </c>
      <c r="G37" s="17">
        <f>G8/360*'Ratios and Assumptions'!H18</f>
        <v>2.8710239999999998</v>
      </c>
      <c r="H37" s="17">
        <f>H8/360*'Ratios and Assumptions'!I18</f>
        <v>3.4452287999999998</v>
      </c>
      <c r="I37" s="17">
        <f>I8/360*'Ratios and Assumptions'!J18</f>
        <v>4.1342745599999997</v>
      </c>
      <c r="J37" s="16">
        <f>J8/360*'Ratios and Assumptions'!K18</f>
        <v>4.9611294719999997</v>
      </c>
    </row>
    <row r="38" spans="1:10" x14ac:dyDescent="0.2">
      <c r="A38" s="6" t="s">
        <v>55</v>
      </c>
      <c r="B38" s="15">
        <v>1.5</v>
      </c>
      <c r="C38" s="17">
        <v>2.5</v>
      </c>
      <c r="D38" s="17">
        <v>2.8</v>
      </c>
      <c r="E38" s="16">
        <v>3.6</v>
      </c>
      <c r="F38" s="17">
        <f>F8*'Ratios and Assumptions'!G19</f>
        <v>5.7420479999999996</v>
      </c>
      <c r="G38" s="17">
        <f>G8*'Ratios and Assumptions'!H19</f>
        <v>6.8904575999999995</v>
      </c>
      <c r="H38" s="17">
        <f>H8*'Ratios and Assumptions'!I19</f>
        <v>8.2685491199999994</v>
      </c>
      <c r="I38" s="17">
        <f>I8*'Ratios and Assumptions'!J19</f>
        <v>9.9222589439999993</v>
      </c>
      <c r="J38" s="16">
        <f>J8*'Ratios and Assumptions'!K19</f>
        <v>11.906710732800001</v>
      </c>
    </row>
    <row r="39" spans="1:10" x14ac:dyDescent="0.2">
      <c r="A39" s="40" t="s">
        <v>56</v>
      </c>
      <c r="B39" s="41">
        <v>21.3</v>
      </c>
      <c r="C39" s="41">
        <v>10.4</v>
      </c>
      <c r="D39" s="41">
        <v>29.6</v>
      </c>
      <c r="E39" s="42">
        <v>37.6</v>
      </c>
      <c r="F39" s="43">
        <f>F6*'Ratios and Assumptions'!G20</f>
        <v>49.690799999999996</v>
      </c>
      <c r="G39" s="41">
        <f>G6*'Ratios and Assumptions'!H20</f>
        <v>59.628959999999999</v>
      </c>
      <c r="H39" s="41">
        <f>H6*'Ratios and Assumptions'!I20</f>
        <v>71.554751999999993</v>
      </c>
      <c r="I39" s="41">
        <f>I6*'Ratios and Assumptions'!J20</f>
        <v>85.865702399999989</v>
      </c>
      <c r="J39" s="42">
        <f>J6*'Ratios and Assumptions'!K20</f>
        <v>103.03884287999999</v>
      </c>
    </row>
    <row r="40" spans="1:10" x14ac:dyDescent="0.2">
      <c r="A40" s="6" t="s">
        <v>57</v>
      </c>
      <c r="B40" s="15">
        <f>SUM(B35:B39)</f>
        <v>72.5</v>
      </c>
      <c r="C40" s="17">
        <f t="shared" ref="C40:E40" si="9">SUM(C35:C39)</f>
        <v>70.100000000000009</v>
      </c>
      <c r="D40" s="17">
        <f>SUM(D35:D39)</f>
        <v>227</v>
      </c>
      <c r="E40" s="25">
        <f t="shared" si="9"/>
        <v>144.4</v>
      </c>
      <c r="F40" s="15">
        <f ca="1">SUM(F35:F39)</f>
        <v>77.485924653087238</v>
      </c>
      <c r="G40" s="15">
        <f t="shared" ref="G40:J40" ca="1" si="10">SUM(G35:G39)</f>
        <v>89.0898873463033</v>
      </c>
      <c r="H40" s="15">
        <f t="shared" ca="1" si="10"/>
        <v>111.61362358760105</v>
      </c>
      <c r="I40" s="15">
        <f t="shared" ca="1" si="10"/>
        <v>147.23804252541754</v>
      </c>
      <c r="J40" s="16">
        <f t="shared" ca="1" si="10"/>
        <v>198.57341413265453</v>
      </c>
    </row>
    <row r="41" spans="1:10" x14ac:dyDescent="0.2">
      <c r="A41" s="6"/>
      <c r="B41" s="37"/>
      <c r="C41" s="37"/>
      <c r="D41" s="37"/>
      <c r="E41" s="38"/>
      <c r="J41" s="44"/>
    </row>
    <row r="42" spans="1:10" x14ac:dyDescent="0.2">
      <c r="A42" s="6" t="s">
        <v>58</v>
      </c>
      <c r="B42" s="20">
        <v>51.2</v>
      </c>
      <c r="C42" s="20">
        <v>92.4</v>
      </c>
      <c r="D42" s="20">
        <v>113.9</v>
      </c>
      <c r="E42" s="21">
        <v>152.19999999999999</v>
      </c>
      <c r="F42" s="20">
        <f>E42-F87-F89</f>
        <v>229.49680000000001</v>
      </c>
      <c r="G42" s="20">
        <f t="shared" ref="G42:J42" si="11">F42-G87-G89</f>
        <v>289.12576000000001</v>
      </c>
      <c r="H42" s="20">
        <f t="shared" si="11"/>
        <v>360.68051200000002</v>
      </c>
      <c r="I42" s="20">
        <f t="shared" si="11"/>
        <v>446.5462144</v>
      </c>
      <c r="J42" s="21">
        <f t="shared" si="11"/>
        <v>549.58505728</v>
      </c>
    </row>
    <row r="43" spans="1:10" x14ac:dyDescent="0.2">
      <c r="A43" s="6" t="s">
        <v>63</v>
      </c>
      <c r="B43" s="138">
        <v>-17.600000000000001</v>
      </c>
      <c r="C43" s="138">
        <v>-22.8</v>
      </c>
      <c r="D43" s="138">
        <v>-31.5</v>
      </c>
      <c r="E43" s="139">
        <v>-41.8</v>
      </c>
      <c r="F43" s="138">
        <f>E43-F14</f>
        <v>-62.454712000000001</v>
      </c>
      <c r="G43" s="138">
        <f>F43-G14</f>
        <v>-88.476030399999999</v>
      </c>
      <c r="H43" s="138">
        <f>G43-H14</f>
        <v>-120.93727648000001</v>
      </c>
      <c r="I43" s="138">
        <f>H43-I14</f>
        <v>-161.12643577599999</v>
      </c>
      <c r="J43" s="139">
        <f>I43-J14</f>
        <v>-210.58909093119999</v>
      </c>
    </row>
    <row r="44" spans="1:10" x14ac:dyDescent="0.2">
      <c r="A44" s="45" t="s">
        <v>59</v>
      </c>
      <c r="B44" s="27">
        <f>B42+B43</f>
        <v>33.6</v>
      </c>
      <c r="C44" s="27">
        <f t="shared" ref="C44:E44" si="12">C42+C43</f>
        <v>69.600000000000009</v>
      </c>
      <c r="D44" s="27">
        <f t="shared" si="12"/>
        <v>82.4</v>
      </c>
      <c r="E44" s="28">
        <f t="shared" si="12"/>
        <v>110.39999999999999</v>
      </c>
      <c r="F44" s="27">
        <f>F42+F43</f>
        <v>167.04208800000001</v>
      </c>
      <c r="G44" s="27">
        <f t="shared" ref="G44:J44" si="13">G42+G43</f>
        <v>200.6497296</v>
      </c>
      <c r="H44" s="27">
        <f t="shared" si="13"/>
        <v>239.74323552000001</v>
      </c>
      <c r="I44" s="27">
        <f t="shared" si="13"/>
        <v>285.419778624</v>
      </c>
      <c r="J44" s="28">
        <f t="shared" si="13"/>
        <v>338.99596634880004</v>
      </c>
    </row>
    <row r="45" spans="1:10" x14ac:dyDescent="0.2">
      <c r="A45" s="6"/>
      <c r="B45" s="20"/>
      <c r="C45" s="20"/>
      <c r="D45" s="20"/>
      <c r="E45" s="21"/>
      <c r="F45" s="20"/>
      <c r="G45" s="20"/>
      <c r="H45" s="20"/>
      <c r="I45" s="20"/>
      <c r="J45" s="21"/>
    </row>
    <row r="46" spans="1:10" x14ac:dyDescent="0.2">
      <c r="A46" s="6" t="s">
        <v>61</v>
      </c>
      <c r="B46" s="31">
        <v>104.7</v>
      </c>
      <c r="C46" s="31">
        <v>109.5</v>
      </c>
      <c r="D46" s="31">
        <v>115</v>
      </c>
      <c r="E46" s="32">
        <v>123.1</v>
      </c>
      <c r="F46" s="20">
        <f>F6*'Ratios and Assumptions'!G21</f>
        <v>143.55119999999999</v>
      </c>
      <c r="G46" s="20">
        <f>G6*'Ratios and Assumptions'!H21</f>
        <v>172.26143999999999</v>
      </c>
      <c r="H46" s="20">
        <f>H6*'Ratios and Assumptions'!I21</f>
        <v>206.713728</v>
      </c>
      <c r="I46" s="20">
        <f>I6*'Ratios and Assumptions'!J21</f>
        <v>248.05647359999998</v>
      </c>
      <c r="J46" s="32">
        <f>J6*'Ratios and Assumptions'!K21</f>
        <v>297.66776831999999</v>
      </c>
    </row>
    <row r="47" spans="1:10" s="48" customFormat="1" x14ac:dyDescent="0.2">
      <c r="A47" s="46" t="s">
        <v>64</v>
      </c>
      <c r="B47" s="31">
        <f>B40+B44+B46</f>
        <v>210.8</v>
      </c>
      <c r="C47" s="31">
        <f t="shared" ref="C47:E47" si="14">C40+C44+C46</f>
        <v>249.20000000000002</v>
      </c>
      <c r="D47" s="31">
        <f>D40+D44+D46</f>
        <v>424.4</v>
      </c>
      <c r="E47" s="32">
        <f t="shared" si="14"/>
        <v>377.9</v>
      </c>
      <c r="F47" s="47">
        <f ca="1">F40+F44+F46</f>
        <v>388.07921265308721</v>
      </c>
      <c r="G47" s="35">
        <f t="shared" ref="G47:J47" ca="1" si="15">G40+G44+G46</f>
        <v>462.00105694630327</v>
      </c>
      <c r="H47" s="35">
        <f t="shared" ca="1" si="15"/>
        <v>558.07058710760111</v>
      </c>
      <c r="I47" s="35">
        <f t="shared" ca="1" si="15"/>
        <v>680.71429474941749</v>
      </c>
      <c r="J47" s="36">
        <f t="shared" ca="1" si="15"/>
        <v>835.23714880145462</v>
      </c>
    </row>
    <row r="48" spans="1:10" x14ac:dyDescent="0.2">
      <c r="A48" s="6"/>
      <c r="B48" s="37"/>
      <c r="C48" s="37"/>
      <c r="D48" s="37"/>
      <c r="E48" s="38"/>
      <c r="J48" s="44"/>
    </row>
    <row r="49" spans="1:10" x14ac:dyDescent="0.2">
      <c r="A49" s="10" t="s">
        <v>62</v>
      </c>
      <c r="B49" s="37"/>
      <c r="C49" s="37"/>
      <c r="D49" s="37"/>
      <c r="E49" s="38"/>
      <c r="J49" s="44"/>
    </row>
    <row r="50" spans="1:10" x14ac:dyDescent="0.2">
      <c r="A50" s="6" t="s">
        <v>65</v>
      </c>
      <c r="B50" s="20">
        <v>3.7</v>
      </c>
      <c r="C50" s="20">
        <v>5.4</v>
      </c>
      <c r="D50" s="20">
        <v>5.2</v>
      </c>
      <c r="E50" s="21">
        <v>4.7</v>
      </c>
      <c r="F50" s="20">
        <f>F8*'Ratios and Assumptions'!G23/360</f>
        <v>7.9750666666666667</v>
      </c>
      <c r="G50" s="20">
        <f>G8*'Ratios and Assumptions'!H23/360</f>
        <v>9.570079999999999</v>
      </c>
      <c r="H50" s="20">
        <f>H8*'Ratios and Assumptions'!I23/360</f>
        <v>11.484095999999999</v>
      </c>
      <c r="I50" s="20">
        <f>I8*'Ratios and Assumptions'!J23/360</f>
        <v>13.780915199999999</v>
      </c>
      <c r="J50" s="21">
        <f>J8*'Ratios and Assumptions'!K23/360</f>
        <v>16.537098239999999</v>
      </c>
    </row>
    <row r="51" spans="1:10" x14ac:dyDescent="0.2">
      <c r="A51" s="6" t="s">
        <v>66</v>
      </c>
      <c r="B51" s="20">
        <v>36.4</v>
      </c>
      <c r="C51" s="20">
        <v>25</v>
      </c>
      <c r="D51" s="20">
        <v>35.200000000000003</v>
      </c>
      <c r="E51" s="21">
        <v>54.2</v>
      </c>
      <c r="F51" s="20">
        <f>F8*'Ratios and Assumptions'!G24</f>
        <v>57.420479999999998</v>
      </c>
      <c r="G51" s="20">
        <f>G8*'Ratios and Assumptions'!H24</f>
        <v>68.904576000000006</v>
      </c>
      <c r="H51" s="20">
        <f>H8*'Ratios and Assumptions'!I24</f>
        <v>82.685491200000001</v>
      </c>
      <c r="I51" s="20">
        <f>I8*'Ratios and Assumptions'!J24</f>
        <v>99.222589439999993</v>
      </c>
      <c r="J51" s="21">
        <f>J8*'Ratios and Assumptions'!K24</f>
        <v>119.06710732800001</v>
      </c>
    </row>
    <row r="52" spans="1:10" x14ac:dyDescent="0.2">
      <c r="A52" s="6" t="s">
        <v>67</v>
      </c>
      <c r="B52" s="20">
        <v>6</v>
      </c>
      <c r="C52" s="20">
        <v>2.4</v>
      </c>
      <c r="D52" s="20">
        <v>9.6</v>
      </c>
      <c r="E52" s="21">
        <v>32.5</v>
      </c>
      <c r="F52" s="20">
        <f ca="1">F112</f>
        <v>0</v>
      </c>
      <c r="G52" s="20">
        <f t="shared" ref="G52:J52" ca="1" si="16">G112</f>
        <v>0</v>
      </c>
      <c r="H52" s="20">
        <f t="shared" ca="1" si="16"/>
        <v>0</v>
      </c>
      <c r="I52" s="20">
        <f t="shared" ca="1" si="16"/>
        <v>0</v>
      </c>
      <c r="J52" s="21">
        <f t="shared" ca="1" si="16"/>
        <v>0</v>
      </c>
    </row>
    <row r="53" spans="1:10" x14ac:dyDescent="0.2">
      <c r="A53" s="6" t="s">
        <v>68</v>
      </c>
      <c r="B53" s="20">
        <v>0</v>
      </c>
      <c r="C53" s="20">
        <v>1.8</v>
      </c>
      <c r="D53" s="20">
        <v>6.4</v>
      </c>
      <c r="E53" s="21">
        <v>3</v>
      </c>
      <c r="F53" s="20">
        <f ca="1">F22*'Ratios and Assumptions'!G25</f>
        <v>3.2154803069959268</v>
      </c>
      <c r="G53" s="20">
        <f ca="1">G22*'Ratios and Assumptions'!H25</f>
        <v>3.9788401487198173</v>
      </c>
      <c r="H53" s="20">
        <f ca="1">H22*'Ratios and Assumptions'!I25</f>
        <v>4.8876695194241693</v>
      </c>
      <c r="I53" s="20">
        <f ca="1">I22*'Ratios and Assumptions'!J25</f>
        <v>5.9777982392067042</v>
      </c>
      <c r="J53" s="21">
        <f ca="1">J22*'Ratios and Assumptions'!K25</f>
        <v>7.2854823042447814</v>
      </c>
    </row>
    <row r="54" spans="1:10" x14ac:dyDescent="0.2">
      <c r="A54" s="6" t="s">
        <v>69</v>
      </c>
      <c r="B54" s="31">
        <v>4.5999999999999996</v>
      </c>
      <c r="C54" s="31">
        <v>5</v>
      </c>
      <c r="D54" s="31">
        <v>6.1</v>
      </c>
      <c r="E54" s="32">
        <v>6.8</v>
      </c>
      <c r="F54" s="20">
        <f>F6*'Ratios and Assumptions'!G26</f>
        <v>8.2818000000000005</v>
      </c>
      <c r="G54" s="20">
        <f>G6*'Ratios and Assumptions'!H26</f>
        <v>9.9381599999999999</v>
      </c>
      <c r="H54" s="20">
        <f>H6*'Ratios and Assumptions'!I26</f>
        <v>11.925791999999998</v>
      </c>
      <c r="I54" s="20">
        <f>I6*'Ratios and Assumptions'!J26</f>
        <v>14.310950399999998</v>
      </c>
      <c r="J54" s="21">
        <f>J6*'Ratios and Assumptions'!K26</f>
        <v>17.173140479999997</v>
      </c>
    </row>
    <row r="55" spans="1:10" x14ac:dyDescent="0.2">
      <c r="A55" s="49" t="s">
        <v>116</v>
      </c>
      <c r="B55" s="35">
        <f>SUM(B50:B54)</f>
        <v>50.7</v>
      </c>
      <c r="C55" s="35">
        <f t="shared" ref="C55:E55" si="17">SUM(C50:C54)</f>
        <v>39.599999999999994</v>
      </c>
      <c r="D55" s="35">
        <f t="shared" si="17"/>
        <v>62.500000000000007</v>
      </c>
      <c r="E55" s="35">
        <f t="shared" si="17"/>
        <v>101.2</v>
      </c>
      <c r="F55" s="47">
        <f ca="1">SUM(F50:F54)</f>
        <v>76.892826973662594</v>
      </c>
      <c r="G55" s="35">
        <f t="shared" ref="G55:J55" ca="1" si="18">SUM(G50:G54)</f>
        <v>92.391656148719818</v>
      </c>
      <c r="H55" s="35">
        <f t="shared" ca="1" si="18"/>
        <v>110.98304871942416</v>
      </c>
      <c r="I55" s="35">
        <f t="shared" ca="1" si="18"/>
        <v>133.2922532792067</v>
      </c>
      <c r="J55" s="36">
        <f t="shared" ca="1" si="18"/>
        <v>160.06282835224479</v>
      </c>
    </row>
    <row r="56" spans="1:10" x14ac:dyDescent="0.2">
      <c r="A56" s="6"/>
      <c r="B56" s="20"/>
      <c r="C56" s="20"/>
      <c r="D56" s="20"/>
      <c r="E56" s="21"/>
      <c r="F56" s="18"/>
      <c r="G56" s="18"/>
      <c r="H56" s="18"/>
      <c r="I56" s="18"/>
      <c r="J56" s="19"/>
    </row>
    <row r="57" spans="1:10" x14ac:dyDescent="0.2">
      <c r="A57" s="6" t="s">
        <v>70</v>
      </c>
      <c r="B57" s="20">
        <v>472.4</v>
      </c>
      <c r="C57" s="20">
        <v>483.2</v>
      </c>
      <c r="D57" s="20">
        <v>721.2</v>
      </c>
      <c r="E57" s="21">
        <v>700</v>
      </c>
      <c r="F57" s="20">
        <f>F119+F126</f>
        <v>675</v>
      </c>
      <c r="G57" s="20">
        <f t="shared" ref="G57:J57" si="19">G119+G126</f>
        <v>650</v>
      </c>
      <c r="H57" s="20">
        <f t="shared" si="19"/>
        <v>625</v>
      </c>
      <c r="I57" s="20">
        <f t="shared" si="19"/>
        <v>600</v>
      </c>
      <c r="J57" s="21">
        <f t="shared" si="19"/>
        <v>575</v>
      </c>
    </row>
    <row r="58" spans="1:10" x14ac:dyDescent="0.2">
      <c r="A58" s="6" t="s">
        <v>71</v>
      </c>
      <c r="B58" s="20">
        <v>30</v>
      </c>
      <c r="C58" s="20">
        <v>35.9</v>
      </c>
      <c r="D58" s="20">
        <v>31.4</v>
      </c>
      <c r="E58" s="21">
        <v>34</v>
      </c>
      <c r="F58" s="20">
        <f>'Ratios and Assumptions'!G27</f>
        <v>34</v>
      </c>
      <c r="G58" s="20">
        <f>'Ratios and Assumptions'!H27</f>
        <v>34</v>
      </c>
      <c r="H58" s="20">
        <f>'Ratios and Assumptions'!I27</f>
        <v>34</v>
      </c>
      <c r="I58" s="20">
        <f>'Ratios and Assumptions'!J27</f>
        <v>34</v>
      </c>
      <c r="J58" s="21">
        <f>'Ratios and Assumptions'!K27</f>
        <v>34</v>
      </c>
    </row>
    <row r="59" spans="1:10" x14ac:dyDescent="0.2">
      <c r="A59" s="46" t="s">
        <v>117</v>
      </c>
      <c r="B59" s="35">
        <f>B55+B57+B58</f>
        <v>553.1</v>
      </c>
      <c r="C59" s="35">
        <f t="shared" ref="C59:E59" si="20">C55+C57+C58</f>
        <v>558.69999999999993</v>
      </c>
      <c r="D59" s="35">
        <f t="shared" si="20"/>
        <v>815.1</v>
      </c>
      <c r="E59" s="35">
        <f t="shared" si="20"/>
        <v>835.2</v>
      </c>
      <c r="F59" s="47">
        <f ca="1">F55+F57+F58</f>
        <v>785.89282697366264</v>
      </c>
      <c r="G59" s="35">
        <f t="shared" ref="G59:J59" ca="1" si="21">G55+G57+G58</f>
        <v>776.39165614871979</v>
      </c>
      <c r="H59" s="35">
        <f t="shared" ca="1" si="21"/>
        <v>769.98304871942412</v>
      </c>
      <c r="I59" s="35">
        <f t="shared" ca="1" si="21"/>
        <v>767.29225327920676</v>
      </c>
      <c r="J59" s="36">
        <f t="shared" ca="1" si="21"/>
        <v>769.06282835224476</v>
      </c>
    </row>
    <row r="60" spans="1:10" x14ac:dyDescent="0.2">
      <c r="A60" s="6"/>
      <c r="E60" s="44"/>
      <c r="J60" s="44"/>
    </row>
    <row r="61" spans="1:10" x14ac:dyDescent="0.2">
      <c r="A61" s="10" t="s">
        <v>73</v>
      </c>
      <c r="E61" s="44"/>
      <c r="J61" s="44"/>
    </row>
    <row r="62" spans="1:10" x14ac:dyDescent="0.2">
      <c r="A62" s="6" t="s">
        <v>72</v>
      </c>
      <c r="B62" s="20">
        <v>1.7</v>
      </c>
      <c r="C62" s="20">
        <v>0.5</v>
      </c>
      <c r="D62" s="20">
        <v>2.6</v>
      </c>
      <c r="E62" s="21">
        <v>2.7</v>
      </c>
      <c r="F62" s="20">
        <f>E62</f>
        <v>2.7</v>
      </c>
      <c r="G62" s="20">
        <f t="shared" ref="G62:J62" si="22">F62</f>
        <v>2.7</v>
      </c>
      <c r="H62" s="20">
        <f t="shared" si="22"/>
        <v>2.7</v>
      </c>
      <c r="I62" s="20">
        <f t="shared" si="22"/>
        <v>2.7</v>
      </c>
      <c r="J62" s="21">
        <f t="shared" si="22"/>
        <v>2.7</v>
      </c>
    </row>
    <row r="63" spans="1:10" x14ac:dyDescent="0.2">
      <c r="A63" s="6" t="s">
        <v>74</v>
      </c>
      <c r="B63" s="138">
        <v>-344</v>
      </c>
      <c r="C63" s="138">
        <v>-310</v>
      </c>
      <c r="D63" s="138">
        <v>-393.3</v>
      </c>
      <c r="E63" s="139">
        <v>-460</v>
      </c>
      <c r="F63" s="138">
        <f ca="1">E63+F24-F30</f>
        <v>-400.51361432057536</v>
      </c>
      <c r="G63" s="138">
        <f ca="1">F63+G24-G30</f>
        <v>-317.09059920241651</v>
      </c>
      <c r="H63" s="138">
        <f ca="1">G63+H24-H30</f>
        <v>-214.61246161182311</v>
      </c>
      <c r="I63" s="138">
        <f ca="1">H63+I24-I30</f>
        <v>-89.277958529789203</v>
      </c>
      <c r="J63" s="139">
        <f ca="1">I63+J24-J30</f>
        <v>63.474320449209721</v>
      </c>
    </row>
    <row r="64" spans="1:10" x14ac:dyDescent="0.2">
      <c r="A64" s="6" t="s">
        <v>75</v>
      </c>
      <c r="B64" s="20">
        <v>0</v>
      </c>
      <c r="C64" s="20">
        <v>0</v>
      </c>
      <c r="D64" s="20">
        <v>0</v>
      </c>
      <c r="E64" s="21">
        <v>0</v>
      </c>
      <c r="F64" s="20">
        <f>E64</f>
        <v>0</v>
      </c>
      <c r="G64" s="20">
        <f t="shared" ref="G64:J64" si="23">F64</f>
        <v>0</v>
      </c>
      <c r="H64" s="20">
        <f t="shared" si="23"/>
        <v>0</v>
      </c>
      <c r="I64" s="20">
        <f t="shared" si="23"/>
        <v>0</v>
      </c>
      <c r="J64" s="21">
        <f t="shared" si="23"/>
        <v>0</v>
      </c>
    </row>
    <row r="65" spans="1:10" x14ac:dyDescent="0.2">
      <c r="A65" s="46" t="s">
        <v>118</v>
      </c>
      <c r="B65" s="140">
        <f>SUM(B62:B64)</f>
        <v>-342.3</v>
      </c>
      <c r="C65" s="140">
        <f t="shared" ref="C65:E65" si="24">SUM(C62:C64)</f>
        <v>-309.5</v>
      </c>
      <c r="D65" s="140">
        <f t="shared" si="24"/>
        <v>-390.7</v>
      </c>
      <c r="E65" s="141">
        <f t="shared" si="24"/>
        <v>-457.3</v>
      </c>
      <c r="F65" s="140">
        <f ca="1">SUM(F62:F64)</f>
        <v>-397.81361432057537</v>
      </c>
      <c r="G65" s="140">
        <f t="shared" ref="G65:J65" ca="1" si="25">SUM(G62:G64)</f>
        <v>-314.39059920241652</v>
      </c>
      <c r="H65" s="140">
        <f t="shared" ca="1" si="25"/>
        <v>-211.91246161182312</v>
      </c>
      <c r="I65" s="140">
        <f t="shared" ca="1" si="25"/>
        <v>-86.5779585297892</v>
      </c>
      <c r="J65" s="141">
        <f t="shared" ca="1" si="25"/>
        <v>66.174320449209716</v>
      </c>
    </row>
    <row r="66" spans="1:10" x14ac:dyDescent="0.2">
      <c r="A66" s="6"/>
      <c r="B66" s="20"/>
      <c r="C66" s="20"/>
      <c r="D66" s="20"/>
      <c r="E66" s="21"/>
      <c r="F66" s="20"/>
      <c r="G66" s="20"/>
      <c r="H66" s="20"/>
      <c r="I66" s="20"/>
      <c r="J66" s="21"/>
    </row>
    <row r="67" spans="1:10" s="48" customFormat="1" x14ac:dyDescent="0.2">
      <c r="A67" s="46" t="s">
        <v>76</v>
      </c>
      <c r="B67" s="35">
        <f>B59+B65</f>
        <v>210.8</v>
      </c>
      <c r="C67" s="35">
        <f t="shared" ref="C67:E67" si="26">C59+C65</f>
        <v>249.19999999999993</v>
      </c>
      <c r="D67" s="35">
        <f t="shared" si="26"/>
        <v>424.40000000000003</v>
      </c>
      <c r="E67" s="36">
        <f t="shared" si="26"/>
        <v>377.90000000000003</v>
      </c>
      <c r="F67" s="47">
        <f ca="1">F59+F65</f>
        <v>388.07921265308727</v>
      </c>
      <c r="G67" s="47">
        <f t="shared" ref="G67:J67" ca="1" si="27">G59+G65</f>
        <v>462.00105694630327</v>
      </c>
      <c r="H67" s="47">
        <f t="shared" ca="1" si="27"/>
        <v>558.070587107601</v>
      </c>
      <c r="I67" s="47">
        <f t="shared" ca="1" si="27"/>
        <v>680.7142947494176</v>
      </c>
      <c r="J67" s="50">
        <f t="shared" ca="1" si="27"/>
        <v>835.23714880145451</v>
      </c>
    </row>
    <row r="68" spans="1:10" x14ac:dyDescent="0.2">
      <c r="A68" s="6" t="s">
        <v>120</v>
      </c>
      <c r="B68" s="51">
        <f>B47-B67</f>
        <v>0</v>
      </c>
      <c r="C68" s="51">
        <f t="shared" ref="C68:E68" si="28">C47-C67</f>
        <v>0</v>
      </c>
      <c r="D68" s="51">
        <f t="shared" si="28"/>
        <v>0</v>
      </c>
      <c r="E68" s="52">
        <f t="shared" si="28"/>
        <v>0</v>
      </c>
      <c r="F68" s="53">
        <f ca="1">F47-F67</f>
        <v>0</v>
      </c>
      <c r="G68" s="53">
        <f t="shared" ref="G68:J68" ca="1" si="29">G47-G67</f>
        <v>0</v>
      </c>
      <c r="H68" s="53">
        <f t="shared" ca="1" si="29"/>
        <v>0</v>
      </c>
      <c r="I68" s="53">
        <f t="shared" ca="1" si="29"/>
        <v>0</v>
      </c>
      <c r="J68" s="54">
        <f t="shared" ca="1" si="29"/>
        <v>0</v>
      </c>
    </row>
    <row r="69" spans="1:10" ht="17" thickBot="1" x14ac:dyDescent="0.25">
      <c r="A69" s="7"/>
      <c r="B69" s="55"/>
      <c r="C69" s="55"/>
      <c r="D69" s="55"/>
      <c r="E69" s="56"/>
      <c r="F69" s="57"/>
      <c r="G69" s="55"/>
      <c r="H69" s="55"/>
      <c r="I69" s="55"/>
      <c r="J69" s="56"/>
    </row>
    <row r="70" spans="1:10" x14ac:dyDescent="0.2">
      <c r="A70" s="58" t="s">
        <v>78</v>
      </c>
      <c r="B70" s="18"/>
      <c r="C70" s="18"/>
      <c r="D70" s="18"/>
      <c r="E70" s="19"/>
      <c r="F70" s="59"/>
      <c r="G70" s="18"/>
      <c r="H70" s="18"/>
      <c r="I70" s="18"/>
      <c r="J70" s="19"/>
    </row>
    <row r="71" spans="1:10" x14ac:dyDescent="0.2">
      <c r="A71" s="10" t="s">
        <v>79</v>
      </c>
      <c r="B71" s="18"/>
      <c r="C71" s="18"/>
      <c r="D71" s="18"/>
      <c r="E71" s="19"/>
      <c r="F71" s="60"/>
      <c r="G71" s="18"/>
      <c r="H71" s="18"/>
      <c r="I71" s="18"/>
      <c r="J71" s="19"/>
    </row>
    <row r="72" spans="1:10" x14ac:dyDescent="0.2">
      <c r="A72" s="6" t="s">
        <v>40</v>
      </c>
      <c r="B72" s="18"/>
      <c r="C72" s="18"/>
      <c r="D72" s="18"/>
      <c r="E72" s="19"/>
      <c r="F72" s="61">
        <f ca="1">F24</f>
        <v>79.315180905899524</v>
      </c>
      <c r="G72" s="20">
        <f ca="1">G24</f>
        <v>98.144723668422159</v>
      </c>
      <c r="H72" s="20">
        <f ca="1">H24</f>
        <v>120.56251481246284</v>
      </c>
      <c r="I72" s="20">
        <f ca="1">I24</f>
        <v>147.45235656709872</v>
      </c>
      <c r="J72" s="21">
        <f ca="1">J24</f>
        <v>179.70856350470461</v>
      </c>
    </row>
    <row r="73" spans="1:10" x14ac:dyDescent="0.2">
      <c r="A73" s="6" t="s">
        <v>80</v>
      </c>
      <c r="B73" s="18"/>
      <c r="C73" s="18"/>
      <c r="D73" s="18"/>
      <c r="E73" s="19"/>
      <c r="F73" s="61"/>
      <c r="G73" s="20"/>
      <c r="H73" s="20"/>
      <c r="I73" s="20"/>
      <c r="J73" s="21"/>
    </row>
    <row r="74" spans="1:10" x14ac:dyDescent="0.2">
      <c r="A74" s="6" t="s">
        <v>81</v>
      </c>
      <c r="B74" s="18"/>
      <c r="C74" s="18"/>
      <c r="D74" s="18"/>
      <c r="E74" s="19"/>
      <c r="F74" s="61">
        <f>F14</f>
        <v>20.654712</v>
      </c>
      <c r="G74" s="20">
        <f>G14</f>
        <v>26.021318400000002</v>
      </c>
      <c r="H74" s="20">
        <f>H14</f>
        <v>32.461246080000002</v>
      </c>
      <c r="I74" s="20">
        <f>I14</f>
        <v>40.189159296</v>
      </c>
      <c r="J74" s="21">
        <f>J14</f>
        <v>49.462655155199997</v>
      </c>
    </row>
    <row r="75" spans="1:10" x14ac:dyDescent="0.2">
      <c r="A75" s="6" t="s">
        <v>114</v>
      </c>
      <c r="B75" s="18"/>
      <c r="C75" s="18"/>
      <c r="D75" s="18"/>
      <c r="E75" s="19"/>
      <c r="F75" s="61"/>
      <c r="G75" s="20"/>
      <c r="H75" s="20"/>
      <c r="I75" s="20"/>
      <c r="J75" s="21"/>
    </row>
    <row r="76" spans="1:10" x14ac:dyDescent="0.2">
      <c r="A76" s="6" t="s">
        <v>82</v>
      </c>
      <c r="B76" s="18"/>
      <c r="C76" s="18"/>
      <c r="D76" s="18"/>
      <c r="E76" s="19"/>
      <c r="F76" s="142">
        <f>E36-F36</f>
        <v>-2.9366666666666674</v>
      </c>
      <c r="G76" s="138">
        <f t="shared" ref="G76:J76" si="30">F36-G36</f>
        <v>-3.0673333333333321</v>
      </c>
      <c r="H76" s="138">
        <f t="shared" si="30"/>
        <v>-3.6807999999999979</v>
      </c>
      <c r="I76" s="138">
        <f t="shared" si="30"/>
        <v>-4.4169599999999996</v>
      </c>
      <c r="J76" s="139">
        <f t="shared" si="30"/>
        <v>-5.3003519999999966</v>
      </c>
    </row>
    <row r="77" spans="1:10" x14ac:dyDescent="0.2">
      <c r="A77" s="6" t="s">
        <v>83</v>
      </c>
      <c r="B77" s="18"/>
      <c r="C77" s="18"/>
      <c r="D77" s="18"/>
      <c r="E77" s="19"/>
      <c r="F77" s="142">
        <f>E37-F37</f>
        <v>-1.7925199999999997</v>
      </c>
      <c r="G77" s="138">
        <f t="shared" ref="G77:J77" si="31">F37-G37</f>
        <v>-0.47850400000000004</v>
      </c>
      <c r="H77" s="138">
        <f t="shared" si="31"/>
        <v>-0.57420479999999996</v>
      </c>
      <c r="I77" s="138">
        <f t="shared" si="31"/>
        <v>-0.68904575999999995</v>
      </c>
      <c r="J77" s="139">
        <f t="shared" si="31"/>
        <v>-0.82685491199999994</v>
      </c>
    </row>
    <row r="78" spans="1:10" x14ac:dyDescent="0.2">
      <c r="A78" s="6" t="s">
        <v>115</v>
      </c>
      <c r="B78" s="18"/>
      <c r="C78" s="18"/>
      <c r="D78" s="18"/>
      <c r="E78" s="19"/>
      <c r="F78" s="142">
        <f>E38-F38</f>
        <v>-2.1420479999999995</v>
      </c>
      <c r="G78" s="138">
        <f t="shared" ref="G78:J78" si="32">F38-G38</f>
        <v>-1.1484095999999999</v>
      </c>
      <c r="H78" s="138">
        <f t="shared" si="32"/>
        <v>-1.3780915199999999</v>
      </c>
      <c r="I78" s="138">
        <f t="shared" si="32"/>
        <v>-1.6537098239999999</v>
      </c>
      <c r="J78" s="139">
        <f t="shared" si="32"/>
        <v>-1.9844517888000013</v>
      </c>
    </row>
    <row r="79" spans="1:10" x14ac:dyDescent="0.2">
      <c r="A79" s="6" t="s">
        <v>84</v>
      </c>
      <c r="B79" s="18"/>
      <c r="C79" s="18"/>
      <c r="D79" s="18"/>
      <c r="E79" s="19"/>
      <c r="F79" s="142">
        <f>E39-F39</f>
        <v>-12.090799999999994</v>
      </c>
      <c r="G79" s="138">
        <f t="shared" ref="G79:J79" si="33">F39-G39</f>
        <v>-9.9381600000000034</v>
      </c>
      <c r="H79" s="138">
        <f t="shared" si="33"/>
        <v>-11.925791999999994</v>
      </c>
      <c r="I79" s="138">
        <f t="shared" si="33"/>
        <v>-14.310950399999996</v>
      </c>
      <c r="J79" s="139">
        <f t="shared" si="33"/>
        <v>-17.173140480000001</v>
      </c>
    </row>
    <row r="80" spans="1:10" x14ac:dyDescent="0.2">
      <c r="A80" s="6" t="s">
        <v>85</v>
      </c>
      <c r="B80" s="18"/>
      <c r="C80" s="18"/>
      <c r="D80" s="18"/>
      <c r="E80" s="19"/>
      <c r="F80" s="61">
        <f>F50-E50</f>
        <v>3.2750666666666666</v>
      </c>
      <c r="G80" s="20">
        <f t="shared" ref="G80:I80" si="34">G50-F50</f>
        <v>1.5950133333333323</v>
      </c>
      <c r="H80" s="20">
        <f t="shared" si="34"/>
        <v>1.9140160000000002</v>
      </c>
      <c r="I80" s="20">
        <f t="shared" si="34"/>
        <v>2.2968191999999998</v>
      </c>
      <c r="J80" s="21">
        <f>J50-I50</f>
        <v>2.7561830399999998</v>
      </c>
    </row>
    <row r="81" spans="1:10" x14ac:dyDescent="0.2">
      <c r="A81" s="6" t="s">
        <v>86</v>
      </c>
      <c r="B81" s="18"/>
      <c r="C81" s="18"/>
      <c r="D81" s="18"/>
      <c r="E81" s="19"/>
      <c r="F81" s="61">
        <f>F51-E51</f>
        <v>3.2204799999999949</v>
      </c>
      <c r="G81" s="20">
        <f t="shared" ref="G81:I81" si="35">G51-F51</f>
        <v>11.484096000000008</v>
      </c>
      <c r="H81" s="20">
        <f t="shared" si="35"/>
        <v>13.780915199999995</v>
      </c>
      <c r="I81" s="20">
        <f t="shared" si="35"/>
        <v>16.537098239999992</v>
      </c>
      <c r="J81" s="21">
        <f>J51-I51</f>
        <v>19.844517888000013</v>
      </c>
    </row>
    <row r="82" spans="1:10" x14ac:dyDescent="0.2">
      <c r="A82" s="6" t="s">
        <v>87</v>
      </c>
      <c r="B82" s="18"/>
      <c r="C82" s="18"/>
      <c r="D82" s="18"/>
      <c r="E82" s="19"/>
      <c r="F82" s="61">
        <f ca="1">F53-E53</f>
        <v>0.2154803069959268</v>
      </c>
      <c r="G82" s="20">
        <f t="shared" ref="G82:J82" ca="1" si="36">G53-F53</f>
        <v>0.76335984172389049</v>
      </c>
      <c r="H82" s="20">
        <f t="shared" ca="1" si="36"/>
        <v>0.90882937070435199</v>
      </c>
      <c r="I82" s="20">
        <f t="shared" ca="1" si="36"/>
        <v>1.0901287197825349</v>
      </c>
      <c r="J82" s="21">
        <f t="shared" ca="1" si="36"/>
        <v>1.3076840650380772</v>
      </c>
    </row>
    <row r="83" spans="1:10" x14ac:dyDescent="0.2">
      <c r="A83" s="6" t="s">
        <v>88</v>
      </c>
      <c r="B83" s="18"/>
      <c r="C83" s="18"/>
      <c r="D83" s="18"/>
      <c r="E83" s="19"/>
      <c r="F83" s="30">
        <f>F54-E54</f>
        <v>1.4818000000000007</v>
      </c>
      <c r="G83" s="20">
        <f t="shared" ref="G83:J83" si="37">G54-F54</f>
        <v>1.6563599999999994</v>
      </c>
      <c r="H83" s="20">
        <f t="shared" si="37"/>
        <v>1.9876319999999978</v>
      </c>
      <c r="I83" s="20">
        <f t="shared" si="37"/>
        <v>2.3851583999999999</v>
      </c>
      <c r="J83" s="21">
        <f t="shared" si="37"/>
        <v>2.8621900799999995</v>
      </c>
    </row>
    <row r="84" spans="1:10" x14ac:dyDescent="0.2">
      <c r="A84" s="49" t="s">
        <v>121</v>
      </c>
      <c r="B84" s="62"/>
      <c r="C84" s="62"/>
      <c r="D84" s="62"/>
      <c r="E84" s="63"/>
      <c r="F84" s="47">
        <f ca="1">SUM(F72:F83)</f>
        <v>89.200685212895451</v>
      </c>
      <c r="G84" s="35">
        <f ca="1">SUM(G72:G83)</f>
        <v>125.03246431014605</v>
      </c>
      <c r="H84" s="35">
        <f t="shared" ref="H84:J84" ca="1" si="38">SUM(H72:H83)</f>
        <v>154.0562651431672</v>
      </c>
      <c r="I84" s="35">
        <f t="shared" ca="1" si="38"/>
        <v>188.88005443888125</v>
      </c>
      <c r="J84" s="36">
        <f t="shared" ca="1" si="38"/>
        <v>230.65699455214269</v>
      </c>
    </row>
    <row r="85" spans="1:10" x14ac:dyDescent="0.2">
      <c r="A85" s="6"/>
      <c r="B85" s="18"/>
      <c r="C85" s="18"/>
      <c r="D85" s="18"/>
      <c r="E85" s="19"/>
      <c r="F85" s="60"/>
      <c r="G85" s="18"/>
      <c r="H85" s="18"/>
      <c r="I85" s="18"/>
      <c r="J85" s="19"/>
    </row>
    <row r="86" spans="1:10" x14ac:dyDescent="0.2">
      <c r="A86" s="10" t="s">
        <v>89</v>
      </c>
      <c r="B86" s="18"/>
      <c r="C86" s="18"/>
      <c r="D86" s="18"/>
      <c r="E86" s="19"/>
      <c r="F86" s="143"/>
      <c r="G86" s="144"/>
      <c r="H86" s="144"/>
      <c r="I86" s="144"/>
      <c r="J86" s="145"/>
    </row>
    <row r="87" spans="1:10" x14ac:dyDescent="0.2">
      <c r="A87" s="6" t="s">
        <v>90</v>
      </c>
      <c r="B87" s="18"/>
      <c r="C87" s="18"/>
      <c r="D87" s="18"/>
      <c r="E87" s="19"/>
      <c r="F87" s="142">
        <f>-F6*'Ratios and Assumptions'!G28</f>
        <v>-77.296800000000005</v>
      </c>
      <c r="G87" s="138">
        <f>-G6*'Ratios and Assumptions'!H28</f>
        <v>-59.628959999999999</v>
      </c>
      <c r="H87" s="138">
        <f>-H6*'Ratios and Assumptions'!I28</f>
        <v>-71.554751999999993</v>
      </c>
      <c r="I87" s="138">
        <f>-I6*'Ratios and Assumptions'!J28</f>
        <v>-85.865702399999989</v>
      </c>
      <c r="J87" s="139">
        <f>-J6*'Ratios and Assumptions'!K28</f>
        <v>-103.03884287999999</v>
      </c>
    </row>
    <row r="88" spans="1:10" x14ac:dyDescent="0.2">
      <c r="A88" s="6" t="s">
        <v>91</v>
      </c>
      <c r="B88" s="18"/>
      <c r="C88" s="18"/>
      <c r="D88" s="18"/>
      <c r="E88" s="19"/>
      <c r="F88" s="142">
        <f>E46-F46</f>
        <v>-20.4512</v>
      </c>
      <c r="G88" s="138">
        <f t="shared" ref="G88:J88" si="39">F46-G46</f>
        <v>-28.710239999999999</v>
      </c>
      <c r="H88" s="138">
        <f t="shared" si="39"/>
        <v>-34.45228800000001</v>
      </c>
      <c r="I88" s="138">
        <f t="shared" si="39"/>
        <v>-41.342745599999972</v>
      </c>
      <c r="J88" s="139">
        <f t="shared" si="39"/>
        <v>-49.611294720000018</v>
      </c>
    </row>
    <row r="89" spans="1:10" x14ac:dyDescent="0.2">
      <c r="A89" s="6" t="s">
        <v>92</v>
      </c>
      <c r="B89" s="18"/>
      <c r="C89" s="18"/>
      <c r="D89" s="18"/>
      <c r="E89" s="19"/>
      <c r="F89" s="142">
        <f>'Ratios and Assumptions'!G29</f>
        <v>0</v>
      </c>
      <c r="G89" s="138">
        <f>'Ratios and Assumptions'!H29</f>
        <v>0</v>
      </c>
      <c r="H89" s="138">
        <f>'Ratios and Assumptions'!I29</f>
        <v>0</v>
      </c>
      <c r="I89" s="138">
        <f>'Ratios and Assumptions'!J29</f>
        <v>0</v>
      </c>
      <c r="J89" s="139">
        <f>'Ratios and Assumptions'!K29</f>
        <v>0</v>
      </c>
    </row>
    <row r="90" spans="1:10" x14ac:dyDescent="0.2">
      <c r="A90" s="49" t="s">
        <v>122</v>
      </c>
      <c r="B90" s="62"/>
      <c r="C90" s="62"/>
      <c r="D90" s="62"/>
      <c r="E90" s="63"/>
      <c r="F90" s="146">
        <f>SUM(F87:F89)</f>
        <v>-97.748000000000005</v>
      </c>
      <c r="G90" s="140">
        <f t="shared" ref="G90:J90" si="40">SUM(G87:G89)</f>
        <v>-88.339200000000005</v>
      </c>
      <c r="H90" s="140">
        <f t="shared" si="40"/>
        <v>-106.00704</v>
      </c>
      <c r="I90" s="140">
        <f t="shared" si="40"/>
        <v>-127.20844799999996</v>
      </c>
      <c r="J90" s="141">
        <f t="shared" si="40"/>
        <v>-152.65013759999999</v>
      </c>
    </row>
    <row r="91" spans="1:10" x14ac:dyDescent="0.2">
      <c r="A91" s="6"/>
      <c r="B91" s="18"/>
      <c r="C91" s="18"/>
      <c r="D91" s="18"/>
      <c r="E91" s="19"/>
      <c r="F91" s="60"/>
      <c r="G91" s="18"/>
      <c r="H91" s="18"/>
      <c r="I91" s="18"/>
      <c r="J91" s="19"/>
    </row>
    <row r="92" spans="1:10" x14ac:dyDescent="0.2">
      <c r="A92" s="10" t="s">
        <v>93</v>
      </c>
      <c r="B92" s="18"/>
      <c r="C92" s="18"/>
      <c r="D92" s="18"/>
      <c r="E92" s="19"/>
      <c r="F92" s="60"/>
      <c r="G92" s="18"/>
      <c r="H92" s="18"/>
      <c r="I92" s="18"/>
      <c r="J92" s="19"/>
    </row>
    <row r="93" spans="1:10" x14ac:dyDescent="0.2">
      <c r="A93" s="6" t="s">
        <v>94</v>
      </c>
      <c r="B93" s="18"/>
      <c r="C93" s="18"/>
      <c r="D93" s="18"/>
      <c r="E93" s="19"/>
      <c r="F93" s="142">
        <f ca="1">F112-E112</f>
        <v>-32.5</v>
      </c>
      <c r="G93" s="138">
        <f t="shared" ref="G93:J93" ca="1" si="41">F112-G112</f>
        <v>0</v>
      </c>
      <c r="H93" s="138">
        <f t="shared" ca="1" si="41"/>
        <v>0</v>
      </c>
      <c r="I93" s="138">
        <f t="shared" ca="1" si="41"/>
        <v>0</v>
      </c>
      <c r="J93" s="139">
        <f t="shared" ca="1" si="41"/>
        <v>0</v>
      </c>
    </row>
    <row r="94" spans="1:10" x14ac:dyDescent="0.2">
      <c r="A94" s="6" t="s">
        <v>95</v>
      </c>
      <c r="B94" s="18"/>
      <c r="C94" s="18"/>
      <c r="D94" s="18"/>
      <c r="E94" s="19"/>
      <c r="F94" s="142">
        <f>F119-E119</f>
        <v>-25</v>
      </c>
      <c r="G94" s="138">
        <f t="shared" ref="G94:J94" si="42">G119-F119</f>
        <v>-25</v>
      </c>
      <c r="H94" s="138">
        <f t="shared" si="42"/>
        <v>-25</v>
      </c>
      <c r="I94" s="138">
        <f t="shared" si="42"/>
        <v>-25</v>
      </c>
      <c r="J94" s="139">
        <f t="shared" si="42"/>
        <v>-25</v>
      </c>
    </row>
    <row r="95" spans="1:10" x14ac:dyDescent="0.2">
      <c r="A95" s="6" t="s">
        <v>96</v>
      </c>
      <c r="B95" s="18"/>
      <c r="C95" s="18"/>
      <c r="D95" s="18"/>
      <c r="E95" s="19"/>
      <c r="F95" s="142">
        <f>F126-E126</f>
        <v>0</v>
      </c>
      <c r="G95" s="138">
        <f t="shared" ref="G95:J95" si="43">G126-F126</f>
        <v>0</v>
      </c>
      <c r="H95" s="138">
        <f t="shared" si="43"/>
        <v>0</v>
      </c>
      <c r="I95" s="138">
        <f t="shared" si="43"/>
        <v>0</v>
      </c>
      <c r="J95" s="139">
        <f t="shared" si="43"/>
        <v>0</v>
      </c>
    </row>
    <row r="96" spans="1:10" x14ac:dyDescent="0.2">
      <c r="A96" s="6" t="s">
        <v>97</v>
      </c>
      <c r="B96" s="18"/>
      <c r="C96" s="18"/>
      <c r="D96" s="18"/>
      <c r="E96" s="19"/>
      <c r="F96" s="142">
        <f>F62-E62</f>
        <v>0</v>
      </c>
      <c r="G96" s="138">
        <f t="shared" ref="G96:J96" si="44">G62-F62</f>
        <v>0</v>
      </c>
      <c r="H96" s="138">
        <f t="shared" si="44"/>
        <v>0</v>
      </c>
      <c r="I96" s="138">
        <f t="shared" si="44"/>
        <v>0</v>
      </c>
      <c r="J96" s="139">
        <f t="shared" si="44"/>
        <v>0</v>
      </c>
    </row>
    <row r="97" spans="1:10" x14ac:dyDescent="0.2">
      <c r="A97" s="6" t="s">
        <v>98</v>
      </c>
      <c r="B97" s="18"/>
      <c r="C97" s="18"/>
      <c r="D97" s="18"/>
      <c r="E97" s="19"/>
      <c r="F97" s="142">
        <f ca="1">-F30</f>
        <v>-19.828795226474881</v>
      </c>
      <c r="G97" s="138">
        <f ca="1">-G30</f>
        <v>-14.721708550263322</v>
      </c>
      <c r="H97" s="138">
        <f ca="1">-H30</f>
        <v>-18.084377221869424</v>
      </c>
      <c r="I97" s="138">
        <f ca="1">-I30</f>
        <v>-22.117853485064806</v>
      </c>
      <c r="J97" s="139">
        <f ca="1">-J30</f>
        <v>-26.956284525705691</v>
      </c>
    </row>
    <row r="98" spans="1:10" x14ac:dyDescent="0.2">
      <c r="A98" s="49" t="s">
        <v>123</v>
      </c>
      <c r="B98" s="62"/>
      <c r="C98" s="62"/>
      <c r="D98" s="62"/>
      <c r="E98" s="63"/>
      <c r="F98" s="146">
        <f ca="1">SUM(F93:F97)</f>
        <v>-77.328795226474881</v>
      </c>
      <c r="G98" s="140">
        <f t="shared" ref="G98:J98" ca="1" si="45">SUM(G93:G97)</f>
        <v>-39.721708550263322</v>
      </c>
      <c r="H98" s="140">
        <f t="shared" ca="1" si="45"/>
        <v>-43.084377221869424</v>
      </c>
      <c r="I98" s="140">
        <f t="shared" ca="1" si="45"/>
        <v>-47.117853485064806</v>
      </c>
      <c r="J98" s="141">
        <f t="shared" ca="1" si="45"/>
        <v>-51.956284525705691</v>
      </c>
    </row>
    <row r="99" spans="1:10" x14ac:dyDescent="0.2">
      <c r="A99" s="6"/>
      <c r="B99" s="18"/>
      <c r="C99" s="18"/>
      <c r="D99" s="18"/>
      <c r="E99" s="19"/>
      <c r="F99" s="142"/>
      <c r="G99" s="138"/>
      <c r="H99" s="138"/>
      <c r="I99" s="138"/>
      <c r="J99" s="139"/>
    </row>
    <row r="100" spans="1:10" x14ac:dyDescent="0.2">
      <c r="A100" s="49" t="s">
        <v>124</v>
      </c>
      <c r="B100" s="62"/>
      <c r="C100" s="62"/>
      <c r="D100" s="62"/>
      <c r="E100" s="63"/>
      <c r="F100" s="146">
        <f ca="1">F84+F90+F98</f>
        <v>-85.876110013579435</v>
      </c>
      <c r="G100" s="140">
        <f t="shared" ref="G100:J100" ca="1" si="46">G84+G90+G98</f>
        <v>-3.028444240117274</v>
      </c>
      <c r="H100" s="140">
        <f t="shared" ca="1" si="46"/>
        <v>4.9648479212977676</v>
      </c>
      <c r="I100" s="140">
        <f t="shared" ca="1" si="46"/>
        <v>14.553752953816478</v>
      </c>
      <c r="J100" s="141">
        <f t="shared" ca="1" si="46"/>
        <v>26.050572426437007</v>
      </c>
    </row>
    <row r="101" spans="1:10" x14ac:dyDescent="0.2">
      <c r="A101" s="6"/>
      <c r="B101" s="18"/>
      <c r="C101" s="18"/>
      <c r="D101" s="18"/>
      <c r="E101" s="19"/>
      <c r="F101" s="18"/>
      <c r="G101" s="18"/>
      <c r="H101" s="18"/>
      <c r="I101" s="18"/>
      <c r="J101" s="64"/>
    </row>
    <row r="102" spans="1:10" x14ac:dyDescent="0.2">
      <c r="A102" s="6" t="s">
        <v>99</v>
      </c>
      <c r="B102" s="18"/>
      <c r="C102" s="18"/>
      <c r="D102" s="18"/>
      <c r="E102" s="19"/>
      <c r="F102" s="138">
        <f>E104</f>
        <v>90.2</v>
      </c>
      <c r="G102" s="138">
        <f t="shared" ref="G102:J102" ca="1" si="47">F104</f>
        <v>4.3238899864205678</v>
      </c>
      <c r="H102" s="138">
        <f t="shared" ca="1" si="47"/>
        <v>1.2954457463032938</v>
      </c>
      <c r="I102" s="138">
        <f t="shared" ca="1" si="47"/>
        <v>6.2602936676010614</v>
      </c>
      <c r="J102" s="139">
        <f t="shared" ca="1" si="47"/>
        <v>20.814046621417539</v>
      </c>
    </row>
    <row r="103" spans="1:10" x14ac:dyDescent="0.2">
      <c r="A103" s="6" t="s">
        <v>100</v>
      </c>
      <c r="B103" s="18"/>
      <c r="C103" s="18"/>
      <c r="D103" s="18"/>
      <c r="E103" s="19"/>
      <c r="F103" s="138">
        <f ca="1">F100</f>
        <v>-85.876110013579435</v>
      </c>
      <c r="G103" s="138">
        <f t="shared" ref="G103:J103" ca="1" si="48">G100</f>
        <v>-3.028444240117274</v>
      </c>
      <c r="H103" s="138">
        <f t="shared" ca="1" si="48"/>
        <v>4.9648479212977676</v>
      </c>
      <c r="I103" s="138">
        <f t="shared" ca="1" si="48"/>
        <v>14.553752953816478</v>
      </c>
      <c r="J103" s="139">
        <f t="shared" ca="1" si="48"/>
        <v>26.050572426437007</v>
      </c>
    </row>
    <row r="104" spans="1:10" x14ac:dyDescent="0.2">
      <c r="A104" s="6" t="s">
        <v>101</v>
      </c>
      <c r="B104" s="18"/>
      <c r="C104" s="18"/>
      <c r="D104" s="18"/>
      <c r="E104" s="21">
        <f>E35</f>
        <v>90.2</v>
      </c>
      <c r="F104" s="138">
        <f ca="1">F102+F103</f>
        <v>4.3238899864205678</v>
      </c>
      <c r="G104" s="138">
        <f t="shared" ref="G104:J104" ca="1" si="49">G102+G103</f>
        <v>1.2954457463032938</v>
      </c>
      <c r="H104" s="138">
        <f t="shared" ca="1" si="49"/>
        <v>6.2602936676010614</v>
      </c>
      <c r="I104" s="138">
        <f t="shared" ca="1" si="49"/>
        <v>20.814046621417539</v>
      </c>
      <c r="J104" s="139">
        <f t="shared" ca="1" si="49"/>
        <v>46.864619047854546</v>
      </c>
    </row>
    <row r="105" spans="1:10" x14ac:dyDescent="0.2">
      <c r="A105" s="6"/>
      <c r="B105" s="18"/>
      <c r="C105" s="18"/>
      <c r="D105" s="18"/>
      <c r="E105" s="19"/>
      <c r="F105" s="138"/>
      <c r="G105" s="138"/>
      <c r="H105" s="138"/>
      <c r="I105" s="138"/>
      <c r="J105" s="139"/>
    </row>
    <row r="106" spans="1:10" x14ac:dyDescent="0.2">
      <c r="A106" s="6" t="s">
        <v>102</v>
      </c>
      <c r="B106" s="18"/>
      <c r="C106" s="18"/>
      <c r="D106" s="18"/>
      <c r="E106" s="19"/>
      <c r="F106" s="138">
        <f ca="1">F104-F93</f>
        <v>36.823889986420568</v>
      </c>
      <c r="G106" s="138">
        <f t="shared" ref="G106:J106" ca="1" si="50">G104-G93</f>
        <v>1.2954457463032938</v>
      </c>
      <c r="H106" s="138">
        <f t="shared" ca="1" si="50"/>
        <v>6.2602936676010614</v>
      </c>
      <c r="I106" s="138">
        <f t="shared" ca="1" si="50"/>
        <v>20.814046621417539</v>
      </c>
      <c r="J106" s="139">
        <f t="shared" ca="1" si="50"/>
        <v>46.864619047854546</v>
      </c>
    </row>
    <row r="107" spans="1:10" ht="17" thickBot="1" x14ac:dyDescent="0.25">
      <c r="A107" s="7"/>
      <c r="B107" s="55"/>
      <c r="C107" s="55"/>
      <c r="D107" s="55"/>
      <c r="E107" s="56"/>
      <c r="F107" s="57"/>
      <c r="G107" s="55"/>
      <c r="H107" s="55"/>
      <c r="I107" s="55"/>
      <c r="J107" s="56"/>
    </row>
    <row r="108" spans="1:10" x14ac:dyDescent="0.2">
      <c r="A108" s="10" t="s">
        <v>103</v>
      </c>
      <c r="E108" s="44"/>
      <c r="J108" s="44"/>
    </row>
    <row r="109" spans="1:10" x14ac:dyDescent="0.2">
      <c r="A109" s="65" t="s">
        <v>24</v>
      </c>
      <c r="E109" s="44"/>
      <c r="J109" s="44"/>
    </row>
    <row r="110" spans="1:10" x14ac:dyDescent="0.2">
      <c r="A110" s="6" t="s">
        <v>104</v>
      </c>
      <c r="E110" s="44"/>
      <c r="F110" s="20">
        <f>E112</f>
        <v>32.5</v>
      </c>
      <c r="G110" s="20">
        <f t="shared" ref="G110:J110" ca="1" si="51">F112</f>
        <v>0</v>
      </c>
      <c r="H110" s="20">
        <f t="shared" ca="1" si="51"/>
        <v>0</v>
      </c>
      <c r="I110" s="20">
        <f t="shared" ca="1" si="51"/>
        <v>0</v>
      </c>
      <c r="J110" s="21">
        <f t="shared" ca="1" si="51"/>
        <v>0</v>
      </c>
    </row>
    <row r="111" spans="1:10" x14ac:dyDescent="0.2">
      <c r="A111" s="6" t="s">
        <v>105</v>
      </c>
      <c r="E111" s="44"/>
      <c r="F111" s="138">
        <f ca="1">-MIN(F110,F106)</f>
        <v>-32.5</v>
      </c>
      <c r="G111" s="20">
        <f t="shared" ref="G111:J111" ca="1" si="52">-MIN(G110,G106)</f>
        <v>0</v>
      </c>
      <c r="H111" s="20">
        <f t="shared" ca="1" si="52"/>
        <v>0</v>
      </c>
      <c r="I111" s="20">
        <f t="shared" ca="1" si="52"/>
        <v>0</v>
      </c>
      <c r="J111" s="21">
        <f t="shared" ca="1" si="52"/>
        <v>0</v>
      </c>
    </row>
    <row r="112" spans="1:10" x14ac:dyDescent="0.2">
      <c r="A112" s="6" t="s">
        <v>106</v>
      </c>
      <c r="E112" s="21">
        <v>32.5</v>
      </c>
      <c r="F112" s="20">
        <f ca="1">F110+F111</f>
        <v>0</v>
      </c>
      <c r="G112" s="20">
        <f t="shared" ref="G112:J112" ca="1" si="53">G110+G111</f>
        <v>0</v>
      </c>
      <c r="H112" s="20">
        <f t="shared" ca="1" si="53"/>
        <v>0</v>
      </c>
      <c r="I112" s="20">
        <f t="shared" ca="1" si="53"/>
        <v>0</v>
      </c>
      <c r="J112" s="21">
        <f t="shared" ca="1" si="53"/>
        <v>0</v>
      </c>
    </row>
    <row r="113" spans="1:10" x14ac:dyDescent="0.2">
      <c r="A113" s="6" t="s">
        <v>107</v>
      </c>
      <c r="E113" s="19"/>
      <c r="F113" s="66">
        <f>'Ratios and Assumptions'!G35</f>
        <v>5.8400000000000007E-2</v>
      </c>
      <c r="G113" s="66">
        <f>'Ratios and Assumptions'!H35</f>
        <v>5.5900000000000005E-2</v>
      </c>
      <c r="H113" s="66">
        <f>'Ratios and Assumptions'!I35</f>
        <v>5.3400000000000003E-2</v>
      </c>
      <c r="I113" s="66">
        <f>'Ratios and Assumptions'!J35</f>
        <v>5.3400000000000003E-2</v>
      </c>
      <c r="J113" s="67">
        <f>'Ratios and Assumptions'!K35</f>
        <v>5.3400000000000003E-2</v>
      </c>
    </row>
    <row r="114" spans="1:10" x14ac:dyDescent="0.2">
      <c r="A114" s="6" t="s">
        <v>38</v>
      </c>
      <c r="E114" s="19"/>
      <c r="F114" s="20">
        <f ca="1">AVERAGE(F110,F112)*F113</f>
        <v>0.94900000000000007</v>
      </c>
      <c r="G114" s="20">
        <f t="shared" ref="G114:J114" ca="1" si="54">AVERAGE(G110,G112)*G113</f>
        <v>0</v>
      </c>
      <c r="H114" s="20">
        <f t="shared" ca="1" si="54"/>
        <v>0</v>
      </c>
      <c r="I114" s="20">
        <f t="shared" ca="1" si="54"/>
        <v>0</v>
      </c>
      <c r="J114" s="21">
        <f t="shared" ca="1" si="54"/>
        <v>0</v>
      </c>
    </row>
    <row r="115" spans="1:10" x14ac:dyDescent="0.2">
      <c r="A115" s="6"/>
      <c r="E115" s="19"/>
      <c r="F115" s="20"/>
      <c r="G115" s="20"/>
      <c r="H115" s="20"/>
      <c r="I115" s="20"/>
      <c r="J115" s="21"/>
    </row>
    <row r="116" spans="1:10" x14ac:dyDescent="0.2">
      <c r="A116" s="65" t="s">
        <v>25</v>
      </c>
      <c r="E116" s="19"/>
      <c r="F116" s="20"/>
      <c r="G116" s="20"/>
      <c r="H116" s="20"/>
      <c r="I116" s="20"/>
      <c r="J116" s="21"/>
    </row>
    <row r="117" spans="1:10" x14ac:dyDescent="0.2">
      <c r="A117" s="6" t="s">
        <v>108</v>
      </c>
      <c r="E117" s="19"/>
      <c r="F117" s="20">
        <f>E119</f>
        <v>200</v>
      </c>
      <c r="G117" s="20">
        <f t="shared" ref="G117:J117" si="55">F119</f>
        <v>175</v>
      </c>
      <c r="H117" s="20">
        <f t="shared" si="55"/>
        <v>150</v>
      </c>
      <c r="I117" s="20">
        <f t="shared" si="55"/>
        <v>125</v>
      </c>
      <c r="J117" s="21">
        <f t="shared" si="55"/>
        <v>100</v>
      </c>
    </row>
    <row r="118" spans="1:10" x14ac:dyDescent="0.2">
      <c r="A118" s="6" t="s">
        <v>105</v>
      </c>
      <c r="E118" s="19"/>
      <c r="F118" s="138">
        <f>-'Ratios and Assumptions'!G39</f>
        <v>-25</v>
      </c>
      <c r="G118" s="138">
        <f>-'Ratios and Assumptions'!H39</f>
        <v>-25</v>
      </c>
      <c r="H118" s="138">
        <f>-'Ratios and Assumptions'!I39</f>
        <v>-25</v>
      </c>
      <c r="I118" s="138">
        <f>-'Ratios and Assumptions'!J39</f>
        <v>-25</v>
      </c>
      <c r="J118" s="139">
        <f>-'Ratios and Assumptions'!K39</f>
        <v>-25</v>
      </c>
    </row>
    <row r="119" spans="1:10" x14ac:dyDescent="0.2">
      <c r="A119" s="6" t="s">
        <v>109</v>
      </c>
      <c r="E119" s="21">
        <v>200</v>
      </c>
      <c r="F119" s="20">
        <f>F117+F118</f>
        <v>175</v>
      </c>
      <c r="G119" s="20">
        <f t="shared" ref="G119:J119" si="56">G117+G118</f>
        <v>150</v>
      </c>
      <c r="H119" s="20">
        <f t="shared" si="56"/>
        <v>125</v>
      </c>
      <c r="I119" s="20">
        <f t="shared" si="56"/>
        <v>100</v>
      </c>
      <c r="J119" s="21">
        <f t="shared" si="56"/>
        <v>75</v>
      </c>
    </row>
    <row r="120" spans="1:10" x14ac:dyDescent="0.2">
      <c r="A120" s="6" t="s">
        <v>107</v>
      </c>
      <c r="E120" s="19"/>
      <c r="F120" s="66">
        <f>'Ratios and Assumptions'!G36</f>
        <v>3.7499999999999999E-2</v>
      </c>
      <c r="G120" s="66">
        <f>'Ratios and Assumptions'!H36</f>
        <v>3.7499999999999999E-2</v>
      </c>
      <c r="H120" s="66">
        <f>'Ratios and Assumptions'!I36</f>
        <v>3.7499999999999999E-2</v>
      </c>
      <c r="I120" s="66">
        <f>'Ratios and Assumptions'!J36</f>
        <v>3.7499999999999999E-2</v>
      </c>
      <c r="J120" s="67">
        <f>'Ratios and Assumptions'!K36</f>
        <v>3.7499999999999999E-2</v>
      </c>
    </row>
    <row r="121" spans="1:10" x14ac:dyDescent="0.2">
      <c r="A121" s="6" t="s">
        <v>38</v>
      </c>
      <c r="E121" s="19"/>
      <c r="F121" s="20">
        <f>AVERAGE(F117,F119)*F120</f>
        <v>7.03125</v>
      </c>
      <c r="G121" s="20">
        <f t="shared" ref="G121:J121" si="57">AVERAGE(G117,G119)*G120</f>
        <v>6.09375</v>
      </c>
      <c r="H121" s="20">
        <f t="shared" si="57"/>
        <v>5.15625</v>
      </c>
      <c r="I121" s="20">
        <f t="shared" si="57"/>
        <v>4.21875</v>
      </c>
      <c r="J121" s="21">
        <f t="shared" si="57"/>
        <v>3.28125</v>
      </c>
    </row>
    <row r="122" spans="1:10" x14ac:dyDescent="0.2">
      <c r="A122" s="6"/>
      <c r="E122" s="19"/>
      <c r="F122" s="18"/>
      <c r="G122" s="18"/>
      <c r="H122" s="18"/>
      <c r="I122" s="18"/>
      <c r="J122" s="19"/>
    </row>
    <row r="123" spans="1:10" x14ac:dyDescent="0.2">
      <c r="A123" s="65" t="s">
        <v>26</v>
      </c>
      <c r="E123" s="19"/>
      <c r="F123" s="18"/>
      <c r="G123" s="18"/>
      <c r="H123" s="18"/>
      <c r="I123" s="18"/>
      <c r="J123" s="19"/>
    </row>
    <row r="124" spans="1:10" x14ac:dyDescent="0.2">
      <c r="A124" s="6" t="s">
        <v>110</v>
      </c>
      <c r="E124" s="19"/>
      <c r="F124" s="20">
        <f>E126</f>
        <v>500</v>
      </c>
      <c r="G124" s="20">
        <f t="shared" ref="G124:J124" si="58">F126</f>
        <v>500</v>
      </c>
      <c r="H124" s="20">
        <f t="shared" si="58"/>
        <v>500</v>
      </c>
      <c r="I124" s="20">
        <f t="shared" si="58"/>
        <v>500</v>
      </c>
      <c r="J124" s="21">
        <f t="shared" si="58"/>
        <v>500</v>
      </c>
    </row>
    <row r="125" spans="1:10" x14ac:dyDescent="0.2">
      <c r="A125" s="6" t="s">
        <v>105</v>
      </c>
      <c r="E125" s="19"/>
      <c r="F125" s="20">
        <v>0</v>
      </c>
      <c r="G125" s="20">
        <v>0</v>
      </c>
      <c r="H125" s="20">
        <v>0</v>
      </c>
      <c r="I125" s="20">
        <v>0</v>
      </c>
      <c r="J125" s="21">
        <v>0</v>
      </c>
    </row>
    <row r="126" spans="1:10" x14ac:dyDescent="0.2">
      <c r="A126" s="6" t="s">
        <v>111</v>
      </c>
      <c r="E126" s="68">
        <v>500</v>
      </c>
      <c r="F126" s="20">
        <f>F124+F125</f>
        <v>500</v>
      </c>
      <c r="G126" s="20">
        <f t="shared" ref="G126:J126" si="59">G124+G125</f>
        <v>500</v>
      </c>
      <c r="H126" s="20">
        <f t="shared" si="59"/>
        <v>500</v>
      </c>
      <c r="I126" s="20">
        <f t="shared" si="59"/>
        <v>500</v>
      </c>
      <c r="J126" s="21">
        <f t="shared" si="59"/>
        <v>500</v>
      </c>
    </row>
    <row r="127" spans="1:10" x14ac:dyDescent="0.2">
      <c r="A127" s="6" t="s">
        <v>107</v>
      </c>
      <c r="E127" s="44"/>
      <c r="F127" s="66">
        <f>'Ratios and Assumptions'!G37</f>
        <v>2.8400000000000002E-2</v>
      </c>
      <c r="G127" s="66">
        <f>'Ratios and Assumptions'!H37</f>
        <v>2.8400000000000002E-2</v>
      </c>
      <c r="H127" s="66">
        <f>'Ratios and Assumptions'!I37</f>
        <v>2.8400000000000002E-2</v>
      </c>
      <c r="I127" s="66">
        <f>'Ratios and Assumptions'!J37</f>
        <v>2.8400000000000002E-2</v>
      </c>
      <c r="J127" s="67">
        <f>'Ratios and Assumptions'!K37</f>
        <v>2.8400000000000002E-2</v>
      </c>
    </row>
    <row r="128" spans="1:10" x14ac:dyDescent="0.2">
      <c r="A128" s="6" t="s">
        <v>38</v>
      </c>
      <c r="E128" s="44"/>
      <c r="F128" s="69">
        <f>AVERAGE(F124,F126)*F127</f>
        <v>14.200000000000001</v>
      </c>
      <c r="G128" s="69">
        <f t="shared" ref="G128:J128" si="60">AVERAGE(G124,G126)*G127</f>
        <v>14.200000000000001</v>
      </c>
      <c r="H128" s="69">
        <f t="shared" si="60"/>
        <v>14.200000000000001</v>
      </c>
      <c r="I128" s="69">
        <f t="shared" si="60"/>
        <v>14.200000000000001</v>
      </c>
      <c r="J128" s="70">
        <f t="shared" si="60"/>
        <v>14.200000000000001</v>
      </c>
    </row>
    <row r="129" spans="1:10" x14ac:dyDescent="0.2">
      <c r="A129" s="6"/>
      <c r="E129" s="44"/>
      <c r="F129" s="71"/>
      <c r="G129" s="71"/>
      <c r="H129" s="71"/>
      <c r="I129" s="71"/>
      <c r="J129" s="72"/>
    </row>
    <row r="130" spans="1:10" x14ac:dyDescent="0.2">
      <c r="A130" s="6" t="s">
        <v>112</v>
      </c>
      <c r="E130" s="44"/>
      <c r="F130" s="69">
        <f ca="1">F114+F121+F128</f>
        <v>22.180250000000001</v>
      </c>
      <c r="G130" s="69">
        <f t="shared" ref="G130:J130" ca="1" si="61">G114+G121+G128</f>
        <v>20.293750000000003</v>
      </c>
      <c r="H130" s="69">
        <f t="shared" ca="1" si="61"/>
        <v>19.356250000000003</v>
      </c>
      <c r="I130" s="69">
        <f t="shared" ca="1" si="61"/>
        <v>18.418750000000003</v>
      </c>
      <c r="J130" s="70">
        <f t="shared" ca="1" si="61"/>
        <v>17.481250000000003</v>
      </c>
    </row>
    <row r="131" spans="1:10" x14ac:dyDescent="0.2">
      <c r="A131" s="6"/>
      <c r="E131" s="44"/>
      <c r="F131" s="71"/>
      <c r="G131" s="71"/>
      <c r="H131" s="71"/>
      <c r="I131" s="71"/>
      <c r="J131" s="72"/>
    </row>
    <row r="132" spans="1:10" ht="17" thickBot="1" x14ac:dyDescent="0.25">
      <c r="A132" s="7" t="s">
        <v>113</v>
      </c>
      <c r="B132" s="73"/>
      <c r="C132" s="73"/>
      <c r="D132" s="73"/>
      <c r="E132" s="73"/>
      <c r="F132" s="74">
        <f ca="1">AVERAGE(F102,F104)*'Ratios and Assumptions'!G33</f>
        <v>0.94523889986420573</v>
      </c>
      <c r="G132" s="75">
        <f ca="1">AVERAGE(G102,G104)*'Ratios and Assumptions'!H33</f>
        <v>5.6193357327238617E-2</v>
      </c>
      <c r="H132" s="75">
        <f ca="1">AVERAGE(H102,H104)*'Ratios and Assumptions'!I33</f>
        <v>7.5557394139043554E-2</v>
      </c>
      <c r="I132" s="75">
        <f ca="1">AVERAGE(I102,I104)*'Ratios and Assumptions'!J33</f>
        <v>0.270743402890186</v>
      </c>
      <c r="J132" s="76">
        <f ca="1">AVERAGE(J102,J104)*'Ratios and Assumptions'!K33</f>
        <v>0.67678665669272076</v>
      </c>
    </row>
  </sheetData>
  <mergeCells count="4">
    <mergeCell ref="F2:J2"/>
    <mergeCell ref="F3:J3"/>
    <mergeCell ref="B2:E2"/>
    <mergeCell ref="B3:E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Ratios and Assumptions</vt:lpstr>
      <vt:lpstr>Financial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Sonia Khamitkar</dc:creator>
  <cp:lastModifiedBy>Sonia Khamitkar</cp:lastModifiedBy>
  <dcterms:created xsi:type="dcterms:W3CDTF">2025-02-16T18:37:25Z</dcterms:created>
  <dcterms:modified xsi:type="dcterms:W3CDTF">2025-02-21T14:09:04Z</dcterms:modified>
</cp:coreProperties>
</file>