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Z:\A.사업관리\A200.실행및통제\A220.일정관리(WBS및개발진척관리)\"/>
    </mc:Choice>
  </mc:AlternateContent>
  <bookViews>
    <workbookView xWindow="0" yWindow="0" windowWidth="28800" windowHeight="12255" tabRatio="636" activeTab="2"/>
  </bookViews>
  <sheets>
    <sheet name="표지" sheetId="32" r:id="rId1"/>
    <sheet name="개정이력" sheetId="33" r:id="rId2"/>
    <sheet name="Schedule" sheetId="31" r:id="rId3"/>
    <sheet name="(참조)" sheetId="34" r:id="rId4"/>
    <sheet name="(비중)" sheetId="36" r:id="rId5"/>
    <sheet name="(상세진척)" sheetId="39" r:id="rId6"/>
    <sheet name="Progress" sheetId="3" r:id="rId7"/>
    <sheet name="AnalysisReport" sheetId="4" r:id="rId8"/>
    <sheet name="Calendar" sheetId="5" r:id="rId9"/>
    <sheet name="TranslatedLanguages" sheetId="7" state="hidden" r:id="rId10"/>
    <sheet name="Workload" sheetId="8" r:id="rId11"/>
    <sheet name="Help" sheetId="9" r:id="rId12"/>
    <sheet name="Settings" sheetId="6" state="veryHidden" r:id="rId13"/>
  </sheets>
  <functionGroups builtInGroupCount="18"/>
  <externalReferences>
    <externalReference r:id="rId14"/>
  </externalReferences>
  <definedNames>
    <definedName name="_xlnm._FilterDatabase" localSheetId="2" hidden="1">Schedule!$E$5:$AE$398</definedName>
    <definedName name="ACTUAL_RATE" localSheetId="5">[1]Progress!$B$21</definedName>
    <definedName name="ACTUAL_RATE">Progress!$B$21</definedName>
    <definedName name="ACTUAL_WORKLOAD">Progress!$B$12</definedName>
    <definedName name="ACTUAL_WORKLOAD2">Progress!$B$15</definedName>
    <definedName name="English_Name">TranslatedLanguages!$D$1</definedName>
    <definedName name="PLANNED_RATE" localSheetId="5">[1]Progress!$B$18</definedName>
    <definedName name="PLANNED_RATE">Progress!$B$18</definedName>
    <definedName name="PLANNED_WORKLOAD">Progress!$B$9</definedName>
    <definedName name="_xlnm.Print_Area" localSheetId="2">Schedule!$D$1:$CP$463</definedName>
    <definedName name="RATE_GAP">Progress!$B$24</definedName>
    <definedName name="RNG_ACTUAL_END_DATE_COL_NAME" localSheetId="2">Schedule!$X$3</definedName>
    <definedName name="RNG_ACTUAL_RATE_COL_NAME" localSheetId="2">Schedule!$AE$3</definedName>
    <definedName name="RNG_ACTUAL_START_DATE_COL_NAME" localSheetId="2">Schedule!$W$3</definedName>
    <definedName name="RNG_ACTUAL_TOTAL_DURATION_COL_NAME" localSheetId="2">Schedule!$Z$3</definedName>
    <definedName name="RNG_ACTUAL_TOTAL_WORKLOAD_COL_NAME" localSheetId="2">Schedule!$Y$3</definedName>
    <definedName name="RNG_CALENDAR_COL_NAME" localSheetId="2">Schedule!$R$3</definedName>
    <definedName name="RNG_DELIVERABLES_COL_NAME" localSheetId="2">Schedule!$AC$3</definedName>
    <definedName name="RNG_END_DATE_COL_NAME" localSheetId="2">Schedule!$Q$3</definedName>
    <definedName name="RNG_ETC_COL_NAME" localSheetId="2">Schedule!$O$3</definedName>
    <definedName name="RNG_GANTT_AREA_FIRST_COL_NAME" localSheetId="2">Schedule!$AF$4</definedName>
    <definedName name="RNG_PLAN_DURATION_COL_NAME" localSheetId="2">Schedule!$V$3</definedName>
    <definedName name="RNG_PLAN_RATE_COL_NAME" localSheetId="2">Schedule!$AD$3</definedName>
    <definedName name="RNG_PLAN_WORKLOAD_COL_NAME" localSheetId="2">Schedule!$T$3</definedName>
    <definedName name="RNG_RESOURCE_COL_NAME" localSheetId="2">Schedule!$AB$3</definedName>
    <definedName name="RNG_RESOURCE_WEIGHT_COL_NAME" localSheetId="2">Schedule!$AA$3</definedName>
    <definedName name="RNG_START_DATE_COL_NAME" localSheetId="2">Schedule!$P$3</definedName>
    <definedName name="RNG_TASK_FIRST_COL_NAME" localSheetId="2">Schedule!$E$3</definedName>
    <definedName name="RNG_TOTAL_DURATION_COL_NAME" localSheetId="2">Schedule!$U$3</definedName>
    <definedName name="RNG_TOTAL_WORKLOAD_COL_NAME" localSheetId="2">Schedule!$S$3</definedName>
    <definedName name="RNG_WBS_AREA_LAST_COL_NAME" localSheetId="2">Schedule!$AE$3</definedName>
    <definedName name="RNG_WBS_COL_NAME" localSheetId="2">Schedule!$D$3</definedName>
    <definedName name="RNG_WBS_LEVEL_COL_NAME" localSheetId="2">Schedule!$C$3</definedName>
    <definedName name="STD_CAL">Calendar!$B$5:$B$304</definedName>
    <definedName name="TOTAL_WORKLOAD">Progress!$B$6</definedName>
    <definedName name="UD_CAL1">Calendar!$E$5:$E$304</definedName>
    <definedName name="UD_CAL2">Calendar!$H$5:$H$304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E5" i="31" l="1"/>
  <c r="AF6" i="31"/>
  <c r="AF7" i="31"/>
  <c r="AF8" i="31"/>
  <c r="AF9" i="31"/>
  <c r="AF10" i="31"/>
  <c r="AF11" i="31"/>
  <c r="AF12" i="31"/>
  <c r="AF13" i="31"/>
  <c r="AF14" i="31"/>
  <c r="AF15" i="31"/>
  <c r="AF16" i="31"/>
  <c r="CD17" i="31"/>
  <c r="CD18" i="31"/>
  <c r="AH19" i="31"/>
  <c r="BF20" i="31"/>
  <c r="CD21" i="31"/>
  <c r="CD22" i="31"/>
  <c r="AG23" i="31"/>
  <c r="AH24" i="31"/>
  <c r="AI25" i="31"/>
  <c r="AJ26" i="31"/>
  <c r="AK27" i="31"/>
  <c r="AL28" i="31"/>
  <c r="AM29" i="31"/>
  <c r="AN30" i="31"/>
  <c r="AO31" i="31"/>
  <c r="AP32" i="31"/>
  <c r="AQ33" i="31"/>
  <c r="AR34" i="31"/>
  <c r="AS35" i="31"/>
  <c r="AT36" i="31"/>
  <c r="AU37" i="31"/>
  <c r="AV38" i="31"/>
  <c r="AW39" i="31"/>
  <c r="AX40" i="31"/>
  <c r="AY41" i="31"/>
  <c r="AZ42" i="31"/>
  <c r="BA43" i="31"/>
  <c r="BB44" i="31"/>
  <c r="BC45" i="31"/>
  <c r="BD46" i="31"/>
  <c r="BE47" i="31"/>
  <c r="BF48" i="31"/>
  <c r="BG49" i="31"/>
  <c r="BH50" i="31"/>
  <c r="BI51" i="31"/>
  <c r="BJ52" i="31"/>
  <c r="BK53" i="31"/>
  <c r="BL54" i="31"/>
  <c r="BM55" i="31"/>
  <c r="BN56" i="31"/>
  <c r="BO57" i="31"/>
  <c r="BP58" i="31"/>
  <c r="BQ59" i="31"/>
  <c r="BR60" i="31"/>
  <c r="BS61" i="31"/>
  <c r="BT62" i="31"/>
  <c r="BU63" i="31"/>
  <c r="BV64" i="31"/>
  <c r="BW65" i="31"/>
  <c r="BX66" i="31"/>
  <c r="BY67" i="31"/>
  <c r="BZ68" i="31"/>
  <c r="CA69" i="31"/>
  <c r="CB70" i="31"/>
  <c r="CC71" i="31"/>
  <c r="CD72" i="31"/>
  <c r="BW73" i="31"/>
  <c r="AQ74" i="31"/>
  <c r="BF75" i="31"/>
  <c r="BN76" i="31"/>
  <c r="BW77" i="31"/>
  <c r="BO78" i="31"/>
  <c r="AJ79" i="31"/>
  <c r="AJ80" i="31"/>
  <c r="AU81" i="31"/>
  <c r="AR82" i="31"/>
  <c r="AS83" i="31"/>
  <c r="AU84" i="31"/>
  <c r="BO85" i="31"/>
  <c r="BK86" i="31"/>
  <c r="BL87" i="31"/>
  <c r="BN88" i="31"/>
  <c r="BO89" i="31"/>
  <c r="BL90" i="31"/>
  <c r="BL91" i="31"/>
  <c r="BI92" i="31"/>
  <c r="BL93" i="31"/>
  <c r="BL94" i="31"/>
  <c r="BC95" i="31"/>
  <c r="BE96" i="31"/>
  <c r="BK97" i="31"/>
  <c r="BL98" i="31"/>
  <c r="CE99" i="31"/>
  <c r="CE100" i="31"/>
  <c r="CD101" i="31"/>
  <c r="CE102" i="31"/>
  <c r="BR103" i="31"/>
  <c r="AI104" i="31"/>
  <c r="AI105" i="31"/>
  <c r="AI106" i="31"/>
  <c r="AI107" i="31"/>
  <c r="AI108" i="31"/>
  <c r="AI109" i="31"/>
  <c r="AI110" i="31"/>
  <c r="AI111" i="31"/>
  <c r="AN112" i="31"/>
  <c r="AK113" i="31"/>
  <c r="AK114" i="31"/>
  <c r="AK115" i="31"/>
  <c r="AK116" i="31"/>
  <c r="AK117" i="31"/>
  <c r="AK118" i="31"/>
  <c r="AK119" i="31"/>
  <c r="AK120" i="31"/>
  <c r="AL121" i="31"/>
  <c r="AK122" i="31"/>
  <c r="AK123" i="31"/>
  <c r="AL124" i="31"/>
  <c r="AL125" i="31"/>
  <c r="AN126" i="31"/>
  <c r="AK127" i="31"/>
  <c r="AK128" i="31"/>
  <c r="AL129" i="31"/>
  <c r="AL130" i="31"/>
  <c r="AM131" i="31"/>
  <c r="AN132" i="31"/>
  <c r="AN133" i="31"/>
  <c r="BB134" i="31"/>
  <c r="AU135" i="31"/>
  <c r="AN136" i="31"/>
  <c r="AJ137" i="31"/>
  <c r="AL138" i="31"/>
  <c r="AK139" i="31"/>
  <c r="AN140" i="31"/>
  <c r="AN141" i="31"/>
  <c r="AN142" i="31"/>
  <c r="AK143" i="31"/>
  <c r="AL144" i="31"/>
  <c r="AL145" i="31"/>
  <c r="AN146" i="31"/>
  <c r="AN147" i="31"/>
  <c r="AP148" i="31"/>
  <c r="AN149" i="31"/>
  <c r="AN150" i="31"/>
  <c r="AN151" i="31"/>
  <c r="AN152" i="31"/>
  <c r="AN153" i="31"/>
  <c r="AN154" i="31"/>
  <c r="AN155" i="31"/>
  <c r="AP156" i="31"/>
  <c r="AU157" i="31"/>
  <c r="AP158" i="31"/>
  <c r="AP159" i="31"/>
  <c r="AU160" i="31"/>
  <c r="AP161" i="31"/>
  <c r="AT162" i="31"/>
  <c r="AS163" i="31"/>
  <c r="AT164" i="31"/>
  <c r="AQ165" i="31"/>
  <c r="AQ166" i="31"/>
  <c r="AQ167" i="31"/>
  <c r="AQ168" i="31"/>
  <c r="AQ169" i="31"/>
  <c r="AQ170" i="31"/>
  <c r="AT171" i="31"/>
  <c r="AR172" i="31"/>
  <c r="AT173" i="31"/>
  <c r="BB174" i="31"/>
  <c r="BB175" i="31"/>
  <c r="AY176" i="31"/>
  <c r="AZ177" i="31"/>
  <c r="AZ178" i="31"/>
  <c r="BB179" i="31"/>
  <c r="BA180" i="31"/>
  <c r="BA181" i="31"/>
  <c r="BA182" i="31"/>
  <c r="BA183" i="31"/>
  <c r="BA184" i="31"/>
  <c r="BA185" i="31"/>
  <c r="BA186" i="31"/>
  <c r="BA187" i="31"/>
  <c r="BA188" i="31"/>
  <c r="BB189" i="31"/>
  <c r="BB190" i="31"/>
  <c r="BB191" i="31"/>
  <c r="BB192" i="31"/>
  <c r="BR193" i="31"/>
  <c r="AP194" i="31"/>
  <c r="AJ195" i="31"/>
  <c r="AJ196" i="31"/>
  <c r="AJ197" i="31"/>
  <c r="AJ198" i="31"/>
  <c r="AJ199" i="31"/>
  <c r="AK200" i="31"/>
  <c r="AK201" i="31"/>
  <c r="AK202" i="31"/>
  <c r="AK203" i="31"/>
  <c r="AP204" i="31"/>
  <c r="AL205" i="31"/>
  <c r="AL206" i="31"/>
  <c r="AL207" i="31"/>
  <c r="AP208" i="31"/>
  <c r="AM209" i="31"/>
  <c r="AM210" i="31"/>
  <c r="AM211" i="31"/>
  <c r="AM212" i="31"/>
  <c r="AM213" i="31"/>
  <c r="AM214" i="31"/>
  <c r="AM215" i="31"/>
  <c r="AN216" i="31"/>
  <c r="AN217" i="31"/>
  <c r="AN218" i="31"/>
  <c r="AO219" i="31"/>
  <c r="AO220" i="31"/>
  <c r="AO221" i="31"/>
  <c r="AO222" i="31"/>
  <c r="AO223" i="31"/>
  <c r="AP224" i="31"/>
  <c r="AP225" i="31"/>
  <c r="BR226" i="31"/>
  <c r="AY227" i="31"/>
  <c r="AY228" i="31"/>
  <c r="AY229" i="31"/>
  <c r="AY230" i="31"/>
  <c r="AZ231" i="31"/>
  <c r="AZ232" i="31"/>
  <c r="AZ233" i="31"/>
  <c r="AZ234" i="31"/>
  <c r="AZ235" i="31"/>
  <c r="AZ236" i="31"/>
  <c r="AZ237" i="31"/>
  <c r="AZ238" i="31"/>
  <c r="BA239" i="31"/>
  <c r="BA240" i="31"/>
  <c r="BA241" i="31"/>
  <c r="BA242" i="31"/>
  <c r="BA243" i="31"/>
  <c r="BA244" i="31"/>
  <c r="BA245" i="31"/>
  <c r="BA246" i="31"/>
  <c r="BA247" i="31"/>
  <c r="BC248" i="31"/>
  <c r="BC249" i="31"/>
  <c r="BC250" i="31"/>
  <c r="BC251" i="31"/>
  <c r="BC252" i="31"/>
  <c r="BC253" i="31"/>
  <c r="BC254" i="31"/>
  <c r="BC255" i="31"/>
  <c r="BD256" i="31"/>
  <c r="BD257" i="31"/>
  <c r="BD258" i="31"/>
  <c r="BD259" i="31"/>
  <c r="BD260" i="31"/>
  <c r="BH261" i="31"/>
  <c r="BG262" i="31"/>
  <c r="BG263" i="31"/>
  <c r="BG264" i="31"/>
  <c r="BG265" i="31"/>
  <c r="BH266" i="31"/>
  <c r="BG267" i="31"/>
  <c r="BG268" i="31"/>
  <c r="BG269" i="31"/>
  <c r="BH270" i="31"/>
  <c r="BH271" i="31"/>
  <c r="BH272" i="31"/>
  <c r="BH273" i="31"/>
  <c r="BJ274" i="31"/>
  <c r="BI275" i="31"/>
  <c r="BI276" i="31"/>
  <c r="BI277" i="31"/>
  <c r="BJ278" i="31"/>
  <c r="BN279" i="31"/>
  <c r="BN280" i="31"/>
  <c r="BN281" i="31"/>
  <c r="BQ282" i="31"/>
  <c r="BP283" i="31"/>
  <c r="BP284" i="31"/>
  <c r="BQ285" i="31"/>
  <c r="BR286" i="31"/>
  <c r="BR287" i="31"/>
  <c r="BR288" i="31"/>
  <c r="BR289" i="31"/>
  <c r="BG290" i="31"/>
  <c r="BG291" i="31"/>
  <c r="AN292" i="31"/>
  <c r="AL293" i="31"/>
  <c r="AN294" i="31"/>
  <c r="AP295" i="31"/>
  <c r="AM296" i="31"/>
  <c r="AN297" i="31"/>
  <c r="AL298" i="31"/>
  <c r="AN299" i="31"/>
  <c r="AN300" i="31"/>
  <c r="AL301" i="31"/>
  <c r="AM302" i="31"/>
  <c r="AM303" i="31"/>
  <c r="AM304" i="31"/>
  <c r="AN305" i="31"/>
  <c r="AO306" i="31"/>
  <c r="AP307" i="31"/>
  <c r="BG308" i="31"/>
  <c r="BA309" i="31"/>
  <c r="AN310" i="31"/>
  <c r="AW311" i="31"/>
  <c r="AM312" i="31"/>
  <c r="AX313" i="31"/>
  <c r="AZ314" i="31"/>
  <c r="AZ315" i="31"/>
  <c r="AZ316" i="31"/>
  <c r="AO317" i="31"/>
  <c r="AS318" i="31"/>
  <c r="AT319" i="31"/>
  <c r="AZ320" i="31"/>
  <c r="AW321" i="31"/>
  <c r="BA322" i="31"/>
  <c r="BE323" i="31"/>
  <c r="BD324" i="31"/>
  <c r="BE325" i="31"/>
  <c r="BG326" i="31"/>
  <c r="BG327" i="31"/>
  <c r="BC328" i="31"/>
  <c r="BE329" i="31"/>
  <c r="BF330" i="31"/>
  <c r="BG331" i="31"/>
  <c r="BG332" i="31"/>
  <c r="AM333" i="31"/>
  <c r="AL334" i="31"/>
  <c r="AM335" i="31"/>
  <c r="AP336" i="31"/>
  <c r="AO337" i="31"/>
  <c r="AM338" i="31"/>
  <c r="AM339" i="31"/>
  <c r="AM340" i="31"/>
  <c r="AL341" i="31"/>
  <c r="AL342" i="31"/>
  <c r="AN343" i="31"/>
  <c r="AO344" i="31"/>
  <c r="AP345" i="31"/>
  <c r="BG346" i="31"/>
  <c r="BF347" i="31"/>
  <c r="AV348" i="31"/>
  <c r="AM349" i="31"/>
  <c r="AV350" i="31"/>
  <c r="AR351" i="31"/>
  <c r="AV352" i="31"/>
  <c r="AZ353" i="31"/>
  <c r="BE354" i="31"/>
  <c r="AQ355" i="31"/>
  <c r="AU356" i="31"/>
  <c r="BF357" i="31"/>
  <c r="BB358" i="31"/>
  <c r="BE359" i="31"/>
  <c r="BD360" i="31"/>
  <c r="BE361" i="31"/>
  <c r="BG362" i="31"/>
  <c r="AV363" i="31"/>
  <c r="BB364" i="31"/>
  <c r="BE365" i="31"/>
  <c r="AX366" i="31"/>
  <c r="BG367" i="31"/>
  <c r="BG368" i="31"/>
  <c r="AN369" i="31"/>
  <c r="AL370" i="31"/>
  <c r="AN371" i="31"/>
  <c r="BA372" i="31"/>
  <c r="AR373" i="31"/>
  <c r="BA374" i="31"/>
  <c r="AP375" i="31"/>
  <c r="BG376" i="31"/>
  <c r="BA377" i="31"/>
  <c r="AY378" i="31"/>
  <c r="AZ379" i="31"/>
  <c r="BA380" i="31"/>
  <c r="BG381" i="31"/>
  <c r="BG382" i="31"/>
  <c r="BG383" i="31"/>
  <c r="BG384" i="31"/>
  <c r="AN385" i="31"/>
  <c r="AL386" i="31"/>
  <c r="AN387" i="31"/>
  <c r="BA388" i="31"/>
  <c r="AR389" i="31"/>
  <c r="AV390" i="31"/>
  <c r="AO391" i="31"/>
  <c r="AJ392" i="31"/>
  <c r="AN393" i="31"/>
  <c r="AR394" i="31"/>
  <c r="AR395" i="31"/>
  <c r="BA396" i="31"/>
  <c r="AP397" i="31"/>
  <c r="BG398" i="31"/>
  <c r="BA399" i="31"/>
  <c r="AT400" i="31"/>
  <c r="AX401" i="31"/>
  <c r="AO402" i="31"/>
  <c r="AW403" i="31"/>
  <c r="AK404" i="31"/>
  <c r="AT405" i="31"/>
  <c r="AY406" i="31"/>
  <c r="AY407" i="31"/>
  <c r="BA408" i="31"/>
  <c r="BG409" i="31"/>
  <c r="BD410" i="31"/>
  <c r="BE411" i="31"/>
  <c r="BG412" i="31"/>
  <c r="BG413" i="31"/>
  <c r="BG414" i="31"/>
  <c r="BG415" i="31"/>
  <c r="BG416" i="31"/>
  <c r="BO417" i="31"/>
  <c r="BN418" i="31"/>
  <c r="BC419" i="31"/>
  <c r="BA420" i="31"/>
  <c r="BB421" i="31"/>
  <c r="BC422" i="31"/>
  <c r="BE423" i="31"/>
  <c r="BD424" i="31"/>
  <c r="BE425" i="31"/>
  <c r="BI426" i="31"/>
  <c r="BG427" i="31"/>
  <c r="BH428" i="31"/>
  <c r="BI429" i="31"/>
  <c r="BN430" i="31"/>
  <c r="BL431" i="31"/>
  <c r="BN432" i="31"/>
  <c r="BO433" i="31"/>
  <c r="BO434" i="31"/>
  <c r="BB435" i="31"/>
  <c r="BN436" i="31"/>
  <c r="BO437" i="31"/>
  <c r="BK438" i="31"/>
  <c r="BE439" i="31"/>
  <c r="BD440" i="31"/>
  <c r="BE441" i="31"/>
  <c r="BE442" i="31"/>
  <c r="BK443" i="31"/>
  <c r="BI444" i="31"/>
  <c r="BJ445" i="31"/>
  <c r="BK446" i="31"/>
  <c r="CF447" i="31"/>
  <c r="BL448" i="31"/>
  <c r="BG449" i="31"/>
  <c r="BL450" i="31"/>
  <c r="BX451" i="31"/>
  <c r="BP452" i="31"/>
  <c r="BX453" i="31"/>
  <c r="CC454" i="31"/>
  <c r="BX455" i="31"/>
  <c r="CC456" i="31"/>
  <c r="CF457" i="31"/>
  <c r="BW458" i="31"/>
  <c r="CF459" i="31"/>
  <c r="CE460" i="31"/>
  <c r="BX461" i="31"/>
  <c r="BY462" i="31"/>
  <c r="CE463" i="31"/>
  <c r="Y1" i="39" l="1"/>
  <c r="Z1" i="39"/>
  <c r="AA1" i="39" s="1"/>
  <c r="Y2" i="39"/>
  <c r="Z2" i="39"/>
  <c r="AA2" i="39"/>
  <c r="Y3" i="39"/>
  <c r="Z3" i="39"/>
  <c r="AA3" i="39" s="1"/>
  <c r="Y4" i="39"/>
  <c r="Z4" i="39"/>
  <c r="AA4" i="39" s="1"/>
  <c r="Y5" i="39"/>
  <c r="Z5" i="39"/>
  <c r="AA5" i="39" s="1"/>
  <c r="Y6" i="39"/>
  <c r="Z6" i="39"/>
  <c r="AA6" i="39" s="1"/>
  <c r="D53" i="39" s="1"/>
  <c r="Y7" i="39"/>
  <c r="Z7" i="39"/>
  <c r="AA7" i="39" s="1"/>
  <c r="Y8" i="39"/>
  <c r="Z8" i="39"/>
  <c r="AA8" i="39" s="1"/>
  <c r="Y9" i="39"/>
  <c r="Z9" i="39"/>
  <c r="AA9" i="39" s="1"/>
  <c r="Y10" i="39"/>
  <c r="Z10" i="39"/>
  <c r="AA10" i="39"/>
  <c r="Y11" i="39"/>
  <c r="Z11" i="39"/>
  <c r="AA11" i="39" s="1"/>
  <c r="Y12" i="39"/>
  <c r="Z12" i="39"/>
  <c r="AA12" i="39"/>
  <c r="Y13" i="39"/>
  <c r="Z13" i="39"/>
  <c r="AA13" i="39" s="1"/>
  <c r="Y14" i="39"/>
  <c r="Z14" i="39"/>
  <c r="AA14" i="39" s="1"/>
  <c r="Y15" i="39"/>
  <c r="Z15" i="39"/>
  <c r="AA15" i="39" s="1"/>
  <c r="Y16" i="39"/>
  <c r="Z16" i="39"/>
  <c r="AA16" i="39" s="1"/>
  <c r="Y17" i="39"/>
  <c r="Z17" i="39"/>
  <c r="AA17" i="39" s="1"/>
  <c r="Y18" i="39"/>
  <c r="Z18" i="39"/>
  <c r="AA18" i="39" s="1"/>
  <c r="Y19" i="39"/>
  <c r="Z19" i="39"/>
  <c r="AA19" i="39" s="1"/>
  <c r="Y20" i="39"/>
  <c r="Z20" i="39"/>
  <c r="AA20" i="39"/>
  <c r="Y21" i="39"/>
  <c r="Z21" i="39"/>
  <c r="AA21" i="39" s="1"/>
  <c r="Y22" i="39"/>
  <c r="Z22" i="39"/>
  <c r="AA22" i="39" s="1"/>
  <c r="Y23" i="39"/>
  <c r="Z23" i="39"/>
  <c r="AA23" i="39" s="1"/>
  <c r="B55" i="39" s="1"/>
  <c r="Y24" i="39"/>
  <c r="Z24" i="39"/>
  <c r="AA24" i="39" s="1"/>
  <c r="C55" i="39" s="1"/>
  <c r="Y25" i="39"/>
  <c r="Z25" i="39"/>
  <c r="AA25" i="39" s="1"/>
  <c r="Y26" i="39"/>
  <c r="Z26" i="39"/>
  <c r="AA26" i="39" s="1"/>
  <c r="E55" i="39" s="1"/>
  <c r="Y27" i="39"/>
  <c r="Z27" i="39"/>
  <c r="AA27" i="39" s="1"/>
  <c r="Y28" i="39"/>
  <c r="Z28" i="39"/>
  <c r="AA28" i="39" s="1"/>
  <c r="C57" i="39" s="1"/>
  <c r="Y29" i="39"/>
  <c r="Z29" i="39"/>
  <c r="AA29" i="39" s="1"/>
  <c r="Y30" i="39"/>
  <c r="Z30" i="39"/>
  <c r="AA30" i="39"/>
  <c r="Y31" i="39"/>
  <c r="Z31" i="39"/>
  <c r="AA31" i="39" s="1"/>
  <c r="Y32" i="39"/>
  <c r="Z32" i="39"/>
  <c r="AA32" i="39" s="1"/>
  <c r="C56" i="39" s="1"/>
  <c r="Y33" i="39"/>
  <c r="Z33" i="39"/>
  <c r="AA33" i="39" s="1"/>
  <c r="Y34" i="39"/>
  <c r="Z34" i="39"/>
  <c r="AA34" i="39" s="1"/>
  <c r="E56" i="39" s="1"/>
  <c r="Y35" i="39"/>
  <c r="Z35" i="39"/>
  <c r="AA35" i="39" s="1"/>
  <c r="F58" i="39" s="1"/>
  <c r="B58" i="39" s="1"/>
  <c r="Y36" i="39"/>
  <c r="Z36" i="39"/>
  <c r="AA36" i="39" s="1"/>
  <c r="F59" i="39" s="1"/>
  <c r="B59" i="39" s="1"/>
  <c r="W44" i="39"/>
  <c r="Z44" i="39" s="1"/>
  <c r="AA44" i="39" s="1"/>
  <c r="X44" i="39"/>
  <c r="W50" i="39"/>
  <c r="X50" i="39"/>
  <c r="W51" i="39"/>
  <c r="X51" i="39"/>
  <c r="W52" i="39"/>
  <c r="X52" i="39"/>
  <c r="B53" i="39"/>
  <c r="W53" i="39"/>
  <c r="X53" i="39"/>
  <c r="Y53" i="39" s="1"/>
  <c r="Y52" i="39" l="1"/>
  <c r="C54" i="39"/>
  <c r="B57" i="39"/>
  <c r="Y50" i="39"/>
  <c r="E54" i="39"/>
  <c r="D56" i="39"/>
  <c r="C53" i="39"/>
  <c r="E57" i="39"/>
  <c r="Y51" i="39"/>
  <c r="D57" i="39"/>
  <c r="B54" i="39"/>
  <c r="D55" i="39"/>
  <c r="B56" i="39"/>
  <c r="D54" i="39"/>
  <c r="F52" i="39"/>
  <c r="B52" i="39" s="1"/>
  <c r="Y44" i="39"/>
  <c r="E53" i="39" s="1"/>
  <c r="Z53" i="39"/>
  <c r="AA53" i="39" s="1"/>
  <c r="F51" i="39" s="1"/>
  <c r="Z51" i="39"/>
  <c r="AA51" i="39" s="1"/>
  <c r="Z52" i="39"/>
  <c r="AA52" i="39" s="1"/>
  <c r="E51" i="39" s="1"/>
  <c r="Z50" i="39"/>
  <c r="AA50" i="39" s="1"/>
  <c r="C51" i="39" s="1"/>
  <c r="G7" i="4"/>
  <c r="G8" i="4"/>
  <c r="G9" i="4"/>
  <c r="G10" i="4"/>
  <c r="G11" i="4"/>
  <c r="G12" i="4"/>
  <c r="G13" i="4"/>
  <c r="G14" i="4"/>
  <c r="G15" i="4"/>
  <c r="G16" i="4"/>
  <c r="G17" i="4"/>
  <c r="G18" i="4"/>
  <c r="G19" i="4"/>
  <c r="G20" i="4"/>
  <c r="G21" i="4"/>
  <c r="G22" i="4"/>
  <c r="G23" i="4"/>
  <c r="G24" i="4"/>
  <c r="E25" i="4"/>
  <c r="F25" i="4" s="1"/>
  <c r="F24" i="4"/>
  <c r="F23" i="4"/>
  <c r="F22" i="4"/>
  <c r="F21" i="4"/>
  <c r="F20" i="4"/>
  <c r="F19" i="4"/>
  <c r="F18" i="4"/>
  <c r="F17" i="4"/>
  <c r="F16" i="4"/>
  <c r="F15" i="4"/>
  <c r="F14" i="4"/>
  <c r="F13" i="4"/>
  <c r="F12" i="4"/>
  <c r="F11" i="4"/>
  <c r="F10" i="4"/>
  <c r="F9" i="4"/>
  <c r="F8" i="4"/>
  <c r="F7" i="4"/>
  <c r="D51" i="39" l="1"/>
  <c r="D7" i="36"/>
  <c r="B6" i="36" l="1"/>
  <c r="B5" i="36"/>
  <c r="B4" i="36"/>
  <c r="B3" i="36"/>
  <c r="B2" i="36"/>
  <c r="B7" i="36" l="1"/>
  <c r="C2" i="36" s="1"/>
  <c r="C7" i="36" l="1"/>
  <c r="C3" i="36"/>
  <c r="C4" i="36"/>
  <c r="C5" i="36"/>
  <c r="C6" i="36"/>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D1" i="31" a="1"/>
  <c r="AE1" i="31" a="1"/>
  <c r="AE2" i="31" a="1"/>
  <c r="AE1" i="31" l="1"/>
  <c r="AE2" i="31"/>
  <c r="D1" i="31"/>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<sst xmlns="http://schemas.openxmlformats.org/spreadsheetml/2006/main" count="10891" uniqueCount="2608">
  <si>
    <t>Man/Day</t>
    <phoneticPr fontId="18" type="noConversion"/>
  </si>
  <si>
    <t>Man-Day</t>
  </si>
  <si>
    <t>Man-Month</t>
  </si>
  <si>
    <t>VALUE3</t>
  </si>
  <si>
    <t>INSERTED_DATE</t>
    <phoneticPr fontId="18" type="noConversion"/>
  </si>
  <si>
    <t>UPDATED_DATE</t>
    <phoneticPr fontId="18" type="noConversion"/>
  </si>
  <si>
    <t>COMPANY</t>
    <phoneticPr fontId="18" type="noConversion"/>
  </si>
  <si>
    <t>XLWorks</t>
    <phoneticPr fontId="18" type="noConversion"/>
  </si>
  <si>
    <t>DO NOT UPDATE</t>
    <phoneticPr fontId="18" type="noConversion"/>
  </si>
  <si>
    <t>AUTHOR_EMAIL</t>
    <phoneticPr fontId="18" type="noConversion"/>
  </si>
  <si>
    <t>PROGRAM_NAME</t>
    <phoneticPr fontId="18" type="noConversion"/>
  </si>
  <si>
    <t>XLGantt</t>
  </si>
  <si>
    <t>PROGRAM_SITE</t>
    <phoneticPr fontId="18" type="noConversion"/>
  </si>
  <si>
    <t>PROGRAM_SITE_DISP</t>
    <phoneticPr fontId="18" type="noConversion"/>
  </si>
  <si>
    <t>VERSION</t>
    <phoneticPr fontId="18" type="noConversion"/>
  </si>
  <si>
    <t>RELEASE_DATE</t>
    <phoneticPr fontId="18" type="noConversion"/>
  </si>
  <si>
    <t>LICENSE</t>
    <phoneticPr fontId="18" type="noConversion"/>
  </si>
  <si>
    <t>Freeware</t>
    <phoneticPr fontId="18"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</si>
  <si>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</si>
  <si>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</si>
  <si>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</si>
  <si>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</si>
  <si>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</si>
  <si>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</si>
  <si>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</si>
  <si>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</si>
  <si>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</si>
  <si>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</si>
  <si>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</si>
  <si>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</si>
  <si>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</si>
  <si>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</si>
  <si>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</si>
  <si>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</si>
  <si>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</si>
  <si>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</si>
  <si>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</si>
  <si>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</si>
  <si>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</si>
  <si>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</si>
  <si>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</si>
  <si>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</si>
  <si>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</si>
  <si>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</si>
  <si>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</si>
  <si>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</si>
  <si>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</si>
  <si>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</si>
  <si>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</si>
  <si>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</si>
  <si>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</si>
  <si>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</si>
  <si>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</si>
  <si>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</si>
  <si>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</si>
  <si>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</si>
  <si>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</si>
  <si>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</si>
  <si>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</si>
  <si>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</si>
  <si>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</si>
  <si>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</si>
  <si>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</si>
  <si>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</si>
  <si>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</si>
  <si>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</si>
  <si>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</si>
  <si>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</si>
  <si>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</si>
  <si>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</si>
  <si>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</si>
  <si>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</si>
  <si>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</si>
  <si>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</si>
  <si>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</si>
  <si>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</si>
  <si>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</si>
  <si>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</si>
  <si>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</si>
  <si>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</si>
  <si>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</si>
  <si>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</si>
  <si>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</si>
  <si>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</si>
  <si>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</si>
  <si>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</si>
  <si>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</si>
  <si>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</si>
  <si>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</si>
  <si>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</si>
  <si>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</si>
  <si>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</si>
  <si>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</si>
  <si>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</si>
  <si>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</si>
  <si>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</si>
  <si>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</si>
  <si>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</si>
  <si>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</si>
  <si>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</si>
  <si>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</si>
  <si>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</si>
  <si>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</si>
  <si>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</si>
  <si>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</si>
  <si>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</si>
  <si>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</si>
  <si>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</si>
  <si>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</si>
  <si>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</si>
  <si>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</si>
  <si>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</si>
  <si>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</si>
  <si>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</si>
  <si>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</si>
  <si>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</si>
  <si>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</si>
  <si>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</si>
  <si>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</si>
  <si>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</si>
  <si>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</si>
  <si>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</si>
  <si>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</si>
  <si>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</si>
  <si>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</si>
  <si>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</si>
  <si>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</si>
  <si>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</si>
  <si>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</si>
  <si>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</si>
  <si>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</si>
  <si>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</si>
  <si>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</si>
  <si>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</si>
  <si>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</si>
  <si>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</si>
  <si>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</si>
  <si>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</si>
  <si>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</si>
  <si>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</si>
  <si>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</si>
  <si>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</si>
  <si>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</si>
  <si>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</si>
  <si>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</si>
  <si>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</si>
  <si>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</si>
  <si>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</si>
  <si>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</si>
  <si>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</si>
  <si>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</si>
  <si>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</si>
  <si>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</si>
  <si>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</si>
  <si>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</si>
  <si>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</si>
  <si>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</si>
  <si>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</si>
  <si>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</si>
  <si>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</si>
  <si>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</si>
  <si>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</si>
  <si>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</si>
  <si>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</si>
  <si>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</si>
  <si>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</si>
  <si>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</si>
  <si>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</si>
  <si>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</si>
  <si>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</si>
  <si>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</si>
  <si>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</si>
  <si>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</si>
  <si>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</si>
  <si>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</si>
  <si>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</si>
  <si>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</si>
  <si>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</si>
  <si>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</si>
  <si>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</si>
  <si>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</si>
  <si>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</si>
  <si>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</si>
  <si>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</si>
  <si>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</si>
  <si>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</si>
  <si>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</si>
  <si>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</si>
  <si>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</si>
  <si>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</si>
  <si>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</si>
  <si>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</si>
  <si>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</si>
  <si>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</si>
  <si>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</si>
  <si>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</si>
  <si>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</si>
  <si>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</si>
  <si>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</si>
  <si>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</si>
  <si>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</si>
  <si>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</si>
  <si>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</si>
  <si>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</si>
  <si>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</si>
  <si>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</si>
  <si>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</si>
  <si>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</si>
  <si>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</si>
  <si>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</si>
  <si>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</si>
  <si>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</si>
  <si>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</si>
  <si>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</si>
  <si>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</si>
  <si>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</si>
  <si>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</si>
  <si>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</si>
  <si>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</si>
  <si>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</si>
  <si>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</si>
  <si>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</si>
  <si>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</si>
  <si>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</si>
  <si>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</si>
  <si>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</si>
  <si>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</si>
  <si>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</si>
  <si>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</si>
  <si>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</si>
  <si>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</si>
  <si>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</si>
  <si>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</si>
  <si>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</si>
  <si>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</si>
  <si>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</si>
  <si>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</si>
  <si>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</si>
  <si>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</si>
  <si>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</si>
  <si>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</si>
  <si>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</si>
  <si>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</si>
  <si>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</si>
  <si>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</si>
  <si>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</si>
  <si>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</si>
  <si>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</si>
  <si>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</si>
  <si>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</si>
  <si>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</si>
  <si>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</si>
  <si>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</si>
  <si>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</si>
  <si>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</si>
  <si>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</si>
  <si>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</si>
  <si>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</si>
  <si>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</si>
  <si>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</si>
  <si>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</si>
  <si>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</si>
  <si>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</si>
  <si>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</si>
  <si>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</si>
  <si>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</si>
  <si>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</si>
  <si>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</si>
  <si>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</si>
  <si>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</si>
  <si>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</si>
  <si>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</si>
  <si>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</si>
  <si>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</si>
  <si>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</si>
  <si>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</si>
  <si>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</si>
  <si>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</si>
  <si>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</si>
  <si>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</si>
  <si>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</si>
  <si>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</si>
  <si>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</si>
  <si>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</si>
  <si>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</si>
  <si>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</si>
  <si>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</si>
  <si>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</si>
  <si>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</si>
  <si>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</si>
  <si>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</si>
  <si>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</si>
  <si>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</si>
  <si>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</si>
  <si>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</si>
  <si>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</si>
  <si>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</si>
  <si>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</si>
  <si>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</si>
  <si>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</si>
  <si>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</si>
  <si>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</si>
  <si>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</si>
  <si>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</si>
  <si>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</si>
  <si>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</si>
  <si>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</si>
  <si>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</si>
  <si>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</si>
  <si>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</si>
  <si>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</si>
  <si>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</si>
  <si>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</si>
  <si>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</si>
  <si>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</si>
  <si>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</si>
  <si>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</si>
  <si>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</si>
  <si>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</si>
  <si>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</si>
  <si>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</si>
  <si>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</si>
  <si>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</si>
  <si>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</si>
  <si>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</si>
  <si>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</si>
  <si>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</si>
  <si>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</si>
  <si>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</si>
  <si>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</si>
  <si>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</si>
  <si>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</si>
  <si>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</si>
  <si>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</si>
  <si>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</si>
  <si>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</si>
  <si>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</si>
  <si>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</si>
  <si>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18" type="noConversion"/>
  </si>
  <si>
    <t>admin@xlworks.net</t>
    <phoneticPr fontId="18"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</si>
  <si>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</si>
  <si>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</si>
  <si>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</si>
  <si>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</si>
  <si>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</si>
  <si>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</si>
  <si>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</si>
  <si>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</si>
  <si>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</si>
  <si>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</si>
  <si>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</si>
  <si>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</si>
  <si>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</si>
  <si>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</si>
  <si>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</si>
  <si>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</si>
  <si>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</si>
  <si>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</si>
  <si>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</si>
  <si>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</si>
  <si>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</si>
  <si>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</si>
  <si>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</si>
  <si>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</si>
  <si>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</si>
  <si>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</si>
  <si>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</si>
  <si>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</si>
  <si>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</si>
  <si>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</si>
  <si>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</si>
  <si>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</si>
  <si>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</si>
  <si>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</si>
  <si>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</si>
  <si>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</si>
  <si>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</si>
  <si>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</si>
  <si>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</si>
  <si>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</si>
  <si>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</si>
  <si>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</si>
  <si>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</si>
  <si>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</si>
  <si>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</si>
  <si>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</si>
  <si>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</si>
  <si>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</si>
  <si>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</si>
  <si>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</si>
  <si>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</si>
  <si>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</si>
  <si>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</si>
  <si>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</si>
  <si>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</si>
  <si>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</si>
  <si>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</si>
  <si>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</si>
  <si>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</si>
  <si>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</si>
  <si>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</si>
  <si>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</si>
  <si>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</si>
  <si>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</si>
  <si>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</si>
  <si>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</si>
  <si>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</si>
  <si>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</si>
  <si>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</si>
  <si>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</si>
  <si>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</si>
  <si>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</si>
  <si>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</si>
  <si>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</si>
  <si>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1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</si>
  <si>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</si>
  <si>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</si>
  <si>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</si>
  <si>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</si>
  <si>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6" type="noConversion"/>
  </si>
  <si>
    <t>Total__Duration</t>
    <phoneticPr fontId="18" type="noConversion"/>
  </si>
  <si>
    <t>Saturdays, Sundays and the dates entered in the Calendar sheet_x000D_</t>
    <phoneticPr fontId="16" type="noConversion"/>
  </si>
  <si>
    <t>Actual__Total Work</t>
    <phoneticPr fontId="18" type="noConversion"/>
  </si>
  <si>
    <t>Reserved</t>
    <phoneticPr fontId="18" type="noConversion"/>
  </si>
  <si>
    <t>Text Index</t>
    <phoneticPr fontId="18" type="noConversion"/>
  </si>
  <si>
    <t>Description</t>
    <phoneticPr fontId="1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</si>
  <si>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6"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</si>
  <si>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6"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</si>
  <si>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6" type="noConversion"/>
  </si>
  <si>
    <t>* You can import  files created in XLGantt._x000D_
* You can import files if the version is 0.9.7 or higher than 0.9.7_x000D_
* You can import up to 10,000 records._x000D_
* You can import multiple files simultaneously.</t>
    <phoneticPr fontId="16"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</si>
  <si>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6" type="noConversion"/>
  </si>
  <si>
    <t>%Work__Complete</t>
    <phoneticPr fontId="18" type="noConversion"/>
  </si>
  <si>
    <t>manual input</t>
    <phoneticPr fontId="16" type="noConversion"/>
  </si>
  <si>
    <t>Actual</t>
    <phoneticPr fontId="16" type="noConversion"/>
  </si>
  <si>
    <t>Actual Total__Duration</t>
    <phoneticPr fontId="18" type="noConversion"/>
  </si>
  <si>
    <t>Actual__Finish</t>
    <phoneticPr fontId="18" type="noConversion"/>
  </si>
  <si>
    <t>Actual__Start</t>
    <phoneticPr fontId="18" type="noConversion"/>
  </si>
  <si>
    <t>Actual__Total Duration</t>
    <phoneticPr fontId="18" type="noConversion"/>
  </si>
  <si>
    <t>Actual\nStart-Finish</t>
    <phoneticPr fontId="16" type="noConversion"/>
  </si>
  <si>
    <t>yyyy/mm/dd</t>
    <phoneticPr fontId="16" type="noConversion"/>
  </si>
  <si>
    <t>Plan</t>
    <phoneticPr fontId="16" type="noConversion"/>
  </si>
  <si>
    <t>Planned__%Work Complete</t>
    <phoneticPr fontId="18" type="noConversion"/>
  </si>
  <si>
    <t>Planned__Duration</t>
    <phoneticPr fontId="18" type="noConversion"/>
  </si>
  <si>
    <t>Planned__Work</t>
    <phoneticPr fontId="18" type="noConversion"/>
  </si>
  <si>
    <t>Resources</t>
    <phoneticPr fontId="16" type="noConversion"/>
  </si>
  <si>
    <t>The language setting has been changed.\nPress the OK button to start translation. \nIt may take a long time to translate.\nHowever, translation of Ribbon menu and Popup menu takes effect after reopening this XLGantt file.</t>
    <phoneticPr fontId="18" type="noConversion"/>
  </si>
  <si>
    <t>Total__Work</t>
    <phoneticPr fontId="18" type="noConversion"/>
  </si>
  <si>
    <t>Would you like to update the schedule before saving?</t>
    <phoneticPr fontId="18" type="noConversion"/>
  </si>
  <si>
    <t>Group rows</t>
    <phoneticPr fontId="16" type="noConversion"/>
  </si>
  <si>
    <t>Schedule</t>
    <phoneticPr fontId="16" type="noConversion"/>
  </si>
  <si>
    <t>Progress</t>
    <phoneticPr fontId="16" type="noConversion"/>
  </si>
  <si>
    <t>AnalysisReport</t>
    <phoneticPr fontId="16" type="noConversion"/>
  </si>
  <si>
    <t>Calendar</t>
    <phoneticPr fontId="16" type="noConversion"/>
  </si>
  <si>
    <t>TranslatedLanguages</t>
    <phoneticPr fontId="16" type="noConversion"/>
  </si>
  <si>
    <t>Gantt Chart Zoom Ratio(Max 999%)</t>
    <phoneticPr fontId="16" type="noConversion"/>
  </si>
  <si>
    <t>Manual</t>
    <phoneticPr fontId="16" type="noConversion"/>
  </si>
  <si>
    <t>Automatic</t>
    <phoneticPr fontId="16" type="noConversion"/>
  </si>
  <si>
    <t>Automatic Except for Data Tables</t>
    <phoneticPr fontId="16" type="noConversion"/>
  </si>
  <si>
    <t>Calculation Options</t>
    <phoneticPr fontId="16" type="noConversion"/>
  </si>
  <si>
    <t>WBS</t>
    <phoneticPr fontId="18" type="noConversion"/>
  </si>
  <si>
    <t>Total Work</t>
  </si>
  <si>
    <t>Planned Work</t>
  </si>
  <si>
    <t>Total Duration</t>
  </si>
  <si>
    <t>Planned Duration</t>
  </si>
  <si>
    <t>Actual Total Work</t>
  </si>
  <si>
    <t>Actual Total Duration</t>
  </si>
  <si>
    <t>Planned %Work Complete</t>
  </si>
  <si>
    <t>for importOnStartup</t>
    <phoneticPr fontId="16" type="noConversion"/>
  </si>
  <si>
    <t>Invalid field name!</t>
    <phoneticPr fontId="16" type="noConversion"/>
  </si>
  <si>
    <t>Import file format Error! Range A1 should contain "xlgantt_reserved" string.</t>
    <phoneticPr fontId="16" type="noConversion"/>
  </si>
  <si>
    <t>Import file format Error! Range A2 should contain the import result.</t>
    <phoneticPr fontId="16" type="noConversion"/>
  </si>
  <si>
    <t>Successfully imported.</t>
    <phoneticPr fontId="16" type="noConversion"/>
  </si>
  <si>
    <t>Recalculate WBS area after import</t>
    <phoneticPr fontId="16" type="noConversion"/>
  </si>
  <si>
    <t>Do not recalculate WBS area after import</t>
    <phoneticPr fontId="16" type="noConversion"/>
  </si>
  <si>
    <t>Number of "Task" columns(Max 20)</t>
    <phoneticPr fontId="16" type="noConversion"/>
  </si>
  <si>
    <t>Import from Server</t>
    <phoneticPr fontId="16" type="noConversion"/>
  </si>
  <si>
    <t>Choose what to do after Importing Server Data</t>
    <phoneticPr fontId="16" type="noConversion"/>
  </si>
  <si>
    <t xml:space="preserve">Import  Data of "ServerData" sheet on Startup </t>
    <phoneticPr fontId="16" type="noConversion"/>
  </si>
  <si>
    <t>Import has already been completed.</t>
    <phoneticPr fontId="16" type="noConversion"/>
  </si>
  <si>
    <t>No data to import.</t>
    <phoneticPr fontId="16" type="noConversion"/>
  </si>
  <si>
    <t>The number of task columns is not 10. Please retry after changing the sheet to its previous state.</t>
    <phoneticPr fontId="16" type="noConversion"/>
  </si>
  <si>
    <t>The week containing the first Thursday of the year is the first week of the year(ISO 8601 Standard).</t>
    <phoneticPr fontId="16" type="noConversion"/>
  </si>
  <si>
    <t>System 2</t>
    <phoneticPr fontId="16" type="noConversion"/>
  </si>
  <si>
    <t>System 1</t>
    <phoneticPr fontId="16" type="noConversion"/>
  </si>
  <si>
    <t>The week containing January 1 is the first week of the year.</t>
    <phoneticPr fontId="16" type="noConversion"/>
  </si>
  <si>
    <t>for Week Number</t>
    <phoneticPr fontId="16" type="noConversion"/>
  </si>
  <si>
    <t>None</t>
    <phoneticPr fontId="16" type="noConversion"/>
  </si>
  <si>
    <t>Week Numbers Display</t>
    <phoneticPr fontId="16" type="noConversion"/>
  </si>
  <si>
    <t>Group rows(Max 8 Levels)</t>
    <phoneticPr fontId="16" type="noConversion"/>
  </si>
  <si>
    <t>totalWorkload</t>
  </si>
  <si>
    <t>planWorkload</t>
  </si>
  <si>
    <t>actualWorkload</t>
  </si>
  <si>
    <t>resourceWeight</t>
  </si>
  <si>
    <t>planRate</t>
  </si>
  <si>
    <t>actualRate</t>
  </si>
  <si>
    <t>reserved index</t>
    <phoneticPr fontId="16" type="noConversion"/>
  </si>
  <si>
    <t>1</t>
  </si>
  <si>
    <t>Actual Accumulated\nMan-Day</t>
    <phoneticPr fontId="16" type="noConversion"/>
  </si>
  <si>
    <t>Actual Man-Day</t>
    <phoneticPr fontId="16" type="noConversion"/>
  </si>
  <si>
    <t>Actual Progress</t>
    <phoneticPr fontId="16" type="noConversion"/>
  </si>
  <si>
    <t>Project Progresses by Weeks</t>
    <phoneticPr fontId="16" type="noConversion"/>
  </si>
  <si>
    <t>* This sheet shows you project progresses by weeks.</t>
    <phoneticPr fontId="16" type="noConversion"/>
  </si>
  <si>
    <t>timebucketStart</t>
  </si>
  <si>
    <t>timebucketFinish</t>
  </si>
  <si>
    <t>actualStart</t>
  </si>
  <si>
    <t>actualFinish</t>
  </si>
  <si>
    <t>Planned Workload(Man-Day)</t>
    <phoneticPr fontId="16" type="noConversion"/>
  </si>
  <si>
    <t>Planned Workload Accumulated(Man-Day)</t>
    <phoneticPr fontId="16" type="noConversion"/>
  </si>
  <si>
    <t>Actual Workload(Man-Day)</t>
    <phoneticPr fontId="16" type="noConversion"/>
  </si>
  <si>
    <t>Actual Workload Progress</t>
    <phoneticPr fontId="16" type="noConversion"/>
  </si>
  <si>
    <t>Planned Workload Progress</t>
    <phoneticPr fontId="16" type="noConversion"/>
  </si>
  <si>
    <t>Actual Workload Accumulated(Man-Day)</t>
    <phoneticPr fontId="16" type="noConversion"/>
  </si>
  <si>
    <t>Progress by Weeks</t>
    <phoneticPr fontId="16" type="noConversion"/>
  </si>
  <si>
    <t>Progress by Months</t>
    <phoneticPr fontId="16" type="noConversion"/>
  </si>
  <si>
    <t>Project Progresses by Months</t>
    <phoneticPr fontId="16" type="noConversion"/>
  </si>
  <si>
    <t>* This sheet shows you project progresses by months.</t>
    <phoneticPr fontId="16" type="noConversion"/>
  </si>
  <si>
    <t>* You need to click the "Progress by Weeks" button to update the contents.</t>
    <phoneticPr fontId="16" type="noConversion"/>
  </si>
  <si>
    <t>* You need to click the "Progress by Months" button to update the contents.</t>
    <phoneticPr fontId="16" type="noConversion"/>
  </si>
  <si>
    <t>Earned Value(Man-Day)</t>
    <phoneticPr fontId="16" type="noConversion"/>
  </si>
  <si>
    <t>Earned Value Accumulated(Man-Day)</t>
    <phoneticPr fontId="16" type="noConversion"/>
  </si>
  <si>
    <t>Earned Value Progress</t>
    <phoneticPr fontId="16" type="noConversion"/>
  </si>
  <si>
    <t>Earned value on planned schedule</t>
    <phoneticPr fontId="16" type="noConversion"/>
  </si>
  <si>
    <t>Earned value on planned schedule when managing schedule changes(Total Duration x %Work Complete)</t>
    <phoneticPr fontId="16" type="noConversion"/>
  </si>
  <si>
    <t>earnedValue</t>
  </si>
  <si>
    <t>Earned Value(C)\nMan-day</t>
    <phoneticPr fontId="16"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</si>
  <si>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</si>
  <si>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</si>
  <si>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</si>
  <si>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</si>
  <si>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</si>
  <si>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</si>
  <si>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</si>
  <si>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</si>
  <si>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</si>
  <si>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</si>
  <si>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</si>
  <si>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</si>
  <si>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6" type="noConversion"/>
  </si>
  <si>
    <t>Workload</t>
    <phoneticPr fontId="16" type="noConversion"/>
  </si>
  <si>
    <t>Workload Data</t>
    <phoneticPr fontId="16" type="noConversion"/>
  </si>
  <si>
    <t>Create Workload Data by Weeks</t>
    <phoneticPr fontId="16" type="noConversion"/>
  </si>
  <si>
    <t>Create Workload Data by Months</t>
  </si>
  <si>
    <t>1.1</t>
  </si>
  <si>
    <t>Earned value on planned schedule(Total Duration x %Work Complete)</t>
    <phoneticPr fontId="16" type="noConversion"/>
  </si>
  <si>
    <t>for help sheet</t>
    <phoneticPr fontId="16"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</si>
  <si>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</si>
  <si>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</si>
  <si>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</si>
  <si>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</si>
  <si>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</si>
  <si>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</si>
  <si>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6" type="noConversion"/>
  </si>
  <si>
    <t>Help and the latest version</t>
    <phoneticPr fontId="16" type="noConversion"/>
  </si>
  <si>
    <t>Sheets</t>
    <phoneticPr fontId="16" type="noConversion"/>
  </si>
  <si>
    <t>When you enter a task and a schedule, the progress rate is calculated and the schedule of the task is displayed as a gantt chart.</t>
    <phoneticPr fontId="16" type="noConversion"/>
  </si>
  <si>
    <t>Shows you the progresses and workloads of the project by weeks, months, and resources.</t>
    <phoneticPr fontId="16" type="noConversion"/>
  </si>
  <si>
    <t>Shows you the workloads, progresses, etc.</t>
    <phoneticPr fontId="16" type="noConversion"/>
  </si>
  <si>
    <t>Sets nonworking days.</t>
    <phoneticPr fontId="16" type="noConversion"/>
  </si>
  <si>
    <t>Makes workload data by weekly and monthly. You can do analysis as you want by using Excel features such as pivot.</t>
    <phoneticPr fontId="16" type="noConversion"/>
  </si>
  <si>
    <t>It is used when you want to see schedule data of IT system where server exists separately.</t>
    <phoneticPr fontId="16" type="noConversion"/>
  </si>
  <si>
    <t>Task input, schedule update</t>
    <phoneticPr fontId="16" type="noConversion"/>
  </si>
  <si>
    <t>Setting Gantt chart display style</t>
    <phoneticPr fontId="16" type="noConversion"/>
  </si>
  <si>
    <t>Keeping track of project progress</t>
    <phoneticPr fontId="16" type="noConversion"/>
  </si>
  <si>
    <t>Analysis report</t>
    <phoneticPr fontId="16" type="noConversion"/>
  </si>
  <si>
    <t>Schedule change</t>
    <phoneticPr fontId="16" type="noConversion"/>
  </si>
  <si>
    <t>Adding Tasks to Microsoft Outlook Calendar</t>
    <phoneticPr fontId="16" type="noConversion"/>
  </si>
  <si>
    <t>Importing Schedules from Another File</t>
    <phoneticPr fontId="16" type="noConversion"/>
  </si>
  <si>
    <t>Integration with Excel Features</t>
    <phoneticPr fontId="16" type="noConversion"/>
  </si>
  <si>
    <t>Importing Server Data</t>
    <phoneticPr fontId="16" type="noConversion"/>
  </si>
  <si>
    <t>When you enter task names, start and finish dates, and %work complete values, XLGantt automatically calculates the tasks durations, planned %work complete values.</t>
    <phoneticPr fontId="16" type="noConversion"/>
  </si>
  <si>
    <t>You can click the "Options" button on the ribbon to customize a Gantt chart style.</t>
    <phoneticPr fontId="16" type="noConversion"/>
  </si>
  <si>
    <t>You can use %work complete to keep track of the progress of the project.</t>
    <phoneticPr fontId="16" type="noConversion"/>
  </si>
  <si>
    <t>Provides you with analytical reports such as progress, workload, and workload data for tracking the status of your project.</t>
    <phoneticPr fontId="16" type="noConversion"/>
  </si>
  <si>
    <t>Manages the planned schedule and actual schedule of the project.</t>
    <phoneticPr fontId="16" type="noConversion"/>
  </si>
  <si>
    <t>Specifies the save path of the deliverables and open the deliverables.</t>
    <phoneticPr fontId="16"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</si>
  <si>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6" type="noConversion"/>
  </si>
  <si>
    <t>Imports schedules into XLGantt. You can import the schedules by mapping the fields.</t>
    <phoneticPr fontId="16" type="noConversion"/>
  </si>
  <si>
    <t>You can include the formulas and functions of the Excel in XLGantt.</t>
    <phoneticPr fontId="16" type="noConversion"/>
  </si>
  <si>
    <t>You can use this feature if you want to see the server's schedule data. If you put the schedule data on the Server into the ServerData sheet and download the XLGantt file and open the XLGantt file, the data comes into the Schedule sheet.</t>
    <phoneticPr fontId="16"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</si>
  <si>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6" type="noConversion"/>
  </si>
  <si>
    <t>Getting Started With XLGantt</t>
    <phoneticPr fontId="16" type="noConversion"/>
  </si>
  <si>
    <t>If you want to learn the features quickly and easily, see the "Getting Started With XLGantt".</t>
    <phoneticPr fontId="16" type="noConversion"/>
  </si>
  <si>
    <t>https://xlworks.net/xlgantt-howto-13-server-data/</t>
    <phoneticPr fontId="16"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</si>
  <si>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6"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</si>
  <si>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6" type="noConversion"/>
  </si>
  <si>
    <t>Adds tasks to the Outlook calendar(You must have Microsoft Outlook installed on your PC).</t>
    <phoneticPr fontId="16" type="noConversion"/>
  </si>
  <si>
    <t>reserved index, for help sheet</t>
    <phoneticPr fontId="16" type="noConversion"/>
  </si>
  <si>
    <t>Color Theme</t>
    <phoneticPr fontId="16" type="noConversion"/>
  </si>
  <si>
    <t>Display date on the timescale</t>
    <phoneticPr fontId="16" type="noConversion"/>
  </si>
  <si>
    <t>Display year on the timescale</t>
    <phoneticPr fontId="16" type="noConversion"/>
  </si>
  <si>
    <t>Display project week number on the timescale</t>
    <phoneticPr fontId="16" type="noConversion"/>
  </si>
  <si>
    <t>Appearance</t>
    <phoneticPr fontId="16" type="noConversion"/>
  </si>
  <si>
    <t>Gantt chart title</t>
    <phoneticPr fontId="16" type="noConversion"/>
  </si>
  <si>
    <t>Gantt chart group task bar</t>
    <phoneticPr fontId="16" type="noConversion"/>
  </si>
  <si>
    <t>Gantt chart sub task bar</t>
    <phoneticPr fontId="16" type="noConversion"/>
  </si>
  <si>
    <t>WBS title - input field</t>
    <phoneticPr fontId="16" type="noConversion"/>
  </si>
  <si>
    <t>WBS title - auto calculated field</t>
    <phoneticPr fontId="16" type="noConversion"/>
  </si>
  <si>
    <t>Workload Calculation</t>
    <phoneticPr fontId="16" type="noConversion"/>
  </si>
  <si>
    <t>by Weight</t>
    <phoneticPr fontId="16" type="noConversion"/>
  </si>
  <si>
    <t>Default</t>
    <phoneticPr fontId="16" type="noConversion"/>
  </si>
  <si>
    <t>Purple</t>
    <phoneticPr fontId="16" type="noConversion"/>
  </si>
  <si>
    <t>Green</t>
    <phoneticPr fontId="16" type="noConversion"/>
  </si>
  <si>
    <t>Custom</t>
    <phoneticPr fontId="16" type="noConversion"/>
  </si>
  <si>
    <t>resourceAssignRate</t>
  </si>
  <si>
    <t>(Resources unspecified)</t>
    <phoneticPr fontId="16" type="noConversion"/>
  </si>
  <si>
    <t>by Resource Allocation Ratio</t>
    <phoneticPr fontId="16" type="noConversion"/>
  </si>
  <si>
    <t>Resource Allocation Ratio</t>
    <phoneticPr fontId="16" type="noConversion"/>
  </si>
  <si>
    <t>The resource allocation ratio in the resource field of row number {1} in the {2} sheet is invalid.</t>
    <phoneticPr fontId="16" type="noConversion"/>
  </si>
  <si>
    <t>The resource field should be entered in the following format.</t>
    <phoneticPr fontId="16" type="noConversion"/>
  </si>
  <si>
    <t>Elsa,John[50%]</t>
    <phoneticPr fontId="16" type="noConversion"/>
  </si>
  <si>
    <t>Mark task as milestone</t>
    <phoneticPr fontId="16" type="noConversion"/>
  </si>
  <si>
    <t>Title above WBS</t>
    <phoneticPr fontId="16" type="noConversion"/>
  </si>
  <si>
    <t>projectWeekNumber</t>
  </si>
  <si>
    <t>Title above Gantt chart</t>
    <phoneticPr fontId="16" type="noConversion"/>
  </si>
  <si>
    <t>Black &amp; White</t>
    <phoneticPr fontId="16" type="noConversion"/>
  </si>
  <si>
    <t>Set "the earliest start date and the lastest fisnish date of the tasks" to the Project Start-Finish date.</t>
    <phoneticPr fontId="16" type="noConversion"/>
  </si>
  <si>
    <t>When not managing schedule changes</t>
    <phoneticPr fontId="16" type="noConversion"/>
  </si>
  <si>
    <t>When managing schedule changes</t>
    <phoneticPr fontId="16" type="noConversion"/>
  </si>
  <si>
    <t>Ahead of schedule</t>
    <phoneticPr fontId="16" type="noConversion"/>
  </si>
  <si>
    <t>On schedule</t>
    <phoneticPr fontId="16" type="noConversion"/>
  </si>
  <si>
    <t>Behind schedule</t>
    <phoneticPr fontId="16" type="noConversion"/>
  </si>
  <si>
    <t>Custom</t>
  </si>
  <si>
    <t>Gantt chart progress line</t>
    <phoneticPr fontId="16" type="noConversion"/>
  </si>
  <si>
    <t>Schedule variance</t>
    <phoneticPr fontId="16" type="noConversion"/>
  </si>
  <si>
    <t>Started earlier than planned</t>
    <phoneticPr fontId="16" type="noConversion"/>
  </si>
  <si>
    <t>Started later than planned</t>
    <phoneticPr fontId="16" type="noConversion"/>
  </si>
  <si>
    <t>Started as planned</t>
    <phoneticPr fontId="16" type="noConversion"/>
  </si>
  <si>
    <t>Star(*) marks-required fields</t>
    <phoneticPr fontId="16" type="noConversion"/>
  </si>
  <si>
    <t>12/1/2018</t>
    <phoneticPr fontId="16" type="noConversion"/>
  </si>
  <si>
    <t>&lt;&lt; Unmap</t>
    <phoneticPr fontId="16" type="noConversion"/>
  </si>
  <si>
    <t>&lt;&lt; Remove</t>
    <phoneticPr fontId="16" type="noConversion"/>
  </si>
  <si>
    <t>https://xlworks.net/xlgantt-easy-tip/</t>
    <phoneticPr fontId="16" type="noConversion"/>
  </si>
  <si>
    <t>https://xlworks.net/xlgantt-howto-02-task/</t>
    <phoneticPr fontId="16" type="noConversion"/>
  </si>
  <si>
    <t>https://xlworks.net/xlgantt-howto-03-gantt-chart/</t>
    <phoneticPr fontId="16" type="noConversion"/>
  </si>
  <si>
    <t>https://xlworks.net/xlgantt-howto-04-project-progress/</t>
    <phoneticPr fontId="16" type="noConversion"/>
  </si>
  <si>
    <t>Help</t>
    <phoneticPr fontId="16" type="noConversion"/>
  </si>
  <si>
    <t>https://xlworks.net/xlgantt-project-scheduler/</t>
    <phoneticPr fontId="16" type="noConversion"/>
  </si>
  <si>
    <t>How to use</t>
    <phoneticPr fontId="16" type="noConversion"/>
  </si>
  <si>
    <t>https://xlworks.net/xlgantt-howto-05-analysis-report/</t>
    <phoneticPr fontId="16" type="noConversion"/>
  </si>
  <si>
    <t>https://xlworks.net/xlgantt-howto-06-schedule-change-management/</t>
    <phoneticPr fontId="16" type="noConversion"/>
  </si>
  <si>
    <t>https://xlworks.net/xlgantt-howto-07-deliverables/</t>
    <phoneticPr fontId="16" type="noConversion"/>
  </si>
  <si>
    <t>https://xlworks.net/xlgantt-howto-08-add-tasks-to-outlook/</t>
    <phoneticPr fontId="16" type="noConversion"/>
  </si>
  <si>
    <t>XLGantt Version {} Terms of Use</t>
    <phoneticPr fontId="16" type="noConversion"/>
  </si>
  <si>
    <t>Display date or day on the timescale</t>
    <phoneticPr fontId="16" type="noConversion"/>
  </si>
  <si>
    <t>Display font color to gray for the completed tasks</t>
    <phoneticPr fontId="16" type="noConversion"/>
  </si>
  <si>
    <t>Display interior color to gray for the task groups</t>
    <phoneticPr fontId="16" type="noConversion"/>
  </si>
  <si>
    <t>Left</t>
    <phoneticPr fontId="16" type="noConversion"/>
  </si>
  <si>
    <t>Center</t>
    <phoneticPr fontId="16" type="noConversion"/>
  </si>
  <si>
    <t>Right</t>
    <phoneticPr fontId="16" type="noConversion"/>
  </si>
  <si>
    <t>Align WBS Column</t>
    <phoneticPr fontId="16" type="noConversion"/>
  </si>
  <si>
    <t>Date</t>
    <phoneticPr fontId="16" type="noConversion"/>
  </si>
  <si>
    <t>Day</t>
    <phoneticPr fontId="16" type="noConversion"/>
  </si>
  <si>
    <t>The same field name exists.</t>
    <phoneticPr fontId="16" type="noConversion"/>
  </si>
  <si>
    <t>Enter tasks, Update schedule</t>
    <phoneticPr fontId="16" type="noConversion"/>
  </si>
  <si>
    <t>Displayed in %Work complete column</t>
    <phoneticPr fontId="16" type="noConversion"/>
  </si>
  <si>
    <t>CM</t>
  </si>
  <si>
    <t>ITEM</t>
  </si>
  <si>
    <t>VALUE1</t>
  </si>
  <si>
    <t>VALUE2</t>
  </si>
  <si>
    <t>ITEM_GROUP</t>
    <phoneticPr fontId="16" type="noConversion"/>
  </si>
  <si>
    <t>DESCRIPTION</t>
    <phoneticPr fontId="18"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</si>
  <si>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</si>
  <si>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</si>
  <si>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</si>
  <si>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</si>
  <si>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</si>
  <si>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</si>
  <si>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</si>
  <si>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</si>
  <si>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</si>
  <si>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</si>
  <si>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</si>
  <si>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</si>
  <si>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</si>
  <si>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</si>
  <si>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</si>
  <si>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</si>
  <si>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</si>
  <si>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</si>
  <si>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</si>
  <si>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</si>
  <si>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</si>
  <si>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</si>
  <si>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</si>
  <si>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</si>
  <si>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</si>
  <si>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</si>
  <si>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</si>
  <si>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</si>
  <si>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</si>
  <si>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</si>
  <si>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</si>
  <si>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</si>
  <si>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</si>
  <si>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</si>
  <si>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</si>
  <si>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</si>
  <si>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</si>
  <si>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</si>
  <si>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</si>
  <si>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</si>
  <si>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</si>
  <si>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</si>
  <si>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</si>
  <si>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</si>
  <si>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6"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</si>
  <si>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</si>
  <si>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</si>
  <si>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</si>
  <si>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</si>
  <si>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</si>
  <si>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</si>
  <si>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</si>
  <si>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</si>
  <si>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</si>
  <si>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</si>
  <si>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</si>
  <si>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</si>
  <si>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</si>
  <si>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</si>
  <si>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</si>
  <si>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</si>
  <si>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6" type="noConversion"/>
  </si>
  <si>
    <t>OL</t>
    <phoneticPr fontId="16" type="noConversion"/>
  </si>
  <si>
    <t>Select Formula Cells</t>
    <phoneticPr fontId="16" type="noConversion"/>
  </si>
  <si>
    <t>5.0.0</t>
    <phoneticPr fontId="16" type="noConversion"/>
  </si>
  <si>
    <t xml:space="preserve">XLGantt 5.0.0 ©XLWorks </t>
    <phoneticPr fontId="18" type="noConversion"/>
  </si>
  <si>
    <t>Average number of working days per month</t>
    <phoneticPr fontId="16" type="noConversion"/>
  </si>
  <si>
    <t>Free space in the print area</t>
    <phoneticPr fontId="16" type="noConversion"/>
  </si>
  <si>
    <t>Automatically adjust height of Schedule sheet rows 1-4</t>
    <phoneticPr fontId="16" type="noConversion"/>
  </si>
  <si>
    <t>Program error has occurred.</t>
    <phoneticPr fontId="16" type="noConversion"/>
  </si>
  <si>
    <t>Program error has occurred, this error can occur because of the following:\n\n1. An incorrect value was entered in the Schedule sheet (eg, a value beginning with an equal sign (=) was entered except in the date field).\n\n2. {1}</t>
    <phoneticPr fontId="16" type="noConversion"/>
  </si>
  <si>
    <t>Program error has occurred.\n\n{1}\nError code:{2}\n\nIf this program file is stored in a cloud storage such as Microsoft OneDrive, move it to a local drive on your PC and use it.</t>
    <phoneticPr fontId="16" type="noConversion"/>
  </si>
  <si>
    <t>Program error has occurred.\n\n{1}\nError code:{2}</t>
    <phoneticPr fontId="16" type="noConversion"/>
  </si>
  <si>
    <t>DO NOT UPDATE, DO NOT MOVE ROW 8 TO ANOTHER ROW</t>
    <phoneticPr fontId="18"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</si>
  <si>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</si>
  <si>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</si>
  <si>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</si>
  <si>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</si>
  <si>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</si>
  <si>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</si>
  <si>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</si>
  <si>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</si>
  <si>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</si>
  <si>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</si>
  <si>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</si>
  <si>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</si>
  <si>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</si>
  <si>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</si>
  <si>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</si>
  <si>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</si>
  <si>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</si>
  <si>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</si>
  <si>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</si>
  <si>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</si>
  <si>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</si>
  <si>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</si>
  <si>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</si>
  <si>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</si>
  <si>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</si>
  <si>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</si>
  <si>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</si>
  <si>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</si>
  <si>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</si>
  <si>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</si>
  <si>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</si>
  <si>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</si>
  <si>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</si>
  <si>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</si>
  <si>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</si>
  <si>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</si>
  <si>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</si>
  <si>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</si>
  <si>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</si>
  <si>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</si>
  <si>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16" type="noConversion"/>
  </si>
  <si>
    <t>OW</t>
    <phoneticPr fontId="16" type="noConversion"/>
  </si>
  <si>
    <t>OD</t>
    <phoneticPr fontId="16" type="noConversion"/>
  </si>
  <si>
    <t>OP</t>
    <phoneticPr fontId="16" type="noConversion"/>
  </si>
  <si>
    <t>https://xlworks.io/xlgantt-project-scheduler/</t>
  </si>
  <si>
    <t>https://xlworks.io/xlgantt-project-scheduler/</t>
    <phoneticPr fontId="18"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</si>
  <si>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</si>
  <si>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</si>
  <si>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</si>
  <si>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</si>
  <si>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</si>
  <si>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</si>
  <si>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</si>
  <si>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</si>
  <si>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</si>
  <si>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</si>
  <si>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</si>
  <si>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</si>
  <si>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</si>
  <si>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6" type="noConversion"/>
  </si>
  <si>
    <t>https://xlworks.net/</t>
    <phoneticPr fontId="16"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</si>
  <si>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</si>
  <si>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6"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</si>
  <si>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</si>
  <si>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</si>
  <si>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</si>
  <si>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</si>
  <si>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6"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</si>
  <si>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</si>
  <si>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6"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</si>
  <si>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6"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</si>
  <si>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</si>
  <si>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6"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</si>
  <si>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6"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</si>
  <si>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6"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</si>
  <si>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</si>
  <si>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</si>
  <si>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</si>
  <si>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</si>
  <si>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</si>
  <si>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</si>
  <si>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</si>
  <si>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</si>
  <si>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</si>
  <si>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</si>
  <si>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</si>
  <si>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</si>
  <si>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</si>
  <si>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6"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</si>
  <si>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</si>
  <si>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</si>
  <si>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</si>
  <si>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6"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</si>
  <si>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6"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</si>
  <si>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</si>
  <si>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</si>
  <si>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</si>
  <si>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</si>
  <si>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6"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</si>
  <si>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6"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</si>
  <si>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</si>
  <si>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</si>
  <si>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</si>
  <si>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</si>
  <si>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</si>
  <si>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</si>
  <si>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</si>
  <si>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</si>
  <si>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</si>
  <si>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6"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</si>
  <si>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</si>
  <si>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</si>
  <si>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6"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</si>
  <si>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</si>
  <si>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</si>
  <si>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</si>
  <si>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</si>
  <si>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</si>
  <si>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6" type="noConversion"/>
  </si>
  <si>
    <r>
      <rPr>
        <sz val="9"/>
        <color theme="1"/>
        <rFont val="맑은 고딕"/>
        <family val="3"/>
        <charset val="129"/>
      </rPr>
      <t>실제진척율</t>
    </r>
    <phoneticPr fontId="16"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</si>
  <si>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</si>
  <si>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</si>
  <si>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</si>
  <si>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</si>
  <si>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</si>
  <si>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</si>
  <si>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</si>
  <si>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</si>
  <si>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</si>
  <si>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18"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</si>
  <si>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</si>
  <si>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18"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</si>
  <si>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6"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</si>
  <si>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6" type="noConversion"/>
  </si>
  <si>
    <r>
      <rPr>
        <sz val="9"/>
        <color theme="1"/>
        <rFont val="맑은 고딕"/>
        <family val="3"/>
        <charset val="129"/>
      </rPr>
      <t>실제작업량</t>
    </r>
    <r>
      <rPr>
        <sz val="9"/>
        <color theme="1"/>
        <rFont val="Calibri"/>
        <family val="2"/>
      </rPr>
      <t>(Man-Day)</t>
    </r>
    <phoneticPr fontId="16"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</si>
  <si>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18"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</si>
  <si>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18"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</si>
  <si>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18"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</si>
  <si>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18"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</si>
  <si>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6"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</si>
  <si>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6"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</si>
  <si>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6"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</si>
  <si>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6"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</si>
  <si>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</si>
  <si>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6"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</si>
  <si>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</si>
  <si>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</si>
  <si>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</si>
  <si>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</si>
  <si>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</si>
  <si>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</si>
  <si>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</si>
  <si>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</si>
  <si>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</si>
  <si>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6"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</si>
  <si>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</si>
  <si>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</si>
  <si>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</si>
  <si>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</si>
  <si>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</si>
  <si>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</si>
  <si>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6" type="noConversion"/>
  </si>
  <si>
    <r>
      <rPr>
        <sz val="9"/>
        <color theme="1"/>
        <rFont val="맑은 고딕"/>
        <family val="3"/>
        <charset val="129"/>
      </rPr>
      <t>자동</t>
    </r>
    <phoneticPr fontId="16"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</si>
  <si>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6"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</si>
  <si>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</si>
  <si>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</si>
  <si>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</si>
  <si>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</si>
  <si>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</si>
  <si>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6" type="noConversion"/>
  </si>
  <si>
    <r>
      <rPr>
        <sz val="9"/>
        <color theme="1"/>
        <rFont val="맑은 고딕"/>
        <family val="3"/>
        <charset val="129"/>
      </rPr>
      <t>흑백</t>
    </r>
    <phoneticPr fontId="16"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</si>
  <si>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</si>
  <si>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</si>
  <si>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6"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</si>
  <si>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6"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</si>
  <si>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6"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</si>
  <si>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</si>
  <si>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</si>
  <si>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</si>
  <si>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6"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</si>
  <si>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</si>
  <si>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</si>
  <si>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6"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</si>
  <si>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</si>
  <si>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</si>
  <si>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</si>
  <si>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</si>
  <si>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</si>
  <si>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</si>
  <si>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</si>
  <si>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</si>
  <si>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</si>
  <si>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6"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</si>
  <si>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</si>
  <si>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6"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</si>
  <si>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</si>
  <si>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</si>
  <si>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</si>
  <si>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6"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</si>
  <si>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</si>
  <si>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6"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</si>
  <si>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</si>
  <si>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</si>
  <si>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</si>
  <si>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</si>
  <si>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6"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</si>
  <si>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</si>
  <si>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</si>
  <si>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</si>
  <si>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</si>
  <si>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</si>
  <si>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6"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</si>
  <si>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</si>
  <si>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</si>
  <si>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</si>
  <si>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6"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</si>
  <si>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</si>
  <si>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</si>
  <si>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</si>
  <si>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</si>
  <si>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6"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</si>
  <si>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6"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</si>
  <si>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</si>
  <si>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6"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</si>
  <si>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</si>
  <si>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</si>
  <si>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</si>
  <si>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</si>
  <si>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6" type="noConversion"/>
  </si>
  <si>
    <r>
      <rPr>
        <sz val="9"/>
        <color theme="1"/>
        <rFont val="맑은 고딕"/>
        <family val="3"/>
        <charset val="129"/>
      </rPr>
      <t>실적기성</t>
    </r>
    <phoneticPr fontId="16"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</si>
  <si>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6"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</si>
  <si>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6"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</si>
  <si>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6" type="noConversion"/>
  </si>
  <si>
    <r>
      <rPr>
        <sz val="9"/>
        <color theme="1"/>
        <rFont val="맑은 고딕"/>
        <family val="3"/>
        <charset val="129"/>
      </rPr>
      <t>실적기성</t>
    </r>
    <r>
      <rPr>
        <sz val="9"/>
        <color theme="1"/>
        <rFont val="Calibri"/>
        <family val="2"/>
      </rPr>
      <t>( C )\nMan-day</t>
    </r>
    <phoneticPr fontId="16" type="noConversion"/>
  </si>
  <si>
    <r>
      <rPr>
        <sz val="9"/>
        <color theme="1"/>
        <rFont val="맑은 고딕"/>
        <family val="3"/>
        <charset val="129"/>
      </rPr>
      <t>실적기성</t>
    </r>
    <r>
      <rPr>
        <sz val="9"/>
        <color theme="1"/>
        <rFont val="Calibri"/>
        <family val="2"/>
      </rPr>
      <t>(Man-Day)</t>
    </r>
    <phoneticPr fontId="16"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</si>
  <si>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</si>
  <si>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6"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</si>
  <si>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</si>
  <si>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</si>
  <si>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</si>
  <si>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</si>
  <si>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</si>
  <si>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6"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</si>
  <si>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</si>
  <si>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</si>
  <si>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</si>
  <si>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</si>
  <si>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</si>
  <si>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</si>
  <si>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</si>
  <si>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</si>
  <si>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</si>
  <si>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</si>
  <si>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</si>
  <si>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</si>
  <si>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</si>
  <si>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</si>
  <si>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</si>
  <si>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</si>
  <si>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6"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</si>
  <si>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6"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</si>
  <si>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6"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</si>
  <si>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6"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</si>
  <si>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</si>
  <si>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6" type="noConversion"/>
  </si>
  <si>
    <r>
      <rPr>
        <sz val="9"/>
        <color theme="1"/>
        <rFont val="맑은 고딕"/>
        <family val="3"/>
        <charset val="129"/>
      </rPr>
      <t>일반</t>
    </r>
    <phoneticPr fontId="16"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</si>
  <si>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</si>
  <si>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6"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</si>
  <si>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6"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</si>
  <si>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6" type="noConversion"/>
  </si>
  <si>
    <r>
      <rPr>
        <sz val="9"/>
        <color theme="1"/>
        <rFont val="맑은 고딕"/>
        <family val="3"/>
        <charset val="129"/>
      </rPr>
      <t>도움말</t>
    </r>
    <phoneticPr fontId="16"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</si>
  <si>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6" type="noConversion"/>
  </si>
  <si>
    <r>
      <rPr>
        <sz val="9"/>
        <color theme="1"/>
        <rFont val="맑은 고딕"/>
        <family val="3"/>
        <charset val="129"/>
      </rPr>
      <t>사용법</t>
    </r>
    <phoneticPr fontId="16"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</si>
  <si>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</si>
  <si>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</si>
  <si>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</si>
  <si>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</si>
  <si>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</si>
  <si>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6"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</si>
  <si>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</si>
  <si>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</si>
  <si>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</si>
  <si>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6"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</si>
  <si>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6"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</si>
  <si>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</si>
  <si>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6"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</si>
  <si>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6"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</si>
  <si>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</si>
  <si>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</si>
  <si>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</si>
  <si>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</si>
  <si>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</si>
  <si>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</si>
  <si>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</si>
  <si>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</si>
  <si>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</si>
  <si>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</si>
  <si>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</si>
  <si>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</si>
  <si>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</si>
  <si>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6"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</si>
  <si>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6"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</si>
  <si>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</si>
  <si>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</si>
  <si>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</si>
  <si>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</si>
  <si>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</si>
  <si>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6"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</si>
  <si>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</si>
  <si>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</si>
  <si>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6"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</si>
  <si>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</si>
  <si>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</si>
  <si>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6"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</si>
  <si>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6"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</si>
  <si>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</si>
  <si>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</si>
  <si>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</si>
  <si>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</si>
  <si>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</si>
  <si>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</si>
  <si>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</si>
  <si>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</si>
  <si>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6"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</si>
  <si>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</si>
  <si>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6"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</si>
  <si>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6"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</si>
  <si>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</si>
  <si>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</si>
  <si>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</si>
  <si>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</si>
  <si>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</si>
  <si>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6"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</si>
  <si>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</si>
  <si>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6"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</si>
  <si>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</si>
  <si>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6"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</si>
  <si>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6"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</si>
  <si>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</si>
  <si>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</si>
  <si>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</si>
  <si>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</si>
  <si>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</si>
  <si>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</si>
  <si>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</si>
  <si>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6" type="noConversion"/>
  </si>
  <si>
    <r>
      <rPr>
        <sz val="9"/>
        <color theme="1"/>
        <rFont val="맑은 고딕"/>
        <family val="3"/>
        <charset val="129"/>
      </rPr>
      <t>계획진척율</t>
    </r>
    <phoneticPr fontId="16"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</si>
  <si>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6"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</si>
  <si>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</si>
  <si>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</si>
  <si>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</si>
  <si>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</si>
  <si>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</si>
  <si>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</si>
  <si>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</si>
  <si>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</si>
  <si>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</si>
  <si>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6"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</si>
  <si>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</si>
  <si>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6" type="noConversion"/>
  </si>
  <si>
    <r>
      <rPr>
        <sz val="9"/>
        <color theme="1"/>
        <rFont val="맑은 고딕"/>
        <family val="3"/>
        <charset val="129"/>
      </rPr>
      <t>계획작업량</t>
    </r>
    <r>
      <rPr>
        <sz val="9"/>
        <color theme="1"/>
        <rFont val="Calibri"/>
        <family val="2"/>
      </rPr>
      <t>(Man-Day)</t>
    </r>
    <phoneticPr fontId="16"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</si>
  <si>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</si>
  <si>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18"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</si>
  <si>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18"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</si>
  <si>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</si>
  <si>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</si>
  <si>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</si>
  <si>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</si>
  <si>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</si>
  <si>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</si>
  <si>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</si>
  <si>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</si>
  <si>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</si>
  <si>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</si>
  <si>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</si>
  <si>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</si>
  <si>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</si>
  <si>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6"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</si>
  <si>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6"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</si>
  <si>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6"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</si>
  <si>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</si>
  <si>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</si>
  <si>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</si>
  <si>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6"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</si>
  <si>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6"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</si>
  <si>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6"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</si>
  <si>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6"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</si>
  <si>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6" type="noConversion"/>
  </si>
  <si>
    <r>
      <rPr>
        <sz val="9"/>
        <color theme="1"/>
        <rFont val="맑은 고딕"/>
        <family val="3"/>
        <charset val="129"/>
      </rPr>
      <t>퍼플</t>
    </r>
    <phoneticPr fontId="16"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</si>
  <si>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6"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</si>
  <si>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6"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</si>
  <si>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</si>
  <si>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</si>
  <si>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6"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</si>
  <si>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</si>
  <si>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</si>
  <si>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</si>
  <si>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6"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</si>
  <si>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</si>
  <si>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</si>
  <si>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</si>
  <si>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</si>
  <si>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6"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</si>
  <si>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</si>
  <si>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</si>
  <si>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</si>
  <si>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</si>
  <si>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</si>
  <si>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</si>
  <si>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</si>
  <si>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</si>
  <si>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</si>
  <si>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6"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</si>
  <si>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</si>
  <si>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</si>
  <si>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</si>
  <si>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</si>
  <si>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</si>
  <si>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</si>
  <si>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6"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</si>
  <si>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</si>
  <si>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</si>
  <si>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</si>
  <si>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</si>
  <si>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</si>
  <si>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6"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</si>
  <si>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6"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</si>
  <si>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6"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</si>
  <si>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</si>
  <si>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6"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</si>
  <si>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</si>
  <si>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6"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</si>
  <si>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</si>
  <si>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6"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</si>
  <si>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</si>
  <si>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</si>
  <si>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</si>
  <si>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</si>
  <si>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</si>
  <si>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</si>
  <si>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</si>
  <si>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</si>
  <si>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</si>
  <si>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</si>
  <si>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</si>
  <si>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</si>
  <si>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</si>
  <si>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</si>
  <si>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</si>
  <si>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</si>
  <si>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</si>
  <si>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</si>
  <si>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</si>
  <si>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</si>
  <si>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</si>
  <si>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</si>
  <si>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</si>
  <si>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</si>
  <si>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</si>
  <si>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</si>
  <si>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</si>
  <si>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</si>
  <si>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</si>
  <si>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</si>
  <si>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</si>
  <si>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</si>
  <si>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</si>
  <si>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</si>
  <si>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</si>
  <si>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</si>
  <si>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</si>
  <si>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</si>
  <si>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</si>
  <si>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</si>
  <si>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</si>
  <si>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</si>
  <si>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</si>
  <si>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</si>
  <si>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</si>
  <si>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</si>
  <si>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</si>
  <si>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</si>
  <si>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18"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</si>
  <si>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</si>
  <si>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</si>
  <si>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</si>
  <si>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</si>
  <si>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6"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</si>
  <si>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</si>
  <si>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</si>
  <si>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</si>
  <si>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</si>
  <si>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6"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</si>
  <si>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</si>
  <si>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</si>
  <si>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</si>
  <si>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</si>
  <si>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</si>
  <si>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</si>
  <si>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6"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</si>
  <si>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6"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</si>
  <si>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</si>
  <si>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</si>
  <si>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</si>
  <si>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</si>
  <si>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</si>
  <si>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</si>
  <si>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</si>
  <si>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</si>
  <si>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</si>
  <si>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</si>
  <si>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</si>
  <si>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</si>
  <si>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</si>
  <si>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</si>
  <si>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</si>
  <si>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6"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</si>
  <si>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6"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</si>
  <si>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</si>
  <si>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</si>
  <si>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</si>
  <si>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</si>
  <si>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</si>
  <si>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</si>
  <si>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</si>
  <si>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</si>
  <si>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</si>
  <si>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</si>
  <si>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18"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</si>
  <si>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18"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</si>
  <si>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</si>
  <si>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</si>
  <si>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</si>
  <si>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</si>
  <si>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</si>
  <si>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</si>
  <si>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6"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</si>
  <si>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</si>
  <si>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</si>
  <si>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</si>
  <si>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</si>
  <si>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</si>
  <si>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</si>
  <si>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</si>
  <si>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6"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</si>
  <si>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6"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</si>
  <si>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</si>
  <si>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6"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</si>
  <si>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</si>
  <si>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</si>
  <si>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</si>
  <si>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</si>
  <si>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</si>
  <si>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6"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</si>
  <si>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6"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</si>
  <si>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6"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</si>
  <si>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</si>
  <si>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</si>
  <si>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6"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</si>
  <si>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</si>
  <si>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</si>
  <si>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</si>
  <si>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</si>
  <si>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18"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</si>
  <si>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6" type="noConversion"/>
  </si>
  <si>
    <r>
      <t xml:space="preserve">XLGantt Version {} </t>
    </r>
    <r>
      <rPr>
        <sz val="9"/>
        <color theme="1"/>
        <rFont val="맑은 고딕"/>
        <family val="3"/>
        <charset val="129"/>
      </rPr>
      <t>사용조건</t>
    </r>
    <phoneticPr fontId="16"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</si>
  <si>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</si>
  <si>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</si>
  <si>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</si>
  <si>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</si>
  <si>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</si>
  <si>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</si>
  <si>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</si>
  <si>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</si>
  <si>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</si>
  <si>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</si>
  <si>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</si>
  <si>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</si>
  <si>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</si>
  <si>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</si>
  <si>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</si>
  <si>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</si>
  <si>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</si>
  <si>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</si>
  <si>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</si>
  <si>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</si>
  <si>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</si>
  <si>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</si>
  <si>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</si>
  <si>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</si>
  <si>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</si>
  <si>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</si>
  <si>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6" type="noConversion"/>
  </si>
  <si>
    <r>
      <rPr>
        <sz val="9"/>
        <color theme="1"/>
        <rFont val="맑은 고딕"/>
        <family val="3"/>
        <charset val="129"/>
      </rPr>
      <t>요일</t>
    </r>
    <phoneticPr fontId="16"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</si>
  <si>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6"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</si>
  <si>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6" type="noConversion"/>
  </si>
  <si>
    <r>
      <rPr>
        <sz val="9"/>
        <color theme="1"/>
        <rFont val="맑은 고딕"/>
        <family val="3"/>
        <charset val="129"/>
      </rPr>
      <t>왼쪽</t>
    </r>
    <phoneticPr fontId="16" type="noConversion"/>
  </si>
  <si>
    <r>
      <rPr>
        <sz val="9"/>
        <color theme="1"/>
        <rFont val="맑은 고딕"/>
        <family val="3"/>
        <charset val="129"/>
      </rPr>
      <t>가운데</t>
    </r>
    <phoneticPr fontId="16" type="noConversion"/>
  </si>
  <si>
    <r>
      <rPr>
        <sz val="9"/>
        <color theme="1"/>
        <rFont val="맑은 고딕"/>
        <family val="3"/>
        <charset val="129"/>
      </rPr>
      <t>오른쪽</t>
    </r>
    <phoneticPr fontId="16"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</si>
  <si>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6"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</si>
  <si>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6"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</si>
  <si>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6"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</si>
  <si>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6"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</si>
  <si>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</si>
  <si>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6"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</si>
  <si>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</si>
  <si>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6" type="noConversion"/>
  </si>
  <si>
    <t>You can select the workload calculation method.</t>
    <phoneticPr fontId="16" type="noConversion"/>
  </si>
  <si>
    <t>You can set the appearance and color of the XLGantt.</t>
    <phoneticPr fontId="16" type="noConversion"/>
  </si>
  <si>
    <t>작업량 계산 방식을 선택할 수 있다.</t>
    <phoneticPr fontId="16" type="noConversion"/>
  </si>
  <si>
    <t>엑셀간트의 모양과 색상을 지정할 수 있다.</t>
    <phoneticPr fontId="16"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</si>
  <si>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6" type="noConversion"/>
  </si>
  <si>
    <t>https://xlworks.io/xlgantt-howto-14-workloads/</t>
    <phoneticPr fontId="16" type="noConversion"/>
  </si>
  <si>
    <t>https://xlworks.io/xlgantt-howto-15-color-theme/</t>
    <phoneticPr fontId="16" type="noConversion"/>
  </si>
  <si>
    <t>https://xlworks.net/xlgantt-howto-14-workloads/</t>
    <phoneticPr fontId="16" type="noConversion"/>
  </si>
  <si>
    <t>https://xlworks.net/xlgantt-howto-15-color-theme/</t>
    <phoneticPr fontId="16" type="noConversion"/>
  </si>
  <si>
    <t>OG</t>
  </si>
  <si>
    <t>XLGanttFileCalcMode</t>
  </si>
  <si>
    <t>Total</t>
  </si>
  <si>
    <t>Setting Task Dependencies</t>
    <phoneticPr fontId="16" type="noConversion"/>
  </si>
  <si>
    <t>작업 의존관계 설정</t>
    <phoneticPr fontId="16" type="noConversion"/>
  </si>
  <si>
    <t>You can set the Task Dependencies(FS,SS,FF,SF).</t>
    <phoneticPr fontId="16" type="noConversion"/>
  </si>
  <si>
    <t>https://xlworks.io/xlgantt-howto-16-task-dependencies/</t>
    <phoneticPr fontId="16" type="noConversion"/>
  </si>
  <si>
    <t>https://xlworks.net/xlgantt-howto-16-task-dependencies/</t>
    <phoneticPr fontId="16" type="noConversion"/>
  </si>
  <si>
    <t>작업 의존관계(FS,SS,FF,SF)를 설정할 수 있다.</t>
    <phoneticPr fontId="16" type="noConversion"/>
  </si>
  <si>
    <t>자동지정</t>
    <phoneticPr fontId="16" type="noConversion"/>
  </si>
  <si>
    <t>엑셀간트(XLGantt) - 엑셀 일정관리</t>
    <phoneticPr fontId="30"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</si>
  <si>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6"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</si>
  <si>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30" type="noConversion"/>
  </si>
  <si>
    <t>시트 구성</t>
    <phoneticPr fontId="30" type="noConversion"/>
  </si>
  <si>
    <t>작업과 일정을 입력하면 진척율이 계산되며 작업의 일정을 간트차트로 표시해 준다.</t>
    <phoneticPr fontId="16" type="noConversion"/>
  </si>
  <si>
    <t>작업량, 진척율 등을 볼 수 있다.</t>
    <phoneticPr fontId="16" type="noConversion"/>
  </si>
  <si>
    <t>담당별 진행율, Workload등 분석용 Report를 만들어서 보여준다.</t>
    <phoneticPr fontId="16" type="noConversion"/>
  </si>
  <si>
    <t>프로젝트의 휴무일을 설정한다.</t>
    <phoneticPr fontId="16" type="noConversion"/>
  </si>
  <si>
    <t>Workload data를 주별/월별로 만들어 준다. 피벗 등의 기능으로 사용자가 원하는대로 분석을 할 수 있다.</t>
    <phoneticPr fontId="16" type="noConversion"/>
  </si>
  <si>
    <t>(숨겨진 시트) 언어별 번역이 들어 있다.</t>
    <phoneticPr fontId="16" type="noConversion"/>
  </si>
  <si>
    <t>사용법</t>
    <phoneticPr fontId="30" type="noConversion"/>
  </si>
  <si>
    <t>간단 사용법</t>
    <phoneticPr fontId="16" type="noConversion"/>
  </si>
  <si>
    <t>간트차트 표시방법 설정</t>
    <phoneticPr fontId="16" type="noConversion"/>
  </si>
  <si>
    <t>프로젝트 전체 진행상황 파악하기</t>
    <phoneticPr fontId="16" type="noConversion"/>
  </si>
  <si>
    <t>분석 리포트</t>
    <phoneticPr fontId="16" type="noConversion"/>
  </si>
  <si>
    <t>일정계획 변경관리</t>
    <phoneticPr fontId="16" type="noConversion"/>
  </si>
  <si>
    <t>산출물</t>
    <phoneticPr fontId="16" type="noConversion"/>
  </si>
  <si>
    <t>Microsoft Outlook작업, 일정등록</t>
    <phoneticPr fontId="16" type="noConversion"/>
  </si>
  <si>
    <t>다국어 지원</t>
    <phoneticPr fontId="16" type="noConversion"/>
  </si>
  <si>
    <t>다른 파일에서 일정 가져오기</t>
    <phoneticPr fontId="16" type="noConversion"/>
  </si>
  <si>
    <t>Excel기능과 통합</t>
    <phoneticPr fontId="16" type="noConversion"/>
  </si>
  <si>
    <t>작업량 계산</t>
    <phoneticPr fontId="16" type="noConversion"/>
  </si>
  <si>
    <t>WBS영역, 컬러테마 설정</t>
    <phoneticPr fontId="16" type="noConversion"/>
  </si>
  <si>
    <t>기능을 간단히 빨리 익히고 싶으면 “간단 사용법”을 참고한다</t>
    <phoneticPr fontId="16" type="noConversion"/>
  </si>
  <si>
    <t>작업명, 시작일, 완료일, 진척율을 입력하면 휴무일, 가중치를 고려하여 자동으로 작업기간, 계획진척율, 실적진척율 등이 계산된다.</t>
    <phoneticPr fontId="16" type="noConversion"/>
  </si>
  <si>
    <t>Bar chart형태로 간트차트를 보여주며 여러 가지 표시방법을 옵션에서 설정할 수 있다.</t>
    <phoneticPr fontId="16" type="noConversion"/>
  </si>
  <si>
    <t>진척율을 이용하여 프로젝트 전체 진행상황을 파악할 수 있다.</t>
    <phoneticPr fontId="16" type="noConversion"/>
  </si>
  <si>
    <t>프로젝트의 현황을 파악할 수 있는 진행율, Workload 등의 분석 리포트와 분석용 Workload data를 제공한다.</t>
    <phoneticPr fontId="16"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</si>
  <si>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6"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</si>
  <si>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6" type="noConversion"/>
  </si>
  <si>
    <t>엑셀간트에서는 Schedule시트에 입력되어 있는 작업을 Microsoft Outlook에 작업이나 일정으로 등록할 수 있는 기능을 제공한다(단, PC에 Microsoft Outlook이 설치되어 있어야 한다).</t>
    <phoneticPr fontId="16" type="noConversion"/>
  </si>
  <si>
    <t>엑셀간트는 다국어를 지원하는데 프로그램을 수정하지 않고 여러 다국어를 추가할 수 있다. 현재는 한국어, 영어 2개 국어가 추가되어 있다.</t>
    <phoneticPr fontId="16" type="noConversion"/>
  </si>
  <si>
    <t>엑셀간트에서는 엑셀간트(XLGantt) 또는 일반 엑셀파일로 만들어진 일정을 가져오는 기능을 제공한다.</t>
    <phoneticPr fontId="16" type="noConversion"/>
  </si>
  <si>
    <t>한주의 시작요일 지정, 휴무일 설정, 주차표시 기능을 제공한다.
리본메뉴 &gt; XLGantt – Project Scheduler &gt; 옵션 &gt; “Calendar” 탭에서 설정할 수 있다.</t>
    <phoneticPr fontId="16"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</si>
  <si>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6" type="noConversion"/>
  </si>
  <si>
    <t>도움말</t>
    <phoneticPr fontId="16" type="noConversion"/>
  </si>
  <si>
    <t>XLGantt Version 5.0.0 사용조건</t>
    <phoneticPr fontId="16"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</si>
  <si>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6" type="noConversion"/>
  </si>
  <si>
    <t>* 프로젝트 작업량과 진척율을 보여줍니다.</t>
    <phoneticPr fontId="18" type="noConversion"/>
  </si>
  <si>
    <t>* "스케줄업데이트" 버튼 클릭 시 아래 항목이 자동계산됩니다.</t>
    <phoneticPr fontId="18" type="noConversion"/>
  </si>
  <si>
    <t>프로젝트 전체 작업량</t>
    <phoneticPr fontId="18" type="noConversion"/>
  </si>
  <si>
    <t>프로젝트 전체의 작업량을 Man/Day로 표시한다. 가중치를 적용한 값이다.</t>
    <phoneticPr fontId="18" type="noConversion"/>
  </si>
  <si>
    <t>현재일까지 계획된 작업량</t>
    <phoneticPr fontId="18" type="noConversion"/>
  </si>
  <si>
    <t>해당작업의 시작일부터 현재일까지의 작업기간을 의미함(현재 날짜까지 진행되었어야 할 기간)</t>
    <phoneticPr fontId="18" type="noConversion"/>
  </si>
  <si>
    <t>실제 투입된 작업량</t>
    <phoneticPr fontId="18" type="noConversion"/>
  </si>
  <si>
    <t>일정변경 관리할 때 현재까지 실제로 투입된 작업기간을 표시함</t>
    <phoneticPr fontId="18" type="noConversion"/>
  </si>
  <si>
    <t>계획 진척율(A)</t>
    <phoneticPr fontId="18" type="noConversion"/>
  </si>
  <si>
    <t>현재날짜까지 계획된 진척율, WBS의 "계획진척율"의 전체 합계 진척율을 표시함</t>
    <phoneticPr fontId="18" type="noConversion"/>
  </si>
  <si>
    <t>실적 진척율(B)</t>
    <phoneticPr fontId="18" type="noConversion"/>
  </si>
  <si>
    <t>현재날짜까지 실제로 진행된 진척율, WBS의 "실적진척율"의 전체 합계 진척율을 표시함</t>
    <phoneticPr fontId="18" type="noConversion"/>
  </si>
  <si>
    <t>차이(B-A)</t>
    <phoneticPr fontId="18" type="noConversion"/>
  </si>
  <si>
    <t>양수이면 계획보다 빨리 진행, 음수이면 지연</t>
    <phoneticPr fontId="18" type="noConversion"/>
  </si>
  <si>
    <t>시작일</t>
  </si>
  <si>
    <t>완료일</t>
  </si>
  <si>
    <t>(담당자미지정)</t>
  </si>
  <si>
    <t xml:space="preserve"> 프로젝트 휴무일 Calendar 설정</t>
    <phoneticPr fontId="1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</si>
  <si>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18" type="noConversion"/>
  </si>
  <si>
    <t>표준캘린더</t>
    <phoneticPr fontId="18" type="noConversion"/>
  </si>
  <si>
    <t>사용자정의 캘린더1</t>
    <phoneticPr fontId="18" type="noConversion"/>
  </si>
  <si>
    <t>사용자정의 캘린더2</t>
    <phoneticPr fontId="18" type="noConversion"/>
  </si>
  <si>
    <t>휴무일명</t>
    <phoneticPr fontId="18" type="noConversion"/>
  </si>
  <si>
    <t>휴무일자</t>
    <phoneticPr fontId="18" type="noConversion"/>
  </si>
  <si>
    <t>더 이상 입력불가</t>
    <phoneticPr fontId="18" type="noConversion"/>
  </si>
  <si>
    <t>분석</t>
  </si>
  <si>
    <t>1.1.1</t>
  </si>
  <si>
    <t>1.1.2</t>
  </si>
  <si>
    <t>설계</t>
  </si>
  <si>
    <t>1.2.1</t>
  </si>
  <si>
    <t>1.2.2</t>
  </si>
  <si>
    <t>1.3.1</t>
  </si>
  <si>
    <t>1.2</t>
  </si>
  <si>
    <t>1.3</t>
  </si>
  <si>
    <t>프로젝트 관리</t>
  </si>
  <si>
    <t>프로젝트 착수 및 계획수립</t>
  </si>
  <si>
    <t>프로젝트 착수</t>
  </si>
  <si>
    <t>2.1</t>
  </si>
  <si>
    <t>2.1.1</t>
  </si>
  <si>
    <t>2.1.2</t>
  </si>
  <si>
    <t>2.1.2.1</t>
  </si>
  <si>
    <t>2.1.2.2</t>
  </si>
  <si>
    <t>1.1.2.1</t>
  </si>
  <si>
    <t>1.1.2.2</t>
  </si>
  <si>
    <t>착수보고(Kick off)</t>
  </si>
  <si>
    <t>프로젝트 수행 및 통제</t>
  </si>
  <si>
    <t>1.2.3</t>
  </si>
  <si>
    <t>1.2.4</t>
  </si>
  <si>
    <t>중간보고</t>
  </si>
  <si>
    <t>2.2.1</t>
  </si>
  <si>
    <t>2.2.2</t>
  </si>
  <si>
    <t>2.2.2.1</t>
  </si>
  <si>
    <t>2.2.2.2</t>
  </si>
  <si>
    <t>2.2.3</t>
  </si>
  <si>
    <t>2.3.1</t>
  </si>
  <si>
    <t>2.3.1.1</t>
  </si>
  <si>
    <t>2.3.1.2</t>
  </si>
  <si>
    <t>2.3.1.2.1</t>
  </si>
  <si>
    <t>2.3.1.2.2</t>
  </si>
  <si>
    <t>2.3.1.2.3</t>
  </si>
  <si>
    <t>2.3.2</t>
  </si>
  <si>
    <t>2.3.2.1</t>
  </si>
  <si>
    <t>2.3.2.2</t>
  </si>
  <si>
    <t>2.2</t>
  </si>
  <si>
    <t>2.3</t>
  </si>
  <si>
    <t>1;6</t>
  </si>
  <si>
    <t>3</t>
  </si>
  <si>
    <t>4</t>
  </si>
  <si>
    <t>5</t>
  </si>
  <si>
    <t>일 (월평균 근무일수)</t>
  </si>
  <si>
    <t>차트</t>
  </si>
  <si>
    <t xml:space="preserve">문서번호 : </t>
    <phoneticPr fontId="18" type="noConversion"/>
  </si>
  <si>
    <t>Version</t>
    <phoneticPr fontId="18" type="noConversion"/>
  </si>
  <si>
    <t>개정일자</t>
    <phoneticPr fontId="18" type="noConversion"/>
  </si>
  <si>
    <t>작성자</t>
    <phoneticPr fontId="18" type="noConversion"/>
  </si>
  <si>
    <t>오승헌</t>
  </si>
  <si>
    <t>개정 이력</t>
  </si>
  <si>
    <t>버전</t>
  </si>
  <si>
    <t>개정일자</t>
  </si>
  <si>
    <t>[1]개정사유</t>
  </si>
  <si>
    <t>[2]개정내역</t>
  </si>
  <si>
    <t>작성자</t>
  </si>
  <si>
    <t>승인자</t>
  </si>
  <si>
    <t>개정</t>
    <phoneticPr fontId="18" type="noConversion"/>
  </si>
  <si>
    <t>구축일정 작성</t>
    <phoneticPr fontId="18" type="noConversion"/>
  </si>
  <si>
    <t>오승헌</t>
    <phoneticPr fontId="16" type="noConversion"/>
  </si>
  <si>
    <t>[1] 개정 사유: 제정 또는 개정 내용이 이전 문서에 대해 추가/수정/삭제인지 선택 기입</t>
  </si>
  <si>
    <t>[2] 개정 내역: 개정이 발생하는 페이지 번호와 변경 내용을 기술</t>
  </si>
  <si>
    <t>신성통상 차세대 POS 및 키오스크 구축 프로젝트</t>
    <phoneticPr fontId="18" type="noConversion"/>
  </si>
  <si>
    <t>V1.0</t>
    <phoneticPr fontId="18" type="noConversion"/>
  </si>
  <si>
    <t>프로젝트관리 표준수립</t>
  </si>
  <si>
    <t>프로젝트 문서표준 협의/확정</t>
  </si>
  <si>
    <t>프로젝트 산출물 협의/확정</t>
  </si>
  <si>
    <t>프로젝트 범위 정의</t>
  </si>
  <si>
    <t>일정관리 협의/확정</t>
  </si>
  <si>
    <t>보고 및 커뮤니케이션 체계 협의/확정</t>
  </si>
  <si>
    <t>품질관리 협의/확정</t>
  </si>
  <si>
    <t>위험관리 협의/확정</t>
  </si>
  <si>
    <t>정기보고</t>
  </si>
  <si>
    <t>완료보고</t>
  </si>
  <si>
    <t>주간보고</t>
  </si>
  <si>
    <t>1주차 주간보고</t>
  </si>
  <si>
    <t>2주차 주간보고</t>
  </si>
  <si>
    <t>3주차 주간보고</t>
  </si>
  <si>
    <t>4주차 주간보고</t>
  </si>
  <si>
    <t>5주차 주간보고</t>
  </si>
  <si>
    <t>6주차 주간보고</t>
  </si>
  <si>
    <t>7주차 주간보고</t>
  </si>
  <si>
    <t>8주차 주간보고</t>
  </si>
  <si>
    <t>9주차 주간보고</t>
  </si>
  <si>
    <t>10주차 주간보고</t>
  </si>
  <si>
    <t>11주차 주간보고</t>
  </si>
  <si>
    <t>12주차 주간보고</t>
  </si>
  <si>
    <t>13주차 주간보고</t>
  </si>
  <si>
    <t>14주차 주간보고</t>
  </si>
  <si>
    <t>15주차 주간보고</t>
  </si>
  <si>
    <t>16주차 주간보고</t>
  </si>
  <si>
    <t>17주차 주간보고</t>
  </si>
  <si>
    <t>18주차 주간보고</t>
  </si>
  <si>
    <t>19주차 주간보고</t>
  </si>
  <si>
    <t>20주차 주간보고</t>
  </si>
  <si>
    <t>21주차 주간보고</t>
  </si>
  <si>
    <t>22주차 주간보고</t>
  </si>
  <si>
    <t>23주차 주간보고</t>
  </si>
  <si>
    <t>24주차 주간보고</t>
  </si>
  <si>
    <t>25주차 주간보고</t>
  </si>
  <si>
    <t>26주차 주간보고</t>
  </si>
  <si>
    <t>27주차 주간보고</t>
  </si>
  <si>
    <t>28주차 주간보고</t>
  </si>
  <si>
    <t>29주차 주간보고</t>
  </si>
  <si>
    <t>30주차 주간보고</t>
  </si>
  <si>
    <t>31주차 주간보고</t>
  </si>
  <si>
    <t>32주차 주간보고</t>
  </si>
  <si>
    <t>33주차 주간보고</t>
  </si>
  <si>
    <t>34주차 주간보고</t>
  </si>
  <si>
    <t>35주차 주간보고</t>
  </si>
  <si>
    <t>36주차 주간보고</t>
  </si>
  <si>
    <t>37주차 주간보고</t>
  </si>
  <si>
    <t>38주차 주간보고</t>
  </si>
  <si>
    <t>워크샵</t>
  </si>
  <si>
    <t>분석/설계 단계</t>
  </si>
  <si>
    <t>품질 점검</t>
  </si>
  <si>
    <t>착수 가이드</t>
  </si>
  <si>
    <t>착수가이드 설명</t>
  </si>
  <si>
    <t>중간 점검</t>
  </si>
  <si>
    <t>중간점검 계획수립</t>
  </si>
  <si>
    <t>중간점검 수행</t>
  </si>
  <si>
    <t>점검결과 개선</t>
  </si>
  <si>
    <t>오픈 사전 점검</t>
  </si>
  <si>
    <t>오픈 사전 점검 계획수립</t>
  </si>
  <si>
    <t>오픈 사전 테스트 수행</t>
  </si>
  <si>
    <t>오픈 사전 점검 수행</t>
  </si>
  <si>
    <t>시스템 점검</t>
  </si>
  <si>
    <t>소스코드 점검</t>
  </si>
  <si>
    <t>소스점검 수행</t>
  </si>
  <si>
    <t>보안 점검</t>
  </si>
  <si>
    <t>보안점검 계획수립</t>
  </si>
  <si>
    <t>보안점검 수행</t>
  </si>
  <si>
    <t>성능테스트 수행</t>
  </si>
  <si>
    <t>수행결과 조치</t>
  </si>
  <si>
    <t>프로젝트 구축 종료</t>
  </si>
  <si>
    <t>검수</t>
  </si>
  <si>
    <t>검수 요청</t>
  </si>
  <si>
    <t>검수 완료</t>
  </si>
  <si>
    <t xml:space="preserve">전환 계획 수립 </t>
  </si>
  <si>
    <t xml:space="preserve">전환 분석 </t>
  </si>
  <si>
    <t>개발 전환</t>
  </si>
  <si>
    <t>통합테스트</t>
  </si>
  <si>
    <t>1차 통합테스트</t>
  </si>
  <si>
    <t>통합테스트 계획수립 및 환경구성</t>
  </si>
  <si>
    <t>통합테스트 수행</t>
  </si>
  <si>
    <t>테스트결과 조치</t>
  </si>
  <si>
    <t>2차 통합테스트</t>
  </si>
  <si>
    <t xml:space="preserve">성능테스트 계획수립 및 준비 </t>
  </si>
  <si>
    <t>오픈 및 안정화</t>
  </si>
  <si>
    <t>오픈계획 수립 및 환경 구성</t>
  </si>
  <si>
    <t>오픈 실시</t>
  </si>
  <si>
    <t>오픈 안정화</t>
  </si>
  <si>
    <t>오픈 안정화계획 수립</t>
  </si>
  <si>
    <t>안정화 수행</t>
  </si>
  <si>
    <t>인수인계</t>
  </si>
  <si>
    <t xml:space="preserve">인수인계 산출물 작성 </t>
  </si>
  <si>
    <t>인수인계 계획수립</t>
  </si>
  <si>
    <t>인수인계 수행</t>
  </si>
  <si>
    <t>POS 구축</t>
  </si>
  <si>
    <t>시스템 구축</t>
  </si>
  <si>
    <t>키오스크 구축</t>
  </si>
  <si>
    <t>API 구축</t>
  </si>
  <si>
    <t>기획</t>
  </si>
  <si>
    <t>디자인</t>
  </si>
  <si>
    <t>퍼블리싱</t>
  </si>
  <si>
    <t>단위테스트 (1차)</t>
  </si>
  <si>
    <t>단위테스트 (2차)</t>
  </si>
  <si>
    <t>POS관리시스템 구축</t>
  </si>
  <si>
    <t>3차 통합테스트</t>
  </si>
  <si>
    <t>4차 통합테스트</t>
  </si>
  <si>
    <t>운영 전환</t>
  </si>
  <si>
    <t>i</t>
  </si>
  <si>
    <t>39주차 주간보고</t>
  </si>
  <si>
    <t>40주차 주간보고</t>
  </si>
  <si>
    <t>41주차 주간보고</t>
  </si>
  <si>
    <t>42주차 주간보고</t>
  </si>
  <si>
    <t>43주차 주간보고</t>
  </si>
  <si>
    <t>44주차 주간보고</t>
  </si>
  <si>
    <t>45주차 주간보고</t>
  </si>
  <si>
    <t>46주차 주간보고</t>
  </si>
  <si>
    <t>47주차 주간보고</t>
  </si>
  <si>
    <t>48주차 주간보고</t>
  </si>
  <si>
    <t>49주차 주간보고</t>
  </si>
  <si>
    <t>50주차 주간보고</t>
  </si>
  <si>
    <t>1차 오픈단계</t>
  </si>
  <si>
    <t>2차 오픈단계</t>
  </si>
  <si>
    <t>3차 오픈단계</t>
  </si>
  <si>
    <t>1.1.1.1</t>
  </si>
  <si>
    <t>1.1.2.3</t>
  </si>
  <si>
    <t>1.1.2.4</t>
  </si>
  <si>
    <t>1.1.2.5</t>
  </si>
  <si>
    <t>1.1.2.6</t>
  </si>
  <si>
    <t>1.1.2.7</t>
  </si>
  <si>
    <t>1.2.1.1</t>
  </si>
  <si>
    <t>1.2.1.2</t>
  </si>
  <si>
    <t>1.2.1.3</t>
  </si>
  <si>
    <t>1.2.2.1</t>
  </si>
  <si>
    <t>1.2.2.2</t>
  </si>
  <si>
    <t>1.2.2.3</t>
  </si>
  <si>
    <t>1.2.2.4</t>
  </si>
  <si>
    <t>1.2.2.5</t>
  </si>
  <si>
    <t>1.2.2.6</t>
  </si>
  <si>
    <t>1.2.2.7</t>
  </si>
  <si>
    <t>1.2.2.8</t>
  </si>
  <si>
    <t>1.2.2.9</t>
  </si>
  <si>
    <t>1.2.2.10</t>
  </si>
  <si>
    <t>1.2.2.11</t>
  </si>
  <si>
    <t>1.2.2.12</t>
  </si>
  <si>
    <t>1.2.2.13</t>
  </si>
  <si>
    <t>1.2.2.14</t>
  </si>
  <si>
    <t>1.2.2.15</t>
  </si>
  <si>
    <t>1.2.2.16</t>
  </si>
  <si>
    <t>1.2.2.17</t>
  </si>
  <si>
    <t>1.2.2.18</t>
  </si>
  <si>
    <t>1.2.2.19</t>
  </si>
  <si>
    <t>1.2.2.20</t>
  </si>
  <si>
    <t>1.2.2.21</t>
  </si>
  <si>
    <t>1.2.2.22</t>
  </si>
  <si>
    <t>1.2.2.23</t>
  </si>
  <si>
    <t>1.2.2.24</t>
  </si>
  <si>
    <t>1.2.2.25</t>
  </si>
  <si>
    <t>1.2.2.26</t>
  </si>
  <si>
    <t>1.2.2.27</t>
  </si>
  <si>
    <t>1.2.2.28</t>
  </si>
  <si>
    <t>1.2.2.29</t>
  </si>
  <si>
    <t>1.2.2.30</t>
  </si>
  <si>
    <t>1.2.2.31</t>
  </si>
  <si>
    <t>1.2.2.32</t>
  </si>
  <si>
    <t>1.2.2.33</t>
  </si>
  <si>
    <t>1.2.2.34</t>
  </si>
  <si>
    <t>1.2.2.35</t>
  </si>
  <si>
    <t>1.2.2.36</t>
  </si>
  <si>
    <t>1.2.2.37</t>
  </si>
  <si>
    <t>1.2.2.38</t>
  </si>
  <si>
    <t>1.2.2.39</t>
  </si>
  <si>
    <t>1.2.2.40</t>
  </si>
  <si>
    <t>1.2.2.41</t>
  </si>
  <si>
    <t>1.2.2.42</t>
  </si>
  <si>
    <t>1.2.2.43</t>
  </si>
  <si>
    <t>1.2.2.44</t>
  </si>
  <si>
    <t>1.2.2.45</t>
  </si>
  <si>
    <t>1.2.2.46</t>
  </si>
  <si>
    <t>1.2.2.47</t>
  </si>
  <si>
    <t>1.2.2.48</t>
  </si>
  <si>
    <t>1.2.2.49</t>
  </si>
  <si>
    <t>1.2.2.50</t>
  </si>
  <si>
    <t>1.2.3.1</t>
  </si>
  <si>
    <t>1.2.3.2</t>
  </si>
  <si>
    <t>1.2.3.3</t>
  </si>
  <si>
    <t>1.2.3.4</t>
  </si>
  <si>
    <t>1.2.4.1</t>
  </si>
  <si>
    <t>1.2.4.1.1</t>
  </si>
  <si>
    <t>1.2.4.2</t>
  </si>
  <si>
    <t>1.2.4.2.1</t>
  </si>
  <si>
    <t>1.2.4.2.2</t>
  </si>
  <si>
    <t>1.2.4.2.3</t>
  </si>
  <si>
    <t>1.2.4.3</t>
  </si>
  <si>
    <t>1.2.4.3.1</t>
  </si>
  <si>
    <t>1.2.4.3.2</t>
  </si>
  <si>
    <t>1.2.4.3.3</t>
  </si>
  <si>
    <t>1.2.4.3.4</t>
  </si>
  <si>
    <t>1.2.5</t>
  </si>
  <si>
    <t>1.2.5.1</t>
  </si>
  <si>
    <t>1.2.5.1.1</t>
  </si>
  <si>
    <t>1.2.5.1.2</t>
  </si>
  <si>
    <t>1.2.5.2</t>
  </si>
  <si>
    <t>1.2.5.2.1</t>
  </si>
  <si>
    <t>1.2.5.2.2</t>
  </si>
  <si>
    <t>1.2.5.2.3</t>
  </si>
  <si>
    <t>1.3.1.1</t>
  </si>
  <si>
    <t>1.3.1.2</t>
  </si>
  <si>
    <t>3.1</t>
  </si>
  <si>
    <t>3.1.1</t>
  </si>
  <si>
    <t>3.1.2</t>
  </si>
  <si>
    <t>3.2</t>
  </si>
  <si>
    <t>3.2.1</t>
  </si>
  <si>
    <t>3.2.2</t>
  </si>
  <si>
    <t>3.3</t>
  </si>
  <si>
    <t>3.3.1</t>
  </si>
  <si>
    <t>3.3.2</t>
  </si>
  <si>
    <t>3.4</t>
  </si>
  <si>
    <t>3.4.1</t>
  </si>
  <si>
    <t>3.4.2</t>
  </si>
  <si>
    <t>4.1</t>
  </si>
  <si>
    <t>4.2</t>
  </si>
  <si>
    <t>4.3</t>
  </si>
  <si>
    <t>2차 성능테스트</t>
  </si>
  <si>
    <t>성능테스트</t>
  </si>
  <si>
    <t>1차 성능테스트</t>
  </si>
  <si>
    <t>3자테스트</t>
  </si>
  <si>
    <t xml:space="preserve">3자테스트 계획수립 및 준비 </t>
  </si>
  <si>
    <t>3자테스트 수행</t>
  </si>
  <si>
    <t>오승헌님</t>
  </si>
  <si>
    <t>오픈계획서</t>
  </si>
  <si>
    <t>서정만님</t>
  </si>
  <si>
    <t>PL</t>
  </si>
  <si>
    <t>검수요청서</t>
  </si>
  <si>
    <t>3자테스터</t>
  </si>
  <si>
    <t>성능테스터</t>
  </si>
  <si>
    <t>안정화계획서</t>
  </si>
  <si>
    <t>SR관리대장</t>
  </si>
  <si>
    <t>인수인계계획서/결과서</t>
  </si>
  <si>
    <t>명예지님</t>
  </si>
  <si>
    <t>김보배님</t>
  </si>
  <si>
    <t>클라우드 서비스 요구사항 및 To-Be 방향성 정의</t>
  </si>
  <si>
    <t>공통 요구사항 분석</t>
  </si>
  <si>
    <t>어플리케이션(시스템) 요구사항 분석</t>
  </si>
  <si>
    <t>CICD 요구사항 분석</t>
  </si>
  <si>
    <t>Framework 요구사항 분석</t>
  </si>
  <si>
    <t xml:space="preserve">클라우드 아키텍처 </t>
  </si>
  <si>
    <t>구성도 정의 (개발 / 운영 )</t>
  </si>
  <si>
    <t>계정 구성 설계</t>
  </si>
  <si>
    <t>어플리케이션 아키텍처</t>
  </si>
  <si>
    <t>아키텍처 설계</t>
  </si>
  <si>
    <t>어플리케이션(시스템) 설계</t>
  </si>
  <si>
    <t>CICD 설계</t>
  </si>
  <si>
    <t>로깅 설계</t>
  </si>
  <si>
    <t>모니터링 설계</t>
  </si>
  <si>
    <t>구축</t>
  </si>
  <si>
    <t>개발 환경</t>
  </si>
  <si>
    <t>어플리케이션 구성</t>
  </si>
  <si>
    <t>솔루션 연동(SMS/슬랙/이메일)</t>
  </si>
  <si>
    <t>POS 관리시스템 프론트엔드 (신성통상)</t>
  </si>
  <si>
    <t>POS 관리시스템 프론트엔드 (에이션패션)</t>
  </si>
  <si>
    <t>POS 관리시스템 백엔드</t>
  </si>
  <si>
    <t>AWS API 중계 시스템 백엔드</t>
  </si>
  <si>
    <t>Batch 시스템 백엔드</t>
  </si>
  <si>
    <t>온프라미스 API 시스템 백엔드</t>
  </si>
  <si>
    <t>소나큐브 룰셋 적용</t>
  </si>
  <si>
    <t>소나큐브 점검</t>
  </si>
  <si>
    <t xml:space="preserve">클라우드 서비스 구성 </t>
  </si>
  <si>
    <t>네트워크 및 보안 구성</t>
  </si>
  <si>
    <t xml:space="preserve">ECS 구성 </t>
  </si>
  <si>
    <t>Database 구성 (Aurora PostgreSQL)</t>
  </si>
  <si>
    <t>CICD</t>
  </si>
  <si>
    <t>POS 관리시스템 프론트  (신성통상)</t>
  </si>
  <si>
    <t>POS 관리시스템 프론트  (에이션패션)</t>
  </si>
  <si>
    <t>로깅&amp;모니터링</t>
  </si>
  <si>
    <t>제니퍼 구성</t>
  </si>
  <si>
    <t>AWS OpenSearch 구성</t>
  </si>
  <si>
    <t>운영 환경</t>
  </si>
  <si>
    <t xml:space="preserve">모니터링 및 백업 체계 구성 </t>
  </si>
  <si>
    <t>POS/KIOSK 관리시스템 프론트  (신성통상)</t>
  </si>
  <si>
    <t>POS/KIOSK 관리시스템 프론트  (에이션패션)</t>
  </si>
  <si>
    <t>POS/KIOSK 관리시스템 백엔드</t>
  </si>
  <si>
    <t>API 중계 시스템 백엔드</t>
  </si>
  <si>
    <t>영업관리 시스템 백엔드</t>
  </si>
  <si>
    <t>기획분석</t>
  </si>
  <si>
    <t>인프라/아키텍처</t>
  </si>
  <si>
    <t>2.1.1.1</t>
  </si>
  <si>
    <t>2.1.1.2</t>
  </si>
  <si>
    <t>2.1.2.3</t>
  </si>
  <si>
    <t>2.2.1.1</t>
  </si>
  <si>
    <t>2.2.1.2</t>
  </si>
  <si>
    <t>3.1.3</t>
  </si>
  <si>
    <t>3.2.3</t>
  </si>
  <si>
    <t>3.3.3</t>
  </si>
  <si>
    <t>3.4.3</t>
  </si>
  <si>
    <t>4.1.1</t>
  </si>
  <si>
    <t>4.1.2</t>
  </si>
  <si>
    <t>4.2.1</t>
  </si>
  <si>
    <t>4.2.2</t>
  </si>
  <si>
    <t>4.3.1</t>
  </si>
  <si>
    <t>4.3.2</t>
  </si>
  <si>
    <t>5.1</t>
  </si>
  <si>
    <t>5.2</t>
  </si>
  <si>
    <t>5.3</t>
  </si>
  <si>
    <t>로그인</t>
  </si>
  <si>
    <t>런처</t>
  </si>
  <si>
    <t>2025년 삼일절 대체휴일</t>
    <phoneticPr fontId="16" type="noConversion"/>
  </si>
  <si>
    <t>2025년 노동절</t>
    <phoneticPr fontId="16" type="noConversion"/>
  </si>
  <si>
    <t>2025년 부처님오신날</t>
    <phoneticPr fontId="16" type="noConversion"/>
  </si>
  <si>
    <t>2025년 어린이날 대체휴일</t>
    <phoneticPr fontId="16" type="noConversion"/>
  </si>
  <si>
    <t>2025년 현충일</t>
    <phoneticPr fontId="16" type="noConversion"/>
  </si>
  <si>
    <t>2025년 광복절</t>
    <phoneticPr fontId="16" type="noConversion"/>
  </si>
  <si>
    <t>2025년 개천절</t>
    <phoneticPr fontId="16" type="noConversion"/>
  </si>
  <si>
    <t>2025년 추석</t>
    <phoneticPr fontId="16" type="noConversion"/>
  </si>
  <si>
    <t>2025년 추석 대체휴일</t>
    <phoneticPr fontId="16" type="noConversion"/>
  </si>
  <si>
    <t>2025년 한글날</t>
    <phoneticPr fontId="16" type="noConversion"/>
  </si>
  <si>
    <t>2025년 성탄절</t>
    <phoneticPr fontId="16" type="noConversion"/>
  </si>
  <si>
    <t>2026년 신정</t>
    <phoneticPr fontId="16" type="noConversion"/>
  </si>
  <si>
    <t>2026년 설날</t>
    <phoneticPr fontId="16" type="noConversion"/>
  </si>
  <si>
    <t>장비 연동</t>
  </si>
  <si>
    <t>3.1.1.1</t>
  </si>
  <si>
    <t>3.1.1.2</t>
  </si>
  <si>
    <t>3.1.1.3</t>
  </si>
  <si>
    <t>3.1.1.4</t>
  </si>
  <si>
    <t>3.1.1.5</t>
  </si>
  <si>
    <t>화면 UI/UX</t>
  </si>
  <si>
    <t>로컬DB</t>
  </si>
  <si>
    <t>계산로직</t>
  </si>
  <si>
    <t>로깅모듈</t>
  </si>
  <si>
    <t>데이터구조</t>
  </si>
  <si>
    <t>장비연동</t>
  </si>
  <si>
    <t>API 개발</t>
  </si>
  <si>
    <t>DB처리</t>
  </si>
  <si>
    <t>음성안내</t>
  </si>
  <si>
    <t>접근성기능</t>
  </si>
  <si>
    <t>다국어</t>
  </si>
  <si>
    <t>화면개발</t>
  </si>
  <si>
    <t>메인화면</t>
  </si>
  <si>
    <t>부가화면</t>
  </si>
  <si>
    <t>고객용화면</t>
  </si>
  <si>
    <t>기준정보수신</t>
  </si>
  <si>
    <t>데이터전송</t>
  </si>
  <si>
    <t>관리자</t>
  </si>
  <si>
    <t>광고</t>
  </si>
  <si>
    <t>기능분석</t>
  </si>
  <si>
    <t>결제수단</t>
  </si>
  <si>
    <t>배리어프리</t>
  </si>
  <si>
    <t>3.2.1.1</t>
  </si>
  <si>
    <t>3.2.1.2</t>
  </si>
  <si>
    <t>3.2.1.3</t>
  </si>
  <si>
    <t>결제수단연동</t>
  </si>
  <si>
    <t>실시간처리API</t>
  </si>
  <si>
    <t>기준정보수신API</t>
  </si>
  <si>
    <t>기준정보데이터</t>
  </si>
  <si>
    <t>매출데이터</t>
  </si>
  <si>
    <t>류행석님</t>
  </si>
  <si>
    <t>유운오님</t>
  </si>
  <si>
    <t>문강우님</t>
  </si>
  <si>
    <t>시스템관리기능</t>
  </si>
  <si>
    <t>결제연동(1차)</t>
  </si>
  <si>
    <t>결제연동(2차)</t>
  </si>
  <si>
    <t>부가기능(2차)</t>
  </si>
  <si>
    <t>부가기능(1차)</t>
  </si>
  <si>
    <t>TBD</t>
  </si>
  <si>
    <t>단위테스트(1차)</t>
  </si>
  <si>
    <t>단위테스트(2차)</t>
  </si>
  <si>
    <t>프로젝트관리</t>
    <phoneticPr fontId="16" type="noConversion"/>
  </si>
  <si>
    <t>인프라</t>
    <phoneticPr fontId="16" type="noConversion"/>
  </si>
  <si>
    <t>오픈</t>
    <phoneticPr fontId="16" type="noConversion"/>
  </si>
  <si>
    <t>3.1.1.6</t>
  </si>
  <si>
    <t>3.1.1.7</t>
  </si>
  <si>
    <t>3.1.1.8</t>
  </si>
  <si>
    <t>3.1.2.1</t>
  </si>
  <si>
    <t>3.1.2.2</t>
  </si>
  <si>
    <t>3.1.2.3</t>
  </si>
  <si>
    <t>3.1.2.4</t>
  </si>
  <si>
    <t>3.1.2.5</t>
  </si>
  <si>
    <t>3.1.2.6</t>
  </si>
  <si>
    <t>3.1.2.7</t>
  </si>
  <si>
    <t>3.1.2.8</t>
  </si>
  <si>
    <t>3.1.2.9</t>
  </si>
  <si>
    <t>3.1.3.1</t>
  </si>
  <si>
    <t>3.1.3.1.1</t>
  </si>
  <si>
    <t>3.1.3.1.2</t>
  </si>
  <si>
    <t>3.1.3.1.3</t>
  </si>
  <si>
    <t>3.1.3.1.4</t>
  </si>
  <si>
    <t>3.1.3.1.5</t>
  </si>
  <si>
    <t>3.1.3.1.6</t>
  </si>
  <si>
    <t>3.1.3.1.7</t>
  </si>
  <si>
    <t>3.1.3.1.8</t>
  </si>
  <si>
    <t>3.1.3.1.9</t>
  </si>
  <si>
    <t>3.1.3.1.10</t>
  </si>
  <si>
    <t>3.1.3.1.11</t>
  </si>
  <si>
    <t>3.1.3.1.12</t>
  </si>
  <si>
    <t>3.1.3.1.13</t>
  </si>
  <si>
    <t>3.1.3.1.14</t>
  </si>
  <si>
    <t>3.1.3.1.15</t>
  </si>
  <si>
    <t>3.1.3.1.16</t>
  </si>
  <si>
    <t>3.1.3.1.17</t>
  </si>
  <si>
    <t>3.1.3.2</t>
  </si>
  <si>
    <t>3.1.3.2.1</t>
  </si>
  <si>
    <t>3.1.3.2.2</t>
  </si>
  <si>
    <t>3.2.1.4</t>
  </si>
  <si>
    <t>3.2.1.5</t>
  </si>
  <si>
    <t>3.2.1.6</t>
  </si>
  <si>
    <t>3.2.2.1</t>
  </si>
  <si>
    <t>3.2.2.2</t>
  </si>
  <si>
    <t>3.2.3.1</t>
  </si>
  <si>
    <t>3.2.3.1.1</t>
  </si>
  <si>
    <t>3.2.3.1.2</t>
  </si>
  <si>
    <t>3.2.3.1.3</t>
  </si>
  <si>
    <t>3.2.3.1.4</t>
  </si>
  <si>
    <t>3.2.3.1.5</t>
  </si>
  <si>
    <t>3.2.3.1.6</t>
  </si>
  <si>
    <t>3.2.3.1.7</t>
  </si>
  <si>
    <t>3.2.3.2</t>
  </si>
  <si>
    <t>3.2.3.2.1</t>
  </si>
  <si>
    <t>3.2.3.2.2</t>
  </si>
  <si>
    <t>3.3.1.1</t>
  </si>
  <si>
    <t>3.3.2.1</t>
  </si>
  <si>
    <t>3.3.3.1</t>
  </si>
  <si>
    <t>3.3.3.2</t>
  </si>
  <si>
    <t>3.4.1.1</t>
  </si>
  <si>
    <t>3.4.1.2</t>
  </si>
  <si>
    <t>3.4.1.3</t>
  </si>
  <si>
    <t>3.4.1.4</t>
  </si>
  <si>
    <t>3.4.1.5</t>
  </si>
  <si>
    <t>3.4.2.1</t>
  </si>
  <si>
    <t>3.4.2.2</t>
  </si>
  <si>
    <t>3.4.3.1</t>
  </si>
  <si>
    <t>3.4.3.1.1</t>
  </si>
  <si>
    <t>3.4.3.1.2</t>
  </si>
  <si>
    <t>3.4.3.2</t>
  </si>
  <si>
    <t>3.4.3.2.1</t>
  </si>
  <si>
    <t>3.4.3.2.2</t>
  </si>
  <si>
    <t>테스트</t>
  </si>
  <si>
    <t>4.1.1.1</t>
  </si>
  <si>
    <t>4.1.1.2</t>
  </si>
  <si>
    <t>4.1.1.3</t>
  </si>
  <si>
    <t>4.1.2.1</t>
  </si>
  <si>
    <t>4.1.2.2</t>
  </si>
  <si>
    <t>4.1.3</t>
  </si>
  <si>
    <t>4.1.3.1</t>
  </si>
  <si>
    <t>4.1.3.2</t>
  </si>
  <si>
    <t>4.1.3.3</t>
  </si>
  <si>
    <t>4.1.4</t>
  </si>
  <si>
    <t>4.1.4.1</t>
  </si>
  <si>
    <t>4.1.4.2</t>
  </si>
  <si>
    <t>4.2.1.1</t>
  </si>
  <si>
    <t>4.2.1.2</t>
  </si>
  <si>
    <t>4.2.1.3</t>
  </si>
  <si>
    <t>4.2.2.1</t>
  </si>
  <si>
    <t>4.2.2.2</t>
  </si>
  <si>
    <t>4.2.3</t>
  </si>
  <si>
    <t>4.2.3.1</t>
  </si>
  <si>
    <t>4.2.3.2</t>
  </si>
  <si>
    <t>4.3.1.1</t>
  </si>
  <si>
    <t>4.3.1.2</t>
  </si>
  <si>
    <t>4.3.1.3</t>
  </si>
  <si>
    <t>4.3.2.1</t>
  </si>
  <si>
    <t>4.3.2.2</t>
  </si>
  <si>
    <t>4.3.2.3</t>
  </si>
  <si>
    <t>5.1.1</t>
  </si>
  <si>
    <t>5.1.2</t>
  </si>
  <si>
    <t>5.2.1</t>
  </si>
  <si>
    <t>5.2.2</t>
  </si>
  <si>
    <t>5.3.1</t>
  </si>
  <si>
    <t>5.3.2</t>
  </si>
  <si>
    <t>5.4</t>
  </si>
  <si>
    <t>5.4.1</t>
  </si>
  <si>
    <t>5.4.2</t>
  </si>
  <si>
    <t>5.5</t>
  </si>
  <si>
    <t>5.5.1</t>
  </si>
  <si>
    <t>5.5.2</t>
  </si>
  <si>
    <t>5.1.3</t>
  </si>
  <si>
    <t>5.1.4</t>
  </si>
  <si>
    <t>5.6</t>
  </si>
  <si>
    <t>5.6.1</t>
  </si>
  <si>
    <t>5.6.2</t>
  </si>
  <si>
    <t>5.6.3</t>
  </si>
  <si>
    <t>시스템</t>
    <phoneticPr fontId="16" type="noConversion"/>
  </si>
  <si>
    <t>테스트</t>
    <phoneticPr fontId="16" type="noConversion"/>
  </si>
  <si>
    <t>김재희</t>
    <phoneticPr fontId="16" type="noConversion"/>
  </si>
  <si>
    <t>강상욱님</t>
  </si>
  <si>
    <t>이석호님</t>
  </si>
  <si>
    <t>3.3.3.1.1</t>
  </si>
  <si>
    <t>AWS API 개발</t>
  </si>
  <si>
    <t>박꽃송이님</t>
  </si>
  <si>
    <t>3.3.3.1.2</t>
  </si>
  <si>
    <t>3.3.3.2.1</t>
  </si>
  <si>
    <t>3.3.3.2.2</t>
  </si>
  <si>
    <t>요구사항 분석</t>
  </si>
  <si>
    <t>김재희님</t>
  </si>
  <si>
    <t>ASIS 분석</t>
  </si>
  <si>
    <t>3.4.1.6</t>
  </si>
  <si>
    <t>3.4.1.7</t>
  </si>
  <si>
    <t>DB설계</t>
  </si>
  <si>
    <t>인터페이스 설계</t>
  </si>
  <si>
    <t>3.4.2.3</t>
  </si>
  <si>
    <t>1차오픈 대상 로직 설계</t>
  </si>
  <si>
    <t>3.4.2.4</t>
  </si>
  <si>
    <t>2차오픈 대상 로직 설계</t>
  </si>
  <si>
    <t>공통개발</t>
  </si>
  <si>
    <t>이정표님</t>
  </si>
  <si>
    <t>POS/키오스크 관리 (1차)</t>
  </si>
  <si>
    <t>강준구님</t>
  </si>
  <si>
    <t>3.4.3.1.3</t>
  </si>
  <si>
    <t>판매관리 (1차)</t>
  </si>
  <si>
    <t>3.4.3.1.4</t>
  </si>
  <si>
    <t>시스템관리 (1차)</t>
  </si>
  <si>
    <t>3.4.3.1.5</t>
  </si>
  <si>
    <t>배치관리 (1차)</t>
  </si>
  <si>
    <t>3.4.3.1.6</t>
  </si>
  <si>
    <t>POS/키오스크 관리 (2차)</t>
  </si>
  <si>
    <t>3.4.3.1.7</t>
  </si>
  <si>
    <t>판매관리 (2차)</t>
  </si>
  <si>
    <t>3.4.3.1.8</t>
  </si>
  <si>
    <t>시스템관리 (2차)</t>
  </si>
  <si>
    <t>3.4.3.1.9</t>
  </si>
  <si>
    <t>배치관리 (2차)</t>
  </si>
  <si>
    <t>onPremise API 개발</t>
  </si>
  <si>
    <t>담당</t>
  </si>
  <si>
    <t>POS</t>
    <phoneticPr fontId="16" type="noConversion"/>
  </si>
  <si>
    <t>키오스크</t>
    <phoneticPr fontId="16" type="noConversion"/>
  </si>
  <si>
    <t>API</t>
    <phoneticPr fontId="16" type="noConversion"/>
  </si>
  <si>
    <t>POS관리</t>
    <phoneticPr fontId="16" type="noConversion"/>
  </si>
  <si>
    <t>분석</t>
    <phoneticPr fontId="16" type="noConversion"/>
  </si>
  <si>
    <t>설계</t>
    <phoneticPr fontId="16" type="noConversion"/>
  </si>
  <si>
    <t>구축</t>
    <phoneticPr fontId="16" type="noConversion"/>
  </si>
  <si>
    <t>2.3.1.1.1</t>
  </si>
  <si>
    <t>2.3.1.1.2</t>
  </si>
  <si>
    <t>2.3.1.1.3</t>
  </si>
  <si>
    <t>2.3.1.1.4</t>
  </si>
  <si>
    <t>2.3.1.1.5</t>
  </si>
  <si>
    <t>2.3.1.1.6</t>
  </si>
  <si>
    <t>2.3.1.1.7</t>
  </si>
  <si>
    <t>2.3.1.1.8</t>
  </si>
  <si>
    <t>2.3.1.1.9</t>
  </si>
  <si>
    <t>2.3.1.3</t>
  </si>
  <si>
    <t>2.3.1.3.1</t>
  </si>
  <si>
    <t>2.3.1.3.2</t>
  </si>
  <si>
    <t>2.3.1.3.3</t>
  </si>
  <si>
    <t>2.3.1.3.4</t>
  </si>
  <si>
    <t>2.3.1.3.5</t>
  </si>
  <si>
    <t>2.3.1.4</t>
  </si>
  <si>
    <t>2.3.1.4.1</t>
  </si>
  <si>
    <t>2.3.1.4.2</t>
  </si>
  <si>
    <t>2.3.2.1.1</t>
  </si>
  <si>
    <t>2.3.2.1.2</t>
  </si>
  <si>
    <t>2.3.2.1.3</t>
  </si>
  <si>
    <t>2.3.2.1.4</t>
  </si>
  <si>
    <t>2.3.2.2.1</t>
  </si>
  <si>
    <t>2.3.2.2.2</t>
  </si>
  <si>
    <t>2.3.2.2.3</t>
  </si>
  <si>
    <t>2.3.2.2.4</t>
  </si>
  <si>
    <t>2.3.2.2.5</t>
  </si>
  <si>
    <t>2.3.2.3</t>
  </si>
  <si>
    <t>2.3.2.3.1</t>
  </si>
  <si>
    <t>2.3.2.3.2</t>
  </si>
  <si>
    <t>강상욱님, 이석호님</t>
  </si>
  <si>
    <t>공통</t>
  </si>
  <si>
    <t>2.2.3.1</t>
  </si>
  <si>
    <t>2.2.3.2</t>
  </si>
  <si>
    <t>2.2.3.3</t>
  </si>
  <si>
    <t>인프라/아키텍처</t>
    <phoneticPr fontId="16" type="noConversion"/>
  </si>
  <si>
    <t>사업관리</t>
    <phoneticPr fontId="16" type="noConversion"/>
  </si>
  <si>
    <t>이행</t>
    <phoneticPr fontId="16" type="noConversion"/>
  </si>
  <si>
    <t>전체</t>
    <phoneticPr fontId="16" type="noConversion"/>
  </si>
  <si>
    <t>구분</t>
    <phoneticPr fontId="16" type="noConversion"/>
  </si>
  <si>
    <t>전체(실적/계획)</t>
    <phoneticPr fontId="16" type="noConversion"/>
  </si>
  <si>
    <t>Workload(담당별)</t>
  </si>
  <si>
    <t>* 담당별 Workload를 보여줍니다.</t>
  </si>
  <si>
    <t>* "Workload(담당별)" 메뉴를 클릭해야 내용이 갱신됩니다.</t>
  </si>
  <si>
    <t>Workload_x000D_
(Man-Day)</t>
  </si>
  <si>
    <t>Workload_x000D_
(Man-Month)</t>
  </si>
  <si>
    <t>오픈 및 안정화</t>
    <phoneticPr fontId="16" type="noConversion"/>
  </si>
  <si>
    <t>경미</t>
  </si>
  <si>
    <t>3%이하 지연</t>
  </si>
  <si>
    <t>주의</t>
  </si>
  <si>
    <t>5%이하 지연</t>
  </si>
  <si>
    <t>위험</t>
  </si>
  <si>
    <t>5%이상 지연</t>
  </si>
  <si>
    <t>●</t>
    <phoneticPr fontId="16" type="noConversion"/>
  </si>
  <si>
    <t>POS 관리시스템 FE</t>
  </si>
  <si>
    <t>POS 관리시스템 BE</t>
  </si>
  <si>
    <t>POS 관리 Batch BE</t>
  </si>
  <si>
    <t>영업관리 API BE</t>
  </si>
  <si>
    <t>POS 관리 시스템 FE  (신성통상)</t>
  </si>
  <si>
    <t>POS 관리 시스템 FE  (에이션패션)</t>
  </si>
  <si>
    <t>POS 관리 시스템 BE (신성통상)</t>
  </si>
  <si>
    <t>POS 관리시스템 BE (에이션패션)</t>
  </si>
  <si>
    <t>POS 관리 API BE</t>
  </si>
  <si>
    <t>현행화</t>
    <phoneticPr fontId="16" type="noConversion"/>
  </si>
  <si>
    <t>AA 영역 일정 현행화</t>
    <phoneticPr fontId="16" type="noConversion"/>
  </si>
  <si>
    <t>서정만</t>
    <phoneticPr fontId="16" type="noConversion"/>
  </si>
  <si>
    <t>오승헌</t>
    <phoneticPr fontId="16" type="noConversion"/>
  </si>
  <si>
    <t>김건우님</t>
  </si>
  <si>
    <t>2차 오픈 기능</t>
  </si>
  <si>
    <t>POS관리 API 개발</t>
  </si>
  <si>
    <t>영업관리 API 개발</t>
  </si>
  <si>
    <t>기본 설계 원칙 정의</t>
  </si>
  <si>
    <t>자원 Naming Rule 정의</t>
  </si>
  <si>
    <t>네트워크 및 보안 설계</t>
  </si>
  <si>
    <t>ECS 구성 설계</t>
  </si>
  <si>
    <t>AuroraDB 구성 설계</t>
  </si>
  <si>
    <t>AWS Account 설계 (운영/개발)</t>
  </si>
  <si>
    <t>IAM 유저 및 Role 정의</t>
  </si>
  <si>
    <t>배치 스케줄러 구성 설계</t>
  </si>
  <si>
    <t>API 인증 인가 설계</t>
  </si>
  <si>
    <t>전체 CICD 구조 설계</t>
  </si>
  <si>
    <t>GitLab Runner  구성 설계</t>
  </si>
  <si>
    <t>ECR 구성 설계</t>
  </si>
  <si>
    <t>네트워크 및 보안로그 구성안</t>
  </si>
  <si>
    <t>ECS / DB 모니터링 구성안</t>
  </si>
  <si>
    <t>POS/키오스크 모니터링 구성안</t>
  </si>
  <si>
    <t>ECR 구성</t>
  </si>
  <si>
    <t>S3 구성</t>
  </si>
  <si>
    <t>CS POS 시스템</t>
  </si>
  <si>
    <t>AWS 기본 모니터링 구성(CW/NW/보안)</t>
  </si>
  <si>
    <t>DBMS</t>
  </si>
  <si>
    <t>AWS Aurora For PostgreSQL 구성</t>
  </si>
  <si>
    <t>클러스터 파라미터 설계 및 적용</t>
  </si>
  <si>
    <t>데이터베이스 설계</t>
  </si>
  <si>
    <t>데이터표준화 범위 검토</t>
  </si>
  <si>
    <t>데이터표준화</t>
  </si>
  <si>
    <t>네이밍룰 확정 및 DB 생성</t>
  </si>
  <si>
    <t>ASIS 테이블명, 컬럼명, 데이터타입 분석</t>
  </si>
  <si>
    <t xml:space="preserve">TO-BE 표준단어 추출 </t>
  </si>
  <si>
    <t>모델관리</t>
  </si>
  <si>
    <t>모델링 도구 검토 및 가이드</t>
  </si>
  <si>
    <t>표준 항목 정리(표준단어, 표준용어, 도메인)</t>
  </si>
  <si>
    <t>ERD 작성</t>
  </si>
  <si>
    <t>데이터 베이스 정책 수립</t>
  </si>
  <si>
    <t>파티션 자동관리 배치</t>
  </si>
  <si>
    <t>모니터링 전략/툴 도출</t>
  </si>
  <si>
    <t>성능 최적화</t>
  </si>
  <si>
    <t>인덱스 최적화</t>
  </si>
  <si>
    <t>시퀀스 정비</t>
  </si>
  <si>
    <t>테이블/뷰/펑션 구조 개선</t>
  </si>
  <si>
    <t>주요 SQL 튜닝</t>
  </si>
  <si>
    <t>산출물 작성</t>
  </si>
  <si>
    <t>정책/모델/운영 산출물 종합 정리</t>
  </si>
  <si>
    <t>운영환경 구성</t>
  </si>
  <si>
    <t>개발 환경 구성</t>
  </si>
  <si>
    <t>완료보고서</t>
  </si>
  <si>
    <t>중간점검 일정 현행화</t>
  </si>
  <si>
    <t>항목추가</t>
  </si>
  <si>
    <t>SSTS-PMC-02-주간보고서(1주차)</t>
  </si>
  <si>
    <t>SSTS-PMC-02-주간보고서(2주차)</t>
  </si>
  <si>
    <t>SSTS-PMC-02-주간보고서(3주차)</t>
  </si>
  <si>
    <t>SSTS-PMC-02-주간보고서(4주차)</t>
  </si>
  <si>
    <t>SSTS-PMC-02-주간보고서(5주차)</t>
  </si>
  <si>
    <t>SSTS-PMC-02-주간보고서(6주차)</t>
  </si>
  <si>
    <t>SSTS-PMC-02-주간보고서(7주차)</t>
  </si>
  <si>
    <t>SSTS-PMC-02-주간보고서(8주차)</t>
  </si>
  <si>
    <t>SSTS-PMC-02-주간보고서(9주차)</t>
  </si>
  <si>
    <t>SSTS-PMC-02-주간보고서(10주차)</t>
  </si>
  <si>
    <t>SSTS-PMC-02-주간보고서(11주차)</t>
  </si>
  <si>
    <t>SSTS-PMC-02-주간보고서(12주차)</t>
  </si>
  <si>
    <t>SSTS-PMC-02-주간보고서(13주차)</t>
  </si>
  <si>
    <t>SSTS-PMC-02-주간보고서(14주차)</t>
  </si>
  <si>
    <t>SSTS-PMC-02-주간보고서(15주차)</t>
  </si>
  <si>
    <t>SSTS-PMC-02-주간보고서(16주차)</t>
  </si>
  <si>
    <t>SSTS-PMC-02-주간보고서(17주차)</t>
  </si>
  <si>
    <t>SSTS-PMC-02-주간보고서(18주차)</t>
  </si>
  <si>
    <t>SSTS-PMC-02-주간보고서(19주차)</t>
  </si>
  <si>
    <t>SSTS-PMC-02-주간보고서(20주차)</t>
  </si>
  <si>
    <t>SSTS-PMC-02-주간보고서(21주차)</t>
  </si>
  <si>
    <t>SSTS-PMC-02-주간보고서(22주차)</t>
  </si>
  <si>
    <t>SSTS-PMC-02-주간보고서(23주차)</t>
  </si>
  <si>
    <t>SSTS-PMC-02-주간보고서(24주차)</t>
  </si>
  <si>
    <t>SSTS-PMC-02-주간보고서(26주차)</t>
  </si>
  <si>
    <t>SSTS-PMC-02-주간보고서(27주차)</t>
  </si>
  <si>
    <t>SSTS-PMC-02-주간보고서(28주차)</t>
  </si>
  <si>
    <t>SSTS-PMC-02-주간보고서(29주차)</t>
  </si>
  <si>
    <t>SSTS-PMC-02-주간보고서(30주차)</t>
  </si>
  <si>
    <t>SSTS-PMC-02-주간보고서(31주차)</t>
  </si>
  <si>
    <t>SSTS-PMC-02-주간보고서(32주차)</t>
  </si>
  <si>
    <t>SSTS-PMC-02-주간보고서(33주차)</t>
  </si>
  <si>
    <t>SSTS-PMC-02-주간보고서(34주차)</t>
  </si>
  <si>
    <t>SSTS-PMC-02-주간보고서(35주차)</t>
  </si>
  <si>
    <t>SSTS-PMC-02-주간보고서(36주차)</t>
  </si>
  <si>
    <t>SSTS-PMC-02-주간보고서(37주차)</t>
  </si>
  <si>
    <t>SSTS-PMC-02-주간보고서(38주차)</t>
  </si>
  <si>
    <t>SSTS-PMC-02-주간보고서(39주차)</t>
  </si>
  <si>
    <t>SSTS-PMC-02-주간보고서(40주차)</t>
  </si>
  <si>
    <t>SSTS-PMC-02-주간보고서(41주차)</t>
  </si>
  <si>
    <t>SSTS-PMC-02-주간보고서(42주차)</t>
  </si>
  <si>
    <t>SSTS-PMC-02-주간보고서(43주차)</t>
  </si>
  <si>
    <t>SSTS-PMC-02-주간보고서(44주차)</t>
  </si>
  <si>
    <t>SSTS-PMC-02-주간보고서(45주차)</t>
  </si>
  <si>
    <t>SSTS-PMC-02-주간보고서(46주차)</t>
  </si>
  <si>
    <t>SSTS-PMC-02-주간보고서(47주차)</t>
  </si>
  <si>
    <t>SSTS-PMC-02-주간보고서(48주차)</t>
  </si>
  <si>
    <t>SSTS-PMC-02-주간보고서(49주차)</t>
  </si>
  <si>
    <t>SSTS-PMC-02-주간보고서(50주차)</t>
  </si>
  <si>
    <t>엔티티 관계도(ERD), 코드 정의서, 테이블 목록, 테이블 정의서</t>
  </si>
  <si>
    <t>사용자 매뉴얼, 운영자 매뉴얼</t>
  </si>
  <si>
    <t>항목수정</t>
  </si>
  <si>
    <t>프로세스모델링(TO-BE업무흐름도)</t>
  </si>
  <si>
    <t>기능목록 정의(Product Backlog)</t>
  </si>
  <si>
    <t>요구사항 분석 및 용어정의</t>
  </si>
  <si>
    <t>분석(6종)/ 설계(9종) 산출물</t>
  </si>
  <si>
    <t>SSTS-STM-05-착수보고서</t>
  </si>
  <si>
    <t>SSTS-AN-요구사항정의서-v1.0, SSTS-A204-용어사전</t>
  </si>
  <si>
    <t>SSTS-AG04-아키텍쳐설계서</t>
  </si>
  <si>
    <t>SSTS-AN-요구사항정의서-v1.0_20250324, SSTS-A204-용어사전</t>
  </si>
  <si>
    <t>SSTS-DS-ProductBacklog</t>
  </si>
  <si>
    <t>SSTS-A304-엔티티관계도(ERD), SSTS-A304-코드정의서,SSTS-D102-테이블목록,SSTS-D102-테이블정의서</t>
  </si>
  <si>
    <t>SSTS-AG07-인터페이스정의서</t>
  </si>
  <si>
    <t xml:space="preserve">SSTS-D202-프로그램목록, SSTS-D206-프로그램명세서 </t>
  </si>
  <si>
    <t>SSTS-AG06-총괄테스트계획서</t>
  </si>
  <si>
    <t>SSTS-AG12-통합테스트시나리오결과서-1차</t>
  </si>
  <si>
    <t>SSTS-AG09-통합테스트결함관리대장</t>
  </si>
  <si>
    <t>SSTS-AG12-통합테스트시나리오결과서-2차</t>
  </si>
  <si>
    <t>SSTS-AG12-통합테스트시나리오결과서-3차</t>
  </si>
  <si>
    <t>SSTS-3자테스트결과서-2차</t>
  </si>
  <si>
    <t>SSTS-AG13-성능테스트케이스및결과서-1차</t>
  </si>
  <si>
    <t>SSTS-AG13-성능테스트케이스및결과서-2차</t>
  </si>
  <si>
    <t>SSTS-D404-전환프로그램목록, SSTS-D404-전환프로그램명세서</t>
  </si>
  <si>
    <t>SSTS-D404-매핑정의서-개발</t>
  </si>
  <si>
    <t>SSTS-D404-매핑정의서-운영</t>
  </si>
  <si>
    <t>SSTS-AG14-3차오픈시나리오</t>
  </si>
  <si>
    <t>2차 점검결과 개선</t>
  </si>
  <si>
    <t>1차 점검결과 개선</t>
  </si>
  <si>
    <t>정지원님</t>
  </si>
  <si>
    <t>데이터표준</t>
  </si>
  <si>
    <t>데이터표준 적용 및 모델관리</t>
  </si>
  <si>
    <t>데이터표표준 적용 및 물리반영</t>
  </si>
  <si>
    <t>ERD</t>
  </si>
  <si>
    <t>백업 정책(스냅샷) 수립</t>
  </si>
  <si>
    <t>파티션 및 데이터보관 정책 수립</t>
  </si>
  <si>
    <t>LOG 및 모니터링 데이터관리정책 수립</t>
  </si>
  <si>
    <t>VACUUM &amp; ANALYZE 정책 수립</t>
  </si>
  <si>
    <t>HA 구성 및 관리 정책 수립</t>
  </si>
  <si>
    <t>패스워드 정책 수립</t>
  </si>
  <si>
    <t>정책서</t>
  </si>
  <si>
    <t>정책 스크립트 개발 및 적용</t>
  </si>
  <si>
    <t>스크립트</t>
  </si>
  <si>
    <t>주요 SQL 성능 검토</t>
  </si>
  <si>
    <t>표준/모델/정책/스크립트등 산출물 종합 정리</t>
  </si>
  <si>
    <t>데이터베이스 생성</t>
  </si>
  <si>
    <t>DB 생성 및 표준적용</t>
  </si>
  <si>
    <t>TOBE 테이블명, 컬럼명, 데이터타입 분석</t>
  </si>
  <si>
    <t>TO-BE 표준단어 검토</t>
  </si>
  <si>
    <t>논리 VS 물리 교차 검증</t>
  </si>
  <si>
    <t>표준 적용상태 점검</t>
  </si>
  <si>
    <t>ERD 검증</t>
  </si>
  <si>
    <t>파티션 및 데이터보관 정책 적용</t>
  </si>
  <si>
    <t>LOG 및 모니터링 데이터관리정책 적용</t>
  </si>
  <si>
    <t>VACUUM &amp; ANALYZE 정책 적용</t>
  </si>
  <si>
    <t>패스워드 정책 적용</t>
  </si>
  <si>
    <t>데이터 베이스 정책 검토 및 적용</t>
  </si>
  <si>
    <t>파티션 자동관리 배치 수정 및 적용</t>
  </si>
  <si>
    <t>알람</t>
  </si>
  <si>
    <t>슬랙</t>
  </si>
  <si>
    <t>이메일</t>
  </si>
  <si>
    <t>소스검증</t>
  </si>
  <si>
    <t>정보보안팀</t>
  </si>
  <si>
    <t>강상욱</t>
  </si>
  <si>
    <t>H/W연동</t>
  </si>
  <si>
    <t>결제</t>
  </si>
  <si>
    <t>회원</t>
  </si>
  <si>
    <t>정산</t>
  </si>
  <si>
    <t>영수증</t>
  </si>
  <si>
    <t>부가기능</t>
  </si>
  <si>
    <t>고객화면</t>
  </si>
  <si>
    <t>개발 및 단위테스트(1차)</t>
  </si>
  <si>
    <t>1.5차 오픈기능</t>
  </si>
  <si>
    <t>개발 및 단위테스트(1.5차)</t>
  </si>
  <si>
    <t>데이터수신</t>
  </si>
  <si>
    <t>개발 및 단위테스트(2차)</t>
  </si>
  <si>
    <t>거래</t>
  </si>
  <si>
    <t>접근성</t>
  </si>
  <si>
    <t>2차 오픈기능</t>
  </si>
  <si>
    <t>멤버십</t>
  </si>
  <si>
    <t>뭄상진님</t>
  </si>
  <si>
    <t>이금희님,김건우님</t>
  </si>
  <si>
    <t>유운오님,문상진님</t>
  </si>
  <si>
    <t>김건우님,문상진님</t>
  </si>
  <si>
    <t>기준정보관리</t>
  </si>
  <si>
    <t>POS/키오스크 관리</t>
  </si>
  <si>
    <t>시스템관리</t>
  </si>
  <si>
    <t>배치관리</t>
  </si>
  <si>
    <t>판매관리</t>
  </si>
  <si>
    <t>연동</t>
  </si>
  <si>
    <t>온라인몰API</t>
  </si>
  <si>
    <t>연동 및 알람</t>
  </si>
  <si>
    <t>현행화</t>
  </si>
  <si>
    <t>서정만</t>
  </si>
  <si>
    <t>6주차 주간보고시 최종 확정</t>
    <phoneticPr fontId="16" type="noConversion"/>
  </si>
  <si>
    <r>
      <t xml:space="preserve">아키텍처 설계서 리뷰에 따른 일정 현행화
클라우드  개발 서비스 구성 일정 (4/11 </t>
    </r>
    <r>
      <rPr>
        <sz val="10"/>
        <color indexed="12"/>
        <rFont val="맑은 고딕"/>
        <family val="3"/>
        <charset val="129"/>
      </rPr>
      <t>→</t>
    </r>
    <r>
      <rPr>
        <sz val="10"/>
        <color indexed="12"/>
        <rFont val="맑은 고딕"/>
        <family val="3"/>
        <charset val="129"/>
        <scheme val="minor"/>
      </rPr>
      <t xml:space="preserve"> 4/18)
3차 오픈 계획수립  및 환경구성 일정  (12/19 → 12/26)</t>
    </r>
    <phoneticPr fontId="16" type="noConversion"/>
  </si>
  <si>
    <t>기획(1차)</t>
  </si>
  <si>
    <t>기획(2차)</t>
  </si>
  <si>
    <t>수정</t>
  </si>
  <si>
    <t>김재희</t>
  </si>
  <si>
    <t>기획자 변경에 따른 기획 일정 변경
디자인/퍼블 일정 분리 
개발자역할 변경에 따른 개발일정 조정
[8주차 주간업무보고 회의록 참조]</t>
    <phoneticPr fontId="16" type="noConversion"/>
  </si>
  <si>
    <t>설계(1차)</t>
  </si>
  <si>
    <t>설계(2차)</t>
  </si>
  <si>
    <t>사용자 교육(파워유저)</t>
  </si>
  <si>
    <t>Datadog 구성</t>
  </si>
  <si>
    <t>API GW 방식 변경</t>
  </si>
  <si>
    <t>POS 관리 &amp; 영업관리 API 설계변경 테스트 (API GW 방식) </t>
  </si>
  <si>
    <t>POS 관리 &amp; 영업관리 개발 환경 재구성</t>
  </si>
  <si>
    <t xml:space="preserve">백업 정책(스냅샷) 적용(복구 테스트) </t>
  </si>
  <si>
    <t>공통(실시간API 구조변경분 반영)</t>
  </si>
  <si>
    <t>추가</t>
    <phoneticPr fontId="16" type="noConversion"/>
  </si>
  <si>
    <t>백로그 1.4 기준 WBS 항목추가
- 공통(실시간API 구조변경분 반영)</t>
    <phoneticPr fontId="16" type="noConversion"/>
  </si>
  <si>
    <t>API Gateway 추가 구성으로 인한 인프라 WBS  Task 추가</t>
    <phoneticPr fontId="16" type="noConversion"/>
  </si>
  <si>
    <t>이석호</t>
    <phoneticPr fontId="16" type="noConversion"/>
  </si>
  <si>
    <t>2025년 대선 선거</t>
    <phoneticPr fontId="16" type="noConversion"/>
  </si>
  <si>
    <t>제니퍼&amp;Datadog 구성</t>
  </si>
  <si>
    <t>수정</t>
    <phoneticPr fontId="16" type="noConversion"/>
  </si>
  <si>
    <t>POS, 키오스크 개발 우선 순위 변경에 따른 일정 수정</t>
    <phoneticPr fontId="16" type="noConversion"/>
  </si>
  <si>
    <t>류행석</t>
  </si>
  <si>
    <t>오승헌</t>
    <phoneticPr fontId="16" type="noConversion"/>
  </si>
  <si>
    <t>서정만</t>
    <phoneticPr fontId="16" type="noConversion"/>
  </si>
  <si>
    <t>단위테스트(1.5차)</t>
  </si>
  <si>
    <t>02/16
W8</t>
  </si>
  <si>
    <t>W1</t>
  </si>
  <si>
    <t>03/16
W12</t>
  </si>
  <si>
    <t>W5</t>
  </si>
  <si>
    <t>04/13
W16</t>
  </si>
  <si>
    <t>W9</t>
  </si>
  <si>
    <t>05/11
W20</t>
  </si>
  <si>
    <t>W13</t>
  </si>
  <si>
    <t>06/08
W24</t>
  </si>
  <si>
    <t>W17</t>
  </si>
  <si>
    <t>07/06
W28</t>
  </si>
  <si>
    <t>W21</t>
  </si>
  <si>
    <t>08/03
W32</t>
  </si>
  <si>
    <t>W25</t>
  </si>
  <si>
    <t>08/31
W36</t>
  </si>
  <si>
    <t>W29</t>
  </si>
  <si>
    <t>09/28
W40</t>
  </si>
  <si>
    <t>W33</t>
  </si>
  <si>
    <t>10/26
W44</t>
  </si>
  <si>
    <t>W37</t>
  </si>
  <si>
    <t>11/23
W48</t>
  </si>
  <si>
    <t>W41</t>
  </si>
  <si>
    <t>12/21
W52</t>
  </si>
  <si>
    <t>W45</t>
  </si>
  <si>
    <t>2026
W4</t>
  </si>
  <si>
    <t>W49</t>
  </si>
  <si>
    <t>02/15
W8</t>
  </si>
  <si>
    <t>W53</t>
  </si>
  <si>
    <t>G</t>
  </si>
  <si>
    <t>1.2.5.2.4</t>
  </si>
  <si>
    <t>2.2.1.3</t>
  </si>
  <si>
    <t>2.2.1.4</t>
  </si>
  <si>
    <t>2.2.1.5</t>
  </si>
  <si>
    <t>2.2.1.6</t>
  </si>
  <si>
    <t>2.2.1.7</t>
  </si>
  <si>
    <t>2.2.2.3</t>
  </si>
  <si>
    <t>2.2.2.4</t>
  </si>
  <si>
    <t>2.2.3.4</t>
  </si>
  <si>
    <t>2.2.3.5</t>
  </si>
  <si>
    <t>2.2.3.6</t>
  </si>
  <si>
    <t>2.2.3.7</t>
  </si>
  <si>
    <t>2.3.1.2.4</t>
  </si>
  <si>
    <t>2.3.1.2.5</t>
  </si>
  <si>
    <t>2.3.1.3.6</t>
  </si>
  <si>
    <t>2.3.1.3.7</t>
  </si>
  <si>
    <t>2.3.1.3.8</t>
  </si>
  <si>
    <t>2.3.1.4.3</t>
  </si>
  <si>
    <t>2.3.1.4.4</t>
  </si>
  <si>
    <t>2.3.1.5</t>
  </si>
  <si>
    <t>2.3.1.5.1</t>
  </si>
  <si>
    <t>2.3.1.5.2</t>
  </si>
  <si>
    <t>2.3.3</t>
  </si>
  <si>
    <t>2.3.3.1</t>
  </si>
  <si>
    <t>2.3.3.2</t>
  </si>
  <si>
    <t>2.3.4</t>
  </si>
  <si>
    <t>2.3.4.1</t>
  </si>
  <si>
    <t>2.3.4.1.1</t>
  </si>
  <si>
    <t>2.3.4.1.2</t>
  </si>
  <si>
    <t>2.3.4.1.3</t>
  </si>
  <si>
    <t>2.3.4.1.4</t>
  </si>
  <si>
    <t>2.3.4.2</t>
  </si>
  <si>
    <t>2.3.4.2.1</t>
  </si>
  <si>
    <t>2.3.4.2.2</t>
  </si>
  <si>
    <t>2.3.4.2.3</t>
  </si>
  <si>
    <t>2.3.4.2.4</t>
  </si>
  <si>
    <t>2.3.4.2.5</t>
  </si>
  <si>
    <t>2.3.4.2.6</t>
  </si>
  <si>
    <t>2.3.4.2.7</t>
  </si>
  <si>
    <t>2.3.4.2.8</t>
  </si>
  <si>
    <t>2.3.4.3</t>
  </si>
  <si>
    <t>2.3.4.3.1</t>
  </si>
  <si>
    <t>2.3.4.3.2</t>
  </si>
  <si>
    <t>2.3.4.3.3</t>
  </si>
  <si>
    <t>2.4</t>
  </si>
  <si>
    <t>2.4.1</t>
  </si>
  <si>
    <t>2.4.1.1</t>
  </si>
  <si>
    <t>2.4.1.1.1</t>
  </si>
  <si>
    <t>2.4.1.1.2</t>
  </si>
  <si>
    <t>2.4.1.1.3</t>
  </si>
  <si>
    <t>2.4.1.1.4</t>
  </si>
  <si>
    <t>2.4.1.2</t>
  </si>
  <si>
    <t>2.4.1.2.1</t>
  </si>
  <si>
    <t>2.4.1.2.2</t>
  </si>
  <si>
    <t>2.4.1.2.3</t>
  </si>
  <si>
    <t>2.4.1.3</t>
  </si>
  <si>
    <t>2.4.1.3.1</t>
  </si>
  <si>
    <t>2.4.1.3.2</t>
  </si>
  <si>
    <t>2.4.1.3.3</t>
  </si>
  <si>
    <t>2.4.1.3.4</t>
  </si>
  <si>
    <t>2.4.1.4</t>
  </si>
  <si>
    <t>2.4.1.4.1</t>
  </si>
  <si>
    <t>2.4.1.4.2</t>
  </si>
  <si>
    <t>2.4.1.4.3</t>
  </si>
  <si>
    <t>2.4.1.4.4</t>
  </si>
  <si>
    <t>2.4.1.4.5</t>
  </si>
  <si>
    <t>2.4.1.4.6</t>
  </si>
  <si>
    <t>2.4.1.5</t>
  </si>
  <si>
    <t>2.4.1.5.1</t>
  </si>
  <si>
    <t>2.4.1.5.2</t>
  </si>
  <si>
    <t>2.4.1.6</t>
  </si>
  <si>
    <t>2.4.1.6.1</t>
  </si>
  <si>
    <t>2.4.1.6.2</t>
  </si>
  <si>
    <t>2.4.1.6.3</t>
  </si>
  <si>
    <t>2.4.1.6.4</t>
  </si>
  <si>
    <t>2.4.1.7</t>
  </si>
  <si>
    <t>2.4.1.7.1</t>
  </si>
  <si>
    <t>2.4.2</t>
  </si>
  <si>
    <t>2.4.2.1</t>
  </si>
  <si>
    <t>2.4.2.1.1</t>
  </si>
  <si>
    <t>2.4.2.1.2</t>
  </si>
  <si>
    <t>2.4.2.1.3</t>
  </si>
  <si>
    <t>2.4.2.2</t>
  </si>
  <si>
    <t>2.4.2.2.1</t>
  </si>
  <si>
    <t>2.4.2.2.2</t>
  </si>
  <si>
    <t>2.4.2.2.3</t>
  </si>
  <si>
    <t>2.4.2.3</t>
  </si>
  <si>
    <t>2.4.2.3.1</t>
  </si>
  <si>
    <t>2.4.2.3.2</t>
  </si>
  <si>
    <t>2.4.2.3.3</t>
  </si>
  <si>
    <t>2.4.2.4</t>
  </si>
  <si>
    <t>2.4.2.4.1</t>
  </si>
  <si>
    <t>2.4.2.4.2</t>
  </si>
  <si>
    <t>2.4.2.4.3</t>
  </si>
  <si>
    <t>2.4.2.4.4</t>
  </si>
  <si>
    <t>2.4.2.4.5</t>
  </si>
  <si>
    <t>2.4.2.5</t>
  </si>
  <si>
    <t>2.4.2.5.1</t>
  </si>
  <si>
    <t>2.4.2.5.2</t>
  </si>
  <si>
    <t>2.4.2.6</t>
  </si>
  <si>
    <t>2.4.2.6.1</t>
  </si>
  <si>
    <t>2.4.2.6.2</t>
  </si>
  <si>
    <t>2.4.2.6.3</t>
  </si>
  <si>
    <t>2.4.2.6.4</t>
  </si>
  <si>
    <t>2.4.2.7</t>
  </si>
  <si>
    <t>2.4.2.7.1</t>
  </si>
  <si>
    <t>3.1.2.10</t>
  </si>
  <si>
    <t>3.1.2.11</t>
  </si>
  <si>
    <t>3.1.2.12</t>
  </si>
  <si>
    <t>3.1.3.3</t>
  </si>
  <si>
    <t>3.1.3.3.1</t>
  </si>
  <si>
    <t>3.1.3.3.2</t>
  </si>
  <si>
    <t>3.1.3.3.3</t>
  </si>
  <si>
    <t>3.1.3.3.4</t>
  </si>
  <si>
    <t>3.1.3.3.5</t>
  </si>
  <si>
    <t>3.2.2.3</t>
  </si>
  <si>
    <t>3.2.2.4</t>
  </si>
  <si>
    <t>3.2.2.5</t>
  </si>
  <si>
    <t>3.2.2.6</t>
  </si>
  <si>
    <t>3.2.2.7</t>
  </si>
  <si>
    <t>3.2.2.8</t>
  </si>
  <si>
    <t>3.2.2.9</t>
  </si>
  <si>
    <t>3.2.3.3</t>
  </si>
  <si>
    <t>3.2.3.3.1</t>
  </si>
  <si>
    <t>3.2.3.3.2</t>
  </si>
  <si>
    <t>3.2.3.3.3</t>
  </si>
  <si>
    <t>3.2.3.3.4</t>
  </si>
  <si>
    <t>3.2.3.3.5</t>
  </si>
  <si>
    <t>3.3.1.2</t>
  </si>
  <si>
    <t>3.3.2.2</t>
  </si>
  <si>
    <t>3.3.2.3</t>
  </si>
  <si>
    <t>3.3.3.1.3</t>
  </si>
  <si>
    <t>3.4.2.5</t>
  </si>
  <si>
    <t>3.4.2.6</t>
  </si>
  <si>
    <t>3.4.2.7</t>
  </si>
  <si>
    <t>3.4.2.8</t>
  </si>
  <si>
    <t>3.4.2.9</t>
  </si>
  <si>
    <t>3.4.3.2.3</t>
  </si>
  <si>
    <t>3.4.3.2.4</t>
  </si>
  <si>
    <t>3.4.3.2.5</t>
  </si>
  <si>
    <t>3.4.3.2.6</t>
  </si>
  <si>
    <t>3.4.3.2.7</t>
  </si>
  <si>
    <t>3차 오픈(에이션패션)</t>
  </si>
  <si>
    <t>2차 오픈(신성통상)</t>
  </si>
  <si>
    <t>1차 보안점검 계획수립/ 수행</t>
  </si>
  <si>
    <t>2차 보안점검 계획수립/ 수행</t>
  </si>
  <si>
    <t>단위테스트 일정/ 3차오픈 일정 현행화</t>
    <phoneticPr fontId="16" type="noConversion"/>
  </si>
  <si>
    <t>1차 보안점검 계획수립/ 수행 일정 현행화</t>
    <phoneticPr fontId="16" type="noConversion"/>
  </si>
  <si>
    <t>신성통상 차세대 POS 및 키오스크 구축 프로젝트</t>
    <phoneticPr fontId="16" type="noConversion"/>
  </si>
  <si>
    <t>파워포인트</t>
    <phoneticPr fontId="16" type="noConversion"/>
  </si>
  <si>
    <t>워드</t>
    <phoneticPr fontId="16" type="noConversion"/>
  </si>
  <si>
    <t>엑셀</t>
    <phoneticPr fontId="16" type="noConversion"/>
  </si>
  <si>
    <t>Notepad++</t>
    <phoneticPr fontId="16" type="noConversion"/>
  </si>
  <si>
    <t>html</t>
    <phoneticPr fontId="16" type="noConversion"/>
  </si>
  <si>
    <t>C:\Program Files\Notepad++\notepad++.exe</t>
    <phoneticPr fontId="16" type="noConversion"/>
  </si>
  <si>
    <t>메모장</t>
    <phoneticPr fontId="16" type="noConversion"/>
  </si>
  <si>
    <t>txt</t>
    <phoneticPr fontId="16" type="noConversion"/>
  </si>
  <si>
    <t>C:\WINDOWS\system32\notepad.exe</t>
    <phoneticPr fontId="16" type="noConversion"/>
  </si>
  <si>
    <t>PDF</t>
    <phoneticPr fontId="16" type="noConversion"/>
  </si>
  <si>
    <t>pdf</t>
    <phoneticPr fontId="16" type="noConversion"/>
  </si>
  <si>
    <t>C:\Program Files\Adobe\Acrobat DC\Acrobat\acrobat.exe</t>
    <phoneticPr fontId="16" type="noConversion"/>
  </si>
  <si>
    <t>ppt*</t>
    <phoneticPr fontId="16" type="noConversion"/>
  </si>
  <si>
    <t>xls*</t>
    <phoneticPr fontId="16" type="noConversion"/>
  </si>
  <si>
    <t>AutoCAD</t>
    <phoneticPr fontId="16" type="noConversion"/>
  </si>
  <si>
    <t>C:\Program Files\Autodesk\AutoCAD 2019\acad.exe</t>
    <phoneticPr fontId="16" type="noConversion"/>
  </si>
  <si>
    <t>doc*</t>
    <phoneticPr fontId="16" type="noConversion"/>
  </si>
  <si>
    <t>F</t>
    <phoneticPr fontId="16" type="noConversion"/>
  </si>
  <si>
    <t>1차 통합테스트 DB 준비</t>
  </si>
  <si>
    <t>통합 테스트 DB 환경 준비</t>
  </si>
  <si>
    <t>테스트 데이터 이관 및 검증</t>
  </si>
  <si>
    <t xml:space="preserve">1차 통합테스트 수행 및 DB 개선작업 </t>
  </si>
  <si>
    <t>Failover 테스트 진행</t>
  </si>
  <si>
    <t>2.4.2.6.5</t>
  </si>
  <si>
    <t>2차 통합테스트 DB 준비</t>
  </si>
  <si>
    <t xml:space="preserve">2차 통합테스트 수행 및 DB 개선작업 </t>
  </si>
  <si>
    <t>데이터 이관</t>
  </si>
  <si>
    <t>데이터 이관 환경 구축</t>
  </si>
  <si>
    <t>데이터 이관 계획서 작성 및 준비</t>
  </si>
  <si>
    <t>데이터 이관 테스트 진행</t>
  </si>
  <si>
    <t>데이터 이행 작업 진행</t>
  </si>
  <si>
    <t>데이터 이관 검토 및 확인</t>
  </si>
  <si>
    <t>검증 카운터 파트 필요</t>
  </si>
  <si>
    <t>2.4.2.8</t>
  </si>
  <si>
    <t>2.4.2.8.1</t>
  </si>
  <si>
    <t>2.4.2.8.2</t>
  </si>
  <si>
    <t>2.4.2.8.3</t>
  </si>
  <si>
    <t>2.4.2.8.4</t>
  </si>
  <si>
    <t>2.4.2.9</t>
  </si>
  <si>
    <t>2.4.2.9.1</t>
  </si>
  <si>
    <t>2.4.2.9.2</t>
  </si>
  <si>
    <t>2.4.2.9.3</t>
  </si>
  <si>
    <t>2.4.2.9.4</t>
  </si>
  <si>
    <t>2.4.2.9.5</t>
  </si>
  <si>
    <t>2.4.2.10</t>
  </si>
  <si>
    <t>2.4.2.10.1</t>
  </si>
  <si>
    <t>오픈 관련 DB 작업 진행</t>
  </si>
  <si>
    <t>모니터링 관련 준비 및 적용</t>
  </si>
  <si>
    <t>2.4.2.10.2</t>
  </si>
  <si>
    <t>2.4.2.11</t>
  </si>
  <si>
    <t>2.4.2.11.1</t>
  </si>
  <si>
    <t>2.4.2.11.2</t>
  </si>
  <si>
    <t>2.4.2.11.3</t>
  </si>
  <si>
    <t>2.4.2.12</t>
  </si>
  <si>
    <t>2.4.2.12.1</t>
  </si>
  <si>
    <t>3차 통합테스트 DB 준비</t>
  </si>
  <si>
    <t>DB 점검</t>
  </si>
  <si>
    <t>이관 환경 상태 점검</t>
  </si>
  <si>
    <t>DB 상태 점검</t>
  </si>
  <si>
    <t>2.4.2.12.2</t>
  </si>
  <si>
    <t>2.4.2.12.3</t>
  </si>
  <si>
    <t>2.4.2.12.4</t>
  </si>
  <si>
    <t>2.4.2.13</t>
  </si>
  <si>
    <t>2.4.2.13.1</t>
  </si>
  <si>
    <t>2.4.2.13.2</t>
  </si>
  <si>
    <t>2.4.2.14</t>
  </si>
  <si>
    <t>2.4.2.14.1</t>
  </si>
  <si>
    <t>오픈 관련 DB 작업 준비</t>
  </si>
  <si>
    <t>2차 데이터 이관 검토 및 확인</t>
  </si>
  <si>
    <t>2차 데이터 이관 및 이행 진행</t>
  </si>
  <si>
    <t>2.4.2.14.2</t>
  </si>
  <si>
    <t>2.4.2.14.3</t>
  </si>
  <si>
    <t>2.4.2.15</t>
  </si>
  <si>
    <t>2.4.2.15.1</t>
  </si>
  <si>
    <t>3차 데이터 이관/이행 인수인계 포함</t>
  </si>
  <si>
    <t>2.4.2.15.2</t>
  </si>
  <si>
    <t>2.4.2.15.3</t>
  </si>
  <si>
    <t>최종 인수인계</t>
  </si>
  <si>
    <t>인수인계 문서 작성</t>
  </si>
  <si>
    <t xml:space="preserve">3차 통합테스트 수행 및 DB 개선작업 </t>
  </si>
  <si>
    <t>5.5.3</t>
  </si>
  <si>
    <t>{"TASK_FIRST_COL":"5","START_ROW":"5","WBS_AREA_LAST_COL":"31"}</t>
    <phoneticPr fontId="16" type="noConversion"/>
  </si>
  <si>
    <t>SCHEDULE_SHEET_POSITION:3545151617181920212223242526272829303132</t>
    <phoneticPr fontId="16" type="noConversion"/>
  </si>
  <si>
    <t>1차 오픈 작업</t>
  </si>
  <si>
    <t>2차 오픈 작업</t>
  </si>
  <si>
    <t>비고</t>
    <phoneticPr fontId="18" type="noConversion"/>
  </si>
  <si>
    <t>시작일*</t>
    <phoneticPr fontId="18" type="noConversion"/>
  </si>
  <si>
    <t>계획_x000D_
작업량</t>
    <phoneticPr fontId="18" type="noConversion"/>
  </si>
  <si>
    <t>실제_x000D_
시작일</t>
    <phoneticPr fontId="18" type="noConversion"/>
  </si>
  <si>
    <t>실제_x000D_
완료일</t>
    <phoneticPr fontId="18" type="noConversion"/>
  </si>
  <si>
    <t>실제_x000D_
총작업량</t>
    <phoneticPr fontId="18" type="noConversion"/>
  </si>
  <si>
    <t>실제_x000D_
총기간</t>
    <phoneticPr fontId="18" type="noConversion"/>
  </si>
  <si>
    <t>계획</t>
    <phoneticPr fontId="18" type="noConversion"/>
  </si>
  <si>
    <t>실적*</t>
    <phoneticPr fontId="18" type="noConversion"/>
  </si>
  <si>
    <t>프로젝트 진척율 - 일정변경 관리하지 않을때</t>
    <phoneticPr fontId="18" type="noConversion"/>
  </si>
  <si>
    <t>실적기성(총기간 x 총실적진행율)</t>
    <phoneticPr fontId="18" type="noConversion"/>
  </si>
  <si>
    <t>wbs_level</t>
    <phoneticPr fontId="18" type="noConversion"/>
  </si>
  <si>
    <t>Calendar</t>
    <phoneticPr fontId="18" type="noConversion"/>
  </si>
  <si>
    <t>총_x000D_
작업량</t>
    <phoneticPr fontId="18" type="noConversion"/>
  </si>
  <si>
    <t>계획_x000D_
기간</t>
    <phoneticPr fontId="18" type="noConversion"/>
  </si>
  <si>
    <t>가중치</t>
    <phoneticPr fontId="18" type="noConversion"/>
  </si>
  <si>
    <t>산출물</t>
    <phoneticPr fontId="18" type="noConversion"/>
  </si>
  <si>
    <t>실적기성</t>
    <phoneticPr fontId="18" type="noConversion"/>
  </si>
  <si>
    <t>담당</t>
    <phoneticPr fontId="18" type="noConversion"/>
  </si>
  <si>
    <t>총_x000D_
기간</t>
    <phoneticPr fontId="18" type="noConversion"/>
  </si>
  <si>
    <t>DEFINED</t>
    <phoneticPr fontId="16" type="noConversion"/>
  </si>
  <si>
    <t>dwg</t>
    <phoneticPr fontId="16" type="noConversion"/>
  </si>
  <si>
    <t>1:English,82:Korean,999:Custom</t>
    <phoneticPr fontId="16" type="noConversion"/>
  </si>
  <si>
    <t>reserved</t>
    <phoneticPr fontId="18" type="noConversion"/>
  </si>
  <si>
    <t>작업*</t>
    <phoneticPr fontId="18" type="noConversion"/>
  </si>
  <si>
    <t>task_group</t>
    <phoneticPr fontId="18" type="noConversion"/>
  </si>
  <si>
    <t>완료일*</t>
    <phoneticPr fontId="18" type="noConversion"/>
  </si>
  <si>
    <t>주문</t>
  </si>
  <si>
    <t>프로모션</t>
  </si>
  <si>
    <t>거래(결제)</t>
  </si>
  <si>
    <t>3.2.3.1.8</t>
  </si>
  <si>
    <t>3.2.3.1.9</t>
  </si>
  <si>
    <t>3.2.3.1.10</t>
  </si>
  <si>
    <t>3.2.3.1.11</t>
  </si>
  <si>
    <t>계획수립 및 환경구성</t>
  </si>
  <si>
    <r>
      <t xml:space="preserve">1~3차 통합테스트 DB환경/개선, 이관, 오픈이행 등 TASK 추가
1차 성능테스트 수행 및 조치 일정 조정
(07/28 ~ 08/08 </t>
    </r>
    <r>
      <rPr>
        <sz val="10"/>
        <color indexed="12"/>
        <rFont val="맑은 고딕"/>
        <family val="3"/>
        <charset val="129"/>
      </rPr>
      <t>→</t>
    </r>
    <r>
      <rPr>
        <sz val="10"/>
        <color indexed="12"/>
        <rFont val="맑은 고딕"/>
        <family val="3"/>
        <charset val="129"/>
        <scheme val="minor"/>
      </rPr>
      <t xml:space="preserve"> 08/04 ~ 08/14)</t>
    </r>
    <phoneticPr fontId="16" type="noConversion"/>
  </si>
  <si>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</si>
  <si>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1차 파일럿 오픈</t>
  </si>
  <si>
    <t>이행</t>
    <phoneticPr fontId="1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</si>
</sst>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1" formatCode="_-* #,##0_-;\-* #,##0_-;_-* &quot;-&quot;_-;_-@_-"/>
    <numFmt numFmtId="176" formatCode="0_);[Red]\(0\)"/>
    <numFmt numFmtId="177" formatCode="0.0"/>
    <numFmt numFmtId="178" formatCode="0.0_);[Red]\(0.0\)"/>
    <numFmt numFmtId="179" formatCode="0.00_);[Red]\(0.00\)"/>
    <numFmt numFmtId="180" formatCode="[$-412]yy/mm/dd\(ddd\)"/>
    <numFmt numFmtId="181" formatCode="0.0%"/>
  </numFmts>
  <fonts count="122">
    <font>
      <sz val="11"/>
      <color theme="1"/>
      <name val="맑은 고딕"/>
      <family val="2"/>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sz val="9"/>
      <color rgb="FFFF8800"/>
      <name val="맑은 고딕"/>
      <family val="3"/>
      <charset val="129"/>
      <scheme val="minor"/>
    </font>
    <font>
      <sz val="11"/>
      <name val="Arial Narrow"/>
      <family val="2"/>
    </font>
    <font>
      <sz val="11"/>
      <name val="돋움"/>
      <family val="3"/>
      <charset val="129"/>
    </font>
    <font>
      <sz val="12"/>
      <color theme="1" tint="0.499984740745262"/>
      <name val="맑은 고딕"/>
      <family val="3"/>
      <charset val="129"/>
      <scheme val="minor"/>
    </font>
    <font>
      <sz val="10"/>
      <name val="맑은 고딕"/>
      <family val="3"/>
      <charset val="129"/>
      <scheme val="minor"/>
    </font>
    <font>
      <sz val="11"/>
      <color theme="1"/>
      <name val="맑은 고딕"/>
      <family val="3"/>
      <charset val="129"/>
      <scheme val="minor"/>
    </font>
    <font>
      <sz val="10"/>
      <color indexed="12"/>
      <name val="맑은 고딕"/>
      <family val="3"/>
      <charset val="129"/>
      <scheme val="minor"/>
    </font>
    <font>
      <b/>
      <sz val="18"/>
      <color theme="1" tint="0.499984740745262"/>
      <name val="CJ ONLYONE NEW 제목 Medium"/>
      <family val="3"/>
      <charset val="129"/>
    </font>
    <font>
      <sz val="24"/>
      <name val="CJ ONLYONE NEW 제목 Medium"/>
      <family val="3"/>
      <charset val="129"/>
    </font>
    <font>
      <b/>
      <sz val="16"/>
      <name val="맑은 고딕"/>
      <family val="3"/>
      <charset val="129"/>
      <scheme val="minor"/>
    </font>
    <font>
      <b/>
      <sz val="11"/>
      <name val="맑은 고딕"/>
      <family val="3"/>
      <charset val="129"/>
      <scheme val="minor"/>
    </font>
    <font>
      <b/>
      <sz val="9"/>
      <name val="맑은 고딕"/>
      <family val="2"/>
      <charset val="129"/>
      <scheme val="minor"/>
    </font>
    <font>
      <sz val="9"/>
      <name val="Cambria Math"/>
      <family val="3"/>
    </font>
    <font>
      <sz val="11"/>
      <color theme="1"/>
      <name val="맑은 고딕"/>
      <family val="2"/>
      <charset val="129"/>
    </font>
    <font>
      <sz val="10"/>
      <color theme="1"/>
      <name val="CJ ONLYONE NEW 본문 Light"/>
      <family val="3"/>
      <charset val="129"/>
    </font>
    <font>
      <sz val="10"/>
      <color theme="1"/>
      <name val="맑은 고딕"/>
      <family val="2"/>
      <charset val="129"/>
      <scheme val="minor"/>
    </font>
    <font>
      <b/>
      <sz val="11"/>
      <color theme="1"/>
      <name val="맑은 고딕"/>
      <family val="3"/>
      <charset val="129"/>
      <scheme val="minor"/>
    </font>
    <font>
      <sz val="12"/>
      <name val="宋体"/>
      <family val="3"/>
      <charset val="129"/>
    </font>
    <font>
      <sz val="11"/>
      <color theme="1"/>
      <name val="새굴림"/>
      <family val="1"/>
      <charset val="129"/>
    </font>
    <font>
      <sz val="10"/>
      <color theme="1"/>
      <name val="CJ ONLYONE NEW 본문 Light"/>
      <family val="2"/>
      <charset val="129"/>
    </font>
    <font>
      <sz val="11"/>
      <color theme="0"/>
      <name val="맑은 고딕"/>
      <family val="3"/>
      <charset val="129"/>
      <scheme val="minor"/>
    </font>
    <font>
      <sz val="11"/>
      <color rgb="FFFF0000"/>
      <name val="맑은 고딕"/>
      <family val="3"/>
      <charset val="129"/>
      <scheme val="minor"/>
    </font>
    <font>
      <b/>
      <sz val="11"/>
      <color rgb="FFFA7D00"/>
      <name val="맑은 고딕"/>
      <family val="3"/>
      <charset val="129"/>
      <scheme val="minor"/>
    </font>
    <font>
      <sz val="11"/>
      <color rgb="FF9C0006"/>
      <name val="맑은 고딕"/>
      <family val="3"/>
      <charset val="129"/>
      <scheme val="minor"/>
    </font>
    <font>
      <sz val="11"/>
      <color theme="1"/>
      <name val="CJ ONLYONE NEW 본문 Light"/>
      <family val="2"/>
      <charset val="129"/>
    </font>
    <font>
      <sz val="10"/>
      <color theme="1"/>
      <name val="나눔고딕"/>
      <family val="2"/>
      <charset val="129"/>
    </font>
    <font>
      <sz val="11"/>
      <color rgb="FF9C5700"/>
      <name val="맑은 고딕"/>
      <family val="3"/>
      <charset val="129"/>
      <scheme val="minor"/>
    </font>
    <font>
      <i/>
      <sz val="11"/>
      <color rgb="FF7F7F7F"/>
      <name val="맑은 고딕"/>
      <family val="3"/>
      <charset val="129"/>
      <scheme val="minor"/>
    </font>
    <font>
      <b/>
      <sz val="11"/>
      <color theme="0"/>
      <name val="맑은 고딕"/>
      <family val="3"/>
      <charset val="129"/>
      <scheme val="minor"/>
    </font>
    <font>
      <sz val="10"/>
      <color theme="1"/>
      <name val="굴림체"/>
      <family val="3"/>
      <charset val="129"/>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sz val="10"/>
      <color theme="1"/>
      <name val="가는각진제목체"/>
      <family val="2"/>
      <charset val="129"/>
    </font>
    <font>
      <sz val="9"/>
      <color theme="1"/>
      <name val="가는각진제목체"/>
      <family val="2"/>
      <charset val="129"/>
    </font>
    <font>
      <sz val="10"/>
      <color theme="1"/>
      <name val="맑은 고딕"/>
      <family val="2"/>
      <scheme val="minor"/>
    </font>
    <font>
      <sz val="10"/>
      <color theme="1"/>
      <name val="맑은 고딕"/>
      <family val="3"/>
      <charset val="129"/>
      <scheme val="minor"/>
    </font>
    <font>
      <sz val="9"/>
      <color theme="1"/>
      <name val="맑은 고딕"/>
      <family val="3"/>
      <charset val="129"/>
      <scheme val="minor"/>
    </font>
    <font>
      <sz val="11"/>
      <color rgb="FF44546A"/>
      <name val="Pretendard"/>
      <family val="2"/>
    </font>
    <font>
      <sz val="11"/>
      <color rgb="FF000000"/>
      <name val="Pretendard"/>
      <family val="2"/>
    </font>
    <font>
      <sz val="9"/>
      <color rgb="FFFF0000"/>
      <name val="맑은 고딕"/>
      <family val="3"/>
      <charset val="129"/>
    </font>
    <font>
      <sz val="9"/>
      <color rgb="FFFFFF00"/>
      <name val="맑은 고딕"/>
      <family val="3"/>
      <charset val="129"/>
    </font>
    <font>
      <sz val="9"/>
      <color rgb="FF00B050"/>
      <name val="맑은 고딕"/>
      <family val="3"/>
      <charset val="129"/>
    </font>
    <font>
      <sz val="7"/>
      <name val="맑은 고딕"/>
      <family val="3"/>
      <charset val="129"/>
      <scheme val="minor"/>
    </font>
    <font>
      <sz val="10"/>
      <color indexed="12"/>
      <name val="맑은 고딕"/>
      <family val="3"/>
      <charset val="129"/>
    </font>
  </fonts>
  <fills count="56">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indexed="2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bgColor indexed="64"/>
      </patternFill>
    </fill>
    <fill>
      <patternFill patternType="solid">
        <fgColor rgb="FFFF0000"/>
        <bgColor indexed="64"/>
      </patternFill>
    </fill>
    <fill>
      <patternFill patternType="solid">
        <fgColor rgb="FF00CC00"/>
        <bgColor indexed="64"/>
      </patternFill>
    </fill>
  </fills>
  <borders count="53">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
      <left style="medium">
        <color indexed="23"/>
      </left>
      <right style="thin">
        <color indexed="23"/>
      </right>
      <top style="medium">
        <color indexed="23"/>
      </top>
      <bottom style="thin">
        <color indexed="23"/>
      </bottom>
      <diagonal/>
    </border>
    <border>
      <left style="thin">
        <color indexed="23"/>
      </left>
      <right/>
      <top style="medium">
        <color indexed="23"/>
      </top>
      <bottom style="thin">
        <color indexed="23"/>
      </bottom>
      <diagonal/>
    </border>
    <border>
      <left/>
      <right style="medium">
        <color indexed="23"/>
      </right>
      <top style="medium">
        <color indexed="23"/>
      </top>
      <bottom style="thin">
        <color indexed="23"/>
      </bottom>
      <diagonal/>
    </border>
    <border>
      <left style="medium">
        <color indexed="23"/>
      </left>
      <right style="thin">
        <color indexed="23"/>
      </right>
      <top style="thin">
        <color indexed="23"/>
      </top>
      <bottom style="thin">
        <color indexed="23"/>
      </bottom>
      <diagonal/>
    </border>
    <border>
      <left style="thin">
        <color indexed="23"/>
      </left>
      <right/>
      <top style="thin">
        <color indexed="23"/>
      </top>
      <bottom style="thin">
        <color indexed="23"/>
      </bottom>
      <diagonal/>
    </border>
    <border>
      <left/>
      <right style="medium">
        <color indexed="23"/>
      </right>
      <top style="thin">
        <color indexed="23"/>
      </top>
      <bottom style="thin">
        <color indexed="23"/>
      </bottom>
      <diagonal/>
    </border>
    <border>
      <left style="medium">
        <color indexed="23"/>
      </left>
      <right style="thin">
        <color indexed="23"/>
      </right>
      <top style="thin">
        <color indexed="23"/>
      </top>
      <bottom style="medium">
        <color indexed="23"/>
      </bottom>
      <diagonal/>
    </border>
    <border>
      <left style="thin">
        <color indexed="23"/>
      </left>
      <right/>
      <top style="thin">
        <color indexed="23"/>
      </top>
      <bottom style="medium">
        <color indexed="23"/>
      </bottom>
      <diagonal/>
    </border>
    <border>
      <left/>
      <right style="medium">
        <color indexed="23"/>
      </right>
      <top style="thin">
        <color indexed="23"/>
      </top>
      <bottom style="medium">
        <color indexed="23"/>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medium">
        <color rgb="FFEAEAEA"/>
      </right>
      <top style="medium">
        <color rgb="FFEAEAEA"/>
      </top>
      <bottom style="medium">
        <color rgb="FFEAEAEA"/>
      </bottom>
      <diagonal/>
    </border>
    <border>
      <left style="medium">
        <color rgb="FFEAEAEA"/>
      </left>
      <right style="medium">
        <color rgb="FFEAEAEA"/>
      </right>
      <top style="medium">
        <color rgb="FFEAEAEA"/>
      </top>
      <bottom style="medium">
        <color rgb="FFEAEAEA"/>
      </bottom>
      <diagonal/>
    </border>
    <border>
      <left style="thin">
        <color indexed="64"/>
      </left>
      <right style="thin">
        <color indexed="64"/>
      </right>
      <top/>
      <bottom style="thin">
        <color indexed="64"/>
      </bottom>
      <diagonal/>
    </border>
  </borders>
  <cellStyleXfs count="33548">
    <xf numFmtId="0" fontId="0" fillId="0" borderId="0"/>
    <xf numFmtId="0" fontId="17" fillId="0" borderId="0" applyNumberFormat="0" applyFill="0" applyBorder="0" applyAlignment="0" applyProtection="0"/>
    <xf numFmtId="9" fontId="53" fillId="0" borderId="0" applyFont="0" applyFill="0" applyBorder="0" applyAlignment="0" applyProtection="0">
      <alignment vertical="center"/>
    </xf>
    <xf numFmtId="0" fontId="74" fillId="0" borderId="0">
      <alignment vertical="center"/>
    </xf>
    <xf numFmtId="0" fontId="15" fillId="0" borderId="0">
      <alignment vertical="center"/>
    </xf>
    <xf numFmtId="0" fontId="74" fillId="0" borderId="0"/>
    <xf numFmtId="0" fontId="14"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77" fillId="0" borderId="0">
      <alignment vertical="center"/>
    </xf>
    <xf numFmtId="0" fontId="77" fillId="0" borderId="0">
      <alignment vertical="center"/>
    </xf>
    <xf numFmtId="0" fontId="74" fillId="0" borderId="0">
      <alignment vertical="center"/>
    </xf>
    <xf numFmtId="0" fontId="87" fillId="0" borderId="0">
      <alignment vertical="center"/>
    </xf>
    <xf numFmtId="0" fontId="74" fillId="0" borderId="0">
      <alignment vertical="center"/>
    </xf>
    <xf numFmtId="9" fontId="74" fillId="0" borderId="0" applyFont="0" applyFill="0" applyBorder="0" applyAlignment="0" applyProtection="0">
      <alignment vertical="center"/>
    </xf>
    <xf numFmtId="0" fontId="77" fillId="0" borderId="0">
      <alignment vertical="center"/>
    </xf>
    <xf numFmtId="0" fontId="77" fillId="0" borderId="0">
      <alignment vertical="center"/>
    </xf>
    <xf numFmtId="0" fontId="74" fillId="0" borderId="0">
      <alignment vertical="center"/>
    </xf>
    <xf numFmtId="9" fontId="77" fillId="0" borderId="0" applyFont="0" applyFill="0" applyBorder="0" applyAlignment="0" applyProtection="0">
      <alignment vertical="center"/>
    </xf>
    <xf numFmtId="9" fontId="77" fillId="0" borderId="0" applyFont="0" applyFill="0" applyBorder="0" applyAlignment="0" applyProtection="0">
      <alignment vertical="center"/>
    </xf>
    <xf numFmtId="41" fontId="77" fillId="0" borderId="0" applyFont="0" applyFill="0" applyBorder="0" applyAlignment="0" applyProtection="0">
      <alignment vertical="center"/>
    </xf>
    <xf numFmtId="0" fontId="77" fillId="0" borderId="0">
      <alignment vertical="center"/>
    </xf>
    <xf numFmtId="0" fontId="77" fillId="0" borderId="0">
      <alignment vertical="center"/>
    </xf>
    <xf numFmtId="0" fontId="74" fillId="0" borderId="0"/>
    <xf numFmtId="0" fontId="77" fillId="0" borderId="0">
      <alignment vertical="center"/>
    </xf>
    <xf numFmtId="0" fontId="77" fillId="0" borderId="0">
      <alignment vertical="center"/>
    </xf>
    <xf numFmtId="0" fontId="77" fillId="0" borderId="0">
      <alignment vertical="center"/>
    </xf>
    <xf numFmtId="0" fontId="90" fillId="0" borderId="0">
      <alignment vertical="center"/>
    </xf>
    <xf numFmtId="0" fontId="77" fillId="0" borderId="0">
      <alignment vertical="center"/>
    </xf>
    <xf numFmtId="0" fontId="77" fillId="0" borderId="0">
      <alignment vertical="center"/>
    </xf>
    <xf numFmtId="0" fontId="77" fillId="0" borderId="0">
      <alignment vertical="center"/>
    </xf>
    <xf numFmtId="0" fontId="86" fillId="0" borderId="0">
      <alignment vertical="center"/>
    </xf>
    <xf numFmtId="0" fontId="89" fillId="0" borderId="0">
      <alignment vertical="center"/>
    </xf>
    <xf numFmtId="0" fontId="86" fillId="0" borderId="0">
      <alignment vertical="center"/>
    </xf>
    <xf numFmtId="0" fontId="89" fillId="0" borderId="0">
      <alignment vertical="center"/>
    </xf>
    <xf numFmtId="0" fontId="89" fillId="0" borderId="0">
      <alignment vertical="center"/>
    </xf>
    <xf numFmtId="0" fontId="91" fillId="0" borderId="0">
      <alignment vertical="center"/>
    </xf>
    <xf numFmtId="41" fontId="91" fillId="0" borderId="0" applyFont="0" applyFill="0" applyBorder="0" applyAlignment="0" applyProtection="0">
      <alignment vertical="center"/>
    </xf>
    <xf numFmtId="0" fontId="77" fillId="30" borderId="0" applyNumberFormat="0" applyBorder="0" applyAlignment="0" applyProtection="0">
      <alignment vertical="center"/>
    </xf>
    <xf numFmtId="0" fontId="77" fillId="30" borderId="0" applyNumberFormat="0" applyBorder="0" applyAlignment="0" applyProtection="0">
      <alignment vertical="center"/>
    </xf>
    <xf numFmtId="0" fontId="77" fillId="34" borderId="0" applyNumberFormat="0" applyBorder="0" applyAlignment="0" applyProtection="0">
      <alignment vertical="center"/>
    </xf>
    <xf numFmtId="0" fontId="77" fillId="34" borderId="0" applyNumberFormat="0" applyBorder="0" applyAlignment="0" applyProtection="0">
      <alignment vertical="center"/>
    </xf>
    <xf numFmtId="0" fontId="77" fillId="38" borderId="0" applyNumberFormat="0" applyBorder="0" applyAlignment="0" applyProtection="0">
      <alignment vertical="center"/>
    </xf>
    <xf numFmtId="0" fontId="77" fillId="38" borderId="0" applyNumberFormat="0" applyBorder="0" applyAlignment="0" applyProtection="0">
      <alignment vertical="center"/>
    </xf>
    <xf numFmtId="0" fontId="77" fillId="42" borderId="0" applyNumberFormat="0" applyBorder="0" applyAlignment="0" applyProtection="0">
      <alignment vertical="center"/>
    </xf>
    <xf numFmtId="0" fontId="77" fillId="42" borderId="0" applyNumberFormat="0" applyBorder="0" applyAlignment="0" applyProtection="0">
      <alignment vertical="center"/>
    </xf>
    <xf numFmtId="0" fontId="77" fillId="46" borderId="0" applyNumberFormat="0" applyBorder="0" applyAlignment="0" applyProtection="0">
      <alignment vertical="center"/>
    </xf>
    <xf numFmtId="0" fontId="77" fillId="46" borderId="0" applyNumberFormat="0" applyBorder="0" applyAlignment="0" applyProtection="0">
      <alignment vertical="center"/>
    </xf>
    <xf numFmtId="0" fontId="77" fillId="50" borderId="0" applyNumberFormat="0" applyBorder="0" applyAlignment="0" applyProtection="0">
      <alignment vertical="center"/>
    </xf>
    <xf numFmtId="0" fontId="77" fillId="50" borderId="0" applyNumberFormat="0" applyBorder="0" applyAlignment="0" applyProtection="0">
      <alignment vertical="center"/>
    </xf>
    <xf numFmtId="0" fontId="77" fillId="31" borderId="0" applyNumberFormat="0" applyBorder="0" applyAlignment="0" applyProtection="0">
      <alignment vertical="center"/>
    </xf>
    <xf numFmtId="0" fontId="77" fillId="31" borderId="0" applyNumberFormat="0" applyBorder="0" applyAlignment="0" applyProtection="0">
      <alignment vertical="center"/>
    </xf>
    <xf numFmtId="0" fontId="77" fillId="35" borderId="0" applyNumberFormat="0" applyBorder="0" applyAlignment="0" applyProtection="0">
      <alignment vertical="center"/>
    </xf>
    <xf numFmtId="0" fontId="77" fillId="35" borderId="0" applyNumberFormat="0" applyBorder="0" applyAlignment="0" applyProtection="0">
      <alignment vertical="center"/>
    </xf>
    <xf numFmtId="0" fontId="77" fillId="39" borderId="0" applyNumberFormat="0" applyBorder="0" applyAlignment="0" applyProtection="0">
      <alignment vertical="center"/>
    </xf>
    <xf numFmtId="0" fontId="77" fillId="39" borderId="0" applyNumberFormat="0" applyBorder="0" applyAlignment="0" applyProtection="0">
      <alignment vertical="center"/>
    </xf>
    <xf numFmtId="0" fontId="77" fillId="43" borderId="0" applyNumberFormat="0" applyBorder="0" applyAlignment="0" applyProtection="0">
      <alignment vertical="center"/>
    </xf>
    <xf numFmtId="0" fontId="77" fillId="43" borderId="0" applyNumberFormat="0" applyBorder="0" applyAlignment="0" applyProtection="0">
      <alignment vertical="center"/>
    </xf>
    <xf numFmtId="0" fontId="77" fillId="47" borderId="0" applyNumberFormat="0" applyBorder="0" applyAlignment="0" applyProtection="0">
      <alignment vertical="center"/>
    </xf>
    <xf numFmtId="0" fontId="77" fillId="47" borderId="0" applyNumberFormat="0" applyBorder="0" applyAlignment="0" applyProtection="0">
      <alignment vertical="center"/>
    </xf>
    <xf numFmtId="0" fontId="77" fillId="51" borderId="0" applyNumberFormat="0" applyBorder="0" applyAlignment="0" applyProtection="0">
      <alignment vertical="center"/>
    </xf>
    <xf numFmtId="0" fontId="77" fillId="51" borderId="0" applyNumberFormat="0" applyBorder="0" applyAlignment="0" applyProtection="0">
      <alignment vertical="center"/>
    </xf>
    <xf numFmtId="0" fontId="77" fillId="32" borderId="0" applyNumberFormat="0" applyBorder="0" applyAlignment="0" applyProtection="0">
      <alignment vertical="center"/>
    </xf>
    <xf numFmtId="0" fontId="77" fillId="32" borderId="0" applyNumberFormat="0" applyBorder="0" applyAlignment="0" applyProtection="0">
      <alignment vertical="center"/>
    </xf>
    <xf numFmtId="0" fontId="77" fillId="36" borderId="0" applyNumberFormat="0" applyBorder="0" applyAlignment="0" applyProtection="0">
      <alignment vertical="center"/>
    </xf>
    <xf numFmtId="0" fontId="77" fillId="36" borderId="0" applyNumberFormat="0" applyBorder="0" applyAlignment="0" applyProtection="0">
      <alignment vertical="center"/>
    </xf>
    <xf numFmtId="0" fontId="77" fillId="40" borderId="0" applyNumberFormat="0" applyBorder="0" applyAlignment="0" applyProtection="0">
      <alignment vertical="center"/>
    </xf>
    <xf numFmtId="0" fontId="77" fillId="40" borderId="0" applyNumberFormat="0" applyBorder="0" applyAlignment="0" applyProtection="0">
      <alignment vertical="center"/>
    </xf>
    <xf numFmtId="0" fontId="77" fillId="44" borderId="0" applyNumberFormat="0" applyBorder="0" applyAlignment="0" applyProtection="0">
      <alignment vertical="center"/>
    </xf>
    <xf numFmtId="0" fontId="77" fillId="44" borderId="0" applyNumberFormat="0" applyBorder="0" applyAlignment="0" applyProtection="0">
      <alignment vertical="center"/>
    </xf>
    <xf numFmtId="0" fontId="77" fillId="48" borderId="0" applyNumberFormat="0" applyBorder="0" applyAlignment="0" applyProtection="0">
      <alignment vertical="center"/>
    </xf>
    <xf numFmtId="0" fontId="77" fillId="48" borderId="0" applyNumberFormat="0" applyBorder="0" applyAlignment="0" applyProtection="0">
      <alignment vertical="center"/>
    </xf>
    <xf numFmtId="0" fontId="77" fillId="52" borderId="0" applyNumberFormat="0" applyBorder="0" applyAlignment="0" applyProtection="0">
      <alignment vertical="center"/>
    </xf>
    <xf numFmtId="0" fontId="77" fillId="52" borderId="0" applyNumberFormat="0" applyBorder="0" applyAlignment="0" applyProtection="0">
      <alignment vertical="center"/>
    </xf>
    <xf numFmtId="0" fontId="92" fillId="29" borderId="0" applyNumberFormat="0" applyBorder="0" applyAlignment="0" applyProtection="0">
      <alignment vertical="center"/>
    </xf>
    <xf numFmtId="0" fontId="92" fillId="29" borderId="0" applyNumberFormat="0" applyBorder="0" applyAlignment="0" applyProtection="0">
      <alignment vertical="center"/>
    </xf>
    <xf numFmtId="0" fontId="92" fillId="33" borderId="0" applyNumberFormat="0" applyBorder="0" applyAlignment="0" applyProtection="0">
      <alignment vertical="center"/>
    </xf>
    <xf numFmtId="0" fontId="92" fillId="33" borderId="0" applyNumberFormat="0" applyBorder="0" applyAlignment="0" applyProtection="0">
      <alignment vertical="center"/>
    </xf>
    <xf numFmtId="0" fontId="92" fillId="37" borderId="0" applyNumberFormat="0" applyBorder="0" applyAlignment="0" applyProtection="0">
      <alignment vertical="center"/>
    </xf>
    <xf numFmtId="0" fontId="92" fillId="37" borderId="0" applyNumberFormat="0" applyBorder="0" applyAlignment="0" applyProtection="0">
      <alignment vertical="center"/>
    </xf>
    <xf numFmtId="0" fontId="92" fillId="41" borderId="0" applyNumberFormat="0" applyBorder="0" applyAlignment="0" applyProtection="0">
      <alignment vertical="center"/>
    </xf>
    <xf numFmtId="0" fontId="92" fillId="41" borderId="0" applyNumberFormat="0" applyBorder="0" applyAlignment="0" applyProtection="0">
      <alignment vertical="center"/>
    </xf>
    <xf numFmtId="0" fontId="92" fillId="45" borderId="0" applyNumberFormat="0" applyBorder="0" applyAlignment="0" applyProtection="0">
      <alignment vertical="center"/>
    </xf>
    <xf numFmtId="0" fontId="92" fillId="45" borderId="0" applyNumberFormat="0" applyBorder="0" applyAlignment="0" applyProtection="0">
      <alignment vertical="center"/>
    </xf>
    <xf numFmtId="0" fontId="92" fillId="49" borderId="0" applyNumberFormat="0" applyBorder="0" applyAlignment="0" applyProtection="0">
      <alignment vertical="center"/>
    </xf>
    <xf numFmtId="0" fontId="92" fillId="49" borderId="0" applyNumberFormat="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4" fillId="26" borderId="44" applyNumberFormat="0" applyAlignment="0" applyProtection="0">
      <alignment vertical="center"/>
    </xf>
    <xf numFmtId="0" fontId="94" fillId="26" borderId="44" applyNumberFormat="0" applyAlignment="0" applyProtection="0">
      <alignment vertical="center"/>
    </xf>
    <xf numFmtId="0" fontId="95" fillId="23" borderId="0" applyNumberFormat="0" applyBorder="0" applyAlignment="0" applyProtection="0">
      <alignment vertical="center"/>
    </xf>
    <xf numFmtId="0" fontId="95" fillId="23" borderId="0" applyNumberFormat="0" applyBorder="0" applyAlignment="0" applyProtection="0">
      <alignment vertical="center"/>
    </xf>
    <xf numFmtId="0" fontId="77" fillId="28" borderId="48" applyNumberFormat="0" applyFont="0" applyAlignment="0" applyProtection="0">
      <alignment vertical="center"/>
    </xf>
    <xf numFmtId="0" fontId="77" fillId="28" borderId="48" applyNumberFormat="0" applyFont="0" applyAlignment="0" applyProtection="0">
      <alignment vertical="center"/>
    </xf>
    <xf numFmtId="9" fontId="91" fillId="0" borderId="0" applyFont="0" applyFill="0" applyBorder="0" applyAlignment="0" applyProtection="0">
      <alignment vertical="center"/>
    </xf>
    <xf numFmtId="9" fontId="96" fillId="0" borderId="0" applyFont="0" applyFill="0" applyBorder="0" applyAlignment="0" applyProtection="0">
      <alignment vertical="center"/>
    </xf>
    <xf numFmtId="9" fontId="12" fillId="0" borderId="0" applyFont="0" applyFill="0" applyBorder="0" applyAlignment="0" applyProtection="0">
      <alignment vertical="center"/>
    </xf>
    <xf numFmtId="9" fontId="97" fillId="0" borderId="0" applyFont="0" applyFill="0" applyBorder="0" applyAlignment="0" applyProtection="0">
      <alignment vertical="center"/>
    </xf>
    <xf numFmtId="9" fontId="91" fillId="0" borderId="0" applyFont="0" applyFill="0" applyBorder="0" applyAlignment="0" applyProtection="0">
      <alignment vertical="center"/>
    </xf>
    <xf numFmtId="9" fontId="86" fillId="0" borderId="0" applyFont="0" applyFill="0" applyBorder="0" applyAlignment="0" applyProtection="0">
      <alignment vertical="center"/>
    </xf>
    <xf numFmtId="0" fontId="98" fillId="24" borderId="0" applyNumberFormat="0" applyBorder="0" applyAlignment="0" applyProtection="0">
      <alignment vertical="center"/>
    </xf>
    <xf numFmtId="0" fontId="98" fillId="24" borderId="0" applyNumberFormat="0" applyBorder="0" applyAlignment="0" applyProtection="0">
      <alignment vertical="center"/>
    </xf>
    <xf numFmtId="0" fontId="99" fillId="0" borderId="0" applyNumberFormat="0" applyFill="0" applyBorder="0" applyAlignment="0" applyProtection="0">
      <alignment vertical="center"/>
    </xf>
    <xf numFmtId="0" fontId="99" fillId="0" borderId="0" applyNumberFormat="0" applyFill="0" applyBorder="0" applyAlignment="0" applyProtection="0">
      <alignment vertical="center"/>
    </xf>
    <xf numFmtId="0" fontId="100" fillId="27" borderId="47" applyNumberFormat="0" applyAlignment="0" applyProtection="0">
      <alignment vertical="center"/>
    </xf>
    <xf numFmtId="0" fontId="100" fillId="27" borderId="47" applyNumberFormat="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02" fillId="0" borderId="46" applyNumberFormat="0" applyFill="0" applyAlignment="0" applyProtection="0">
      <alignment vertical="center"/>
    </xf>
    <xf numFmtId="0" fontId="102" fillId="0" borderId="46" applyNumberFormat="0" applyFill="0" applyAlignment="0" applyProtection="0">
      <alignment vertical="center"/>
    </xf>
    <xf numFmtId="0" fontId="88" fillId="0" borderId="49" applyNumberFormat="0" applyFill="0" applyAlignment="0" applyProtection="0">
      <alignment vertical="center"/>
    </xf>
    <xf numFmtId="0" fontId="88" fillId="0" borderId="49" applyNumberFormat="0" applyFill="0" applyAlignment="0" applyProtection="0">
      <alignment vertical="center"/>
    </xf>
    <xf numFmtId="0" fontId="103" fillId="25" borderId="44" applyNumberFormat="0" applyAlignment="0" applyProtection="0">
      <alignment vertical="center"/>
    </xf>
    <xf numFmtId="0" fontId="103" fillId="25" borderId="44" applyNumberFormat="0" applyAlignment="0" applyProtection="0">
      <alignment vertical="center"/>
    </xf>
    <xf numFmtId="0" fontId="104" fillId="0" borderId="41" applyNumberFormat="0" applyFill="0" applyAlignment="0" applyProtection="0">
      <alignment vertical="center"/>
    </xf>
    <xf numFmtId="0" fontId="104" fillId="0" borderId="41" applyNumberFormat="0" applyFill="0" applyAlignment="0" applyProtection="0">
      <alignment vertical="center"/>
    </xf>
    <xf numFmtId="0" fontId="105" fillId="0" borderId="42" applyNumberFormat="0" applyFill="0" applyAlignment="0" applyProtection="0">
      <alignment vertical="center"/>
    </xf>
    <xf numFmtId="0" fontId="105" fillId="0" borderId="42" applyNumberFormat="0" applyFill="0" applyAlignment="0" applyProtection="0">
      <alignment vertical="center"/>
    </xf>
    <xf numFmtId="0" fontId="106" fillId="0" borderId="43" applyNumberFormat="0" applyFill="0" applyAlignment="0" applyProtection="0">
      <alignment vertical="center"/>
    </xf>
    <xf numFmtId="0" fontId="106" fillId="0" borderId="43" applyNumberFormat="0" applyFill="0" applyAlignment="0" applyProtection="0">
      <alignment vertical="center"/>
    </xf>
    <xf numFmtId="0" fontId="106"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107" fillId="0" borderId="0" applyNumberFormat="0" applyFill="0" applyBorder="0" applyAlignment="0" applyProtection="0">
      <alignment vertical="center"/>
    </xf>
    <xf numFmtId="0" fontId="107" fillId="0" borderId="0" applyNumberFormat="0" applyFill="0" applyBorder="0" applyAlignment="0" applyProtection="0">
      <alignment vertical="center"/>
    </xf>
    <xf numFmtId="0" fontId="108" fillId="22" borderId="0" applyNumberFormat="0" applyBorder="0" applyAlignment="0" applyProtection="0">
      <alignment vertical="center"/>
    </xf>
    <xf numFmtId="0" fontId="108" fillId="22" borderId="0" applyNumberFormat="0" applyBorder="0" applyAlignment="0" applyProtection="0">
      <alignment vertical="center"/>
    </xf>
    <xf numFmtId="0" fontId="109" fillId="26" borderId="45" applyNumberFormat="0" applyAlignment="0" applyProtection="0">
      <alignment vertical="center"/>
    </xf>
    <xf numFmtId="0" fontId="109" fillId="26" borderId="45" applyNumberFormat="0" applyAlignment="0" applyProtection="0">
      <alignment vertical="center"/>
    </xf>
    <xf numFmtId="0" fontId="110" fillId="0" borderId="0">
      <alignment vertical="center"/>
    </xf>
    <xf numFmtId="0" fontId="12" fillId="0" borderId="0">
      <alignment vertical="center"/>
    </xf>
    <xf numFmtId="0" fontId="97" fillId="0" borderId="0">
      <alignment vertical="center"/>
    </xf>
    <xf numFmtId="0" fontId="101" fillId="0" borderId="0">
      <alignment vertical="center"/>
    </xf>
    <xf numFmtId="0" fontId="85" fillId="0" borderId="0">
      <alignment vertical="center"/>
    </xf>
    <xf numFmtId="0" fontId="110" fillId="0" borderId="0">
      <alignment vertical="center"/>
    </xf>
    <xf numFmtId="0" fontId="74" fillId="0" borderId="0">
      <alignment vertical="center"/>
    </xf>
    <xf numFmtId="0" fontId="74" fillId="0" borderId="0">
      <alignment vertical="center"/>
    </xf>
    <xf numFmtId="0" fontId="111" fillId="0" borderId="0">
      <alignment vertical="center"/>
    </xf>
    <xf numFmtId="0" fontId="12" fillId="0" borderId="0">
      <alignment vertical="center"/>
    </xf>
    <xf numFmtId="0" fontId="86" fillId="0" borderId="0">
      <alignment vertical="center"/>
    </xf>
    <xf numFmtId="0" fontId="74" fillId="0" borderId="0"/>
    <xf numFmtId="0" fontId="91" fillId="0" borderId="0">
      <alignment vertical="center"/>
    </xf>
    <xf numFmtId="0" fontId="12" fillId="0" borderId="0">
      <alignment vertical="center"/>
    </xf>
    <xf numFmtId="0" fontId="101" fillId="0" borderId="0">
      <alignment vertical="center"/>
    </xf>
    <xf numFmtId="0" fontId="77" fillId="0" borderId="0">
      <alignment vertical="center"/>
    </xf>
    <xf numFmtId="0" fontId="77" fillId="0" borderId="0">
      <alignment vertical="center"/>
    </xf>
    <xf numFmtId="0" fontId="12" fillId="0" borderId="0">
      <alignment vertical="center"/>
    </xf>
    <xf numFmtId="0" fontId="74" fillId="0" borderId="0">
      <alignment vertical="center"/>
    </xf>
    <xf numFmtId="0" fontId="77" fillId="0" borderId="0">
      <alignment vertical="center"/>
    </xf>
    <xf numFmtId="0" fontId="77" fillId="0" borderId="0">
      <alignment vertical="center"/>
    </xf>
    <xf numFmtId="9" fontId="77" fillId="0" borderId="0" applyFont="0" applyFill="0" applyBorder="0" applyAlignment="0" applyProtection="0">
      <alignment vertical="center"/>
    </xf>
    <xf numFmtId="9" fontId="77" fillId="0" borderId="0" applyFont="0" applyFill="0" applyBorder="0" applyAlignment="0" applyProtection="0">
      <alignment vertical="center"/>
    </xf>
    <xf numFmtId="41" fontId="77" fillId="0" borderId="0" applyFont="0" applyFill="0" applyBorder="0" applyAlignment="0" applyProtection="0">
      <alignment vertical="center"/>
    </xf>
    <xf numFmtId="0" fontId="77" fillId="0" borderId="0">
      <alignment vertical="center"/>
    </xf>
    <xf numFmtId="0" fontId="77" fillId="0" borderId="0">
      <alignment vertical="center"/>
    </xf>
    <xf numFmtId="9" fontId="12" fillId="0" borderId="0" applyFont="0" applyFill="0" applyBorder="0" applyAlignment="0" applyProtection="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41" fontId="77" fillId="0" borderId="0" applyFont="0" applyFill="0" applyBorder="0" applyAlignment="0" applyProtection="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0"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41" fontId="77" fillId="0" borderId="0" applyFont="0" applyFill="0" applyBorder="0" applyAlignment="0" applyProtection="0">
      <alignment vertical="center"/>
    </xf>
    <xf numFmtId="9" fontId="10" fillId="0" borderId="0" applyFont="0" applyFill="0" applyBorder="0" applyAlignment="0" applyProtection="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0"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41" fontId="77" fillId="0" borderId="0" applyFont="0" applyFill="0" applyBorder="0" applyAlignment="0" applyProtection="0">
      <alignment vertical="center"/>
    </xf>
    <xf numFmtId="9" fontId="10" fillId="0" borderId="0" applyFont="0" applyFill="0" applyBorder="0" applyAlignment="0" applyProtection="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9"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41" fontId="77" fillId="0" borderId="0" applyFont="0" applyFill="0" applyBorder="0" applyAlignment="0" applyProtection="0">
      <alignment vertical="center"/>
    </xf>
    <xf numFmtId="9" fontId="9" fillId="0" borderId="0" applyFont="0" applyFill="0" applyBorder="0" applyAlignment="0" applyProtection="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9"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41" fontId="77" fillId="0" borderId="0" applyFont="0" applyFill="0" applyBorder="0" applyAlignment="0" applyProtection="0">
      <alignment vertical="center"/>
    </xf>
    <xf numFmtId="9" fontId="9" fillId="0" borderId="0" applyFont="0" applyFill="0" applyBorder="0" applyAlignment="0" applyProtection="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9"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41" fontId="77" fillId="0" borderId="0" applyFont="0" applyFill="0" applyBorder="0" applyAlignment="0" applyProtection="0">
      <alignment vertical="center"/>
    </xf>
    <xf numFmtId="9" fontId="9" fillId="0" borderId="0" applyFont="0" applyFill="0" applyBorder="0" applyAlignment="0" applyProtection="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9"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41" fontId="77" fillId="0" borderId="0" applyFont="0" applyFill="0" applyBorder="0" applyAlignment="0" applyProtection="0">
      <alignment vertical="center"/>
    </xf>
    <xf numFmtId="9" fontId="9" fillId="0" borderId="0" applyFont="0" applyFill="0" applyBorder="0" applyAlignment="0" applyProtection="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8"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41" fontId="77" fillId="0" borderId="0" applyFont="0" applyFill="0" applyBorder="0" applyAlignment="0" applyProtection="0">
      <alignment vertical="center"/>
    </xf>
    <xf numFmtId="9" fontId="8" fillId="0" borderId="0" applyFont="0" applyFill="0" applyBorder="0" applyAlignment="0" applyProtection="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8"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41" fontId="77" fillId="0" borderId="0" applyFont="0" applyFill="0" applyBorder="0" applyAlignment="0" applyProtection="0">
      <alignment vertical="center"/>
    </xf>
    <xf numFmtId="9" fontId="8" fillId="0" borderId="0" applyFont="0" applyFill="0" applyBorder="0" applyAlignment="0" applyProtection="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8"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41" fontId="77" fillId="0" borderId="0" applyFont="0" applyFill="0" applyBorder="0" applyAlignment="0" applyProtection="0">
      <alignment vertical="center"/>
    </xf>
    <xf numFmtId="9" fontId="8" fillId="0" borderId="0" applyFont="0" applyFill="0" applyBorder="0" applyAlignment="0" applyProtection="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8"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41" fontId="77" fillId="0" borderId="0" applyFont="0" applyFill="0" applyBorder="0" applyAlignment="0" applyProtection="0">
      <alignment vertical="center"/>
    </xf>
    <xf numFmtId="9" fontId="8" fillId="0" borderId="0" applyFont="0" applyFill="0" applyBorder="0" applyAlignment="0" applyProtection="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8"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41" fontId="77" fillId="0" borderId="0" applyFont="0" applyFill="0" applyBorder="0" applyAlignment="0" applyProtection="0">
      <alignment vertical="center"/>
    </xf>
    <xf numFmtId="9" fontId="8" fillId="0" borderId="0" applyFont="0" applyFill="0" applyBorder="0" applyAlignment="0" applyProtection="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8"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41" fontId="77" fillId="0" borderId="0" applyFont="0" applyFill="0" applyBorder="0" applyAlignment="0" applyProtection="0">
      <alignment vertical="center"/>
    </xf>
    <xf numFmtId="9" fontId="8" fillId="0" borderId="0" applyFont="0" applyFill="0" applyBorder="0" applyAlignment="0" applyProtection="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8"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41" fontId="77" fillId="0" borderId="0" applyFont="0" applyFill="0" applyBorder="0" applyAlignment="0" applyProtection="0">
      <alignment vertical="center"/>
    </xf>
    <xf numFmtId="9" fontId="8" fillId="0" borderId="0" applyFont="0" applyFill="0" applyBorder="0" applyAlignment="0" applyProtection="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8"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41" fontId="77" fillId="0" borderId="0" applyFont="0" applyFill="0" applyBorder="0" applyAlignment="0" applyProtection="0">
      <alignment vertical="center"/>
    </xf>
    <xf numFmtId="9" fontId="8" fillId="0" borderId="0" applyFont="0" applyFill="0" applyBorder="0" applyAlignment="0" applyProtection="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7"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41" fontId="77" fillId="0" borderId="0" applyFont="0" applyFill="0" applyBorder="0" applyAlignment="0" applyProtection="0">
      <alignment vertical="center"/>
    </xf>
    <xf numFmtId="9" fontId="7" fillId="0" borderId="0" applyFont="0" applyFill="0" applyBorder="0" applyAlignment="0" applyProtection="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7"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41" fontId="77" fillId="0" borderId="0" applyFont="0" applyFill="0" applyBorder="0" applyAlignment="0" applyProtection="0">
      <alignment vertical="center"/>
    </xf>
    <xf numFmtId="9" fontId="7" fillId="0" borderId="0" applyFont="0" applyFill="0" applyBorder="0" applyAlignment="0" applyProtection="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7"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41" fontId="77" fillId="0" borderId="0" applyFont="0" applyFill="0" applyBorder="0" applyAlignment="0" applyProtection="0">
      <alignment vertical="center"/>
    </xf>
    <xf numFmtId="9" fontId="7" fillId="0" borderId="0" applyFont="0" applyFill="0" applyBorder="0" applyAlignment="0" applyProtection="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7"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41" fontId="77" fillId="0" borderId="0" applyFont="0" applyFill="0" applyBorder="0" applyAlignment="0" applyProtection="0">
      <alignment vertical="center"/>
    </xf>
    <xf numFmtId="9" fontId="7" fillId="0" borderId="0" applyFont="0" applyFill="0" applyBorder="0" applyAlignment="0" applyProtection="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7"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41" fontId="77" fillId="0" borderId="0" applyFont="0" applyFill="0" applyBorder="0" applyAlignment="0" applyProtection="0">
      <alignment vertical="center"/>
    </xf>
    <xf numFmtId="9" fontId="7" fillId="0" borderId="0" applyFont="0" applyFill="0" applyBorder="0" applyAlignment="0" applyProtection="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7"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41" fontId="77" fillId="0" borderId="0" applyFont="0" applyFill="0" applyBorder="0" applyAlignment="0" applyProtection="0">
      <alignment vertical="center"/>
    </xf>
    <xf numFmtId="9" fontId="7" fillId="0" borderId="0" applyFont="0" applyFill="0" applyBorder="0" applyAlignment="0" applyProtection="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7"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41" fontId="77" fillId="0" borderId="0" applyFont="0" applyFill="0" applyBorder="0" applyAlignment="0" applyProtection="0">
      <alignment vertical="center"/>
    </xf>
    <xf numFmtId="9" fontId="7" fillId="0" borderId="0" applyFont="0" applyFill="0" applyBorder="0" applyAlignment="0" applyProtection="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7"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41" fontId="77" fillId="0" borderId="0" applyFont="0" applyFill="0" applyBorder="0" applyAlignment="0" applyProtection="0">
      <alignment vertical="center"/>
    </xf>
    <xf numFmtId="9" fontId="7" fillId="0" borderId="0" applyFont="0" applyFill="0" applyBorder="0" applyAlignment="0" applyProtection="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6"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6"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6"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6"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6"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6"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6"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6"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6"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6"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6"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6"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6"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6"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6"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6"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6"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6"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6"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6"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6"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6"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6"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6"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41" fontId="77" fillId="0" borderId="0" applyFont="0" applyFill="0" applyBorder="0" applyAlignment="0" applyProtection="0">
      <alignment vertical="center"/>
    </xf>
    <xf numFmtId="9"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5"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77" fillId="0" borderId="0" applyFont="0" applyFill="0" applyBorder="0" applyAlignment="0" applyProtection="0">
      <alignment vertical="center"/>
    </xf>
    <xf numFmtId="9"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4"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77"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3"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41" fontId="77"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2"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41" fontId="77"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41" fontId="91" fillId="0" borderId="0" applyFont="0" applyFill="0" applyBorder="0" applyAlignment="0" applyProtection="0">
      <alignment vertical="center"/>
    </xf>
    <xf numFmtId="9" fontId="1" fillId="0" borderId="0" applyFont="0" applyFill="0" applyBorder="0" applyAlignment="0" applyProtection="0">
      <alignment vertical="center"/>
    </xf>
    <xf numFmtId="41" fontId="101" fillId="0" borderId="0" applyFont="0" applyFill="0" applyBorder="0" applyAlignment="0" applyProtection="0">
      <alignment vertical="center"/>
    </xf>
    <xf numFmtId="41" fontId="74" fillId="0" borderId="0" applyFont="0" applyFill="0" applyBorder="0" applyAlignment="0" applyProtection="0">
      <alignment vertical="center"/>
    </xf>
    <xf numFmtId="41" fontId="86" fillId="0" borderId="0" applyFont="0" applyFill="0" applyBorder="0" applyAlignment="0" applyProtection="0">
      <alignment vertical="center"/>
    </xf>
    <xf numFmtId="41" fontId="101" fillId="0" borderId="0" applyFont="0" applyFill="0" applyBorder="0" applyAlignment="0" applyProtection="0">
      <alignment vertical="center"/>
    </xf>
    <xf numFmtId="41" fontId="86" fillId="0" borderId="0" applyFont="0" applyFill="0" applyBorder="0" applyAlignment="0" applyProtection="0">
      <alignment vertical="center"/>
    </xf>
    <xf numFmtId="41" fontId="96" fillId="0" borderId="0" applyFont="0" applyFill="0" applyBorder="0" applyAlignment="0" applyProtection="0">
      <alignment vertical="center"/>
    </xf>
    <xf numFmtId="41" fontId="77" fillId="0" borderId="0" applyFont="0" applyFill="0" applyBorder="0" applyAlignment="0" applyProtection="0">
      <alignment vertical="center"/>
    </xf>
    <xf numFmtId="41" fontId="97" fillId="0" borderId="0" applyFont="0" applyFill="0" applyBorder="0" applyAlignment="0" applyProtection="0">
      <alignment vertical="center"/>
    </xf>
    <xf numFmtId="41" fontId="9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41" fontId="77"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cellStyleXfs>
  <cellXfs count="410">
    <xf numFmtId="0" fontId="0" fillId="0" borderId="0" xfId="0"/>
    <xf numFmtId="0" fontId="20" fillId="0" borderId="0" xfId="0" applyFont="1" applyAlignment="1">
      <alignment vertical="center"/>
    </xf>
    <xf numFmtId="0" fontId="19" fillId="0" borderId="0" xfId="0" applyFont="1" applyAlignment="1">
      <alignment vertical="center"/>
    </xf>
    <xf numFmtId="14" fontId="21" fillId="0" borderId="0" xfId="0" applyNumberFormat="1" applyFont="1" applyAlignment="1">
      <alignment vertical="center"/>
    </xf>
    <xf numFmtId="14" fontId="22" fillId="0" borderId="0" xfId="0" applyNumberFormat="1" applyFont="1" applyAlignment="1">
      <alignment vertical="center"/>
    </xf>
    <xf numFmtId="14" fontId="23" fillId="2" borderId="0" xfId="0" quotePrefix="1" applyNumberFormat="1" applyFont="1" applyFill="1"/>
    <xf numFmtId="14" fontId="23" fillId="2" borderId="0" xfId="0" applyNumberFormat="1" applyFont="1" applyFill="1" applyAlignment="1">
      <alignment vertical="center"/>
    </xf>
    <xf numFmtId="0" fontId="23" fillId="2" borderId="0" xfId="0" applyFont="1" applyFill="1"/>
    <xf numFmtId="176" fontId="25" fillId="2" borderId="0" xfId="0" applyNumberFormat="1" applyFont="1" applyFill="1" applyAlignment="1" applyProtection="1">
      <alignment vertical="center"/>
      <protection locked="0"/>
    </xf>
    <xf numFmtId="14" fontId="24" fillId="2" borderId="0" xfId="0" applyNumberFormat="1" applyFont="1" applyFill="1" applyAlignment="1">
      <alignment vertical="center"/>
    </xf>
    <xf numFmtId="14" fontId="23" fillId="0" borderId="6" xfId="0" applyNumberFormat="1" applyFont="1" applyBorder="1" applyAlignment="1" applyProtection="1">
      <alignment vertical="top"/>
      <protection locked="0"/>
    </xf>
    <xf numFmtId="14" fontId="23" fillId="0" borderId="6" xfId="0" applyNumberFormat="1" applyFont="1" applyBorder="1" applyAlignment="1" applyProtection="1">
      <alignment vertical="center"/>
      <protection locked="0"/>
    </xf>
    <xf numFmtId="0" fontId="23" fillId="0" borderId="6" xfId="0" applyFont="1" applyBorder="1" applyAlignment="1" applyProtection="1">
      <alignment vertical="top"/>
      <protection locked="0"/>
    </xf>
    <xf numFmtId="0" fontId="23" fillId="0" borderId="6" xfId="0" applyFont="1" applyBorder="1" applyAlignment="1" applyProtection="1">
      <alignment vertical="center" wrapText="1"/>
      <protection locked="0"/>
    </xf>
    <xf numFmtId="0" fontId="23" fillId="0" borderId="6" xfId="0" applyFont="1" applyBorder="1" applyAlignment="1" applyProtection="1">
      <alignment vertical="center"/>
      <protection locked="0"/>
    </xf>
    <xf numFmtId="0" fontId="23" fillId="0" borderId="0" xfId="0" applyFont="1" applyAlignment="1" applyProtection="1">
      <alignment vertical="top"/>
      <protection locked="0"/>
    </xf>
    <xf numFmtId="14" fontId="26" fillId="0" borderId="0" xfId="0" applyNumberFormat="1" applyFont="1" applyAlignment="1" applyProtection="1">
      <alignment horizontal="right" vertical="top"/>
      <protection locked="0"/>
    </xf>
    <xf numFmtId="179" fontId="23" fillId="4" borderId="7" xfId="0" applyNumberFormat="1" applyFont="1" applyFill="1" applyBorder="1" applyAlignment="1" applyProtection="1">
      <alignment vertical="center"/>
      <protection locked="0"/>
    </xf>
    <xf numFmtId="14" fontId="26" fillId="0" borderId="8" xfId="0" applyNumberFormat="1" applyFont="1" applyBorder="1" applyAlignment="1" applyProtection="1">
      <alignment horizontal="right" vertical="top"/>
      <protection locked="0"/>
    </xf>
    <xf numFmtId="14" fontId="23" fillId="0" borderId="8" xfId="0" applyNumberFormat="1" applyFont="1" applyBorder="1" applyAlignment="1" applyProtection="1">
      <alignment vertical="center"/>
      <protection locked="0"/>
    </xf>
    <xf numFmtId="0" fontId="23" fillId="0" borderId="8" xfId="0" applyFont="1" applyBorder="1" applyAlignment="1" applyProtection="1">
      <alignment vertical="top"/>
      <protection locked="0"/>
    </xf>
    <xf numFmtId="0" fontId="23" fillId="0" borderId="8" xfId="0" applyFont="1" applyBorder="1" applyAlignment="1" applyProtection="1">
      <alignment vertical="center"/>
      <protection locked="0"/>
    </xf>
    <xf numFmtId="14" fontId="26" fillId="0" borderId="0" xfId="0" applyNumberFormat="1" applyFont="1" applyAlignment="1" applyProtection="1">
      <alignment vertical="top"/>
      <protection locked="0"/>
    </xf>
    <xf numFmtId="14" fontId="23" fillId="0" borderId="0" xfId="0" applyNumberFormat="1" applyFont="1" applyAlignment="1" applyProtection="1">
      <alignment vertical="center"/>
      <protection locked="0"/>
    </xf>
    <xf numFmtId="0" fontId="23" fillId="0" borderId="9" xfId="0" applyFont="1" applyBorder="1" applyAlignment="1" applyProtection="1">
      <alignment vertical="center" wrapText="1"/>
      <protection locked="0"/>
    </xf>
    <xf numFmtId="14" fontId="23" fillId="0" borderId="0" xfId="0" applyNumberFormat="1" applyFont="1" applyAlignment="1" applyProtection="1">
      <alignment vertical="top"/>
      <protection locked="0"/>
    </xf>
    <xf numFmtId="14" fontId="26" fillId="0" borderId="8" xfId="0" applyNumberFormat="1" applyFont="1" applyBorder="1" applyAlignment="1" applyProtection="1">
      <alignment vertical="top"/>
      <protection locked="0"/>
    </xf>
    <xf numFmtId="0" fontId="23" fillId="0" borderId="8" xfId="0" applyFont="1" applyBorder="1" applyAlignment="1" applyProtection="1">
      <alignment vertical="center" wrapText="1"/>
      <protection locked="0"/>
    </xf>
    <xf numFmtId="14" fontId="26" fillId="0" borderId="9" xfId="0" applyNumberFormat="1" applyFont="1" applyBorder="1" applyAlignment="1" applyProtection="1">
      <alignment vertical="center" wrapText="1"/>
      <protection locked="0"/>
    </xf>
    <xf numFmtId="14" fontId="26" fillId="0" borderId="0" xfId="0" applyNumberFormat="1" applyFont="1" applyAlignment="1" applyProtection="1">
      <alignment horizontal="right" vertical="center" wrapText="1"/>
      <protection locked="0"/>
    </xf>
    <xf numFmtId="14" fontId="26" fillId="0" borderId="8" xfId="0" applyNumberFormat="1" applyFont="1" applyBorder="1" applyAlignment="1" applyProtection="1">
      <alignment vertical="center" wrapText="1"/>
      <protection locked="0"/>
    </xf>
    <xf numFmtId="0" fontId="23" fillId="0" borderId="8" xfId="0" applyFont="1" applyBorder="1" applyProtection="1">
      <protection locked="0"/>
    </xf>
    <xf numFmtId="0" fontId="23" fillId="0" borderId="0" xfId="0" applyFont="1" applyProtection="1">
      <protection locked="0"/>
    </xf>
    <xf numFmtId="14" fontId="23" fillId="0" borderId="0" xfId="0" applyNumberFormat="1" applyFont="1" applyProtection="1">
      <protection locked="0"/>
    </xf>
    <xf numFmtId="14" fontId="23" fillId="0" borderId="9" xfId="0" applyNumberFormat="1" applyFont="1" applyBorder="1" applyAlignment="1" applyProtection="1">
      <alignment vertical="center"/>
      <protection locked="0"/>
    </xf>
    <xf numFmtId="0" fontId="23" fillId="0" borderId="9" xfId="0" applyFont="1" applyBorder="1" applyProtection="1">
      <protection locked="0"/>
    </xf>
    <xf numFmtId="14" fontId="23" fillId="0" borderId="10" xfId="0" applyNumberFormat="1" applyFont="1" applyBorder="1" applyAlignment="1" applyProtection="1">
      <alignment vertical="center"/>
      <protection locked="0"/>
    </xf>
    <xf numFmtId="0" fontId="23" fillId="0" borderId="10" xfId="0" applyFont="1" applyBorder="1" applyAlignment="1" applyProtection="1">
      <alignment vertical="top"/>
      <protection locked="0"/>
    </xf>
    <xf numFmtId="14" fontId="26" fillId="0" borderId="9" xfId="0" applyNumberFormat="1" applyFont="1" applyBorder="1" applyProtection="1">
      <protection locked="0"/>
    </xf>
    <xf numFmtId="10" fontId="23" fillId="4" borderId="7" xfId="0" applyNumberFormat="1" applyFont="1" applyFill="1" applyBorder="1" applyAlignment="1" applyProtection="1">
      <alignment vertical="center"/>
      <protection locked="0"/>
    </xf>
    <xf numFmtId="14" fontId="26" fillId="0" borderId="10" xfId="0" applyNumberFormat="1" applyFont="1" applyBorder="1" applyAlignment="1" applyProtection="1">
      <alignment horizontal="right" vertical="top"/>
      <protection locked="0"/>
    </xf>
    <xf numFmtId="14" fontId="26" fillId="0" borderId="6" xfId="0" applyNumberFormat="1" applyFont="1" applyBorder="1" applyAlignment="1" applyProtection="1">
      <alignment horizontal="right" vertical="top"/>
      <protection locked="0"/>
    </xf>
    <xf numFmtId="14" fontId="26" fillId="0" borderId="11" xfId="0" applyNumberFormat="1" applyFont="1" applyBorder="1" applyAlignment="1" applyProtection="1">
      <alignment horizontal="right" vertical="top"/>
      <protection locked="0"/>
    </xf>
    <xf numFmtId="14" fontId="23" fillId="0" borderId="11" xfId="0" applyNumberFormat="1" applyFont="1" applyBorder="1" applyAlignment="1" applyProtection="1">
      <alignment vertical="center"/>
      <protection locked="0"/>
    </xf>
    <xf numFmtId="0" fontId="23" fillId="0" borderId="11" xfId="0" applyFont="1" applyBorder="1" applyAlignment="1" applyProtection="1">
      <alignment vertical="top"/>
      <protection locked="0"/>
    </xf>
    <xf numFmtId="14" fontId="26" fillId="0" borderId="12" xfId="0" applyNumberFormat="1" applyFont="1" applyBorder="1" applyAlignment="1" applyProtection="1">
      <alignment vertical="top"/>
      <protection locked="0"/>
    </xf>
    <xf numFmtId="14" fontId="23" fillId="0" borderId="12" xfId="0" applyNumberFormat="1" applyFont="1" applyBorder="1" applyAlignment="1" applyProtection="1">
      <alignment vertical="center"/>
      <protection locked="0"/>
    </xf>
    <xf numFmtId="0" fontId="23" fillId="0" borderId="12" xfId="0" applyFont="1" applyBorder="1" applyAlignment="1" applyProtection="1">
      <alignment vertical="top"/>
      <protection locked="0"/>
    </xf>
    <xf numFmtId="0" fontId="23" fillId="0" borderId="9" xfId="0" applyFont="1" applyBorder="1" applyAlignment="1" applyProtection="1">
      <alignment vertical="center"/>
      <protection locked="0"/>
    </xf>
    <xf numFmtId="10" fontId="23" fillId="4" borderId="7" xfId="0" applyNumberFormat="1" applyFont="1" applyFill="1" applyBorder="1" applyAlignment="1">
      <alignment vertical="center"/>
    </xf>
    <xf numFmtId="14" fontId="23" fillId="0" borderId="13" xfId="0" applyNumberFormat="1" applyFont="1" applyBorder="1" applyAlignment="1" applyProtection="1">
      <alignment horizontal="right" vertical="top"/>
      <protection locked="0"/>
    </xf>
    <xf numFmtId="14" fontId="23" fillId="0" borderId="13" xfId="0" applyNumberFormat="1" applyFont="1" applyBorder="1" applyAlignment="1" applyProtection="1">
      <alignment vertical="center"/>
      <protection locked="0"/>
    </xf>
    <xf numFmtId="0" fontId="23" fillId="0" borderId="13" xfId="0" applyFont="1" applyBorder="1" applyAlignment="1" applyProtection="1">
      <alignment vertical="top"/>
      <protection locked="0"/>
    </xf>
    <xf numFmtId="0" fontId="23" fillId="0" borderId="13" xfId="0" applyFont="1" applyBorder="1" applyAlignment="1" applyProtection="1">
      <alignment vertical="center"/>
      <protection locked="0"/>
    </xf>
    <xf numFmtId="14" fontId="22" fillId="0" borderId="0" xfId="0" applyNumberFormat="1" applyFont="1" applyAlignment="1" applyProtection="1">
      <alignment vertical="top"/>
      <protection locked="0"/>
    </xf>
    <xf numFmtId="14" fontId="22" fillId="0" borderId="0" xfId="0" applyNumberFormat="1" applyFont="1" applyAlignment="1" applyProtection="1">
      <alignment vertical="center"/>
      <protection locked="0"/>
    </xf>
    <xf numFmtId="0" fontId="22" fillId="0" borderId="0" xfId="0" applyFont="1" applyAlignment="1" applyProtection="1">
      <alignment vertical="top"/>
      <protection locked="0"/>
    </xf>
    <xf numFmtId="14" fontId="22" fillId="0" borderId="0" xfId="0" applyNumberFormat="1" applyFont="1" applyProtection="1">
      <protection locked="0"/>
    </xf>
    <xf numFmtId="179" fontId="22" fillId="0" borderId="0" xfId="0" applyNumberFormat="1" applyFont="1" applyAlignment="1" applyProtection="1">
      <alignment vertical="center"/>
      <protection locked="0"/>
    </xf>
    <xf numFmtId="0" fontId="22" fillId="0" borderId="0" xfId="0" applyFont="1" applyProtection="1">
      <protection locked="0"/>
    </xf>
    <xf numFmtId="1" fontId="22" fillId="0" borderId="0" xfId="0" applyNumberFormat="1" applyFont="1" applyAlignment="1" applyProtection="1">
      <alignment vertical="center"/>
      <protection locked="0"/>
    </xf>
    <xf numFmtId="176" fontId="22" fillId="0" borderId="0" xfId="0" applyNumberFormat="1" applyFont="1" applyAlignment="1" applyProtection="1">
      <alignment vertical="center"/>
      <protection locked="0"/>
    </xf>
    <xf numFmtId="0" fontId="22" fillId="5" borderId="1" xfId="0" applyFont="1" applyFill="1" applyBorder="1" applyAlignment="1">
      <alignment horizontal="left" wrapText="1"/>
    </xf>
    <xf numFmtId="14" fontId="22" fillId="0" borderId="0" xfId="0" applyNumberFormat="1" applyFont="1"/>
    <xf numFmtId="14" fontId="22" fillId="2" borderId="0" xfId="0" applyNumberFormat="1" applyFont="1" applyFill="1" applyAlignment="1">
      <alignment vertical="top"/>
    </xf>
    <xf numFmtId="14" fontId="28" fillId="3" borderId="14" xfId="0" applyNumberFormat="1" applyFont="1" applyFill="1" applyBorder="1" applyAlignment="1">
      <alignment horizontal="center" vertical="center"/>
    </xf>
    <xf numFmtId="14" fontId="22" fillId="0" borderId="0" xfId="0" applyNumberFormat="1" applyFont="1" applyAlignment="1">
      <alignment horizontal="center" vertical="center"/>
    </xf>
    <xf numFmtId="0" fontId="23" fillId="7" borderId="15" xfId="0" applyFont="1" applyFill="1" applyBorder="1" applyAlignment="1">
      <alignment horizontal="left" vertical="top"/>
    </xf>
    <xf numFmtId="0" fontId="23" fillId="0" borderId="0" xfId="0" applyFont="1" applyAlignment="1">
      <alignment horizontal="left" vertical="top"/>
    </xf>
    <xf numFmtId="0" fontId="23" fillId="0" borderId="0" xfId="0" applyFont="1" applyAlignment="1">
      <alignment vertical="top"/>
    </xf>
    <xf numFmtId="14" fontId="23" fillId="0" borderId="0" xfId="0" applyNumberFormat="1" applyFont="1" applyAlignment="1">
      <alignment horizontal="left" vertical="top"/>
    </xf>
    <xf numFmtId="22" fontId="23" fillId="0" borderId="0" xfId="0" applyNumberFormat="1" applyFont="1" applyAlignment="1">
      <alignment horizontal="left" vertical="top"/>
    </xf>
    <xf numFmtId="0" fontId="22" fillId="5" borderId="2" xfId="0" applyFont="1" applyFill="1" applyBorder="1" applyAlignment="1">
      <alignment horizontal="left" wrapText="1"/>
    </xf>
    <xf numFmtId="14" fontId="31" fillId="6" borderId="14" xfId="0" applyNumberFormat="1" applyFont="1" applyFill="1" applyBorder="1" applyProtection="1">
      <protection locked="0"/>
    </xf>
    <xf numFmtId="14" fontId="31" fillId="0" borderId="14" xfId="0" applyNumberFormat="1" applyFont="1" applyBorder="1" applyProtection="1">
      <protection locked="0"/>
    </xf>
    <xf numFmtId="14" fontId="31" fillId="0" borderId="0" xfId="0" applyNumberFormat="1" applyFont="1"/>
    <xf numFmtId="0" fontId="34" fillId="0" borderId="0" xfId="0" applyFont="1"/>
    <xf numFmtId="14" fontId="31" fillId="0" borderId="14" xfId="0" applyNumberFormat="1" applyFont="1" applyBorder="1"/>
    <xf numFmtId="0" fontId="36" fillId="0" borderId="0" xfId="0" applyFont="1"/>
    <xf numFmtId="0" fontId="23" fillId="0" borderId="0" xfId="0" applyFont="1" applyAlignment="1" applyProtection="1">
      <alignment horizontal="center"/>
      <protection locked="0"/>
    </xf>
    <xf numFmtId="0" fontId="37" fillId="0" borderId="0" xfId="0" applyFont="1" applyAlignment="1" applyProtection="1">
      <alignment horizontal="center"/>
      <protection locked="0"/>
    </xf>
    <xf numFmtId="0" fontId="38" fillId="0" borderId="0" xfId="0" applyFont="1" applyProtection="1">
      <protection locked="0"/>
    </xf>
    <xf numFmtId="0" fontId="23" fillId="0" borderId="0" xfId="0" applyFont="1" applyAlignment="1" applyProtection="1">
      <alignment vertical="center"/>
      <protection locked="0"/>
    </xf>
    <xf numFmtId="0" fontId="39" fillId="11" borderId="17" xfId="1" applyFont="1" applyFill="1" applyBorder="1" applyAlignment="1" applyProtection="1">
      <alignment horizontal="center" vertical="center" wrapText="1"/>
      <protection locked="0"/>
    </xf>
    <xf numFmtId="0" fontId="39" fillId="10" borderId="17" xfId="1" applyFont="1" applyFill="1" applyBorder="1" applyAlignment="1" applyProtection="1">
      <alignment horizontal="center" vertical="center" wrapText="1"/>
      <protection locked="0"/>
    </xf>
    <xf numFmtId="0" fontId="39" fillId="12" borderId="17" xfId="1" applyFont="1" applyFill="1" applyBorder="1" applyAlignment="1" applyProtection="1">
      <alignment horizontal="center" vertical="center" wrapText="1"/>
      <protection locked="0"/>
    </xf>
    <xf numFmtId="0" fontId="39" fillId="13" borderId="17" xfId="1" applyFont="1" applyFill="1" applyBorder="1" applyAlignment="1" applyProtection="1">
      <alignment horizontal="center" vertical="center" wrapText="1"/>
      <protection locked="0"/>
    </xf>
    <xf numFmtId="0" fontId="39" fillId="9" borderId="17" xfId="1" applyFont="1" applyFill="1" applyBorder="1" applyAlignment="1" applyProtection="1">
      <alignment horizontal="center" vertical="center" wrapText="1"/>
      <protection locked="0"/>
    </xf>
    <xf numFmtId="0" fontId="40" fillId="9" borderId="17" xfId="1" applyFont="1" applyFill="1" applyBorder="1" applyAlignment="1" applyProtection="1">
      <alignment horizontal="center" vertical="center" wrapText="1"/>
      <protection locked="0"/>
    </xf>
    <xf numFmtId="0" fontId="36" fillId="0" borderId="0" xfId="0" applyFont="1" applyAlignment="1">
      <alignment vertical="center"/>
    </xf>
    <xf numFmtId="0" fontId="36" fillId="0" borderId="0" xfId="0" applyFont="1" applyAlignment="1">
      <alignment horizontal="center" vertical="center"/>
    </xf>
    <xf numFmtId="0" fontId="22" fillId="0" borderId="0" xfId="0" applyFont="1" applyAlignment="1">
      <alignment vertical="center"/>
    </xf>
    <xf numFmtId="0" fontId="41" fillId="0" borderId="0" xfId="0" applyFont="1" applyAlignment="1" applyProtection="1">
      <alignment horizontal="center"/>
      <protection locked="0"/>
    </xf>
    <xf numFmtId="0" fontId="40" fillId="8" borderId="17" xfId="1" applyFont="1" applyFill="1" applyBorder="1" applyAlignment="1" applyProtection="1">
      <alignment horizontal="center" vertical="center" wrapText="1"/>
      <protection locked="0"/>
    </xf>
    <xf numFmtId="0" fontId="38" fillId="0" borderId="0" xfId="0" applyFont="1" applyAlignment="1" applyProtection="1">
      <alignment horizontal="center"/>
      <protection locked="0"/>
    </xf>
    <xf numFmtId="0" fontId="41" fillId="14" borderId="0" xfId="0" applyFont="1" applyFill="1" applyAlignment="1" applyProtection="1">
      <alignment horizontal="left"/>
      <protection locked="0"/>
    </xf>
    <xf numFmtId="0" fontId="23" fillId="14" borderId="0" xfId="0" applyFont="1" applyFill="1" applyProtection="1">
      <protection locked="0"/>
    </xf>
    <xf numFmtId="0" fontId="38" fillId="14" borderId="0" xfId="0" applyFont="1" applyFill="1" applyProtection="1">
      <protection locked="0"/>
    </xf>
    <xf numFmtId="0" fontId="23" fillId="14" borderId="0" xfId="0" applyFont="1" applyFill="1" applyAlignment="1" applyProtection="1">
      <alignment vertical="center"/>
      <protection locked="0"/>
    </xf>
    <xf numFmtId="0" fontId="36" fillId="0" borderId="0" xfId="0" applyFont="1" applyAlignment="1">
      <alignment horizontal="center"/>
    </xf>
    <xf numFmtId="0" fontId="17" fillId="0" borderId="18" xfId="1" applyFill="1" applyBorder="1" applyAlignment="1" applyProtection="1">
      <alignment horizontal="center" vertical="center" wrapText="1"/>
      <protection locked="0"/>
    </xf>
    <xf numFmtId="14" fontId="22" fillId="0" borderId="0" xfId="0" applyNumberFormat="1" applyFont="1" applyAlignment="1" applyProtection="1">
      <alignment horizontal="left"/>
      <protection locked="0"/>
    </xf>
    <xf numFmtId="0" fontId="22" fillId="0" borderId="0" xfId="0" applyFont="1" applyAlignment="1" applyProtection="1">
      <alignment horizontal="left"/>
      <protection locked="0"/>
    </xf>
    <xf numFmtId="10" fontId="22" fillId="0" borderId="0" xfId="0" applyNumberFormat="1" applyFont="1" applyAlignment="1" applyProtection="1">
      <alignment horizontal="left"/>
      <protection locked="0"/>
    </xf>
    <xf numFmtId="0" fontId="22" fillId="0" borderId="0" xfId="0" quotePrefix="1" applyFont="1" applyAlignment="1" applyProtection="1">
      <alignment horizontal="left"/>
      <protection locked="0"/>
    </xf>
    <xf numFmtId="0" fontId="22" fillId="0" borderId="0" xfId="0" applyFont="1" applyAlignment="1" applyProtection="1">
      <alignment horizontal="center"/>
      <protection locked="0"/>
    </xf>
    <xf numFmtId="10" fontId="22" fillId="0" borderId="0" xfId="0" applyNumberFormat="1" applyFont="1" applyAlignment="1" applyProtection="1">
      <alignment horizontal="center"/>
      <protection locked="0"/>
    </xf>
    <xf numFmtId="0" fontId="36" fillId="19" borderId="20" xfId="0" applyFont="1" applyFill="1" applyBorder="1" applyAlignment="1">
      <alignment vertical="center"/>
    </xf>
    <xf numFmtId="0" fontId="33" fillId="0" borderId="5" xfId="0" applyFont="1" applyBorder="1" applyAlignment="1" applyProtection="1">
      <alignment vertical="top"/>
      <protection locked="0"/>
    </xf>
    <xf numFmtId="0" fontId="33" fillId="0" borderId="5" xfId="0" applyFont="1" applyBorder="1" applyAlignment="1" applyProtection="1">
      <alignment horizontal="center" vertical="top"/>
      <protection locked="0"/>
    </xf>
    <xf numFmtId="0" fontId="33" fillId="0" borderId="5" xfId="0" applyFont="1" applyBorder="1" applyAlignment="1" applyProtection="1">
      <alignment horizontal="left" vertical="top"/>
      <protection locked="0"/>
    </xf>
    <xf numFmtId="178" fontId="33" fillId="0" borderId="5" xfId="0" applyNumberFormat="1" applyFont="1" applyBorder="1" applyAlignment="1" applyProtection="1">
      <alignment horizontal="center" vertical="top"/>
      <protection locked="0"/>
    </xf>
    <xf numFmtId="177" fontId="33" fillId="0" borderId="5" xfId="0" applyNumberFormat="1" applyFont="1" applyBorder="1" applyAlignment="1" applyProtection="1">
      <alignment horizontal="center" vertical="top"/>
      <protection locked="0"/>
    </xf>
    <xf numFmtId="1" fontId="33" fillId="0" borderId="5" xfId="0" applyNumberFormat="1" applyFont="1" applyBorder="1" applyAlignment="1" applyProtection="1">
      <alignment horizontal="center" vertical="top"/>
      <protection locked="0"/>
    </xf>
    <xf numFmtId="14" fontId="33" fillId="0" borderId="5" xfId="0" applyNumberFormat="1" applyFont="1" applyBorder="1" applyAlignment="1" applyProtection="1">
      <alignment horizontal="left" vertical="top"/>
      <protection locked="0"/>
    </xf>
    <xf numFmtId="10" fontId="33" fillId="0" borderId="5" xfId="0" applyNumberFormat="1" applyFont="1" applyBorder="1" applyAlignment="1" applyProtection="1">
      <alignment horizontal="right" vertical="top" wrapText="1"/>
      <protection locked="0"/>
    </xf>
    <xf numFmtId="10" fontId="33" fillId="0" borderId="5" xfId="0" applyNumberFormat="1" applyFont="1" applyBorder="1" applyAlignment="1" applyProtection="1">
      <alignment horizontal="right" vertical="top"/>
      <protection locked="0"/>
    </xf>
    <xf numFmtId="0" fontId="33" fillId="0" borderId="24" xfId="0" applyFont="1" applyBorder="1" applyAlignment="1" applyProtection="1">
      <alignment vertical="top"/>
      <protection locked="0"/>
    </xf>
    <xf numFmtId="0" fontId="33" fillId="0" borderId="24" xfId="0" applyFont="1" applyBorder="1" applyAlignment="1" applyProtection="1">
      <alignment horizontal="center" vertical="top"/>
      <protection locked="0"/>
    </xf>
    <xf numFmtId="0" fontId="33" fillId="0" borderId="24" xfId="0" applyFont="1" applyBorder="1" applyAlignment="1" applyProtection="1">
      <alignment horizontal="left" vertical="top"/>
      <protection locked="0"/>
    </xf>
    <xf numFmtId="178" fontId="33" fillId="0" borderId="24" xfId="0" applyNumberFormat="1" applyFont="1" applyBorder="1" applyAlignment="1" applyProtection="1">
      <alignment horizontal="center" vertical="top"/>
      <protection locked="0"/>
    </xf>
    <xf numFmtId="177" fontId="33" fillId="0" borderId="24" xfId="0" applyNumberFormat="1" applyFont="1" applyBorder="1" applyAlignment="1" applyProtection="1">
      <alignment horizontal="center" vertical="top"/>
      <protection locked="0"/>
    </xf>
    <xf numFmtId="1" fontId="33" fillId="0" borderId="24" xfId="0" applyNumberFormat="1" applyFont="1" applyBorder="1" applyAlignment="1" applyProtection="1">
      <alignment horizontal="center" vertical="top"/>
      <protection locked="0"/>
    </xf>
    <xf numFmtId="14" fontId="33" fillId="0" borderId="24" xfId="0" applyNumberFormat="1" applyFont="1" applyBorder="1" applyAlignment="1" applyProtection="1">
      <alignment horizontal="left" vertical="top"/>
      <protection locked="0"/>
    </xf>
    <xf numFmtId="10" fontId="33" fillId="0" borderId="24" xfId="0" applyNumberFormat="1" applyFont="1" applyBorder="1" applyAlignment="1" applyProtection="1">
      <alignment horizontal="right" vertical="top" wrapText="1"/>
      <protection locked="0"/>
    </xf>
    <xf numFmtId="10" fontId="33" fillId="0" borderId="24" xfId="0" applyNumberFormat="1" applyFont="1" applyBorder="1" applyAlignment="1" applyProtection="1">
      <alignment horizontal="right" vertical="top"/>
      <protection locked="0"/>
    </xf>
    <xf numFmtId="0" fontId="23" fillId="20" borderId="0" xfId="0" applyFont="1" applyFill="1" applyAlignment="1">
      <alignment vertical="top"/>
    </xf>
    <xf numFmtId="0" fontId="23" fillId="20" borderId="0" xfId="0" applyFont="1" applyFill="1" applyAlignment="1">
      <alignment horizontal="left" vertical="top"/>
    </xf>
    <xf numFmtId="0" fontId="61" fillId="3" borderId="1" xfId="0" applyFont="1" applyFill="1" applyBorder="1" applyAlignment="1">
      <alignment horizontal="center" vertical="center"/>
    </xf>
    <xf numFmtId="0" fontId="61" fillId="3" borderId="1" xfId="0" applyFont="1" applyFill="1" applyBorder="1" applyAlignment="1">
      <alignment horizontal="center" vertical="center" wrapText="1"/>
    </xf>
    <xf numFmtId="0" fontId="62" fillId="0" borderId="0" xfId="0" applyFont="1" applyAlignment="1">
      <alignment vertical="top"/>
    </xf>
    <xf numFmtId="0" fontId="62" fillId="0" borderId="0" xfId="0" applyFont="1" applyAlignment="1">
      <alignment horizontal="center" vertical="top"/>
    </xf>
    <xf numFmtId="0" fontId="63" fillId="0" borderId="0" xfId="0" applyFont="1" applyAlignment="1">
      <alignment vertical="top"/>
    </xf>
    <xf numFmtId="0" fontId="62" fillId="0" borderId="0" xfId="0" applyFont="1" applyAlignment="1">
      <alignment vertical="top" wrapText="1"/>
    </xf>
    <xf numFmtId="0" fontId="62" fillId="0" borderId="0" xfId="0" applyFont="1" applyAlignment="1">
      <alignment horizontal="left" vertical="top" wrapText="1"/>
    </xf>
    <xf numFmtId="0" fontId="62" fillId="0" borderId="0" xfId="0" applyFont="1" applyAlignment="1">
      <alignment horizontal="left" vertical="top"/>
    </xf>
    <xf numFmtId="0" fontId="63" fillId="0" borderId="0" xfId="0" applyFont="1" applyAlignment="1">
      <alignment horizontal="left" vertical="top"/>
    </xf>
    <xf numFmtId="14" fontId="62" fillId="0" borderId="0" xfId="0" applyNumberFormat="1" applyFont="1" applyAlignment="1">
      <alignment horizontal="left" vertical="top" wrapText="1"/>
    </xf>
    <xf numFmtId="0" fontId="62" fillId="0" borderId="0" xfId="0" applyFont="1"/>
    <xf numFmtId="0" fontId="60" fillId="0" borderId="0" xfId="0" applyFont="1" applyAlignment="1">
      <alignment horizontal="left" vertical="top"/>
    </xf>
    <xf numFmtId="0" fontId="63" fillId="0" borderId="0" xfId="0" applyFont="1" applyAlignment="1">
      <alignment horizontal="left" vertical="top" wrapText="1"/>
    </xf>
    <xf numFmtId="0" fontId="65" fillId="8" borderId="17" xfId="1" applyFont="1" applyFill="1" applyBorder="1" applyAlignment="1" applyProtection="1">
      <alignment horizontal="center" vertical="center" wrapText="1"/>
      <protection locked="0"/>
    </xf>
    <xf numFmtId="0" fontId="29" fillId="20" borderId="0" xfId="0" applyFont="1" applyFill="1"/>
    <xf numFmtId="0" fontId="17" fillId="20" borderId="0" xfId="1" applyFill="1" applyBorder="1" applyAlignment="1">
      <alignment horizontal="left" vertical="top"/>
    </xf>
    <xf numFmtId="14" fontId="23" fillId="20" borderId="0" xfId="0" applyNumberFormat="1" applyFont="1" applyFill="1" applyAlignment="1">
      <alignment horizontal="left" vertical="top"/>
    </xf>
    <xf numFmtId="0" fontId="23" fillId="18" borderId="0" xfId="0" applyFont="1" applyFill="1" applyAlignment="1">
      <alignment vertical="top"/>
    </xf>
    <xf numFmtId="0" fontId="23" fillId="18" borderId="0" xfId="0" quotePrefix="1" applyFont="1" applyFill="1" applyAlignment="1">
      <alignment horizontal="left" vertical="top"/>
    </xf>
    <xf numFmtId="0" fontId="23" fillId="18" borderId="0" xfId="0" applyFont="1" applyFill="1" applyAlignment="1">
      <alignment horizontal="left" vertical="top"/>
    </xf>
    <xf numFmtId="0" fontId="67" fillId="0" borderId="0" xfId="0" applyFont="1" applyAlignment="1">
      <alignment vertical="top" wrapText="1"/>
    </xf>
    <xf numFmtId="0" fontId="68" fillId="0" borderId="0" xfId="0" applyFont="1" applyAlignment="1">
      <alignment vertical="top" wrapText="1"/>
    </xf>
    <xf numFmtId="14" fontId="22" fillId="0" borderId="10" xfId="0" applyNumberFormat="1" applyFont="1" applyBorder="1"/>
    <xf numFmtId="0" fontId="22" fillId="0" borderId="10" xfId="0" applyFont="1" applyBorder="1"/>
    <xf numFmtId="14" fontId="22" fillId="0" borderId="31" xfId="0" applyNumberFormat="1" applyFont="1" applyBorder="1"/>
    <xf numFmtId="0" fontId="22" fillId="0" borderId="31" xfId="0" applyFont="1" applyBorder="1"/>
    <xf numFmtId="0" fontId="69" fillId="0" borderId="0" xfId="0" applyFont="1" applyAlignment="1">
      <alignment vertical="top" wrapText="1"/>
    </xf>
    <xf numFmtId="0" fontId="22" fillId="0" borderId="7" xfId="0" applyFont="1" applyBorder="1"/>
    <xf numFmtId="0" fontId="75" fillId="0" borderId="0" xfId="3" applyFont="1">
      <alignment vertical="center"/>
    </xf>
    <xf numFmtId="0" fontId="76" fillId="0" borderId="0" xfId="3" applyFont="1">
      <alignment vertical="center"/>
    </xf>
    <xf numFmtId="0" fontId="77" fillId="0" borderId="0" xfId="4" applyFont="1">
      <alignment vertical="center"/>
    </xf>
    <xf numFmtId="0" fontId="76" fillId="0" borderId="32" xfId="3" applyFont="1" applyBorder="1" applyAlignment="1">
      <alignment horizontal="center" vertical="center"/>
    </xf>
    <xf numFmtId="14" fontId="76" fillId="0" borderId="0" xfId="3" applyNumberFormat="1" applyFont="1">
      <alignment vertical="center"/>
    </xf>
    <xf numFmtId="0" fontId="78" fillId="0" borderId="0" xfId="3" applyFont="1">
      <alignment vertical="center"/>
    </xf>
    <xf numFmtId="0" fontId="76" fillId="0" borderId="35" xfId="3" applyFont="1" applyBorder="1" applyAlignment="1">
      <alignment horizontal="center" vertical="center"/>
    </xf>
    <xf numFmtId="0" fontId="76" fillId="0" borderId="38" xfId="3" applyFont="1" applyBorder="1" applyAlignment="1">
      <alignment horizontal="center" vertical="center"/>
    </xf>
    <xf numFmtId="0" fontId="76" fillId="4" borderId="0" xfId="3" applyFont="1" applyFill="1">
      <alignment vertical="center"/>
    </xf>
    <xf numFmtId="0" fontId="79" fillId="0" borderId="0" xfId="3" applyFont="1">
      <alignment vertical="center"/>
    </xf>
    <xf numFmtId="0" fontId="80" fillId="0" borderId="0" xfId="3" applyFont="1">
      <alignment vertical="center"/>
    </xf>
    <xf numFmtId="0" fontId="82" fillId="21" borderId="7" xfId="4" applyFont="1" applyFill="1" applyBorder="1" applyAlignment="1">
      <alignment horizontal="center" vertical="center" wrapText="1"/>
    </xf>
    <xf numFmtId="0" fontId="82" fillId="21" borderId="7" xfId="4" applyFont="1" applyFill="1" applyBorder="1" applyAlignment="1">
      <alignment horizontal="center" vertical="center"/>
    </xf>
    <xf numFmtId="0" fontId="78" fillId="0" borderId="7" xfId="4" applyFont="1" applyBorder="1" applyAlignment="1">
      <alignment horizontal="center" vertical="center" wrapText="1"/>
    </xf>
    <xf numFmtId="14" fontId="78" fillId="0" borderId="7" xfId="4" applyNumberFormat="1" applyFont="1" applyBorder="1" applyAlignment="1">
      <alignment horizontal="center" vertical="center" wrapText="1"/>
    </xf>
    <xf numFmtId="0" fontId="78" fillId="0" borderId="7" xfId="4" applyFont="1" applyBorder="1" applyAlignment="1">
      <alignment horizontal="justify" vertical="center" wrapText="1"/>
    </xf>
    <xf numFmtId="177" fontId="78" fillId="0" borderId="7" xfId="4" applyNumberFormat="1" applyFont="1" applyBorder="1" applyAlignment="1">
      <alignment horizontal="center" vertical="center" wrapText="1"/>
    </xf>
    <xf numFmtId="0" fontId="78" fillId="0" borderId="7" xfId="3" applyFont="1" applyBorder="1" applyAlignment="1">
      <alignment horizontal="center" vertical="center" wrapText="1"/>
    </xf>
    <xf numFmtId="0" fontId="78" fillId="0" borderId="7" xfId="4" applyFont="1" applyBorder="1" applyAlignment="1">
      <alignment horizontal="justify" vertical="center"/>
    </xf>
    <xf numFmtId="0" fontId="78" fillId="0" borderId="7" xfId="4" applyFont="1" applyBorder="1">
      <alignment vertical="center"/>
    </xf>
    <xf numFmtId="0" fontId="78" fillId="0" borderId="0" xfId="4" applyFont="1">
      <alignment vertical="center"/>
    </xf>
    <xf numFmtId="0" fontId="76" fillId="0" borderId="0" xfId="4" applyFont="1">
      <alignment vertical="center"/>
    </xf>
    <xf numFmtId="0" fontId="33" fillId="0" borderId="0" xfId="4" applyFont="1">
      <alignment vertical="center"/>
    </xf>
    <xf numFmtId="180" fontId="33" fillId="0" borderId="24" xfId="0" applyNumberFormat="1" applyFont="1" applyBorder="1" applyAlignment="1" applyProtection="1">
      <alignment horizontal="center" vertical="top"/>
      <protection locked="0"/>
    </xf>
    <xf numFmtId="180" fontId="33" fillId="0" borderId="5" xfId="0" applyNumberFormat="1" applyFont="1" applyBorder="1" applyAlignment="1" applyProtection="1">
      <alignment horizontal="center" vertical="top"/>
      <protection locked="0"/>
    </xf>
    <xf numFmtId="0" fontId="112" fillId="0" borderId="0" xfId="0" applyFont="1"/>
    <xf numFmtId="181" fontId="113" fillId="0" borderId="0" xfId="2" applyNumberFormat="1" applyFont="1" applyAlignment="1"/>
    <xf numFmtId="0" fontId="22" fillId="0" borderId="0" xfId="0" applyNumberFormat="1" applyFont="1" applyAlignment="1" applyProtection="1">
      <alignment horizontal="center"/>
      <protection locked="0"/>
    </xf>
    <xf numFmtId="0" fontId="22" fillId="0" borderId="0" xfId="0" applyNumberFormat="1" applyFont="1" applyAlignment="1" applyProtection="1">
      <alignment horizontal="left"/>
      <protection locked="0"/>
    </xf>
    <xf numFmtId="0" fontId="22" fillId="0" borderId="0" xfId="0" applyFont="1" applyBorder="1"/>
    <xf numFmtId="10" fontId="22" fillId="0" borderId="0" xfId="0" applyNumberFormat="1" applyFont="1" applyBorder="1"/>
    <xf numFmtId="0" fontId="20" fillId="0" borderId="0" xfId="0" applyFont="1" applyFill="1" applyBorder="1" applyAlignment="1">
      <alignment vertical="center"/>
    </xf>
    <xf numFmtId="10" fontId="22" fillId="5" borderId="2" xfId="0" applyNumberFormat="1" applyFont="1" applyFill="1" applyBorder="1" applyAlignment="1">
      <alignment horizontal="left" wrapText="1"/>
    </xf>
    <xf numFmtId="2" fontId="22" fillId="0" borderId="0" xfId="0" applyNumberFormat="1" applyFont="1" applyBorder="1" applyAlignment="1">
      <alignment horizontal="right"/>
    </xf>
    <xf numFmtId="14" fontId="22" fillId="0" borderId="10" xfId="0" applyNumberFormat="1" applyFont="1" applyBorder="1" applyAlignment="1">
      <alignment horizontal="left"/>
    </xf>
    <xf numFmtId="2" fontId="22" fillId="0" borderId="10" xfId="0" applyNumberFormat="1" applyFont="1" applyBorder="1" applyAlignment="1">
      <alignment horizontal="right"/>
    </xf>
    <xf numFmtId="0" fontId="73" fillId="0" borderId="10" xfId="0" applyFont="1" applyBorder="1"/>
    <xf numFmtId="14" fontId="22" fillId="0" borderId="31" xfId="0" applyNumberFormat="1" applyFont="1" applyBorder="1" applyAlignment="1">
      <alignment horizontal="left"/>
    </xf>
    <xf numFmtId="2" fontId="22" fillId="0" borderId="31" xfId="0" applyNumberFormat="1" applyFont="1" applyBorder="1" applyAlignment="1">
      <alignment horizontal="right"/>
    </xf>
    <xf numFmtId="0" fontId="73" fillId="0" borderId="31" xfId="0" applyFont="1" applyBorder="1"/>
    <xf numFmtId="2" fontId="78" fillId="0" borderId="7" xfId="4" applyNumberFormat="1" applyFont="1" applyBorder="1" applyAlignment="1">
      <alignment horizontal="center" vertical="center" wrapText="1"/>
    </xf>
    <xf numFmtId="0" fontId="78" fillId="0" borderId="7" xfId="720" applyFont="1" applyBorder="1" applyAlignment="1">
      <alignment horizontal="center" vertical="center" wrapText="1"/>
    </xf>
    <xf numFmtId="14" fontId="78" fillId="0" borderId="7" xfId="720" applyNumberFormat="1" applyFont="1" applyBorder="1" applyAlignment="1">
      <alignment horizontal="center" vertical="center" wrapText="1"/>
    </xf>
    <xf numFmtId="0" fontId="78" fillId="0" borderId="7" xfId="720" applyFont="1" applyBorder="1" applyAlignment="1">
      <alignment horizontal="justify" vertical="center" wrapText="1"/>
    </xf>
    <xf numFmtId="0" fontId="78" fillId="2" borderId="7" xfId="4" applyFont="1" applyFill="1" applyBorder="1" applyAlignment="1">
      <alignment horizontal="center" vertical="center" wrapText="1"/>
    </xf>
    <xf numFmtId="14" fontId="78" fillId="2" borderId="7" xfId="3" applyNumberFormat="1" applyFont="1" applyFill="1" applyBorder="1" applyAlignment="1">
      <alignment horizontal="center" vertical="center" wrapText="1"/>
    </xf>
    <xf numFmtId="0" fontId="78" fillId="2" borderId="7" xfId="3" applyFont="1" applyFill="1" applyBorder="1" applyAlignment="1">
      <alignment horizontal="center" vertical="center" wrapText="1"/>
    </xf>
    <xf numFmtId="0" fontId="78" fillId="2" borderId="7" xfId="4" applyFont="1" applyFill="1" applyBorder="1" applyAlignment="1">
      <alignment horizontal="justify" vertical="center" wrapText="1"/>
    </xf>
    <xf numFmtId="10" fontId="33" fillId="0" borderId="0" xfId="2" applyNumberFormat="1" applyFont="1" applyBorder="1" applyAlignment="1" applyProtection="1">
      <alignment horizontal="right" vertical="top" wrapText="1"/>
      <protection locked="0"/>
    </xf>
    <xf numFmtId="10" fontId="33" fillId="0" borderId="0" xfId="2" applyNumberFormat="1" applyFont="1" applyFill="1" applyBorder="1" applyAlignment="1" applyProtection="1">
      <alignment horizontal="right" vertical="top" wrapText="1"/>
      <protection locked="0"/>
    </xf>
    <xf numFmtId="10" fontId="54" fillId="16" borderId="0" xfId="2" applyNumberFormat="1" applyFont="1" applyFill="1" applyBorder="1" applyAlignment="1" applyProtection="1">
      <alignment horizontal="right" vertical="top"/>
      <protection locked="0"/>
    </xf>
    <xf numFmtId="0" fontId="33" fillId="0" borderId="0" xfId="0" applyFont="1" applyFill="1" applyBorder="1" applyAlignment="1" applyProtection="1">
      <alignment horizontal="left" vertical="top"/>
      <protection locked="0"/>
    </xf>
    <xf numFmtId="0" fontId="113" fillId="0" borderId="7" xfId="0" applyFont="1" applyBorder="1" applyAlignment="1">
      <alignment horizontal="center" vertical="center"/>
    </xf>
    <xf numFmtId="0" fontId="33" fillId="0" borderId="0" xfId="0" applyFont="1" applyBorder="1" applyAlignment="1" applyProtection="1">
      <alignment horizontal="left" vertical="top"/>
      <protection locked="0"/>
    </xf>
    <xf numFmtId="180" fontId="33" fillId="0" borderId="0" xfId="0" applyNumberFormat="1" applyFont="1" applyBorder="1" applyAlignment="1" applyProtection="1">
      <alignment horizontal="center" vertical="top"/>
      <protection locked="0"/>
    </xf>
    <xf numFmtId="178" fontId="33" fillId="0" borderId="0" xfId="0" applyNumberFormat="1" applyFont="1" applyBorder="1" applyAlignment="1" applyProtection="1">
      <alignment horizontal="center" vertical="top"/>
      <protection locked="0"/>
    </xf>
    <xf numFmtId="14" fontId="33" fillId="0" borderId="0" xfId="0" applyNumberFormat="1" applyFont="1" applyBorder="1" applyAlignment="1" applyProtection="1">
      <alignment horizontal="left" vertical="top"/>
      <protection locked="0"/>
    </xf>
    <xf numFmtId="0" fontId="114" fillId="0" borderId="0" xfId="0" applyFont="1" applyAlignment="1">
      <alignment vertical="center"/>
    </xf>
    <xf numFmtId="0" fontId="114" fillId="0" borderId="7" xfId="0" applyFont="1" applyBorder="1" applyAlignment="1">
      <alignment horizontal="center" vertical="center"/>
    </xf>
    <xf numFmtId="0" fontId="33" fillId="0" borderId="7" xfId="0" applyFont="1" applyFill="1" applyBorder="1" applyAlignment="1" applyProtection="1">
      <alignment horizontal="center" vertical="center"/>
      <protection locked="0"/>
    </xf>
    <xf numFmtId="0" fontId="114" fillId="0" borderId="0" xfId="0" applyFont="1" applyAlignment="1">
      <alignment horizontal="center" vertical="center"/>
    </xf>
    <xf numFmtId="0" fontId="114" fillId="0" borderId="7" xfId="0" applyFont="1" applyBorder="1" applyAlignment="1">
      <alignment horizontal="left" vertical="center"/>
    </xf>
    <xf numFmtId="0" fontId="33" fillId="0" borderId="7" xfId="0" applyFont="1" applyBorder="1" applyAlignment="1" applyProtection="1">
      <alignment horizontal="left" vertical="center"/>
      <protection locked="0"/>
    </xf>
    <xf numFmtId="0" fontId="33" fillId="0" borderId="7" xfId="0" applyFont="1" applyBorder="1" applyAlignment="1" applyProtection="1">
      <alignment horizontal="center" vertical="center"/>
      <protection locked="0"/>
    </xf>
    <xf numFmtId="0" fontId="33" fillId="0" borderId="7" xfId="0" applyFont="1" applyBorder="1" applyAlignment="1" applyProtection="1">
      <alignment horizontal="center" vertical="center" wrapText="1"/>
      <protection locked="0"/>
    </xf>
    <xf numFmtId="10" fontId="114" fillId="0" borderId="0" xfId="0" applyNumberFormat="1" applyFont="1" applyAlignment="1">
      <alignment vertical="center"/>
    </xf>
    <xf numFmtId="178" fontId="33" fillId="20" borderId="23" xfId="0" applyNumberFormat="1" applyFont="1" applyFill="1" applyBorder="1" applyAlignment="1" applyProtection="1">
      <alignment horizontal="center" vertical="top"/>
      <protection locked="0"/>
    </xf>
    <xf numFmtId="0" fontId="116" fillId="16" borderId="50" xfId="0" applyFont="1" applyFill="1" applyBorder="1" applyAlignment="1">
      <alignment horizontal="center" vertical="center" wrapText="1" readingOrder="1"/>
    </xf>
    <xf numFmtId="0" fontId="115" fillId="16" borderId="51" xfId="0" applyFont="1" applyFill="1" applyBorder="1" applyAlignment="1">
      <alignment horizontal="center" vertical="center" wrapText="1" readingOrder="1"/>
    </xf>
    <xf numFmtId="0" fontId="117" fillId="0" borderId="0" xfId="0" applyFont="1" applyBorder="1" applyAlignment="1" applyProtection="1">
      <alignment horizontal="left" vertical="top"/>
      <protection locked="0"/>
    </xf>
    <xf numFmtId="0" fontId="118" fillId="0" borderId="0" xfId="0" applyFont="1" applyBorder="1" applyAlignment="1" applyProtection="1">
      <alignment horizontal="left" vertical="top"/>
      <protection locked="0"/>
    </xf>
    <xf numFmtId="0" fontId="119" fillId="0" borderId="0" xfId="0" applyFont="1" applyBorder="1" applyAlignment="1" applyProtection="1">
      <alignment horizontal="left" vertical="top"/>
      <protection locked="0"/>
    </xf>
    <xf numFmtId="0" fontId="114" fillId="0" borderId="0" xfId="0" applyFont="1" applyFill="1" applyAlignment="1">
      <alignment vertical="center"/>
    </xf>
    <xf numFmtId="180" fontId="33" fillId="0" borderId="0" xfId="0" applyNumberFormat="1" applyFont="1" applyFill="1" applyBorder="1" applyAlignment="1" applyProtection="1">
      <alignment horizontal="center" vertical="top"/>
      <protection locked="0"/>
    </xf>
    <xf numFmtId="178" fontId="33" fillId="0" borderId="0" xfId="0" applyNumberFormat="1" applyFont="1" applyFill="1" applyBorder="1" applyAlignment="1" applyProtection="1">
      <alignment horizontal="center" vertical="top"/>
      <protection locked="0"/>
    </xf>
    <xf numFmtId="14" fontId="33" fillId="0" borderId="0" xfId="0" applyNumberFormat="1" applyFont="1" applyFill="1" applyBorder="1" applyAlignment="1" applyProtection="1">
      <alignment horizontal="left" vertical="top"/>
      <protection locked="0"/>
    </xf>
    <xf numFmtId="10" fontId="54" fillId="0" borderId="0" xfId="2" applyNumberFormat="1" applyFont="1" applyFill="1" applyBorder="1" applyAlignment="1" applyProtection="1">
      <alignment horizontal="right" vertical="top"/>
      <protection locked="0"/>
    </xf>
    <xf numFmtId="0" fontId="114" fillId="0" borderId="0" xfId="0" applyFont="1" applyFill="1" applyAlignment="1">
      <alignment horizontal="center" vertical="center"/>
    </xf>
    <xf numFmtId="10" fontId="33" fillId="20" borderId="23" xfId="2" applyNumberFormat="1" applyFont="1" applyFill="1" applyBorder="1" applyAlignment="1" applyProtection="1">
      <alignment horizontal="center" vertical="top"/>
      <protection locked="0"/>
    </xf>
    <xf numFmtId="10" fontId="33" fillId="20" borderId="0" xfId="2" applyNumberFormat="1" applyFont="1" applyFill="1" applyBorder="1" applyAlignment="1" applyProtection="1">
      <alignment horizontal="center" vertical="top"/>
      <protection locked="0"/>
    </xf>
    <xf numFmtId="0" fontId="76" fillId="0" borderId="7" xfId="0" applyFont="1" applyBorder="1" applyAlignment="1" applyProtection="1">
      <alignment horizontal="center" vertical="center"/>
      <protection locked="0"/>
    </xf>
    <xf numFmtId="178" fontId="33" fillId="20" borderId="0" xfId="0" applyNumberFormat="1" applyFont="1" applyFill="1" applyBorder="1" applyAlignment="1" applyProtection="1">
      <alignment horizontal="center" vertical="top"/>
      <protection locked="0"/>
    </xf>
    <xf numFmtId="10" fontId="54" fillId="16" borderId="0" xfId="2" applyNumberFormat="1" applyFont="1" applyFill="1" applyBorder="1" applyAlignment="1" applyProtection="1">
      <alignment horizontal="right" vertical="top" wrapText="1"/>
      <protection locked="0"/>
    </xf>
    <xf numFmtId="10" fontId="33" fillId="0" borderId="23" xfId="2" applyNumberFormat="1" applyFont="1" applyFill="1" applyBorder="1" applyAlignment="1" applyProtection="1">
      <alignment horizontal="right" vertical="top" wrapText="1"/>
      <protection locked="0"/>
    </xf>
    <xf numFmtId="10" fontId="33" fillId="0" borderId="23" xfId="2" applyNumberFormat="1" applyFont="1" applyBorder="1" applyAlignment="1" applyProtection="1">
      <alignment horizontal="right" vertical="top" wrapText="1"/>
      <protection locked="0"/>
    </xf>
    <xf numFmtId="10" fontId="54" fillId="16" borderId="23" xfId="2" applyNumberFormat="1" applyFont="1" applyFill="1" applyBorder="1" applyAlignment="1" applyProtection="1">
      <alignment horizontal="right" vertical="top"/>
      <protection locked="0"/>
    </xf>
    <xf numFmtId="178" fontId="33" fillId="0" borderId="23" xfId="0" applyNumberFormat="1" applyFont="1" applyFill="1" applyBorder="1" applyAlignment="1" applyProtection="1">
      <alignment horizontal="center" vertical="top"/>
      <protection locked="0"/>
    </xf>
    <xf numFmtId="180" fontId="33" fillId="0" borderId="23" xfId="0" applyNumberFormat="1" applyFont="1" applyFill="1" applyBorder="1" applyAlignment="1" applyProtection="1">
      <alignment horizontal="center" vertical="top"/>
      <protection locked="0"/>
    </xf>
    <xf numFmtId="0" fontId="33" fillId="0" borderId="23" xfId="0" applyFont="1" applyFill="1" applyBorder="1" applyAlignment="1" applyProtection="1">
      <alignment horizontal="left" vertical="top"/>
      <protection locked="0"/>
    </xf>
    <xf numFmtId="0" fontId="33" fillId="0" borderId="23" xfId="0" applyFont="1" applyBorder="1" applyAlignment="1" applyProtection="1">
      <alignment horizontal="left" vertical="center"/>
      <protection locked="0"/>
    </xf>
    <xf numFmtId="0" fontId="33" fillId="0" borderId="23" xfId="0" applyFont="1" applyBorder="1" applyAlignment="1" applyProtection="1">
      <alignment horizontal="left" vertical="top"/>
      <protection locked="0"/>
    </xf>
    <xf numFmtId="178" fontId="33" fillId="0" borderId="23" xfId="0" applyNumberFormat="1" applyFont="1" applyBorder="1" applyAlignment="1" applyProtection="1">
      <alignment horizontal="center" vertical="top"/>
      <protection locked="0"/>
    </xf>
    <xf numFmtId="180" fontId="33" fillId="0" borderId="23" xfId="0" applyNumberFormat="1" applyFont="1" applyBorder="1" applyAlignment="1" applyProtection="1">
      <alignment horizontal="center" vertical="top"/>
      <protection locked="0"/>
    </xf>
    <xf numFmtId="0" fontId="33" fillId="0" borderId="23" xfId="0" applyFont="1" applyFill="1" applyBorder="1" applyAlignment="1" applyProtection="1">
      <alignment horizontal="left" vertical="center"/>
      <protection locked="0"/>
    </xf>
    <xf numFmtId="0" fontId="83" fillId="0" borderId="23" xfId="0" applyFont="1" applyFill="1" applyBorder="1" applyAlignment="1" applyProtection="1">
      <alignment horizontal="left" vertical="top"/>
      <protection locked="0"/>
    </xf>
    <xf numFmtId="177" fontId="33" fillId="0" borderId="23" xfId="0" applyNumberFormat="1" applyFont="1" applyFill="1" applyBorder="1" applyAlignment="1" applyProtection="1">
      <alignment horizontal="center" vertical="top"/>
      <protection locked="0"/>
    </xf>
    <xf numFmtId="1" fontId="33" fillId="0" borderId="23" xfId="0" applyNumberFormat="1" applyFont="1" applyFill="1" applyBorder="1" applyAlignment="1" applyProtection="1">
      <alignment horizontal="center" vertical="top"/>
      <protection locked="0"/>
    </xf>
    <xf numFmtId="14" fontId="33" fillId="0" borderId="23" xfId="0" applyNumberFormat="1" applyFont="1" applyFill="1" applyBorder="1" applyAlignment="1" applyProtection="1">
      <alignment vertical="top"/>
      <protection locked="0"/>
    </xf>
    <xf numFmtId="0" fontId="33" fillId="0" borderId="23" xfId="0" applyFont="1" applyFill="1" applyBorder="1" applyAlignment="1" applyProtection="1">
      <alignment horizontal="center" vertical="top"/>
      <protection locked="0"/>
    </xf>
    <xf numFmtId="14" fontId="33" fillId="0" borderId="23" xfId="0" applyNumberFormat="1" applyFont="1" applyFill="1" applyBorder="1" applyAlignment="1" applyProtection="1">
      <alignment horizontal="left" vertical="top"/>
      <protection locked="0"/>
    </xf>
    <xf numFmtId="0" fontId="33" fillId="20" borderId="23" xfId="0" applyFont="1" applyFill="1" applyBorder="1" applyAlignment="1" applyProtection="1">
      <alignment horizontal="left" vertical="top"/>
      <protection locked="0"/>
    </xf>
    <xf numFmtId="0" fontId="33" fillId="0" borderId="23" xfId="0" quotePrefix="1" applyFont="1" applyFill="1" applyBorder="1" applyAlignment="1" applyProtection="1">
      <alignment horizontal="left" vertical="top"/>
      <protection locked="0"/>
    </xf>
    <xf numFmtId="0" fontId="84" fillId="0" borderId="23" xfId="0" quotePrefix="1" applyFont="1" applyFill="1" applyBorder="1" applyAlignment="1" applyProtection="1">
      <alignment horizontal="left" vertical="top"/>
      <protection locked="0"/>
    </xf>
    <xf numFmtId="0" fontId="113" fillId="0" borderId="23" xfId="0" applyFont="1" applyFill="1" applyBorder="1" applyAlignment="1">
      <alignment horizontal="left" vertical="center"/>
    </xf>
    <xf numFmtId="0" fontId="48" fillId="16" borderId="0" xfId="1" applyNumberFormat="1" applyFont="1" applyFill="1" applyBorder="1" applyAlignment="1">
      <alignment vertical="top"/>
    </xf>
    <xf numFmtId="0" fontId="48" fillId="16" borderId="0" xfId="1" applyFont="1" applyFill="1" applyBorder="1" applyAlignment="1">
      <alignment vertical="top"/>
    </xf>
    <xf numFmtId="0" fontId="50" fillId="16" borderId="0" xfId="1" applyNumberFormat="1" applyFont="1" applyFill="1" applyBorder="1" applyAlignment="1"/>
    <xf numFmtId="14" fontId="33" fillId="0" borderId="23" xfId="0" applyNumberFormat="1" applyFont="1" applyBorder="1" applyAlignment="1" applyProtection="1">
      <alignment horizontal="left" vertical="top"/>
      <protection locked="0"/>
    </xf>
    <xf numFmtId="14" fontId="33" fillId="0" borderId="23" xfId="0" applyNumberFormat="1" applyFont="1" applyBorder="1" applyAlignment="1" applyProtection="1">
      <alignment vertical="top"/>
      <protection locked="0"/>
    </xf>
    <xf numFmtId="177" fontId="33" fillId="0" borderId="23" xfId="0" applyNumberFormat="1" applyFont="1" applyBorder="1" applyAlignment="1" applyProtection="1">
      <alignment horizontal="center" vertical="top"/>
      <protection locked="0"/>
    </xf>
    <xf numFmtId="1" fontId="33" fillId="0" borderId="23" xfId="0" applyNumberFormat="1" applyFont="1" applyBorder="1" applyAlignment="1" applyProtection="1">
      <alignment horizontal="center" vertical="top"/>
      <protection locked="0"/>
    </xf>
    <xf numFmtId="0" fontId="48" fillId="16" borderId="0" xfId="1" applyFont="1" applyFill="1" applyBorder="1" applyAlignment="1">
      <alignment vertical="top" wrapText="1"/>
    </xf>
    <xf numFmtId="0" fontId="45" fillId="16" borderId="0" xfId="1" applyFont="1" applyFill="1" applyBorder="1" applyAlignment="1">
      <alignment horizontal="right" vertical="top"/>
    </xf>
    <xf numFmtId="0" fontId="45" fillId="16" borderId="0" xfId="1" applyFont="1" applyFill="1" applyBorder="1" applyAlignment="1">
      <alignment horizontal="right" vertical="center"/>
    </xf>
    <xf numFmtId="0" fontId="49" fillId="16" borderId="0" xfId="1" applyNumberFormat="1" applyFont="1" applyFill="1" applyBorder="1" applyAlignment="1">
      <alignment horizontal="right"/>
    </xf>
    <xf numFmtId="178" fontId="49" fillId="16" borderId="0" xfId="1" applyNumberFormat="1" applyFont="1" applyFill="1" applyBorder="1" applyAlignment="1">
      <alignment horizontal="right"/>
    </xf>
    <xf numFmtId="0" fontId="50" fillId="16" borderId="0" xfId="1" applyNumberFormat="1" applyFont="1" applyFill="1" applyBorder="1" applyAlignment="1">
      <alignment horizontal="right"/>
    </xf>
    <xf numFmtId="0" fontId="33" fillId="0" borderId="0" xfId="0" applyFont="1" applyAlignment="1">
      <alignment horizontal="left" vertical="center"/>
    </xf>
    <xf numFmtId="0" fontId="33" fillId="0" borderId="4" xfId="0" applyFont="1" applyBorder="1" applyAlignment="1" applyProtection="1">
      <alignment horizontal="left" vertical="center"/>
      <protection locked="0"/>
    </xf>
    <xf numFmtId="0" fontId="44" fillId="16" borderId="0" xfId="0" applyFont="1" applyFill="1" applyAlignment="1">
      <alignment horizontal="left" vertical="top"/>
    </xf>
    <xf numFmtId="0" fontId="44" fillId="16" borderId="0" xfId="0" applyFont="1" applyFill="1" applyAlignment="1">
      <alignment horizontal="left" vertical="center"/>
    </xf>
    <xf numFmtId="0" fontId="45" fillId="16" borderId="0" xfId="0" applyFont="1" applyFill="1" applyAlignment="1">
      <alignment horizontal="left" vertical="top"/>
    </xf>
    <xf numFmtId="0" fontId="46" fillId="16" borderId="0" xfId="0" applyFont="1" applyFill="1" applyAlignment="1">
      <alignment vertical="center"/>
    </xf>
    <xf numFmtId="14" fontId="47" fillId="16" borderId="0" xfId="0" applyNumberFormat="1" applyFont="1" applyFill="1" applyAlignment="1">
      <alignment horizontal="left" vertical="top" wrapText="1"/>
    </xf>
    <xf numFmtId="178" fontId="48" fillId="16" borderId="0" xfId="0" applyNumberFormat="1" applyFont="1" applyFill="1" applyAlignment="1">
      <alignment horizontal="center" vertical="top"/>
    </xf>
    <xf numFmtId="178" fontId="44" fillId="16" borderId="0" xfId="0" applyNumberFormat="1" applyFont="1" applyFill="1" applyAlignment="1">
      <alignment horizontal="center" vertical="top"/>
    </xf>
    <xf numFmtId="178" fontId="46" fillId="16" borderId="0" xfId="0" applyNumberFormat="1" applyFont="1" applyFill="1" applyAlignment="1">
      <alignment horizontal="center" vertical="top"/>
    </xf>
    <xf numFmtId="1" fontId="46" fillId="16" borderId="0" xfId="0" applyNumberFormat="1" applyFont="1" applyFill="1" applyAlignment="1">
      <alignment horizontal="center" vertical="top"/>
    </xf>
    <xf numFmtId="0" fontId="33" fillId="16" borderId="0" xfId="0" applyFont="1" applyFill="1" applyAlignment="1">
      <alignment horizontal="left" vertical="center"/>
    </xf>
    <xf numFmtId="0" fontId="44" fillId="16" borderId="0" xfId="0" applyFont="1" applyFill="1" applyAlignment="1">
      <alignment horizontal="left"/>
    </xf>
    <xf numFmtId="0" fontId="45" fillId="16" borderId="0" xfId="0" applyFont="1" applyFill="1" applyAlignment="1">
      <alignment horizontal="left"/>
    </xf>
    <xf numFmtId="10" fontId="49" fillId="16" borderId="0" xfId="0" applyNumberFormat="1" applyFont="1" applyFill="1" applyAlignment="1">
      <alignment horizontal="right"/>
    </xf>
    <xf numFmtId="0" fontId="33" fillId="0" borderId="23" xfId="0" applyFont="1" applyBorder="1" applyAlignment="1" applyProtection="1">
      <alignment vertical="top"/>
      <protection locked="0"/>
    </xf>
    <xf numFmtId="0" fontId="17" fillId="16" borderId="0" xfId="1" applyFill="1" applyAlignment="1">
      <alignment horizontal="left" vertical="center"/>
    </xf>
    <xf numFmtId="0" fontId="46" fillId="16" borderId="0" xfId="0" applyFont="1" applyFill="1" applyAlignment="1">
      <alignment horizontal="left" vertical="center"/>
    </xf>
    <xf numFmtId="0" fontId="33" fillId="0" borderId="23" xfId="0" quotePrefix="1" applyFont="1" applyBorder="1" applyAlignment="1" applyProtection="1">
      <alignment horizontal="left" vertical="top"/>
      <protection locked="0"/>
    </xf>
    <xf numFmtId="0" fontId="55" fillId="16" borderId="0" xfId="1" applyFont="1" applyFill="1" applyAlignment="1">
      <alignment horizontal="left" vertical="center"/>
    </xf>
    <xf numFmtId="0" fontId="33" fillId="0" borderId="25" xfId="0" applyFont="1" applyBorder="1" applyAlignment="1" applyProtection="1">
      <alignment horizontal="left" vertical="center"/>
      <protection locked="0"/>
    </xf>
    <xf numFmtId="14" fontId="58" fillId="18" borderId="26" xfId="0" applyNumberFormat="1" applyFont="1" applyFill="1" applyBorder="1" applyAlignment="1">
      <alignment horizontal="center" vertical="center"/>
    </xf>
    <xf numFmtId="14" fontId="58" fillId="18" borderId="27" xfId="0" applyNumberFormat="1" applyFont="1" applyFill="1" applyBorder="1" applyAlignment="1">
      <alignment horizontal="center" vertical="center"/>
    </xf>
    <xf numFmtId="0" fontId="33" fillId="0" borderId="29" xfId="0" applyFont="1" applyBorder="1" applyAlignment="1" applyProtection="1">
      <alignment horizontal="left" vertical="center"/>
      <protection locked="0"/>
    </xf>
    <xf numFmtId="0" fontId="33" fillId="0" borderId="30" xfId="0" applyFont="1" applyBorder="1" applyAlignment="1" applyProtection="1">
      <alignment horizontal="left" vertical="center"/>
      <protection locked="0"/>
    </xf>
    <xf numFmtId="0" fontId="72" fillId="0" borderId="0" xfId="0" applyFont="1" applyAlignment="1">
      <alignment horizontal="left" vertical="center"/>
    </xf>
    <xf numFmtId="0" fontId="58" fillId="18" borderId="28" xfId="0" applyFont="1" applyFill="1" applyBorder="1" applyAlignment="1">
      <alignment horizontal="left" vertical="center"/>
    </xf>
    <xf numFmtId="180" fontId="46" fillId="16" borderId="0" xfId="0" applyNumberFormat="1" applyFont="1" applyFill="1" applyAlignment="1">
      <alignment vertical="center"/>
    </xf>
    <xf numFmtId="180" fontId="46" fillId="16" borderId="0" xfId="0" applyNumberFormat="1" applyFont="1" applyFill="1" applyAlignment="1">
      <alignment vertical="top"/>
    </xf>
    <xf numFmtId="180" fontId="49" fillId="16" borderId="0" xfId="1" applyNumberFormat="1" applyFont="1" applyFill="1" applyBorder="1" applyAlignment="1">
      <alignment horizontal="right"/>
    </xf>
    <xf numFmtId="180" fontId="46" fillId="16" borderId="0" xfId="0" applyNumberFormat="1" applyFont="1" applyFill="1" applyAlignment="1">
      <alignment horizontal="center" vertical="top"/>
    </xf>
    <xf numFmtId="10" fontId="33" fillId="16" borderId="23" xfId="2" applyNumberFormat="1" applyFont="1" applyFill="1" applyBorder="1" applyAlignment="1" applyProtection="1">
      <alignment horizontal="right" vertical="top"/>
      <protection locked="0"/>
    </xf>
    <xf numFmtId="0" fontId="33" fillId="20" borderId="23" xfId="0" applyFont="1" applyFill="1" applyBorder="1" applyAlignment="1" applyProtection="1">
      <alignment vertical="top"/>
      <protection locked="0"/>
    </xf>
    <xf numFmtId="180" fontId="33" fillId="20" borderId="23" xfId="0" applyNumberFormat="1" applyFont="1" applyFill="1" applyBorder="1" applyAlignment="1" applyProtection="1">
      <alignment horizontal="center" vertical="top"/>
      <protection locked="0"/>
    </xf>
    <xf numFmtId="14" fontId="33" fillId="20" borderId="23" xfId="0" applyNumberFormat="1" applyFont="1" applyFill="1" applyBorder="1" applyAlignment="1" applyProtection="1">
      <alignment horizontal="left" vertical="top"/>
      <protection locked="0"/>
    </xf>
    <xf numFmtId="0" fontId="33" fillId="20" borderId="4" xfId="0" applyFont="1" applyFill="1" applyBorder="1" applyAlignment="1" applyProtection="1">
      <alignment horizontal="left" vertical="center"/>
      <protection locked="0"/>
    </xf>
    <xf numFmtId="0" fontId="113" fillId="0" borderId="23" xfId="0" applyFont="1" applyBorder="1" applyAlignment="1">
      <alignment horizontal="left" vertical="center"/>
    </xf>
    <xf numFmtId="0" fontId="33" fillId="7" borderId="23" xfId="0" quotePrefix="1" applyFont="1" applyFill="1" applyBorder="1" applyAlignment="1" applyProtection="1">
      <alignment horizontal="left" vertical="top"/>
      <protection locked="0"/>
    </xf>
    <xf numFmtId="0" fontId="33" fillId="7" borderId="23" xfId="0" applyFont="1" applyFill="1" applyBorder="1" applyAlignment="1" applyProtection="1">
      <alignment horizontal="left" vertical="top"/>
      <protection locked="0"/>
    </xf>
    <xf numFmtId="0" fontId="33" fillId="7" borderId="23" xfId="0" applyFont="1" applyFill="1" applyBorder="1" applyAlignment="1" applyProtection="1">
      <alignment horizontal="left" vertical="top" wrapText="1"/>
      <protection locked="0"/>
    </xf>
    <xf numFmtId="0" fontId="33" fillId="2" borderId="23" xfId="0" quotePrefix="1" applyFont="1" applyFill="1" applyBorder="1" applyAlignment="1" applyProtection="1">
      <alignment horizontal="left" vertical="top"/>
      <protection locked="0"/>
    </xf>
    <xf numFmtId="0" fontId="33" fillId="2" borderId="23" xfId="0" applyFont="1" applyFill="1" applyBorder="1" applyAlignment="1" applyProtection="1">
      <alignment horizontal="left" vertical="top"/>
      <protection locked="0"/>
    </xf>
    <xf numFmtId="14" fontId="33" fillId="7" borderId="23" xfId="0" applyNumberFormat="1" applyFont="1" applyFill="1" applyBorder="1" applyAlignment="1" applyProtection="1">
      <alignment horizontal="left" vertical="top"/>
      <protection locked="0"/>
    </xf>
    <xf numFmtId="14" fontId="33" fillId="7" borderId="23" xfId="0" applyNumberFormat="1" applyFont="1" applyFill="1" applyBorder="1" applyAlignment="1" applyProtection="1">
      <alignment vertical="top"/>
      <protection locked="0"/>
    </xf>
    <xf numFmtId="14" fontId="120" fillId="7" borderId="23" xfId="0" applyNumberFormat="1" applyFont="1" applyFill="1" applyBorder="1" applyAlignment="1" applyProtection="1">
      <alignment vertical="top"/>
      <protection locked="0"/>
    </xf>
    <xf numFmtId="14" fontId="33" fillId="2" borderId="23" xfId="0" applyNumberFormat="1" applyFont="1" applyFill="1" applyBorder="1" applyAlignment="1" applyProtection="1">
      <alignment vertical="top"/>
      <protection locked="0"/>
    </xf>
    <xf numFmtId="180" fontId="33" fillId="2" borderId="23" xfId="0" applyNumberFormat="1" applyFont="1" applyFill="1" applyBorder="1" applyAlignment="1" applyProtection="1">
      <alignment horizontal="center" vertical="top"/>
      <protection locked="0"/>
    </xf>
    <xf numFmtId="178" fontId="33" fillId="2" borderId="23" xfId="0" applyNumberFormat="1" applyFont="1" applyFill="1" applyBorder="1" applyAlignment="1" applyProtection="1">
      <alignment horizontal="center" vertical="top"/>
      <protection locked="0"/>
    </xf>
    <xf numFmtId="14" fontId="33" fillId="2" borderId="23" xfId="0" applyNumberFormat="1" applyFont="1" applyFill="1" applyBorder="1" applyAlignment="1" applyProtection="1">
      <alignment horizontal="left" vertical="top"/>
      <protection locked="0"/>
    </xf>
    <xf numFmtId="0" fontId="33" fillId="53" borderId="23" xfId="0" applyFont="1" applyFill="1" applyBorder="1" applyAlignment="1" applyProtection="1">
      <alignment vertical="top"/>
      <protection locked="0"/>
    </xf>
    <xf numFmtId="0" fontId="33" fillId="53" borderId="4" xfId="0" applyFont="1" applyFill="1" applyBorder="1" applyAlignment="1" applyProtection="1">
      <alignment horizontal="left" vertical="center"/>
      <protection locked="0"/>
    </xf>
    <xf numFmtId="177" fontId="33" fillId="2" borderId="23" xfId="0" applyNumberFormat="1" applyFont="1" applyFill="1" applyBorder="1" applyAlignment="1" applyProtection="1">
      <alignment horizontal="center" vertical="top"/>
      <protection locked="0"/>
    </xf>
    <xf numFmtId="1" fontId="33" fillId="2" borderId="23" xfId="0" applyNumberFormat="1" applyFont="1" applyFill="1" applyBorder="1" applyAlignment="1" applyProtection="1">
      <alignment horizontal="center" vertical="top"/>
      <protection locked="0"/>
    </xf>
    <xf numFmtId="10" fontId="33" fillId="2" borderId="23" xfId="2" applyNumberFormat="1" applyFont="1" applyFill="1" applyBorder="1" applyAlignment="1" applyProtection="1">
      <alignment horizontal="right" vertical="top" wrapText="1"/>
      <protection locked="0"/>
    </xf>
    <xf numFmtId="0" fontId="33" fillId="2" borderId="23" xfId="0" applyFont="1" applyFill="1" applyBorder="1" applyAlignment="1" applyProtection="1">
      <alignment horizontal="left" vertical="center"/>
      <protection locked="0"/>
    </xf>
    <xf numFmtId="10" fontId="54" fillId="16" borderId="23" xfId="2" applyNumberFormat="1" applyFont="1" applyFill="1" applyBorder="1" applyAlignment="1" applyProtection="1">
      <alignment horizontal="right" vertical="top" wrapText="1"/>
      <protection locked="0"/>
    </xf>
    <xf numFmtId="0" fontId="58" fillId="18" borderId="27" xfId="0" applyFont="1" applyFill="1" applyBorder="1" applyAlignment="1">
      <alignment horizontal="left" vertical="center"/>
    </xf>
    <xf numFmtId="10" fontId="33" fillId="16" borderId="23" xfId="2" applyNumberFormat="1" applyFont="1" applyFill="1" applyBorder="1" applyAlignment="1" applyProtection="1">
      <alignment horizontal="right" vertical="top" wrapText="1"/>
      <protection locked="0"/>
    </xf>
    <xf numFmtId="180" fontId="33" fillId="13" borderId="23" xfId="0" applyNumberFormat="1" applyFont="1" applyFill="1" applyBorder="1" applyAlignment="1" applyProtection="1">
      <alignment horizontal="center" vertical="top"/>
      <protection locked="0"/>
    </xf>
    <xf numFmtId="0" fontId="33" fillId="13" borderId="23" xfId="0" applyFont="1" applyFill="1" applyBorder="1" applyAlignment="1" applyProtection="1">
      <alignment horizontal="left" vertical="top"/>
      <protection locked="0"/>
    </xf>
    <xf numFmtId="180" fontId="76" fillId="0" borderId="23" xfId="0" applyNumberFormat="1" applyFont="1" applyFill="1" applyBorder="1" applyAlignment="1">
      <alignment horizontal="center" vertical="center"/>
    </xf>
    <xf numFmtId="10" fontId="113" fillId="0" borderId="7" xfId="0" applyNumberFormat="1" applyFont="1" applyBorder="1" applyAlignment="1">
      <alignment horizontal="center" vertical="center"/>
    </xf>
    <xf numFmtId="10" fontId="54" fillId="54" borderId="23" xfId="2" applyNumberFormat="1" applyFont="1" applyFill="1" applyBorder="1" applyAlignment="1" applyProtection="1">
      <alignment horizontal="right" vertical="top"/>
      <protection locked="0"/>
    </xf>
    <xf numFmtId="0" fontId="56" fillId="16" borderId="0" xfId="0" applyFont="1" applyFill="1" applyAlignment="1">
      <alignment horizontal="left" vertical="center"/>
    </xf>
    <xf numFmtId="10" fontId="54" fillId="55" borderId="23" xfId="2" applyNumberFormat="1" applyFont="1" applyFill="1" applyBorder="1" applyAlignment="1" applyProtection="1">
      <alignment horizontal="right" vertical="top"/>
      <protection locked="0"/>
    </xf>
    <xf numFmtId="0" fontId="76" fillId="0" borderId="33" xfId="3" applyFont="1" applyBorder="1" applyAlignment="1">
      <alignment horizontal="center" vertical="center"/>
    </xf>
    <xf numFmtId="0" fontId="76" fillId="0" borderId="34" xfId="3" applyFont="1" applyBorder="1" applyAlignment="1">
      <alignment horizontal="center" vertical="center"/>
    </xf>
    <xf numFmtId="14" fontId="76" fillId="0" borderId="36" xfId="3" applyNumberFormat="1" applyFont="1" applyBorder="1" applyAlignment="1">
      <alignment horizontal="center" vertical="center"/>
    </xf>
    <xf numFmtId="14" fontId="76" fillId="0" borderId="37" xfId="3" applyNumberFormat="1" applyFont="1" applyBorder="1" applyAlignment="1">
      <alignment horizontal="center" vertical="center"/>
    </xf>
    <xf numFmtId="0" fontId="76" fillId="0" borderId="39" xfId="3" applyFont="1" applyBorder="1" applyAlignment="1">
      <alignment horizontal="center" vertical="center"/>
    </xf>
    <xf numFmtId="0" fontId="76" fillId="0" borderId="40" xfId="3" applyFont="1" applyBorder="1" applyAlignment="1">
      <alignment horizontal="center" vertical="center"/>
    </xf>
    <xf numFmtId="0" fontId="81" fillId="0" borderId="0" xfId="4" applyFont="1" applyAlignment="1">
      <alignment horizontal="center" vertical="center"/>
    </xf>
    <xf numFmtId="0" fontId="78" fillId="0" borderId="16" xfId="4" applyFont="1" applyBorder="1" applyAlignment="1">
      <alignment horizontal="center" vertical="center" wrapText="1"/>
    </xf>
    <xf numFmtId="0" fontId="78" fillId="0" borderId="52" xfId="4" applyFont="1" applyBorder="1" applyAlignment="1">
      <alignment horizontal="center" vertical="center" wrapText="1"/>
    </xf>
    <xf numFmtId="14" fontId="78" fillId="0" borderId="16" xfId="720" applyNumberFormat="1" applyFont="1" applyBorder="1" applyAlignment="1">
      <alignment horizontal="center" vertical="center" wrapText="1"/>
    </xf>
    <xf numFmtId="14" fontId="78" fillId="0" borderId="52" xfId="720" applyNumberFormat="1" applyFont="1" applyBorder="1" applyAlignment="1">
      <alignment horizontal="center" vertical="center" wrapText="1"/>
    </xf>
    <xf numFmtId="0" fontId="78" fillId="0" borderId="16" xfId="720" applyFont="1" applyBorder="1" applyAlignment="1">
      <alignment horizontal="center" vertical="center" wrapText="1"/>
    </xf>
    <xf numFmtId="0" fontId="78" fillId="0" borderId="52" xfId="720" applyFont="1" applyBorder="1" applyAlignment="1">
      <alignment horizontal="center" vertical="center" wrapText="1"/>
    </xf>
    <xf numFmtId="0" fontId="56" fillId="16" borderId="0" xfId="0" applyFont="1" applyFill="1" applyAlignment="1">
      <alignment horizontal="left" vertical="center"/>
    </xf>
    <xf numFmtId="0" fontId="57" fillId="18" borderId="27" xfId="0" applyFont="1" applyFill="1" applyBorder="1" applyAlignment="1">
      <alignment horizontal="left" vertical="center" wrapText="1"/>
    </xf>
    <xf numFmtId="0" fontId="57" fillId="18" borderId="27" xfId="0" applyFont="1" applyFill="1" applyBorder="1" applyAlignment="1">
      <alignment horizontal="left" vertical="center"/>
    </xf>
    <xf numFmtId="0" fontId="57" fillId="18" borderId="26" xfId="0" applyFont="1" applyFill="1" applyBorder="1" applyAlignment="1">
      <alignment horizontal="left" vertical="center" wrapText="1"/>
    </xf>
    <xf numFmtId="0" fontId="49" fillId="16" borderId="0" xfId="0" applyFont="1" applyFill="1" applyAlignment="1">
      <alignment horizontal="center" wrapText="1"/>
    </xf>
    <xf numFmtId="176" fontId="32" fillId="8" borderId="2" xfId="0" applyNumberFormat="1" applyFont="1" applyFill="1" applyBorder="1" applyAlignment="1">
      <alignment horizontal="center" vertical="center"/>
    </xf>
    <xf numFmtId="176" fontId="32" fillId="17" borderId="2" xfId="0" applyNumberFormat="1" applyFont="1" applyFill="1" applyBorder="1" applyAlignment="1">
      <alignment horizontal="center" vertical="center"/>
    </xf>
    <xf numFmtId="180" fontId="32" fillId="8" borderId="2" xfId="0" applyNumberFormat="1" applyFont="1" applyFill="1" applyBorder="1" applyAlignment="1">
      <alignment horizontal="center" vertical="center"/>
    </xf>
    <xf numFmtId="180" fontId="32" fillId="17" borderId="2" xfId="0" applyNumberFormat="1" applyFont="1" applyFill="1" applyBorder="1" applyAlignment="1">
      <alignment horizontal="center" vertical="center"/>
    </xf>
    <xf numFmtId="0" fontId="32" fillId="8" borderId="2" xfId="0" applyFont="1" applyFill="1" applyBorder="1" applyAlignment="1">
      <alignment horizontal="center" vertical="center"/>
    </xf>
    <xf numFmtId="0" fontId="32" fillId="17" borderId="2" xfId="0" applyFont="1" applyFill="1" applyBorder="1" applyAlignment="1">
      <alignment horizontal="center" vertical="center"/>
    </xf>
    <xf numFmtId="178" fontId="32" fillId="18" borderId="2" xfId="0" applyNumberFormat="1" applyFont="1" applyFill="1" applyBorder="1" applyAlignment="1">
      <alignment horizontal="center" vertical="center" wrapText="1"/>
    </xf>
    <xf numFmtId="178" fontId="32" fillId="10" borderId="2" xfId="0" applyNumberFormat="1" applyFont="1" applyFill="1" applyBorder="1" applyAlignment="1">
      <alignment horizontal="center" vertical="center" wrapText="1"/>
    </xf>
    <xf numFmtId="177" fontId="32" fillId="18" borderId="2" xfId="0" applyNumberFormat="1" applyFont="1" applyFill="1" applyBorder="1" applyAlignment="1">
      <alignment horizontal="center" vertical="center" wrapText="1"/>
    </xf>
    <xf numFmtId="177" fontId="32" fillId="17" borderId="2" xfId="0" applyNumberFormat="1" applyFont="1" applyFill="1" applyBorder="1" applyAlignment="1">
      <alignment horizontal="center" vertical="center" wrapText="1"/>
    </xf>
    <xf numFmtId="1" fontId="32" fillId="18" borderId="2" xfId="0" applyNumberFormat="1" applyFont="1" applyFill="1" applyBorder="1" applyAlignment="1">
      <alignment horizontal="center" vertical="center" wrapText="1"/>
    </xf>
    <xf numFmtId="1" fontId="32" fillId="17" borderId="2" xfId="0" applyNumberFormat="1" applyFont="1" applyFill="1" applyBorder="1" applyAlignment="1">
      <alignment horizontal="center" vertical="center" wrapText="1"/>
    </xf>
    <xf numFmtId="178" fontId="32" fillId="18" borderId="2" xfId="0" applyNumberFormat="1" applyFont="1" applyFill="1" applyBorder="1" applyAlignment="1">
      <alignment horizontal="center" vertical="top" wrapText="1"/>
    </xf>
    <xf numFmtId="178" fontId="32" fillId="10" borderId="2" xfId="0" applyNumberFormat="1" applyFont="1" applyFill="1" applyBorder="1" applyAlignment="1">
      <alignment horizontal="center" vertical="top" wrapText="1"/>
    </xf>
    <xf numFmtId="180" fontId="32" fillId="8" borderId="2" xfId="0" applyNumberFormat="1" applyFont="1" applyFill="1" applyBorder="1" applyAlignment="1">
      <alignment horizontal="center" vertical="center" wrapText="1"/>
    </xf>
    <xf numFmtId="10" fontId="32" fillId="8" borderId="3" xfId="0" applyNumberFormat="1" applyFont="1" applyFill="1" applyBorder="1" applyAlignment="1">
      <alignment horizontal="center" vertical="center" wrapText="1"/>
    </xf>
    <xf numFmtId="10" fontId="32" fillId="17" borderId="3" xfId="0" applyNumberFormat="1" applyFont="1" applyFill="1" applyBorder="1" applyAlignment="1">
      <alignment horizontal="center" vertical="center" wrapText="1"/>
    </xf>
    <xf numFmtId="14" fontId="32" fillId="8" borderId="2" xfId="0" applyNumberFormat="1" applyFont="1" applyFill="1" applyBorder="1" applyAlignment="1">
      <alignment horizontal="center" vertical="center"/>
    </xf>
    <xf numFmtId="14" fontId="32" fillId="17" borderId="2" xfId="0" applyNumberFormat="1" applyFont="1" applyFill="1" applyBorder="1" applyAlignment="1">
      <alignment horizontal="center" vertical="center"/>
    </xf>
    <xf numFmtId="10" fontId="32" fillId="18" borderId="2" xfId="0" applyNumberFormat="1" applyFont="1" applyFill="1" applyBorder="1" applyAlignment="1">
      <alignment horizontal="center" vertical="center" wrapText="1"/>
    </xf>
    <xf numFmtId="10" fontId="32" fillId="10" borderId="2" xfId="0" applyNumberFormat="1" applyFont="1" applyFill="1" applyBorder="1" applyAlignment="1">
      <alignment horizontal="center" vertical="center" wrapText="1"/>
    </xf>
    <xf numFmtId="0" fontId="32" fillId="15" borderId="1" xfId="0" applyFont="1" applyFill="1" applyBorder="1" applyAlignment="1">
      <alignment horizontal="center" vertical="center" wrapText="1"/>
    </xf>
    <xf numFmtId="0" fontId="32" fillId="15" borderId="0" xfId="0" applyFont="1" applyFill="1" applyAlignment="1">
      <alignment horizontal="center" vertical="center" wrapText="1"/>
    </xf>
    <xf numFmtId="0" fontId="32" fillId="15" borderId="2" xfId="0" applyFont="1" applyFill="1" applyBorder="1" applyAlignment="1">
      <alignment horizontal="center" vertical="center"/>
    </xf>
    <xf numFmtId="0" fontId="32" fillId="15" borderId="16" xfId="0" applyFont="1" applyFill="1" applyBorder="1" applyAlignment="1">
      <alignment horizontal="center" vertical="center"/>
    </xf>
    <xf numFmtId="0" fontId="32" fillId="15" borderId="2" xfId="0" applyFont="1" applyFill="1" applyBorder="1" applyAlignment="1">
      <alignment horizontal="center" vertical="center" wrapText="1"/>
    </xf>
    <xf numFmtId="0" fontId="32" fillId="18" borderId="2" xfId="0" applyFont="1" applyFill="1" applyBorder="1" applyAlignment="1">
      <alignment horizontal="center" vertical="center"/>
    </xf>
    <xf numFmtId="0" fontId="32" fillId="8" borderId="3" xfId="0" applyFont="1" applyFill="1" applyBorder="1" applyAlignment="1">
      <alignment horizontal="center" vertical="center"/>
    </xf>
    <xf numFmtId="0" fontId="32" fillId="17" borderId="0" xfId="0" applyFont="1" applyFill="1" applyAlignment="1">
      <alignment horizontal="center" vertical="center"/>
    </xf>
    <xf numFmtId="0" fontId="32" fillId="17" borderId="3" xfId="0" applyFont="1" applyFill="1" applyBorder="1" applyAlignment="1">
      <alignment horizontal="center" vertical="center"/>
    </xf>
    <xf numFmtId="0" fontId="57" fillId="18" borderId="28" xfId="0" applyFont="1" applyFill="1" applyBorder="1" applyAlignment="1">
      <alignment horizontal="left" vertical="center"/>
    </xf>
    <xf numFmtId="0" fontId="23" fillId="0" borderId="0" xfId="0" applyFont="1" applyAlignment="1" applyProtection="1">
      <alignment horizontal="left" vertical="center" wrapText="1"/>
      <protection locked="0"/>
    </xf>
    <xf numFmtId="0" fontId="23" fillId="0" borderId="0" xfId="0" applyFont="1" applyAlignment="1" applyProtection="1">
      <alignment horizontal="left" vertical="center"/>
      <protection locked="0"/>
    </xf>
    <xf numFmtId="0" fontId="20" fillId="0" borderId="0" xfId="0" applyFont="1" applyAlignment="1">
      <alignment horizontal="left" vertical="center"/>
    </xf>
    <xf numFmtId="0" fontId="19" fillId="0" borderId="0" xfId="0" applyFont="1" applyAlignment="1">
      <alignment horizontal="left" vertical="center"/>
    </xf>
    <xf numFmtId="14" fontId="24" fillId="2" borderId="0" xfId="0" applyNumberFormat="1" applyFont="1" applyFill="1" applyAlignment="1">
      <alignment horizontal="right" vertical="center"/>
    </xf>
    <xf numFmtId="0" fontId="35" fillId="0" borderId="0" xfId="0" applyFont="1" applyAlignment="1" applyProtection="1">
      <alignment horizontal="left" vertical="center" wrapText="1"/>
      <protection locked="0"/>
    </xf>
    <xf numFmtId="0" fontId="22" fillId="5" borderId="2" xfId="0" applyFont="1" applyFill="1" applyBorder="1" applyAlignment="1">
      <alignment horizontal="left" wrapText="1"/>
    </xf>
    <xf numFmtId="0" fontId="22" fillId="5" borderId="3" xfId="0" applyFont="1" applyFill="1" applyBorder="1" applyAlignment="1">
      <alignment horizontal="left" wrapText="1"/>
    </xf>
    <xf numFmtId="14" fontId="22" fillId="2" borderId="0" xfId="0" applyNumberFormat="1" applyFont="1" applyFill="1" applyAlignment="1">
      <alignment horizontal="left" vertical="top" wrapText="1"/>
    </xf>
    <xf numFmtId="14" fontId="27" fillId="6" borderId="14" xfId="0" applyNumberFormat="1" applyFont="1" applyFill="1" applyBorder="1" applyAlignment="1" applyProtection="1">
      <alignment horizontal="center" vertical="center"/>
      <protection locked="0"/>
    </xf>
    <xf numFmtId="0" fontId="22" fillId="0" borderId="18" xfId="0" applyFont="1" applyBorder="1" applyAlignment="1" applyProtection="1">
      <alignment horizontal="left" vertical="top" wrapText="1"/>
      <protection locked="0"/>
    </xf>
    <xf numFmtId="0" fontId="22" fillId="0" borderId="18" xfId="0" applyFont="1" applyBorder="1" applyAlignment="1" applyProtection="1">
      <alignment horizontal="left" vertical="center" wrapText="1"/>
      <protection locked="0"/>
    </xf>
    <xf numFmtId="0" fontId="52" fillId="19" borderId="22" xfId="1" applyFont="1" applyFill="1" applyBorder="1" applyAlignment="1">
      <alignment vertical="center"/>
    </xf>
    <xf numFmtId="0" fontId="0" fillId="19" borderId="22" xfId="0" applyFill="1" applyBorder="1" applyAlignment="1">
      <alignment vertical="center"/>
    </xf>
    <xf numFmtId="0" fontId="43" fillId="19" borderId="19" xfId="0" applyFont="1" applyFill="1" applyBorder="1" applyAlignment="1">
      <alignment horizontal="center" vertical="center"/>
    </xf>
    <xf numFmtId="0" fontId="43" fillId="19" borderId="20" xfId="0" applyFont="1" applyFill="1" applyBorder="1" applyAlignment="1">
      <alignment horizontal="center" vertical="center"/>
    </xf>
    <xf numFmtId="0" fontId="43" fillId="19" borderId="21" xfId="0" applyFont="1" applyFill="1" applyBorder="1" applyAlignment="1">
      <alignment horizontal="center" vertical="center"/>
    </xf>
    <xf numFmtId="0" fontId="43" fillId="19" borderId="22" xfId="0" applyFont="1" applyFill="1" applyBorder="1" applyAlignment="1">
      <alignment horizontal="center" vertical="center"/>
    </xf>
    <xf numFmtId="0" fontId="59" fillId="19" borderId="20" xfId="1" applyFont="1" applyFill="1" applyBorder="1" applyAlignment="1">
      <alignment horizontal="right"/>
    </xf>
    <xf numFmtId="0" fontId="0" fillId="19" borderId="20" xfId="0" applyFill="1" applyBorder="1" applyAlignment="1">
      <alignment horizontal="right"/>
    </xf>
    <xf numFmtId="0" fontId="66" fillId="0" borderId="0" xfId="0" applyFont="1" applyAlignment="1">
      <alignment horizontal="left" vertical="top" wrapText="1"/>
    </xf>
    <xf numFmtId="0" fontId="36" fillId="0" borderId="0" xfId="0" applyFont="1" applyAlignment="1">
      <alignment horizontal="left" vertical="top" wrapText="1"/>
    </xf>
    <xf numFmtId="0" fontId="42" fillId="14" borderId="0" xfId="0" applyFont="1" applyFill="1" applyAlignment="1">
      <alignment horizontal="left" vertical="top" wrapText="1"/>
    </xf>
  </cellXfs>
  <cellStyles count="33548">
    <cellStyle name="20% - 강조색1 2" xfId="40"/>
    <cellStyle name="20% - 강조색1 3" xfId="41"/>
    <cellStyle name="20% - 강조색2 2" xfId="42"/>
    <cellStyle name="20% - 강조색2 3" xfId="43"/>
    <cellStyle name="20% - 강조색3 2" xfId="44"/>
    <cellStyle name="20% - 강조색3 3" xfId="45"/>
    <cellStyle name="20% - 강조색4 2" xfId="46"/>
    <cellStyle name="20% - 강조색4 3" xfId="47"/>
    <cellStyle name="20% - 강조색5 2" xfId="48"/>
    <cellStyle name="20% - 강조색5 3" xfId="49"/>
    <cellStyle name="20% - 강조색6 2" xfId="50"/>
    <cellStyle name="20% - 강조색6 3" xfId="51"/>
    <cellStyle name="40% - 강조색1 2" xfId="52"/>
    <cellStyle name="40% - 강조색1 3" xfId="53"/>
    <cellStyle name="40% - 강조색2 2" xfId="54"/>
    <cellStyle name="40% - 강조색2 3" xfId="55"/>
    <cellStyle name="40% - 강조색3 2" xfId="56"/>
    <cellStyle name="40% - 강조색3 3" xfId="57"/>
    <cellStyle name="40% - 강조색4 2" xfId="58"/>
    <cellStyle name="40% - 강조색4 3" xfId="59"/>
    <cellStyle name="40% - 강조색5 2" xfId="60"/>
    <cellStyle name="40% - 강조색5 3" xfId="61"/>
    <cellStyle name="40% - 강조색6 2" xfId="62"/>
    <cellStyle name="40% - 강조색6 3" xfId="63"/>
    <cellStyle name="60% - 강조색1 2" xfId="64"/>
    <cellStyle name="60% - 강조색1 3" xfId="65"/>
    <cellStyle name="60% - 강조색2 2" xfId="66"/>
    <cellStyle name="60% - 강조색2 3" xfId="67"/>
    <cellStyle name="60% - 강조색3 2" xfId="68"/>
    <cellStyle name="60% - 강조색3 3" xfId="69"/>
    <cellStyle name="60% - 강조색4 2" xfId="70"/>
    <cellStyle name="60% - 강조색4 3" xfId="71"/>
    <cellStyle name="60% - 강조색5 2" xfId="72"/>
    <cellStyle name="60% - 강조색5 3" xfId="73"/>
    <cellStyle name="60% - 강조색6 2" xfId="74"/>
    <cellStyle name="60% - 강조색6 3" xfId="75"/>
    <cellStyle name="강조색1 2" xfId="76"/>
    <cellStyle name="강조색1 3" xfId="77"/>
    <cellStyle name="강조색2 2" xfId="78"/>
    <cellStyle name="강조색2 3" xfId="79"/>
    <cellStyle name="강조색3 2" xfId="80"/>
    <cellStyle name="강조색3 3" xfId="81"/>
    <cellStyle name="강조색4 2" xfId="82"/>
    <cellStyle name="강조색4 3" xfId="83"/>
    <cellStyle name="강조색5 2" xfId="84"/>
    <cellStyle name="강조색5 3" xfId="85"/>
    <cellStyle name="강조색6 2" xfId="86"/>
    <cellStyle name="강조색6 3" xfId="87"/>
    <cellStyle name="경고문 2" xfId="88"/>
    <cellStyle name="경고문 3" xfId="89"/>
    <cellStyle name="계산 2" xfId="90"/>
    <cellStyle name="계산 3" xfId="91"/>
    <cellStyle name="나쁨 2" xfId="92"/>
    <cellStyle name="나쁨 3" xfId="93"/>
    <cellStyle name="메모 2" xfId="94"/>
    <cellStyle name="메모 3" xfId="95"/>
    <cellStyle name="백분율" xfId="2" builtinId="5"/>
    <cellStyle name="백분율 2" xfId="16"/>
    <cellStyle name="백분율 2 2" xfId="97"/>
    <cellStyle name="백분율 2 3" xfId="158"/>
    <cellStyle name="백분율 2 4" xfId="96"/>
    <cellStyle name="백분율 2 5" xfId="20"/>
    <cellStyle name="백분율 3" xfId="21"/>
    <cellStyle name="백분율 3 2" xfId="159"/>
    <cellStyle name="백분율 3 3" xfId="163"/>
    <cellStyle name="백분율 3 3 10" xfId="5731"/>
    <cellStyle name="백분율 3 3 10 2" xfId="22435"/>
    <cellStyle name="백분율 3 3 11" xfId="11299"/>
    <cellStyle name="백분율 3 3 11 2" xfId="28003"/>
    <cellStyle name="백분율 3 3 12" xfId="16867"/>
    <cellStyle name="백분율 3 3 2" xfId="192"/>
    <cellStyle name="백분율 3 3 2 10" xfId="11328"/>
    <cellStyle name="백분율 3 3 2 10 2" xfId="28032"/>
    <cellStyle name="백분율 3 3 2 11" xfId="16896"/>
    <cellStyle name="백분율 3 3 2 2" xfId="250"/>
    <cellStyle name="백분율 3 3 2 2 10" xfId="16954"/>
    <cellStyle name="백분율 3 3 2 2 2" xfId="366"/>
    <cellStyle name="백분율 3 3 2 2 2 2" xfId="598"/>
    <cellStyle name="백분율 3 3 2 2 2 2 2" xfId="1294"/>
    <cellStyle name="백분율 3 3 2 2 2 2 2 2" xfId="2686"/>
    <cellStyle name="백분율 3 3 2 2 2 2 2 2 2" xfId="5470"/>
    <cellStyle name="백분율 3 3 2 2 2 2 2 2 2 2" xfId="11038"/>
    <cellStyle name="백분율 3 3 2 2 2 2 2 2 2 2 2" xfId="27742"/>
    <cellStyle name="백분율 3 3 2 2 2 2 2 2 2 3" xfId="16606"/>
    <cellStyle name="백분율 3 3 2 2 2 2 2 2 2 3 2" xfId="33310"/>
    <cellStyle name="백분율 3 3 2 2 2 2 2 2 2 4" xfId="22174"/>
    <cellStyle name="백분율 3 3 2 2 2 2 2 2 3" xfId="8254"/>
    <cellStyle name="백분율 3 3 2 2 2 2 2 2 3 2" xfId="24958"/>
    <cellStyle name="백분율 3 3 2 2 2 2 2 2 4" xfId="13822"/>
    <cellStyle name="백분율 3 3 2 2 2 2 2 2 4 2" xfId="30526"/>
    <cellStyle name="백분율 3 3 2 2 2 2 2 2 5" xfId="19390"/>
    <cellStyle name="백분율 3 3 2 2 2 2 2 3" xfId="4078"/>
    <cellStyle name="백분율 3 3 2 2 2 2 2 3 2" xfId="9646"/>
    <cellStyle name="백분율 3 3 2 2 2 2 2 3 2 2" xfId="26350"/>
    <cellStyle name="백분율 3 3 2 2 2 2 2 3 3" xfId="15214"/>
    <cellStyle name="백분율 3 3 2 2 2 2 2 3 3 2" xfId="31918"/>
    <cellStyle name="백분율 3 3 2 2 2 2 2 3 4" xfId="20782"/>
    <cellStyle name="백분율 3 3 2 2 2 2 2 4" xfId="6862"/>
    <cellStyle name="백분율 3 3 2 2 2 2 2 4 2" xfId="23566"/>
    <cellStyle name="백분율 3 3 2 2 2 2 2 5" xfId="12430"/>
    <cellStyle name="백분율 3 3 2 2 2 2 2 5 2" xfId="29134"/>
    <cellStyle name="백분율 3 3 2 2 2 2 2 6" xfId="17998"/>
    <cellStyle name="백분율 3 3 2 2 2 2 3" xfId="1990"/>
    <cellStyle name="백분율 3 3 2 2 2 2 3 2" xfId="4774"/>
    <cellStyle name="백분율 3 3 2 2 2 2 3 2 2" xfId="10342"/>
    <cellStyle name="백분율 3 3 2 2 2 2 3 2 2 2" xfId="27046"/>
    <cellStyle name="백분율 3 3 2 2 2 2 3 2 3" xfId="15910"/>
    <cellStyle name="백분율 3 3 2 2 2 2 3 2 3 2" xfId="32614"/>
    <cellStyle name="백분율 3 3 2 2 2 2 3 2 4" xfId="21478"/>
    <cellStyle name="백분율 3 3 2 2 2 2 3 3" xfId="7558"/>
    <cellStyle name="백분율 3 3 2 2 2 2 3 3 2" xfId="24262"/>
    <cellStyle name="백분율 3 3 2 2 2 2 3 4" xfId="13126"/>
    <cellStyle name="백분율 3 3 2 2 2 2 3 4 2" xfId="29830"/>
    <cellStyle name="백분율 3 3 2 2 2 2 3 5" xfId="18694"/>
    <cellStyle name="백분율 3 3 2 2 2 2 4" xfId="3382"/>
    <cellStyle name="백분율 3 3 2 2 2 2 4 2" xfId="8950"/>
    <cellStyle name="백분율 3 3 2 2 2 2 4 2 2" xfId="25654"/>
    <cellStyle name="백분율 3 3 2 2 2 2 4 3" xfId="14518"/>
    <cellStyle name="백분율 3 3 2 2 2 2 4 3 2" xfId="31222"/>
    <cellStyle name="백분율 3 3 2 2 2 2 4 4" xfId="20086"/>
    <cellStyle name="백분율 3 3 2 2 2 2 5" xfId="6166"/>
    <cellStyle name="백분율 3 3 2 2 2 2 5 2" xfId="22870"/>
    <cellStyle name="백분율 3 3 2 2 2 2 6" xfId="11734"/>
    <cellStyle name="백분율 3 3 2 2 2 2 6 2" xfId="28438"/>
    <cellStyle name="백분율 3 3 2 2 2 2 7" xfId="17302"/>
    <cellStyle name="백분율 3 3 2 2 2 3" xfId="830"/>
    <cellStyle name="백분율 3 3 2 2 2 3 2" xfId="1526"/>
    <cellStyle name="백분율 3 3 2 2 2 3 2 2" xfId="2918"/>
    <cellStyle name="백분율 3 3 2 2 2 3 2 2 2" xfId="5702"/>
    <cellStyle name="백분율 3 3 2 2 2 3 2 2 2 2" xfId="11270"/>
    <cellStyle name="백분율 3 3 2 2 2 3 2 2 2 2 2" xfId="27974"/>
    <cellStyle name="백분율 3 3 2 2 2 3 2 2 2 3" xfId="16838"/>
    <cellStyle name="백분율 3 3 2 2 2 3 2 2 2 3 2" xfId="33542"/>
    <cellStyle name="백분율 3 3 2 2 2 3 2 2 2 4" xfId="22406"/>
    <cellStyle name="백분율 3 3 2 2 2 3 2 2 3" xfId="8486"/>
    <cellStyle name="백분율 3 3 2 2 2 3 2 2 3 2" xfId="25190"/>
    <cellStyle name="백분율 3 3 2 2 2 3 2 2 4" xfId="14054"/>
    <cellStyle name="백분율 3 3 2 2 2 3 2 2 4 2" xfId="30758"/>
    <cellStyle name="백분율 3 3 2 2 2 3 2 2 5" xfId="19622"/>
    <cellStyle name="백분율 3 3 2 2 2 3 2 3" xfId="4310"/>
    <cellStyle name="백분율 3 3 2 2 2 3 2 3 2" xfId="9878"/>
    <cellStyle name="백분율 3 3 2 2 2 3 2 3 2 2" xfId="26582"/>
    <cellStyle name="백분율 3 3 2 2 2 3 2 3 3" xfId="15446"/>
    <cellStyle name="백분율 3 3 2 2 2 3 2 3 3 2" xfId="32150"/>
    <cellStyle name="백분율 3 3 2 2 2 3 2 3 4" xfId="21014"/>
    <cellStyle name="백분율 3 3 2 2 2 3 2 4" xfId="7094"/>
    <cellStyle name="백분율 3 3 2 2 2 3 2 4 2" xfId="23798"/>
    <cellStyle name="백분율 3 3 2 2 2 3 2 5" xfId="12662"/>
    <cellStyle name="백분율 3 3 2 2 2 3 2 5 2" xfId="29366"/>
    <cellStyle name="백분율 3 3 2 2 2 3 2 6" xfId="18230"/>
    <cellStyle name="백분율 3 3 2 2 2 3 3" xfId="2222"/>
    <cellStyle name="백분율 3 3 2 2 2 3 3 2" xfId="5006"/>
    <cellStyle name="백분율 3 3 2 2 2 3 3 2 2" xfId="10574"/>
    <cellStyle name="백분율 3 3 2 2 2 3 3 2 2 2" xfId="27278"/>
    <cellStyle name="백분율 3 3 2 2 2 3 3 2 3" xfId="16142"/>
    <cellStyle name="백분율 3 3 2 2 2 3 3 2 3 2" xfId="32846"/>
    <cellStyle name="백분율 3 3 2 2 2 3 3 2 4" xfId="21710"/>
    <cellStyle name="백분율 3 3 2 2 2 3 3 3" xfId="7790"/>
    <cellStyle name="백분율 3 3 2 2 2 3 3 3 2" xfId="24494"/>
    <cellStyle name="백분율 3 3 2 2 2 3 3 4" xfId="13358"/>
    <cellStyle name="백분율 3 3 2 2 2 3 3 4 2" xfId="30062"/>
    <cellStyle name="백분율 3 3 2 2 2 3 3 5" xfId="18926"/>
    <cellStyle name="백분율 3 3 2 2 2 3 4" xfId="3614"/>
    <cellStyle name="백분율 3 3 2 2 2 3 4 2" xfId="9182"/>
    <cellStyle name="백분율 3 3 2 2 2 3 4 2 2" xfId="25886"/>
    <cellStyle name="백분율 3 3 2 2 2 3 4 3" xfId="14750"/>
    <cellStyle name="백분율 3 3 2 2 2 3 4 3 2" xfId="31454"/>
    <cellStyle name="백분율 3 3 2 2 2 3 4 4" xfId="20318"/>
    <cellStyle name="백분율 3 3 2 2 2 3 5" xfId="6398"/>
    <cellStyle name="백분율 3 3 2 2 2 3 5 2" xfId="23102"/>
    <cellStyle name="백분율 3 3 2 2 2 3 6" xfId="11966"/>
    <cellStyle name="백분율 3 3 2 2 2 3 6 2" xfId="28670"/>
    <cellStyle name="백분율 3 3 2 2 2 3 7" xfId="17534"/>
    <cellStyle name="백분율 3 3 2 2 2 4" xfId="1062"/>
    <cellStyle name="백분율 3 3 2 2 2 4 2" xfId="2454"/>
    <cellStyle name="백분율 3 3 2 2 2 4 2 2" xfId="5238"/>
    <cellStyle name="백분율 3 3 2 2 2 4 2 2 2" xfId="10806"/>
    <cellStyle name="백분율 3 3 2 2 2 4 2 2 2 2" xfId="27510"/>
    <cellStyle name="백분율 3 3 2 2 2 4 2 2 3" xfId="16374"/>
    <cellStyle name="백분율 3 3 2 2 2 4 2 2 3 2" xfId="33078"/>
    <cellStyle name="백분율 3 3 2 2 2 4 2 2 4" xfId="21942"/>
    <cellStyle name="백분율 3 3 2 2 2 4 2 3" xfId="8022"/>
    <cellStyle name="백분율 3 3 2 2 2 4 2 3 2" xfId="24726"/>
    <cellStyle name="백분율 3 3 2 2 2 4 2 4" xfId="13590"/>
    <cellStyle name="백분율 3 3 2 2 2 4 2 4 2" xfId="30294"/>
    <cellStyle name="백분율 3 3 2 2 2 4 2 5" xfId="19158"/>
    <cellStyle name="백분율 3 3 2 2 2 4 3" xfId="3846"/>
    <cellStyle name="백분율 3 3 2 2 2 4 3 2" xfId="9414"/>
    <cellStyle name="백분율 3 3 2 2 2 4 3 2 2" xfId="26118"/>
    <cellStyle name="백분율 3 3 2 2 2 4 3 3" xfId="14982"/>
    <cellStyle name="백분율 3 3 2 2 2 4 3 3 2" xfId="31686"/>
    <cellStyle name="백분율 3 3 2 2 2 4 3 4" xfId="20550"/>
    <cellStyle name="백분율 3 3 2 2 2 4 4" xfId="6630"/>
    <cellStyle name="백분율 3 3 2 2 2 4 4 2" xfId="23334"/>
    <cellStyle name="백분율 3 3 2 2 2 4 5" xfId="12198"/>
    <cellStyle name="백분율 3 3 2 2 2 4 5 2" xfId="28902"/>
    <cellStyle name="백분율 3 3 2 2 2 4 6" xfId="17766"/>
    <cellStyle name="백분율 3 3 2 2 2 5" xfId="1758"/>
    <cellStyle name="백분율 3 3 2 2 2 5 2" xfId="4542"/>
    <cellStyle name="백분율 3 3 2 2 2 5 2 2" xfId="10110"/>
    <cellStyle name="백분율 3 3 2 2 2 5 2 2 2" xfId="26814"/>
    <cellStyle name="백분율 3 3 2 2 2 5 2 3" xfId="15678"/>
    <cellStyle name="백분율 3 3 2 2 2 5 2 3 2" xfId="32382"/>
    <cellStyle name="백분율 3 3 2 2 2 5 2 4" xfId="21246"/>
    <cellStyle name="백분율 3 3 2 2 2 5 3" xfId="7326"/>
    <cellStyle name="백분율 3 3 2 2 2 5 3 2" xfId="24030"/>
    <cellStyle name="백분율 3 3 2 2 2 5 4" xfId="12894"/>
    <cellStyle name="백분율 3 3 2 2 2 5 4 2" xfId="29598"/>
    <cellStyle name="백분율 3 3 2 2 2 5 5" xfId="18462"/>
    <cellStyle name="백분율 3 3 2 2 2 6" xfId="3150"/>
    <cellStyle name="백분율 3 3 2 2 2 6 2" xfId="8718"/>
    <cellStyle name="백분율 3 3 2 2 2 6 2 2" xfId="25422"/>
    <cellStyle name="백분율 3 3 2 2 2 6 3" xfId="14286"/>
    <cellStyle name="백분율 3 3 2 2 2 6 3 2" xfId="30990"/>
    <cellStyle name="백분율 3 3 2 2 2 6 4" xfId="19854"/>
    <cellStyle name="백분율 3 3 2 2 2 7" xfId="5934"/>
    <cellStyle name="백분율 3 3 2 2 2 7 2" xfId="22638"/>
    <cellStyle name="백분율 3 3 2 2 2 8" xfId="11502"/>
    <cellStyle name="백분율 3 3 2 2 2 8 2" xfId="28206"/>
    <cellStyle name="백분율 3 3 2 2 2 9" xfId="17070"/>
    <cellStyle name="백분율 3 3 2 2 3" xfId="482"/>
    <cellStyle name="백분율 3 3 2 2 3 2" xfId="1178"/>
    <cellStyle name="백분율 3 3 2 2 3 2 2" xfId="2570"/>
    <cellStyle name="백분율 3 3 2 2 3 2 2 2" xfId="5354"/>
    <cellStyle name="백분율 3 3 2 2 3 2 2 2 2" xfId="10922"/>
    <cellStyle name="백분율 3 3 2 2 3 2 2 2 2 2" xfId="27626"/>
    <cellStyle name="백분율 3 3 2 2 3 2 2 2 3" xfId="16490"/>
    <cellStyle name="백분율 3 3 2 2 3 2 2 2 3 2" xfId="33194"/>
    <cellStyle name="백분율 3 3 2 2 3 2 2 2 4" xfId="22058"/>
    <cellStyle name="백분율 3 3 2 2 3 2 2 3" xfId="8138"/>
    <cellStyle name="백분율 3 3 2 2 3 2 2 3 2" xfId="24842"/>
    <cellStyle name="백분율 3 3 2 2 3 2 2 4" xfId="13706"/>
    <cellStyle name="백분율 3 3 2 2 3 2 2 4 2" xfId="30410"/>
    <cellStyle name="백분율 3 3 2 2 3 2 2 5" xfId="19274"/>
    <cellStyle name="백분율 3 3 2 2 3 2 3" xfId="3962"/>
    <cellStyle name="백분율 3 3 2 2 3 2 3 2" xfId="9530"/>
    <cellStyle name="백분율 3 3 2 2 3 2 3 2 2" xfId="26234"/>
    <cellStyle name="백분율 3 3 2 2 3 2 3 3" xfId="15098"/>
    <cellStyle name="백분율 3 3 2 2 3 2 3 3 2" xfId="31802"/>
    <cellStyle name="백분율 3 3 2 2 3 2 3 4" xfId="20666"/>
    <cellStyle name="백분율 3 3 2 2 3 2 4" xfId="6746"/>
    <cellStyle name="백분율 3 3 2 2 3 2 4 2" xfId="23450"/>
    <cellStyle name="백분율 3 3 2 2 3 2 5" xfId="12314"/>
    <cellStyle name="백분율 3 3 2 2 3 2 5 2" xfId="29018"/>
    <cellStyle name="백분율 3 3 2 2 3 2 6" xfId="17882"/>
    <cellStyle name="백분율 3 3 2 2 3 3" xfId="1874"/>
    <cellStyle name="백분율 3 3 2 2 3 3 2" xfId="4658"/>
    <cellStyle name="백분율 3 3 2 2 3 3 2 2" xfId="10226"/>
    <cellStyle name="백분율 3 3 2 2 3 3 2 2 2" xfId="26930"/>
    <cellStyle name="백분율 3 3 2 2 3 3 2 3" xfId="15794"/>
    <cellStyle name="백분율 3 3 2 2 3 3 2 3 2" xfId="32498"/>
    <cellStyle name="백분율 3 3 2 2 3 3 2 4" xfId="21362"/>
    <cellStyle name="백분율 3 3 2 2 3 3 3" xfId="7442"/>
    <cellStyle name="백분율 3 3 2 2 3 3 3 2" xfId="24146"/>
    <cellStyle name="백분율 3 3 2 2 3 3 4" xfId="13010"/>
    <cellStyle name="백분율 3 3 2 2 3 3 4 2" xfId="29714"/>
    <cellStyle name="백분율 3 3 2 2 3 3 5" xfId="18578"/>
    <cellStyle name="백분율 3 3 2 2 3 4" xfId="3266"/>
    <cellStyle name="백분율 3 3 2 2 3 4 2" xfId="8834"/>
    <cellStyle name="백분율 3 3 2 2 3 4 2 2" xfId="25538"/>
    <cellStyle name="백분율 3 3 2 2 3 4 3" xfId="14402"/>
    <cellStyle name="백분율 3 3 2 2 3 4 3 2" xfId="31106"/>
    <cellStyle name="백분율 3 3 2 2 3 4 4" xfId="19970"/>
    <cellStyle name="백분율 3 3 2 2 3 5" xfId="6050"/>
    <cellStyle name="백분율 3 3 2 2 3 5 2" xfId="22754"/>
    <cellStyle name="백분율 3 3 2 2 3 6" xfId="11618"/>
    <cellStyle name="백분율 3 3 2 2 3 6 2" xfId="28322"/>
    <cellStyle name="백분율 3 3 2 2 3 7" xfId="17186"/>
    <cellStyle name="백분율 3 3 2 2 4" xfId="714"/>
    <cellStyle name="백분율 3 3 2 2 4 2" xfId="1410"/>
    <cellStyle name="백분율 3 3 2 2 4 2 2" xfId="2802"/>
    <cellStyle name="백분율 3 3 2 2 4 2 2 2" xfId="5586"/>
    <cellStyle name="백분율 3 3 2 2 4 2 2 2 2" xfId="11154"/>
    <cellStyle name="백분율 3 3 2 2 4 2 2 2 2 2" xfId="27858"/>
    <cellStyle name="백분율 3 3 2 2 4 2 2 2 3" xfId="16722"/>
    <cellStyle name="백분율 3 3 2 2 4 2 2 2 3 2" xfId="33426"/>
    <cellStyle name="백분율 3 3 2 2 4 2 2 2 4" xfId="22290"/>
    <cellStyle name="백분율 3 3 2 2 4 2 2 3" xfId="8370"/>
    <cellStyle name="백분율 3 3 2 2 4 2 2 3 2" xfId="25074"/>
    <cellStyle name="백분율 3 3 2 2 4 2 2 4" xfId="13938"/>
    <cellStyle name="백분율 3 3 2 2 4 2 2 4 2" xfId="30642"/>
    <cellStyle name="백분율 3 3 2 2 4 2 2 5" xfId="19506"/>
    <cellStyle name="백분율 3 3 2 2 4 2 3" xfId="4194"/>
    <cellStyle name="백분율 3 3 2 2 4 2 3 2" xfId="9762"/>
    <cellStyle name="백분율 3 3 2 2 4 2 3 2 2" xfId="26466"/>
    <cellStyle name="백분율 3 3 2 2 4 2 3 3" xfId="15330"/>
    <cellStyle name="백분율 3 3 2 2 4 2 3 3 2" xfId="32034"/>
    <cellStyle name="백분율 3 3 2 2 4 2 3 4" xfId="20898"/>
    <cellStyle name="백분율 3 3 2 2 4 2 4" xfId="6978"/>
    <cellStyle name="백분율 3 3 2 2 4 2 4 2" xfId="23682"/>
    <cellStyle name="백분율 3 3 2 2 4 2 5" xfId="12546"/>
    <cellStyle name="백분율 3 3 2 2 4 2 5 2" xfId="29250"/>
    <cellStyle name="백분율 3 3 2 2 4 2 6" xfId="18114"/>
    <cellStyle name="백분율 3 3 2 2 4 3" xfId="2106"/>
    <cellStyle name="백분율 3 3 2 2 4 3 2" xfId="4890"/>
    <cellStyle name="백분율 3 3 2 2 4 3 2 2" xfId="10458"/>
    <cellStyle name="백분율 3 3 2 2 4 3 2 2 2" xfId="27162"/>
    <cellStyle name="백분율 3 3 2 2 4 3 2 3" xfId="16026"/>
    <cellStyle name="백분율 3 3 2 2 4 3 2 3 2" xfId="32730"/>
    <cellStyle name="백분율 3 3 2 2 4 3 2 4" xfId="21594"/>
    <cellStyle name="백분율 3 3 2 2 4 3 3" xfId="7674"/>
    <cellStyle name="백분율 3 3 2 2 4 3 3 2" xfId="24378"/>
    <cellStyle name="백분율 3 3 2 2 4 3 4" xfId="13242"/>
    <cellStyle name="백분율 3 3 2 2 4 3 4 2" xfId="29946"/>
    <cellStyle name="백분율 3 3 2 2 4 3 5" xfId="18810"/>
    <cellStyle name="백분율 3 3 2 2 4 4" xfId="3498"/>
    <cellStyle name="백분율 3 3 2 2 4 4 2" xfId="9066"/>
    <cellStyle name="백분율 3 3 2 2 4 4 2 2" xfId="25770"/>
    <cellStyle name="백분율 3 3 2 2 4 4 3" xfId="14634"/>
    <cellStyle name="백분율 3 3 2 2 4 4 3 2" xfId="31338"/>
    <cellStyle name="백분율 3 3 2 2 4 4 4" xfId="20202"/>
    <cellStyle name="백분율 3 3 2 2 4 5" xfId="6282"/>
    <cellStyle name="백분율 3 3 2 2 4 5 2" xfId="22986"/>
    <cellStyle name="백분율 3 3 2 2 4 6" xfId="11850"/>
    <cellStyle name="백분율 3 3 2 2 4 6 2" xfId="28554"/>
    <cellStyle name="백분율 3 3 2 2 4 7" xfId="17418"/>
    <cellStyle name="백분율 3 3 2 2 5" xfId="946"/>
    <cellStyle name="백분율 3 3 2 2 5 2" xfId="2338"/>
    <cellStyle name="백분율 3 3 2 2 5 2 2" xfId="5122"/>
    <cellStyle name="백분율 3 3 2 2 5 2 2 2" xfId="10690"/>
    <cellStyle name="백분율 3 3 2 2 5 2 2 2 2" xfId="27394"/>
    <cellStyle name="백분율 3 3 2 2 5 2 2 3" xfId="16258"/>
    <cellStyle name="백분율 3 3 2 2 5 2 2 3 2" xfId="32962"/>
    <cellStyle name="백분율 3 3 2 2 5 2 2 4" xfId="21826"/>
    <cellStyle name="백분율 3 3 2 2 5 2 3" xfId="7906"/>
    <cellStyle name="백분율 3 3 2 2 5 2 3 2" xfId="24610"/>
    <cellStyle name="백분율 3 3 2 2 5 2 4" xfId="13474"/>
    <cellStyle name="백분율 3 3 2 2 5 2 4 2" xfId="30178"/>
    <cellStyle name="백분율 3 3 2 2 5 2 5" xfId="19042"/>
    <cellStyle name="백분율 3 3 2 2 5 3" xfId="3730"/>
    <cellStyle name="백분율 3 3 2 2 5 3 2" xfId="9298"/>
    <cellStyle name="백분율 3 3 2 2 5 3 2 2" xfId="26002"/>
    <cellStyle name="백분율 3 3 2 2 5 3 3" xfId="14866"/>
    <cellStyle name="백분율 3 3 2 2 5 3 3 2" xfId="31570"/>
    <cellStyle name="백분율 3 3 2 2 5 3 4" xfId="20434"/>
    <cellStyle name="백분율 3 3 2 2 5 4" xfId="6514"/>
    <cellStyle name="백분율 3 3 2 2 5 4 2" xfId="23218"/>
    <cellStyle name="백분율 3 3 2 2 5 5" xfId="12082"/>
    <cellStyle name="백분율 3 3 2 2 5 5 2" xfId="28786"/>
    <cellStyle name="백분율 3 3 2 2 5 6" xfId="17650"/>
    <cellStyle name="백분율 3 3 2 2 6" xfId="1642"/>
    <cellStyle name="백분율 3 3 2 2 6 2" xfId="4426"/>
    <cellStyle name="백분율 3 3 2 2 6 2 2" xfId="9994"/>
    <cellStyle name="백분율 3 3 2 2 6 2 2 2" xfId="26698"/>
    <cellStyle name="백분율 3 3 2 2 6 2 3" xfId="15562"/>
    <cellStyle name="백분율 3 3 2 2 6 2 3 2" xfId="32266"/>
    <cellStyle name="백분율 3 3 2 2 6 2 4" xfId="21130"/>
    <cellStyle name="백분율 3 3 2 2 6 3" xfId="7210"/>
    <cellStyle name="백분율 3 3 2 2 6 3 2" xfId="23914"/>
    <cellStyle name="백분율 3 3 2 2 6 4" xfId="12778"/>
    <cellStyle name="백분율 3 3 2 2 6 4 2" xfId="29482"/>
    <cellStyle name="백분율 3 3 2 2 6 5" xfId="18346"/>
    <cellStyle name="백분율 3 3 2 2 7" xfId="3034"/>
    <cellStyle name="백분율 3 3 2 2 7 2" xfId="8602"/>
    <cellStyle name="백분율 3 3 2 2 7 2 2" xfId="25306"/>
    <cellStyle name="백분율 3 3 2 2 7 3" xfId="14170"/>
    <cellStyle name="백분율 3 3 2 2 7 3 2" xfId="30874"/>
    <cellStyle name="백분율 3 3 2 2 7 4" xfId="19738"/>
    <cellStyle name="백분율 3 3 2 2 8" xfId="5818"/>
    <cellStyle name="백분율 3 3 2 2 8 2" xfId="22522"/>
    <cellStyle name="백분율 3 3 2 2 9" xfId="11386"/>
    <cellStyle name="백분율 3 3 2 2 9 2" xfId="28090"/>
    <cellStyle name="백분율 3 3 2 3" xfId="308"/>
    <cellStyle name="백분율 3 3 2 3 2" xfId="540"/>
    <cellStyle name="백분율 3 3 2 3 2 2" xfId="1236"/>
    <cellStyle name="백분율 3 3 2 3 2 2 2" xfId="2628"/>
    <cellStyle name="백분율 3 3 2 3 2 2 2 2" xfId="5412"/>
    <cellStyle name="백분율 3 3 2 3 2 2 2 2 2" xfId="10980"/>
    <cellStyle name="백분율 3 3 2 3 2 2 2 2 2 2" xfId="27684"/>
    <cellStyle name="백분율 3 3 2 3 2 2 2 2 3" xfId="16548"/>
    <cellStyle name="백분율 3 3 2 3 2 2 2 2 3 2" xfId="33252"/>
    <cellStyle name="백분율 3 3 2 3 2 2 2 2 4" xfId="22116"/>
    <cellStyle name="백분율 3 3 2 3 2 2 2 3" xfId="8196"/>
    <cellStyle name="백분율 3 3 2 3 2 2 2 3 2" xfId="24900"/>
    <cellStyle name="백분율 3 3 2 3 2 2 2 4" xfId="13764"/>
    <cellStyle name="백분율 3 3 2 3 2 2 2 4 2" xfId="30468"/>
    <cellStyle name="백분율 3 3 2 3 2 2 2 5" xfId="19332"/>
    <cellStyle name="백분율 3 3 2 3 2 2 3" xfId="4020"/>
    <cellStyle name="백분율 3 3 2 3 2 2 3 2" xfId="9588"/>
    <cellStyle name="백분율 3 3 2 3 2 2 3 2 2" xfId="26292"/>
    <cellStyle name="백분율 3 3 2 3 2 2 3 3" xfId="15156"/>
    <cellStyle name="백분율 3 3 2 3 2 2 3 3 2" xfId="31860"/>
    <cellStyle name="백분율 3 3 2 3 2 2 3 4" xfId="20724"/>
    <cellStyle name="백분율 3 3 2 3 2 2 4" xfId="6804"/>
    <cellStyle name="백분율 3 3 2 3 2 2 4 2" xfId="23508"/>
    <cellStyle name="백분율 3 3 2 3 2 2 5" xfId="12372"/>
    <cellStyle name="백분율 3 3 2 3 2 2 5 2" xfId="29076"/>
    <cellStyle name="백분율 3 3 2 3 2 2 6" xfId="17940"/>
    <cellStyle name="백분율 3 3 2 3 2 3" xfId="1932"/>
    <cellStyle name="백분율 3 3 2 3 2 3 2" xfId="4716"/>
    <cellStyle name="백분율 3 3 2 3 2 3 2 2" xfId="10284"/>
    <cellStyle name="백분율 3 3 2 3 2 3 2 2 2" xfId="26988"/>
    <cellStyle name="백분율 3 3 2 3 2 3 2 3" xfId="15852"/>
    <cellStyle name="백분율 3 3 2 3 2 3 2 3 2" xfId="32556"/>
    <cellStyle name="백분율 3 3 2 3 2 3 2 4" xfId="21420"/>
    <cellStyle name="백분율 3 3 2 3 2 3 3" xfId="7500"/>
    <cellStyle name="백분율 3 3 2 3 2 3 3 2" xfId="24204"/>
    <cellStyle name="백분율 3 3 2 3 2 3 4" xfId="13068"/>
    <cellStyle name="백분율 3 3 2 3 2 3 4 2" xfId="29772"/>
    <cellStyle name="백분율 3 3 2 3 2 3 5" xfId="18636"/>
    <cellStyle name="백분율 3 3 2 3 2 4" xfId="3324"/>
    <cellStyle name="백분율 3 3 2 3 2 4 2" xfId="8892"/>
    <cellStyle name="백분율 3 3 2 3 2 4 2 2" xfId="25596"/>
    <cellStyle name="백분율 3 3 2 3 2 4 3" xfId="14460"/>
    <cellStyle name="백분율 3 3 2 3 2 4 3 2" xfId="31164"/>
    <cellStyle name="백분율 3 3 2 3 2 4 4" xfId="20028"/>
    <cellStyle name="백분율 3 3 2 3 2 5" xfId="6108"/>
    <cellStyle name="백분율 3 3 2 3 2 5 2" xfId="22812"/>
    <cellStyle name="백분율 3 3 2 3 2 6" xfId="11676"/>
    <cellStyle name="백분율 3 3 2 3 2 6 2" xfId="28380"/>
    <cellStyle name="백분율 3 3 2 3 2 7" xfId="17244"/>
    <cellStyle name="백분율 3 3 2 3 3" xfId="772"/>
    <cellStyle name="백분율 3 3 2 3 3 2" xfId="1468"/>
    <cellStyle name="백분율 3 3 2 3 3 2 2" xfId="2860"/>
    <cellStyle name="백분율 3 3 2 3 3 2 2 2" xfId="5644"/>
    <cellStyle name="백분율 3 3 2 3 3 2 2 2 2" xfId="11212"/>
    <cellStyle name="백분율 3 3 2 3 3 2 2 2 2 2" xfId="27916"/>
    <cellStyle name="백분율 3 3 2 3 3 2 2 2 3" xfId="16780"/>
    <cellStyle name="백분율 3 3 2 3 3 2 2 2 3 2" xfId="33484"/>
    <cellStyle name="백분율 3 3 2 3 3 2 2 2 4" xfId="22348"/>
    <cellStyle name="백분율 3 3 2 3 3 2 2 3" xfId="8428"/>
    <cellStyle name="백분율 3 3 2 3 3 2 2 3 2" xfId="25132"/>
    <cellStyle name="백분율 3 3 2 3 3 2 2 4" xfId="13996"/>
    <cellStyle name="백분율 3 3 2 3 3 2 2 4 2" xfId="30700"/>
    <cellStyle name="백분율 3 3 2 3 3 2 2 5" xfId="19564"/>
    <cellStyle name="백분율 3 3 2 3 3 2 3" xfId="4252"/>
    <cellStyle name="백분율 3 3 2 3 3 2 3 2" xfId="9820"/>
    <cellStyle name="백분율 3 3 2 3 3 2 3 2 2" xfId="26524"/>
    <cellStyle name="백분율 3 3 2 3 3 2 3 3" xfId="15388"/>
    <cellStyle name="백분율 3 3 2 3 3 2 3 3 2" xfId="32092"/>
    <cellStyle name="백분율 3 3 2 3 3 2 3 4" xfId="20956"/>
    <cellStyle name="백분율 3 3 2 3 3 2 4" xfId="7036"/>
    <cellStyle name="백분율 3 3 2 3 3 2 4 2" xfId="23740"/>
    <cellStyle name="백분율 3 3 2 3 3 2 5" xfId="12604"/>
    <cellStyle name="백분율 3 3 2 3 3 2 5 2" xfId="29308"/>
    <cellStyle name="백분율 3 3 2 3 3 2 6" xfId="18172"/>
    <cellStyle name="백분율 3 3 2 3 3 3" xfId="2164"/>
    <cellStyle name="백분율 3 3 2 3 3 3 2" xfId="4948"/>
    <cellStyle name="백분율 3 3 2 3 3 3 2 2" xfId="10516"/>
    <cellStyle name="백분율 3 3 2 3 3 3 2 2 2" xfId="27220"/>
    <cellStyle name="백분율 3 3 2 3 3 3 2 3" xfId="16084"/>
    <cellStyle name="백분율 3 3 2 3 3 3 2 3 2" xfId="32788"/>
    <cellStyle name="백분율 3 3 2 3 3 3 2 4" xfId="21652"/>
    <cellStyle name="백분율 3 3 2 3 3 3 3" xfId="7732"/>
    <cellStyle name="백분율 3 3 2 3 3 3 3 2" xfId="24436"/>
    <cellStyle name="백분율 3 3 2 3 3 3 4" xfId="13300"/>
    <cellStyle name="백분율 3 3 2 3 3 3 4 2" xfId="30004"/>
    <cellStyle name="백분율 3 3 2 3 3 3 5" xfId="18868"/>
    <cellStyle name="백분율 3 3 2 3 3 4" xfId="3556"/>
    <cellStyle name="백분율 3 3 2 3 3 4 2" xfId="9124"/>
    <cellStyle name="백분율 3 3 2 3 3 4 2 2" xfId="25828"/>
    <cellStyle name="백분율 3 3 2 3 3 4 3" xfId="14692"/>
    <cellStyle name="백분율 3 3 2 3 3 4 3 2" xfId="31396"/>
    <cellStyle name="백분율 3 3 2 3 3 4 4" xfId="20260"/>
    <cellStyle name="백분율 3 3 2 3 3 5" xfId="6340"/>
    <cellStyle name="백분율 3 3 2 3 3 5 2" xfId="23044"/>
    <cellStyle name="백분율 3 3 2 3 3 6" xfId="11908"/>
    <cellStyle name="백분율 3 3 2 3 3 6 2" xfId="28612"/>
    <cellStyle name="백분율 3 3 2 3 3 7" xfId="17476"/>
    <cellStyle name="백분율 3 3 2 3 4" xfId="1004"/>
    <cellStyle name="백분율 3 3 2 3 4 2" xfId="2396"/>
    <cellStyle name="백분율 3 3 2 3 4 2 2" xfId="5180"/>
    <cellStyle name="백분율 3 3 2 3 4 2 2 2" xfId="10748"/>
    <cellStyle name="백분율 3 3 2 3 4 2 2 2 2" xfId="27452"/>
    <cellStyle name="백분율 3 3 2 3 4 2 2 3" xfId="16316"/>
    <cellStyle name="백분율 3 3 2 3 4 2 2 3 2" xfId="33020"/>
    <cellStyle name="백분율 3 3 2 3 4 2 2 4" xfId="21884"/>
    <cellStyle name="백분율 3 3 2 3 4 2 3" xfId="7964"/>
    <cellStyle name="백분율 3 3 2 3 4 2 3 2" xfId="24668"/>
    <cellStyle name="백분율 3 3 2 3 4 2 4" xfId="13532"/>
    <cellStyle name="백분율 3 3 2 3 4 2 4 2" xfId="30236"/>
    <cellStyle name="백분율 3 3 2 3 4 2 5" xfId="19100"/>
    <cellStyle name="백분율 3 3 2 3 4 3" xfId="3788"/>
    <cellStyle name="백분율 3 3 2 3 4 3 2" xfId="9356"/>
    <cellStyle name="백분율 3 3 2 3 4 3 2 2" xfId="26060"/>
    <cellStyle name="백분율 3 3 2 3 4 3 3" xfId="14924"/>
    <cellStyle name="백분율 3 3 2 3 4 3 3 2" xfId="31628"/>
    <cellStyle name="백분율 3 3 2 3 4 3 4" xfId="20492"/>
    <cellStyle name="백분율 3 3 2 3 4 4" xfId="6572"/>
    <cellStyle name="백분율 3 3 2 3 4 4 2" xfId="23276"/>
    <cellStyle name="백분율 3 3 2 3 4 5" xfId="12140"/>
    <cellStyle name="백분율 3 3 2 3 4 5 2" xfId="28844"/>
    <cellStyle name="백분율 3 3 2 3 4 6" xfId="17708"/>
    <cellStyle name="백분율 3 3 2 3 5" xfId="1700"/>
    <cellStyle name="백분율 3 3 2 3 5 2" xfId="4484"/>
    <cellStyle name="백분율 3 3 2 3 5 2 2" xfId="10052"/>
    <cellStyle name="백분율 3 3 2 3 5 2 2 2" xfId="26756"/>
    <cellStyle name="백분율 3 3 2 3 5 2 3" xfId="15620"/>
    <cellStyle name="백분율 3 3 2 3 5 2 3 2" xfId="32324"/>
    <cellStyle name="백분율 3 3 2 3 5 2 4" xfId="21188"/>
    <cellStyle name="백분율 3 3 2 3 5 3" xfId="7268"/>
    <cellStyle name="백분율 3 3 2 3 5 3 2" xfId="23972"/>
    <cellStyle name="백분율 3 3 2 3 5 4" xfId="12836"/>
    <cellStyle name="백분율 3 3 2 3 5 4 2" xfId="29540"/>
    <cellStyle name="백분율 3 3 2 3 5 5" xfId="18404"/>
    <cellStyle name="백분율 3 3 2 3 6" xfId="3092"/>
    <cellStyle name="백분율 3 3 2 3 6 2" xfId="8660"/>
    <cellStyle name="백분율 3 3 2 3 6 2 2" xfId="25364"/>
    <cellStyle name="백분율 3 3 2 3 6 3" xfId="14228"/>
    <cellStyle name="백분율 3 3 2 3 6 3 2" xfId="30932"/>
    <cellStyle name="백분율 3 3 2 3 6 4" xfId="19796"/>
    <cellStyle name="백분율 3 3 2 3 7" xfId="5876"/>
    <cellStyle name="백분율 3 3 2 3 7 2" xfId="22580"/>
    <cellStyle name="백분율 3 3 2 3 8" xfId="11444"/>
    <cellStyle name="백분율 3 3 2 3 8 2" xfId="28148"/>
    <cellStyle name="백분율 3 3 2 3 9" xfId="17012"/>
    <cellStyle name="백분율 3 3 2 4" xfId="424"/>
    <cellStyle name="백분율 3 3 2 4 2" xfId="1120"/>
    <cellStyle name="백분율 3 3 2 4 2 2" xfId="2512"/>
    <cellStyle name="백분율 3 3 2 4 2 2 2" xfId="5296"/>
    <cellStyle name="백분율 3 3 2 4 2 2 2 2" xfId="10864"/>
    <cellStyle name="백분율 3 3 2 4 2 2 2 2 2" xfId="27568"/>
    <cellStyle name="백분율 3 3 2 4 2 2 2 3" xfId="16432"/>
    <cellStyle name="백분율 3 3 2 4 2 2 2 3 2" xfId="33136"/>
    <cellStyle name="백분율 3 3 2 4 2 2 2 4" xfId="22000"/>
    <cellStyle name="백분율 3 3 2 4 2 2 3" xfId="8080"/>
    <cellStyle name="백분율 3 3 2 4 2 2 3 2" xfId="24784"/>
    <cellStyle name="백분율 3 3 2 4 2 2 4" xfId="13648"/>
    <cellStyle name="백분율 3 3 2 4 2 2 4 2" xfId="30352"/>
    <cellStyle name="백분율 3 3 2 4 2 2 5" xfId="19216"/>
    <cellStyle name="백분율 3 3 2 4 2 3" xfId="3904"/>
    <cellStyle name="백분율 3 3 2 4 2 3 2" xfId="9472"/>
    <cellStyle name="백분율 3 3 2 4 2 3 2 2" xfId="26176"/>
    <cellStyle name="백분율 3 3 2 4 2 3 3" xfId="15040"/>
    <cellStyle name="백분율 3 3 2 4 2 3 3 2" xfId="31744"/>
    <cellStyle name="백분율 3 3 2 4 2 3 4" xfId="20608"/>
    <cellStyle name="백분율 3 3 2 4 2 4" xfId="6688"/>
    <cellStyle name="백분율 3 3 2 4 2 4 2" xfId="23392"/>
    <cellStyle name="백분율 3 3 2 4 2 5" xfId="12256"/>
    <cellStyle name="백분율 3 3 2 4 2 5 2" xfId="28960"/>
    <cellStyle name="백분율 3 3 2 4 2 6" xfId="17824"/>
    <cellStyle name="백분율 3 3 2 4 3" xfId="1816"/>
    <cellStyle name="백분율 3 3 2 4 3 2" xfId="4600"/>
    <cellStyle name="백분율 3 3 2 4 3 2 2" xfId="10168"/>
    <cellStyle name="백분율 3 3 2 4 3 2 2 2" xfId="26872"/>
    <cellStyle name="백분율 3 3 2 4 3 2 3" xfId="15736"/>
    <cellStyle name="백분율 3 3 2 4 3 2 3 2" xfId="32440"/>
    <cellStyle name="백분율 3 3 2 4 3 2 4" xfId="21304"/>
    <cellStyle name="백분율 3 3 2 4 3 3" xfId="7384"/>
    <cellStyle name="백분율 3 3 2 4 3 3 2" xfId="24088"/>
    <cellStyle name="백분율 3 3 2 4 3 4" xfId="12952"/>
    <cellStyle name="백분율 3 3 2 4 3 4 2" xfId="29656"/>
    <cellStyle name="백분율 3 3 2 4 3 5" xfId="18520"/>
    <cellStyle name="백분율 3 3 2 4 4" xfId="3208"/>
    <cellStyle name="백분율 3 3 2 4 4 2" xfId="8776"/>
    <cellStyle name="백분율 3 3 2 4 4 2 2" xfId="25480"/>
    <cellStyle name="백분율 3 3 2 4 4 3" xfId="14344"/>
    <cellStyle name="백분율 3 3 2 4 4 3 2" xfId="31048"/>
    <cellStyle name="백분율 3 3 2 4 4 4" xfId="19912"/>
    <cellStyle name="백분율 3 3 2 4 5" xfId="5992"/>
    <cellStyle name="백분율 3 3 2 4 5 2" xfId="22696"/>
    <cellStyle name="백분율 3 3 2 4 6" xfId="11560"/>
    <cellStyle name="백분율 3 3 2 4 6 2" xfId="28264"/>
    <cellStyle name="백분율 3 3 2 4 7" xfId="17128"/>
    <cellStyle name="백분율 3 3 2 5" xfId="656"/>
    <cellStyle name="백분율 3 3 2 5 2" xfId="1352"/>
    <cellStyle name="백분율 3 3 2 5 2 2" xfId="2744"/>
    <cellStyle name="백분율 3 3 2 5 2 2 2" xfId="5528"/>
    <cellStyle name="백분율 3 3 2 5 2 2 2 2" xfId="11096"/>
    <cellStyle name="백분율 3 3 2 5 2 2 2 2 2" xfId="27800"/>
    <cellStyle name="백분율 3 3 2 5 2 2 2 3" xfId="16664"/>
    <cellStyle name="백분율 3 3 2 5 2 2 2 3 2" xfId="33368"/>
    <cellStyle name="백분율 3 3 2 5 2 2 2 4" xfId="22232"/>
    <cellStyle name="백분율 3 3 2 5 2 2 3" xfId="8312"/>
    <cellStyle name="백분율 3 3 2 5 2 2 3 2" xfId="25016"/>
    <cellStyle name="백분율 3 3 2 5 2 2 4" xfId="13880"/>
    <cellStyle name="백분율 3 3 2 5 2 2 4 2" xfId="30584"/>
    <cellStyle name="백분율 3 3 2 5 2 2 5" xfId="19448"/>
    <cellStyle name="백분율 3 3 2 5 2 3" xfId="4136"/>
    <cellStyle name="백분율 3 3 2 5 2 3 2" xfId="9704"/>
    <cellStyle name="백분율 3 3 2 5 2 3 2 2" xfId="26408"/>
    <cellStyle name="백분율 3 3 2 5 2 3 3" xfId="15272"/>
    <cellStyle name="백분율 3 3 2 5 2 3 3 2" xfId="31976"/>
    <cellStyle name="백분율 3 3 2 5 2 3 4" xfId="20840"/>
    <cellStyle name="백분율 3 3 2 5 2 4" xfId="6920"/>
    <cellStyle name="백분율 3 3 2 5 2 4 2" xfId="23624"/>
    <cellStyle name="백분율 3 3 2 5 2 5" xfId="12488"/>
    <cellStyle name="백분율 3 3 2 5 2 5 2" xfId="29192"/>
    <cellStyle name="백분율 3 3 2 5 2 6" xfId="18056"/>
    <cellStyle name="백분율 3 3 2 5 3" xfId="2048"/>
    <cellStyle name="백분율 3 3 2 5 3 2" xfId="4832"/>
    <cellStyle name="백분율 3 3 2 5 3 2 2" xfId="10400"/>
    <cellStyle name="백분율 3 3 2 5 3 2 2 2" xfId="27104"/>
    <cellStyle name="백분율 3 3 2 5 3 2 3" xfId="15968"/>
    <cellStyle name="백분율 3 3 2 5 3 2 3 2" xfId="32672"/>
    <cellStyle name="백분율 3 3 2 5 3 2 4" xfId="21536"/>
    <cellStyle name="백분율 3 3 2 5 3 3" xfId="7616"/>
    <cellStyle name="백분율 3 3 2 5 3 3 2" xfId="24320"/>
    <cellStyle name="백분율 3 3 2 5 3 4" xfId="13184"/>
    <cellStyle name="백분율 3 3 2 5 3 4 2" xfId="29888"/>
    <cellStyle name="백분율 3 3 2 5 3 5" xfId="18752"/>
    <cellStyle name="백분율 3 3 2 5 4" xfId="3440"/>
    <cellStyle name="백분율 3 3 2 5 4 2" xfId="9008"/>
    <cellStyle name="백분율 3 3 2 5 4 2 2" xfId="25712"/>
    <cellStyle name="백분율 3 3 2 5 4 3" xfId="14576"/>
    <cellStyle name="백분율 3 3 2 5 4 3 2" xfId="31280"/>
    <cellStyle name="백분율 3 3 2 5 4 4" xfId="20144"/>
    <cellStyle name="백분율 3 3 2 5 5" xfId="6224"/>
    <cellStyle name="백분율 3 3 2 5 5 2" xfId="22928"/>
    <cellStyle name="백분율 3 3 2 5 6" xfId="11792"/>
    <cellStyle name="백분율 3 3 2 5 6 2" xfId="28496"/>
    <cellStyle name="백분율 3 3 2 5 7" xfId="17360"/>
    <cellStyle name="백분율 3 3 2 6" xfId="888"/>
    <cellStyle name="백분율 3 3 2 6 2" xfId="2280"/>
    <cellStyle name="백분율 3 3 2 6 2 2" xfId="5064"/>
    <cellStyle name="백분율 3 3 2 6 2 2 2" xfId="10632"/>
    <cellStyle name="백분율 3 3 2 6 2 2 2 2" xfId="27336"/>
    <cellStyle name="백분율 3 3 2 6 2 2 3" xfId="16200"/>
    <cellStyle name="백분율 3 3 2 6 2 2 3 2" xfId="32904"/>
    <cellStyle name="백분율 3 3 2 6 2 2 4" xfId="21768"/>
    <cellStyle name="백분율 3 3 2 6 2 3" xfId="7848"/>
    <cellStyle name="백분율 3 3 2 6 2 3 2" xfId="24552"/>
    <cellStyle name="백분율 3 3 2 6 2 4" xfId="13416"/>
    <cellStyle name="백분율 3 3 2 6 2 4 2" xfId="30120"/>
    <cellStyle name="백분율 3 3 2 6 2 5" xfId="18984"/>
    <cellStyle name="백분율 3 3 2 6 3" xfId="3672"/>
    <cellStyle name="백분율 3 3 2 6 3 2" xfId="9240"/>
    <cellStyle name="백분율 3 3 2 6 3 2 2" xfId="25944"/>
    <cellStyle name="백분율 3 3 2 6 3 3" xfId="14808"/>
    <cellStyle name="백분율 3 3 2 6 3 3 2" xfId="31512"/>
    <cellStyle name="백분율 3 3 2 6 3 4" xfId="20376"/>
    <cellStyle name="백분율 3 3 2 6 4" xfId="6456"/>
    <cellStyle name="백분율 3 3 2 6 4 2" xfId="23160"/>
    <cellStyle name="백분율 3 3 2 6 5" xfId="12024"/>
    <cellStyle name="백분율 3 3 2 6 5 2" xfId="28728"/>
    <cellStyle name="백분율 3 3 2 6 6" xfId="17592"/>
    <cellStyle name="백분율 3 3 2 7" xfId="1584"/>
    <cellStyle name="백분율 3 3 2 7 2" xfId="4368"/>
    <cellStyle name="백분율 3 3 2 7 2 2" xfId="9936"/>
    <cellStyle name="백분율 3 3 2 7 2 2 2" xfId="26640"/>
    <cellStyle name="백분율 3 3 2 7 2 3" xfId="15504"/>
    <cellStyle name="백분율 3 3 2 7 2 3 2" xfId="32208"/>
    <cellStyle name="백분율 3 3 2 7 2 4" xfId="21072"/>
    <cellStyle name="백분율 3 3 2 7 3" xfId="7152"/>
    <cellStyle name="백분율 3 3 2 7 3 2" xfId="23856"/>
    <cellStyle name="백분율 3 3 2 7 4" xfId="12720"/>
    <cellStyle name="백분율 3 3 2 7 4 2" xfId="29424"/>
    <cellStyle name="백분율 3 3 2 7 5" xfId="18288"/>
    <cellStyle name="백분율 3 3 2 8" xfId="2976"/>
    <cellStyle name="백분율 3 3 2 8 2" xfId="8544"/>
    <cellStyle name="백분율 3 3 2 8 2 2" xfId="25248"/>
    <cellStyle name="백분율 3 3 2 8 3" xfId="14112"/>
    <cellStyle name="백분율 3 3 2 8 3 2" xfId="30816"/>
    <cellStyle name="백분율 3 3 2 8 4" xfId="19680"/>
    <cellStyle name="백분율 3 3 2 9" xfId="5760"/>
    <cellStyle name="백분율 3 3 2 9 2" xfId="22464"/>
    <cellStyle name="백분율 3 3 3" xfId="221"/>
    <cellStyle name="백분율 3 3 3 10" xfId="16925"/>
    <cellStyle name="백분율 3 3 3 2" xfId="337"/>
    <cellStyle name="백분율 3 3 3 2 2" xfId="569"/>
    <cellStyle name="백분율 3 3 3 2 2 2" xfId="1265"/>
    <cellStyle name="백분율 3 3 3 2 2 2 2" xfId="2657"/>
    <cellStyle name="백분율 3 3 3 2 2 2 2 2" xfId="5441"/>
    <cellStyle name="백분율 3 3 3 2 2 2 2 2 2" xfId="11009"/>
    <cellStyle name="백분율 3 3 3 2 2 2 2 2 2 2" xfId="27713"/>
    <cellStyle name="백분율 3 3 3 2 2 2 2 2 3" xfId="16577"/>
    <cellStyle name="백분율 3 3 3 2 2 2 2 2 3 2" xfId="33281"/>
    <cellStyle name="백분율 3 3 3 2 2 2 2 2 4" xfId="22145"/>
    <cellStyle name="백분율 3 3 3 2 2 2 2 3" xfId="8225"/>
    <cellStyle name="백분율 3 3 3 2 2 2 2 3 2" xfId="24929"/>
    <cellStyle name="백분율 3 3 3 2 2 2 2 4" xfId="13793"/>
    <cellStyle name="백분율 3 3 3 2 2 2 2 4 2" xfId="30497"/>
    <cellStyle name="백분율 3 3 3 2 2 2 2 5" xfId="19361"/>
    <cellStyle name="백분율 3 3 3 2 2 2 3" xfId="4049"/>
    <cellStyle name="백분율 3 3 3 2 2 2 3 2" xfId="9617"/>
    <cellStyle name="백분율 3 3 3 2 2 2 3 2 2" xfId="26321"/>
    <cellStyle name="백분율 3 3 3 2 2 2 3 3" xfId="15185"/>
    <cellStyle name="백분율 3 3 3 2 2 2 3 3 2" xfId="31889"/>
    <cellStyle name="백분율 3 3 3 2 2 2 3 4" xfId="20753"/>
    <cellStyle name="백분율 3 3 3 2 2 2 4" xfId="6833"/>
    <cellStyle name="백분율 3 3 3 2 2 2 4 2" xfId="23537"/>
    <cellStyle name="백분율 3 3 3 2 2 2 5" xfId="12401"/>
    <cellStyle name="백분율 3 3 3 2 2 2 5 2" xfId="29105"/>
    <cellStyle name="백분율 3 3 3 2 2 2 6" xfId="17969"/>
    <cellStyle name="백분율 3 3 3 2 2 3" xfId="1961"/>
    <cellStyle name="백분율 3 3 3 2 2 3 2" xfId="4745"/>
    <cellStyle name="백분율 3 3 3 2 2 3 2 2" xfId="10313"/>
    <cellStyle name="백분율 3 3 3 2 2 3 2 2 2" xfId="27017"/>
    <cellStyle name="백분율 3 3 3 2 2 3 2 3" xfId="15881"/>
    <cellStyle name="백분율 3 3 3 2 2 3 2 3 2" xfId="32585"/>
    <cellStyle name="백분율 3 3 3 2 2 3 2 4" xfId="21449"/>
    <cellStyle name="백분율 3 3 3 2 2 3 3" xfId="7529"/>
    <cellStyle name="백분율 3 3 3 2 2 3 3 2" xfId="24233"/>
    <cellStyle name="백분율 3 3 3 2 2 3 4" xfId="13097"/>
    <cellStyle name="백분율 3 3 3 2 2 3 4 2" xfId="29801"/>
    <cellStyle name="백분율 3 3 3 2 2 3 5" xfId="18665"/>
    <cellStyle name="백분율 3 3 3 2 2 4" xfId="3353"/>
    <cellStyle name="백분율 3 3 3 2 2 4 2" xfId="8921"/>
    <cellStyle name="백분율 3 3 3 2 2 4 2 2" xfId="25625"/>
    <cellStyle name="백분율 3 3 3 2 2 4 3" xfId="14489"/>
    <cellStyle name="백분율 3 3 3 2 2 4 3 2" xfId="31193"/>
    <cellStyle name="백분율 3 3 3 2 2 4 4" xfId="20057"/>
    <cellStyle name="백분율 3 3 3 2 2 5" xfId="6137"/>
    <cellStyle name="백분율 3 3 3 2 2 5 2" xfId="22841"/>
    <cellStyle name="백분율 3 3 3 2 2 6" xfId="11705"/>
    <cellStyle name="백분율 3 3 3 2 2 6 2" xfId="28409"/>
    <cellStyle name="백분율 3 3 3 2 2 7" xfId="17273"/>
    <cellStyle name="백분율 3 3 3 2 3" xfId="801"/>
    <cellStyle name="백분율 3 3 3 2 3 2" xfId="1497"/>
    <cellStyle name="백분율 3 3 3 2 3 2 2" xfId="2889"/>
    <cellStyle name="백분율 3 3 3 2 3 2 2 2" xfId="5673"/>
    <cellStyle name="백분율 3 3 3 2 3 2 2 2 2" xfId="11241"/>
    <cellStyle name="백분율 3 3 3 2 3 2 2 2 2 2" xfId="27945"/>
    <cellStyle name="백분율 3 3 3 2 3 2 2 2 3" xfId="16809"/>
    <cellStyle name="백분율 3 3 3 2 3 2 2 2 3 2" xfId="33513"/>
    <cellStyle name="백분율 3 3 3 2 3 2 2 2 4" xfId="22377"/>
    <cellStyle name="백분율 3 3 3 2 3 2 2 3" xfId="8457"/>
    <cellStyle name="백분율 3 3 3 2 3 2 2 3 2" xfId="25161"/>
    <cellStyle name="백분율 3 3 3 2 3 2 2 4" xfId="14025"/>
    <cellStyle name="백분율 3 3 3 2 3 2 2 4 2" xfId="30729"/>
    <cellStyle name="백분율 3 3 3 2 3 2 2 5" xfId="19593"/>
    <cellStyle name="백분율 3 3 3 2 3 2 3" xfId="4281"/>
    <cellStyle name="백분율 3 3 3 2 3 2 3 2" xfId="9849"/>
    <cellStyle name="백분율 3 3 3 2 3 2 3 2 2" xfId="26553"/>
    <cellStyle name="백분율 3 3 3 2 3 2 3 3" xfId="15417"/>
    <cellStyle name="백분율 3 3 3 2 3 2 3 3 2" xfId="32121"/>
    <cellStyle name="백분율 3 3 3 2 3 2 3 4" xfId="20985"/>
    <cellStyle name="백분율 3 3 3 2 3 2 4" xfId="7065"/>
    <cellStyle name="백분율 3 3 3 2 3 2 4 2" xfId="23769"/>
    <cellStyle name="백분율 3 3 3 2 3 2 5" xfId="12633"/>
    <cellStyle name="백분율 3 3 3 2 3 2 5 2" xfId="29337"/>
    <cellStyle name="백분율 3 3 3 2 3 2 6" xfId="18201"/>
    <cellStyle name="백분율 3 3 3 2 3 3" xfId="2193"/>
    <cellStyle name="백분율 3 3 3 2 3 3 2" xfId="4977"/>
    <cellStyle name="백분율 3 3 3 2 3 3 2 2" xfId="10545"/>
    <cellStyle name="백분율 3 3 3 2 3 3 2 2 2" xfId="27249"/>
    <cellStyle name="백분율 3 3 3 2 3 3 2 3" xfId="16113"/>
    <cellStyle name="백분율 3 3 3 2 3 3 2 3 2" xfId="32817"/>
    <cellStyle name="백분율 3 3 3 2 3 3 2 4" xfId="21681"/>
    <cellStyle name="백분율 3 3 3 2 3 3 3" xfId="7761"/>
    <cellStyle name="백분율 3 3 3 2 3 3 3 2" xfId="24465"/>
    <cellStyle name="백분율 3 3 3 2 3 3 4" xfId="13329"/>
    <cellStyle name="백분율 3 3 3 2 3 3 4 2" xfId="30033"/>
    <cellStyle name="백분율 3 3 3 2 3 3 5" xfId="18897"/>
    <cellStyle name="백분율 3 3 3 2 3 4" xfId="3585"/>
    <cellStyle name="백분율 3 3 3 2 3 4 2" xfId="9153"/>
    <cellStyle name="백분율 3 3 3 2 3 4 2 2" xfId="25857"/>
    <cellStyle name="백분율 3 3 3 2 3 4 3" xfId="14721"/>
    <cellStyle name="백분율 3 3 3 2 3 4 3 2" xfId="31425"/>
    <cellStyle name="백분율 3 3 3 2 3 4 4" xfId="20289"/>
    <cellStyle name="백분율 3 3 3 2 3 5" xfId="6369"/>
    <cellStyle name="백분율 3 3 3 2 3 5 2" xfId="23073"/>
    <cellStyle name="백분율 3 3 3 2 3 6" xfId="11937"/>
    <cellStyle name="백분율 3 3 3 2 3 6 2" xfId="28641"/>
    <cellStyle name="백분율 3 3 3 2 3 7" xfId="17505"/>
    <cellStyle name="백분율 3 3 3 2 4" xfId="1033"/>
    <cellStyle name="백분율 3 3 3 2 4 2" xfId="2425"/>
    <cellStyle name="백분율 3 3 3 2 4 2 2" xfId="5209"/>
    <cellStyle name="백분율 3 3 3 2 4 2 2 2" xfId="10777"/>
    <cellStyle name="백분율 3 3 3 2 4 2 2 2 2" xfId="27481"/>
    <cellStyle name="백분율 3 3 3 2 4 2 2 3" xfId="16345"/>
    <cellStyle name="백분율 3 3 3 2 4 2 2 3 2" xfId="33049"/>
    <cellStyle name="백분율 3 3 3 2 4 2 2 4" xfId="21913"/>
    <cellStyle name="백분율 3 3 3 2 4 2 3" xfId="7993"/>
    <cellStyle name="백분율 3 3 3 2 4 2 3 2" xfId="24697"/>
    <cellStyle name="백분율 3 3 3 2 4 2 4" xfId="13561"/>
    <cellStyle name="백분율 3 3 3 2 4 2 4 2" xfId="30265"/>
    <cellStyle name="백분율 3 3 3 2 4 2 5" xfId="19129"/>
    <cellStyle name="백분율 3 3 3 2 4 3" xfId="3817"/>
    <cellStyle name="백분율 3 3 3 2 4 3 2" xfId="9385"/>
    <cellStyle name="백분율 3 3 3 2 4 3 2 2" xfId="26089"/>
    <cellStyle name="백분율 3 3 3 2 4 3 3" xfId="14953"/>
    <cellStyle name="백분율 3 3 3 2 4 3 3 2" xfId="31657"/>
    <cellStyle name="백분율 3 3 3 2 4 3 4" xfId="20521"/>
    <cellStyle name="백분율 3 3 3 2 4 4" xfId="6601"/>
    <cellStyle name="백분율 3 3 3 2 4 4 2" xfId="23305"/>
    <cellStyle name="백분율 3 3 3 2 4 5" xfId="12169"/>
    <cellStyle name="백분율 3 3 3 2 4 5 2" xfId="28873"/>
    <cellStyle name="백분율 3 3 3 2 4 6" xfId="17737"/>
    <cellStyle name="백분율 3 3 3 2 5" xfId="1729"/>
    <cellStyle name="백분율 3 3 3 2 5 2" xfId="4513"/>
    <cellStyle name="백분율 3 3 3 2 5 2 2" xfId="10081"/>
    <cellStyle name="백분율 3 3 3 2 5 2 2 2" xfId="26785"/>
    <cellStyle name="백분율 3 3 3 2 5 2 3" xfId="15649"/>
    <cellStyle name="백분율 3 3 3 2 5 2 3 2" xfId="32353"/>
    <cellStyle name="백분율 3 3 3 2 5 2 4" xfId="21217"/>
    <cellStyle name="백분율 3 3 3 2 5 3" xfId="7297"/>
    <cellStyle name="백분율 3 3 3 2 5 3 2" xfId="24001"/>
    <cellStyle name="백분율 3 3 3 2 5 4" xfId="12865"/>
    <cellStyle name="백분율 3 3 3 2 5 4 2" xfId="29569"/>
    <cellStyle name="백분율 3 3 3 2 5 5" xfId="18433"/>
    <cellStyle name="백분율 3 3 3 2 6" xfId="3121"/>
    <cellStyle name="백분율 3 3 3 2 6 2" xfId="8689"/>
    <cellStyle name="백분율 3 3 3 2 6 2 2" xfId="25393"/>
    <cellStyle name="백분율 3 3 3 2 6 3" xfId="14257"/>
    <cellStyle name="백분율 3 3 3 2 6 3 2" xfId="30961"/>
    <cellStyle name="백분율 3 3 3 2 6 4" xfId="19825"/>
    <cellStyle name="백분율 3 3 3 2 7" xfId="5905"/>
    <cellStyle name="백분율 3 3 3 2 7 2" xfId="22609"/>
    <cellStyle name="백분율 3 3 3 2 8" xfId="11473"/>
    <cellStyle name="백분율 3 3 3 2 8 2" xfId="28177"/>
    <cellStyle name="백분율 3 3 3 2 9" xfId="17041"/>
    <cellStyle name="백분율 3 3 3 3" xfId="453"/>
    <cellStyle name="백분율 3 3 3 3 2" xfId="1149"/>
    <cellStyle name="백분율 3 3 3 3 2 2" xfId="2541"/>
    <cellStyle name="백분율 3 3 3 3 2 2 2" xfId="5325"/>
    <cellStyle name="백분율 3 3 3 3 2 2 2 2" xfId="10893"/>
    <cellStyle name="백분율 3 3 3 3 2 2 2 2 2" xfId="27597"/>
    <cellStyle name="백분율 3 3 3 3 2 2 2 3" xfId="16461"/>
    <cellStyle name="백분율 3 3 3 3 2 2 2 3 2" xfId="33165"/>
    <cellStyle name="백분율 3 3 3 3 2 2 2 4" xfId="22029"/>
    <cellStyle name="백분율 3 3 3 3 2 2 3" xfId="8109"/>
    <cellStyle name="백분율 3 3 3 3 2 2 3 2" xfId="24813"/>
    <cellStyle name="백분율 3 3 3 3 2 2 4" xfId="13677"/>
    <cellStyle name="백분율 3 3 3 3 2 2 4 2" xfId="30381"/>
    <cellStyle name="백분율 3 3 3 3 2 2 5" xfId="19245"/>
    <cellStyle name="백분율 3 3 3 3 2 3" xfId="3933"/>
    <cellStyle name="백분율 3 3 3 3 2 3 2" xfId="9501"/>
    <cellStyle name="백분율 3 3 3 3 2 3 2 2" xfId="26205"/>
    <cellStyle name="백분율 3 3 3 3 2 3 3" xfId="15069"/>
    <cellStyle name="백분율 3 3 3 3 2 3 3 2" xfId="31773"/>
    <cellStyle name="백분율 3 3 3 3 2 3 4" xfId="20637"/>
    <cellStyle name="백분율 3 3 3 3 2 4" xfId="6717"/>
    <cellStyle name="백분율 3 3 3 3 2 4 2" xfId="23421"/>
    <cellStyle name="백분율 3 3 3 3 2 5" xfId="12285"/>
    <cellStyle name="백분율 3 3 3 3 2 5 2" xfId="28989"/>
    <cellStyle name="백분율 3 3 3 3 2 6" xfId="17853"/>
    <cellStyle name="백분율 3 3 3 3 3" xfId="1845"/>
    <cellStyle name="백분율 3 3 3 3 3 2" xfId="4629"/>
    <cellStyle name="백분율 3 3 3 3 3 2 2" xfId="10197"/>
    <cellStyle name="백분율 3 3 3 3 3 2 2 2" xfId="26901"/>
    <cellStyle name="백분율 3 3 3 3 3 2 3" xfId="15765"/>
    <cellStyle name="백분율 3 3 3 3 3 2 3 2" xfId="32469"/>
    <cellStyle name="백분율 3 3 3 3 3 2 4" xfId="21333"/>
    <cellStyle name="백분율 3 3 3 3 3 3" xfId="7413"/>
    <cellStyle name="백분율 3 3 3 3 3 3 2" xfId="24117"/>
    <cellStyle name="백분율 3 3 3 3 3 4" xfId="12981"/>
    <cellStyle name="백분율 3 3 3 3 3 4 2" xfId="29685"/>
    <cellStyle name="백분율 3 3 3 3 3 5" xfId="18549"/>
    <cellStyle name="백분율 3 3 3 3 4" xfId="3237"/>
    <cellStyle name="백분율 3 3 3 3 4 2" xfId="8805"/>
    <cellStyle name="백분율 3 3 3 3 4 2 2" xfId="25509"/>
    <cellStyle name="백분율 3 3 3 3 4 3" xfId="14373"/>
    <cellStyle name="백분율 3 3 3 3 4 3 2" xfId="31077"/>
    <cellStyle name="백분율 3 3 3 3 4 4" xfId="19941"/>
    <cellStyle name="백분율 3 3 3 3 5" xfId="6021"/>
    <cellStyle name="백분율 3 3 3 3 5 2" xfId="22725"/>
    <cellStyle name="백분율 3 3 3 3 6" xfId="11589"/>
    <cellStyle name="백분율 3 3 3 3 6 2" xfId="28293"/>
    <cellStyle name="백분율 3 3 3 3 7" xfId="17157"/>
    <cellStyle name="백분율 3 3 3 4" xfId="685"/>
    <cellStyle name="백분율 3 3 3 4 2" xfId="1381"/>
    <cellStyle name="백분율 3 3 3 4 2 2" xfId="2773"/>
    <cellStyle name="백분율 3 3 3 4 2 2 2" xfId="5557"/>
    <cellStyle name="백분율 3 3 3 4 2 2 2 2" xfId="11125"/>
    <cellStyle name="백분율 3 3 3 4 2 2 2 2 2" xfId="27829"/>
    <cellStyle name="백분율 3 3 3 4 2 2 2 3" xfId="16693"/>
    <cellStyle name="백분율 3 3 3 4 2 2 2 3 2" xfId="33397"/>
    <cellStyle name="백분율 3 3 3 4 2 2 2 4" xfId="22261"/>
    <cellStyle name="백분율 3 3 3 4 2 2 3" xfId="8341"/>
    <cellStyle name="백분율 3 3 3 4 2 2 3 2" xfId="25045"/>
    <cellStyle name="백분율 3 3 3 4 2 2 4" xfId="13909"/>
    <cellStyle name="백분율 3 3 3 4 2 2 4 2" xfId="30613"/>
    <cellStyle name="백분율 3 3 3 4 2 2 5" xfId="19477"/>
    <cellStyle name="백분율 3 3 3 4 2 3" xfId="4165"/>
    <cellStyle name="백분율 3 3 3 4 2 3 2" xfId="9733"/>
    <cellStyle name="백분율 3 3 3 4 2 3 2 2" xfId="26437"/>
    <cellStyle name="백분율 3 3 3 4 2 3 3" xfId="15301"/>
    <cellStyle name="백분율 3 3 3 4 2 3 3 2" xfId="32005"/>
    <cellStyle name="백분율 3 3 3 4 2 3 4" xfId="20869"/>
    <cellStyle name="백분율 3 3 3 4 2 4" xfId="6949"/>
    <cellStyle name="백분율 3 3 3 4 2 4 2" xfId="23653"/>
    <cellStyle name="백분율 3 3 3 4 2 5" xfId="12517"/>
    <cellStyle name="백분율 3 3 3 4 2 5 2" xfId="29221"/>
    <cellStyle name="백분율 3 3 3 4 2 6" xfId="18085"/>
    <cellStyle name="백분율 3 3 3 4 3" xfId="2077"/>
    <cellStyle name="백분율 3 3 3 4 3 2" xfId="4861"/>
    <cellStyle name="백분율 3 3 3 4 3 2 2" xfId="10429"/>
    <cellStyle name="백분율 3 3 3 4 3 2 2 2" xfId="27133"/>
    <cellStyle name="백분율 3 3 3 4 3 2 3" xfId="15997"/>
    <cellStyle name="백분율 3 3 3 4 3 2 3 2" xfId="32701"/>
    <cellStyle name="백분율 3 3 3 4 3 2 4" xfId="21565"/>
    <cellStyle name="백분율 3 3 3 4 3 3" xfId="7645"/>
    <cellStyle name="백분율 3 3 3 4 3 3 2" xfId="24349"/>
    <cellStyle name="백분율 3 3 3 4 3 4" xfId="13213"/>
    <cellStyle name="백분율 3 3 3 4 3 4 2" xfId="29917"/>
    <cellStyle name="백분율 3 3 3 4 3 5" xfId="18781"/>
    <cellStyle name="백분율 3 3 3 4 4" xfId="3469"/>
    <cellStyle name="백분율 3 3 3 4 4 2" xfId="9037"/>
    <cellStyle name="백분율 3 3 3 4 4 2 2" xfId="25741"/>
    <cellStyle name="백분율 3 3 3 4 4 3" xfId="14605"/>
    <cellStyle name="백분율 3 3 3 4 4 3 2" xfId="31309"/>
    <cellStyle name="백분율 3 3 3 4 4 4" xfId="20173"/>
    <cellStyle name="백분율 3 3 3 4 5" xfId="6253"/>
    <cellStyle name="백분율 3 3 3 4 5 2" xfId="22957"/>
    <cellStyle name="백분율 3 3 3 4 6" xfId="11821"/>
    <cellStyle name="백분율 3 3 3 4 6 2" xfId="28525"/>
    <cellStyle name="백분율 3 3 3 4 7" xfId="17389"/>
    <cellStyle name="백분율 3 3 3 5" xfId="917"/>
    <cellStyle name="백분율 3 3 3 5 2" xfId="2309"/>
    <cellStyle name="백분율 3 3 3 5 2 2" xfId="5093"/>
    <cellStyle name="백분율 3 3 3 5 2 2 2" xfId="10661"/>
    <cellStyle name="백분율 3 3 3 5 2 2 2 2" xfId="27365"/>
    <cellStyle name="백분율 3 3 3 5 2 2 3" xfId="16229"/>
    <cellStyle name="백분율 3 3 3 5 2 2 3 2" xfId="32933"/>
    <cellStyle name="백분율 3 3 3 5 2 2 4" xfId="21797"/>
    <cellStyle name="백분율 3 3 3 5 2 3" xfId="7877"/>
    <cellStyle name="백분율 3 3 3 5 2 3 2" xfId="24581"/>
    <cellStyle name="백분율 3 3 3 5 2 4" xfId="13445"/>
    <cellStyle name="백분율 3 3 3 5 2 4 2" xfId="30149"/>
    <cellStyle name="백분율 3 3 3 5 2 5" xfId="19013"/>
    <cellStyle name="백분율 3 3 3 5 3" xfId="3701"/>
    <cellStyle name="백분율 3 3 3 5 3 2" xfId="9269"/>
    <cellStyle name="백분율 3 3 3 5 3 2 2" xfId="25973"/>
    <cellStyle name="백분율 3 3 3 5 3 3" xfId="14837"/>
    <cellStyle name="백분율 3 3 3 5 3 3 2" xfId="31541"/>
    <cellStyle name="백분율 3 3 3 5 3 4" xfId="20405"/>
    <cellStyle name="백분율 3 3 3 5 4" xfId="6485"/>
    <cellStyle name="백분율 3 3 3 5 4 2" xfId="23189"/>
    <cellStyle name="백분율 3 3 3 5 5" xfId="12053"/>
    <cellStyle name="백분율 3 3 3 5 5 2" xfId="28757"/>
    <cellStyle name="백분율 3 3 3 5 6" xfId="17621"/>
    <cellStyle name="백분율 3 3 3 6" xfId="1613"/>
    <cellStyle name="백분율 3 3 3 6 2" xfId="4397"/>
    <cellStyle name="백분율 3 3 3 6 2 2" xfId="9965"/>
    <cellStyle name="백분율 3 3 3 6 2 2 2" xfId="26669"/>
    <cellStyle name="백분율 3 3 3 6 2 3" xfId="15533"/>
    <cellStyle name="백분율 3 3 3 6 2 3 2" xfId="32237"/>
    <cellStyle name="백분율 3 3 3 6 2 4" xfId="21101"/>
    <cellStyle name="백분율 3 3 3 6 3" xfId="7181"/>
    <cellStyle name="백분율 3 3 3 6 3 2" xfId="23885"/>
    <cellStyle name="백분율 3 3 3 6 4" xfId="12749"/>
    <cellStyle name="백분율 3 3 3 6 4 2" xfId="29453"/>
    <cellStyle name="백분율 3 3 3 6 5" xfId="18317"/>
    <cellStyle name="백분율 3 3 3 7" xfId="3005"/>
    <cellStyle name="백분율 3 3 3 7 2" xfId="8573"/>
    <cellStyle name="백분율 3 3 3 7 2 2" xfId="25277"/>
    <cellStyle name="백분율 3 3 3 7 3" xfId="14141"/>
    <cellStyle name="백분율 3 3 3 7 3 2" xfId="30845"/>
    <cellStyle name="백분율 3 3 3 7 4" xfId="19709"/>
    <cellStyle name="백분율 3 3 3 8" xfId="5789"/>
    <cellStyle name="백분율 3 3 3 8 2" xfId="22493"/>
    <cellStyle name="백분율 3 3 3 9" xfId="11357"/>
    <cellStyle name="백분율 3 3 3 9 2" xfId="28061"/>
    <cellStyle name="백분율 3 3 4" xfId="279"/>
    <cellStyle name="백분율 3 3 4 2" xfId="511"/>
    <cellStyle name="백분율 3 3 4 2 2" xfId="1207"/>
    <cellStyle name="백분율 3 3 4 2 2 2" xfId="2599"/>
    <cellStyle name="백분율 3 3 4 2 2 2 2" xfId="5383"/>
    <cellStyle name="백분율 3 3 4 2 2 2 2 2" xfId="10951"/>
    <cellStyle name="백분율 3 3 4 2 2 2 2 2 2" xfId="27655"/>
    <cellStyle name="백분율 3 3 4 2 2 2 2 3" xfId="16519"/>
    <cellStyle name="백분율 3 3 4 2 2 2 2 3 2" xfId="33223"/>
    <cellStyle name="백분율 3 3 4 2 2 2 2 4" xfId="22087"/>
    <cellStyle name="백분율 3 3 4 2 2 2 3" xfId="8167"/>
    <cellStyle name="백분율 3 3 4 2 2 2 3 2" xfId="24871"/>
    <cellStyle name="백분율 3 3 4 2 2 2 4" xfId="13735"/>
    <cellStyle name="백분율 3 3 4 2 2 2 4 2" xfId="30439"/>
    <cellStyle name="백분율 3 3 4 2 2 2 5" xfId="19303"/>
    <cellStyle name="백분율 3 3 4 2 2 3" xfId="3991"/>
    <cellStyle name="백분율 3 3 4 2 2 3 2" xfId="9559"/>
    <cellStyle name="백분율 3 3 4 2 2 3 2 2" xfId="26263"/>
    <cellStyle name="백분율 3 3 4 2 2 3 3" xfId="15127"/>
    <cellStyle name="백분율 3 3 4 2 2 3 3 2" xfId="31831"/>
    <cellStyle name="백분율 3 3 4 2 2 3 4" xfId="20695"/>
    <cellStyle name="백분율 3 3 4 2 2 4" xfId="6775"/>
    <cellStyle name="백분율 3 3 4 2 2 4 2" xfId="23479"/>
    <cellStyle name="백분율 3 3 4 2 2 5" xfId="12343"/>
    <cellStyle name="백분율 3 3 4 2 2 5 2" xfId="29047"/>
    <cellStyle name="백분율 3 3 4 2 2 6" xfId="17911"/>
    <cellStyle name="백분율 3 3 4 2 3" xfId="1903"/>
    <cellStyle name="백분율 3 3 4 2 3 2" xfId="4687"/>
    <cellStyle name="백분율 3 3 4 2 3 2 2" xfId="10255"/>
    <cellStyle name="백분율 3 3 4 2 3 2 2 2" xfId="26959"/>
    <cellStyle name="백분율 3 3 4 2 3 2 3" xfId="15823"/>
    <cellStyle name="백분율 3 3 4 2 3 2 3 2" xfId="32527"/>
    <cellStyle name="백분율 3 3 4 2 3 2 4" xfId="21391"/>
    <cellStyle name="백분율 3 3 4 2 3 3" xfId="7471"/>
    <cellStyle name="백분율 3 3 4 2 3 3 2" xfId="24175"/>
    <cellStyle name="백분율 3 3 4 2 3 4" xfId="13039"/>
    <cellStyle name="백분율 3 3 4 2 3 4 2" xfId="29743"/>
    <cellStyle name="백분율 3 3 4 2 3 5" xfId="18607"/>
    <cellStyle name="백분율 3 3 4 2 4" xfId="3295"/>
    <cellStyle name="백분율 3 3 4 2 4 2" xfId="8863"/>
    <cellStyle name="백분율 3 3 4 2 4 2 2" xfId="25567"/>
    <cellStyle name="백분율 3 3 4 2 4 3" xfId="14431"/>
    <cellStyle name="백분율 3 3 4 2 4 3 2" xfId="31135"/>
    <cellStyle name="백분율 3 3 4 2 4 4" xfId="19999"/>
    <cellStyle name="백분율 3 3 4 2 5" xfId="6079"/>
    <cellStyle name="백분율 3 3 4 2 5 2" xfId="22783"/>
    <cellStyle name="백분율 3 3 4 2 6" xfId="11647"/>
    <cellStyle name="백분율 3 3 4 2 6 2" xfId="28351"/>
    <cellStyle name="백분율 3 3 4 2 7" xfId="17215"/>
    <cellStyle name="백분율 3 3 4 3" xfId="743"/>
    <cellStyle name="백분율 3 3 4 3 2" xfId="1439"/>
    <cellStyle name="백분율 3 3 4 3 2 2" xfId="2831"/>
    <cellStyle name="백분율 3 3 4 3 2 2 2" xfId="5615"/>
    <cellStyle name="백분율 3 3 4 3 2 2 2 2" xfId="11183"/>
    <cellStyle name="백분율 3 3 4 3 2 2 2 2 2" xfId="27887"/>
    <cellStyle name="백분율 3 3 4 3 2 2 2 3" xfId="16751"/>
    <cellStyle name="백분율 3 3 4 3 2 2 2 3 2" xfId="33455"/>
    <cellStyle name="백분율 3 3 4 3 2 2 2 4" xfId="22319"/>
    <cellStyle name="백분율 3 3 4 3 2 2 3" xfId="8399"/>
    <cellStyle name="백분율 3 3 4 3 2 2 3 2" xfId="25103"/>
    <cellStyle name="백분율 3 3 4 3 2 2 4" xfId="13967"/>
    <cellStyle name="백분율 3 3 4 3 2 2 4 2" xfId="30671"/>
    <cellStyle name="백분율 3 3 4 3 2 2 5" xfId="19535"/>
    <cellStyle name="백분율 3 3 4 3 2 3" xfId="4223"/>
    <cellStyle name="백분율 3 3 4 3 2 3 2" xfId="9791"/>
    <cellStyle name="백분율 3 3 4 3 2 3 2 2" xfId="26495"/>
    <cellStyle name="백분율 3 3 4 3 2 3 3" xfId="15359"/>
    <cellStyle name="백분율 3 3 4 3 2 3 3 2" xfId="32063"/>
    <cellStyle name="백분율 3 3 4 3 2 3 4" xfId="20927"/>
    <cellStyle name="백분율 3 3 4 3 2 4" xfId="7007"/>
    <cellStyle name="백분율 3 3 4 3 2 4 2" xfId="23711"/>
    <cellStyle name="백분율 3 3 4 3 2 5" xfId="12575"/>
    <cellStyle name="백분율 3 3 4 3 2 5 2" xfId="29279"/>
    <cellStyle name="백분율 3 3 4 3 2 6" xfId="18143"/>
    <cellStyle name="백분율 3 3 4 3 3" xfId="2135"/>
    <cellStyle name="백분율 3 3 4 3 3 2" xfId="4919"/>
    <cellStyle name="백분율 3 3 4 3 3 2 2" xfId="10487"/>
    <cellStyle name="백분율 3 3 4 3 3 2 2 2" xfId="27191"/>
    <cellStyle name="백분율 3 3 4 3 3 2 3" xfId="16055"/>
    <cellStyle name="백분율 3 3 4 3 3 2 3 2" xfId="32759"/>
    <cellStyle name="백분율 3 3 4 3 3 2 4" xfId="21623"/>
    <cellStyle name="백분율 3 3 4 3 3 3" xfId="7703"/>
    <cellStyle name="백분율 3 3 4 3 3 3 2" xfId="24407"/>
    <cellStyle name="백분율 3 3 4 3 3 4" xfId="13271"/>
    <cellStyle name="백분율 3 3 4 3 3 4 2" xfId="29975"/>
    <cellStyle name="백분율 3 3 4 3 3 5" xfId="18839"/>
    <cellStyle name="백분율 3 3 4 3 4" xfId="3527"/>
    <cellStyle name="백분율 3 3 4 3 4 2" xfId="9095"/>
    <cellStyle name="백분율 3 3 4 3 4 2 2" xfId="25799"/>
    <cellStyle name="백분율 3 3 4 3 4 3" xfId="14663"/>
    <cellStyle name="백분율 3 3 4 3 4 3 2" xfId="31367"/>
    <cellStyle name="백분율 3 3 4 3 4 4" xfId="20231"/>
    <cellStyle name="백분율 3 3 4 3 5" xfId="6311"/>
    <cellStyle name="백분율 3 3 4 3 5 2" xfId="23015"/>
    <cellStyle name="백분율 3 3 4 3 6" xfId="11879"/>
    <cellStyle name="백분율 3 3 4 3 6 2" xfId="28583"/>
    <cellStyle name="백분율 3 3 4 3 7" xfId="17447"/>
    <cellStyle name="백분율 3 3 4 4" xfId="975"/>
    <cellStyle name="백분율 3 3 4 4 2" xfId="2367"/>
    <cellStyle name="백분율 3 3 4 4 2 2" xfId="5151"/>
    <cellStyle name="백분율 3 3 4 4 2 2 2" xfId="10719"/>
    <cellStyle name="백분율 3 3 4 4 2 2 2 2" xfId="27423"/>
    <cellStyle name="백분율 3 3 4 4 2 2 3" xfId="16287"/>
    <cellStyle name="백분율 3 3 4 4 2 2 3 2" xfId="32991"/>
    <cellStyle name="백분율 3 3 4 4 2 2 4" xfId="21855"/>
    <cellStyle name="백분율 3 3 4 4 2 3" xfId="7935"/>
    <cellStyle name="백분율 3 3 4 4 2 3 2" xfId="24639"/>
    <cellStyle name="백분율 3 3 4 4 2 4" xfId="13503"/>
    <cellStyle name="백분율 3 3 4 4 2 4 2" xfId="30207"/>
    <cellStyle name="백분율 3 3 4 4 2 5" xfId="19071"/>
    <cellStyle name="백분율 3 3 4 4 3" xfId="3759"/>
    <cellStyle name="백분율 3 3 4 4 3 2" xfId="9327"/>
    <cellStyle name="백분율 3 3 4 4 3 2 2" xfId="26031"/>
    <cellStyle name="백분율 3 3 4 4 3 3" xfId="14895"/>
    <cellStyle name="백분율 3 3 4 4 3 3 2" xfId="31599"/>
    <cellStyle name="백분율 3 3 4 4 3 4" xfId="20463"/>
    <cellStyle name="백분율 3 3 4 4 4" xfId="6543"/>
    <cellStyle name="백분율 3 3 4 4 4 2" xfId="23247"/>
    <cellStyle name="백분율 3 3 4 4 5" xfId="12111"/>
    <cellStyle name="백분율 3 3 4 4 5 2" xfId="28815"/>
    <cellStyle name="백분율 3 3 4 4 6" xfId="17679"/>
    <cellStyle name="백분율 3 3 4 5" xfId="1671"/>
    <cellStyle name="백분율 3 3 4 5 2" xfId="4455"/>
    <cellStyle name="백분율 3 3 4 5 2 2" xfId="10023"/>
    <cellStyle name="백분율 3 3 4 5 2 2 2" xfId="26727"/>
    <cellStyle name="백분율 3 3 4 5 2 3" xfId="15591"/>
    <cellStyle name="백분율 3 3 4 5 2 3 2" xfId="32295"/>
    <cellStyle name="백분율 3 3 4 5 2 4" xfId="21159"/>
    <cellStyle name="백분율 3 3 4 5 3" xfId="7239"/>
    <cellStyle name="백분율 3 3 4 5 3 2" xfId="23943"/>
    <cellStyle name="백분율 3 3 4 5 4" xfId="12807"/>
    <cellStyle name="백분율 3 3 4 5 4 2" xfId="29511"/>
    <cellStyle name="백분율 3 3 4 5 5" xfId="18375"/>
    <cellStyle name="백분율 3 3 4 6" xfId="3063"/>
    <cellStyle name="백분율 3 3 4 6 2" xfId="8631"/>
    <cellStyle name="백분율 3 3 4 6 2 2" xfId="25335"/>
    <cellStyle name="백분율 3 3 4 6 3" xfId="14199"/>
    <cellStyle name="백분율 3 3 4 6 3 2" xfId="30903"/>
    <cellStyle name="백분율 3 3 4 6 4" xfId="19767"/>
    <cellStyle name="백분율 3 3 4 7" xfId="5847"/>
    <cellStyle name="백분율 3 3 4 7 2" xfId="22551"/>
    <cellStyle name="백분율 3 3 4 8" xfId="11415"/>
    <cellStyle name="백분율 3 3 4 8 2" xfId="28119"/>
    <cellStyle name="백분율 3 3 4 9" xfId="16983"/>
    <cellStyle name="백분율 3 3 5" xfId="395"/>
    <cellStyle name="백분율 3 3 5 2" xfId="1091"/>
    <cellStyle name="백분율 3 3 5 2 2" xfId="2483"/>
    <cellStyle name="백분율 3 3 5 2 2 2" xfId="5267"/>
    <cellStyle name="백분율 3 3 5 2 2 2 2" xfId="10835"/>
    <cellStyle name="백분율 3 3 5 2 2 2 2 2" xfId="27539"/>
    <cellStyle name="백분율 3 3 5 2 2 2 3" xfId="16403"/>
    <cellStyle name="백분율 3 3 5 2 2 2 3 2" xfId="33107"/>
    <cellStyle name="백분율 3 3 5 2 2 2 4" xfId="21971"/>
    <cellStyle name="백분율 3 3 5 2 2 3" xfId="8051"/>
    <cellStyle name="백분율 3 3 5 2 2 3 2" xfId="24755"/>
    <cellStyle name="백분율 3 3 5 2 2 4" xfId="13619"/>
    <cellStyle name="백분율 3 3 5 2 2 4 2" xfId="30323"/>
    <cellStyle name="백분율 3 3 5 2 2 5" xfId="19187"/>
    <cellStyle name="백분율 3 3 5 2 3" xfId="3875"/>
    <cellStyle name="백분율 3 3 5 2 3 2" xfId="9443"/>
    <cellStyle name="백분율 3 3 5 2 3 2 2" xfId="26147"/>
    <cellStyle name="백분율 3 3 5 2 3 3" xfId="15011"/>
    <cellStyle name="백분율 3 3 5 2 3 3 2" xfId="31715"/>
    <cellStyle name="백분율 3 3 5 2 3 4" xfId="20579"/>
    <cellStyle name="백분율 3 3 5 2 4" xfId="6659"/>
    <cellStyle name="백분율 3 3 5 2 4 2" xfId="23363"/>
    <cellStyle name="백분율 3 3 5 2 5" xfId="12227"/>
    <cellStyle name="백분율 3 3 5 2 5 2" xfId="28931"/>
    <cellStyle name="백분율 3 3 5 2 6" xfId="17795"/>
    <cellStyle name="백분율 3 3 5 3" xfId="1787"/>
    <cellStyle name="백분율 3 3 5 3 2" xfId="4571"/>
    <cellStyle name="백분율 3 3 5 3 2 2" xfId="10139"/>
    <cellStyle name="백분율 3 3 5 3 2 2 2" xfId="26843"/>
    <cellStyle name="백분율 3 3 5 3 2 3" xfId="15707"/>
    <cellStyle name="백분율 3 3 5 3 2 3 2" xfId="32411"/>
    <cellStyle name="백분율 3 3 5 3 2 4" xfId="21275"/>
    <cellStyle name="백분율 3 3 5 3 3" xfId="7355"/>
    <cellStyle name="백분율 3 3 5 3 3 2" xfId="24059"/>
    <cellStyle name="백분율 3 3 5 3 4" xfId="12923"/>
    <cellStyle name="백분율 3 3 5 3 4 2" xfId="29627"/>
    <cellStyle name="백분율 3 3 5 3 5" xfId="18491"/>
    <cellStyle name="백분율 3 3 5 4" xfId="3179"/>
    <cellStyle name="백분율 3 3 5 4 2" xfId="8747"/>
    <cellStyle name="백분율 3 3 5 4 2 2" xfId="25451"/>
    <cellStyle name="백분율 3 3 5 4 3" xfId="14315"/>
    <cellStyle name="백분율 3 3 5 4 3 2" xfId="31019"/>
    <cellStyle name="백분율 3 3 5 4 4" xfId="19883"/>
    <cellStyle name="백분율 3 3 5 5" xfId="5963"/>
    <cellStyle name="백분율 3 3 5 5 2" xfId="22667"/>
    <cellStyle name="백분율 3 3 5 6" xfId="11531"/>
    <cellStyle name="백분율 3 3 5 6 2" xfId="28235"/>
    <cellStyle name="백분율 3 3 5 7" xfId="17099"/>
    <cellStyle name="백분율 3 3 6" xfId="627"/>
    <cellStyle name="백분율 3 3 6 2" xfId="1323"/>
    <cellStyle name="백분율 3 3 6 2 2" xfId="2715"/>
    <cellStyle name="백분율 3 3 6 2 2 2" xfId="5499"/>
    <cellStyle name="백분율 3 3 6 2 2 2 2" xfId="11067"/>
    <cellStyle name="백분율 3 3 6 2 2 2 2 2" xfId="27771"/>
    <cellStyle name="백분율 3 3 6 2 2 2 3" xfId="16635"/>
    <cellStyle name="백분율 3 3 6 2 2 2 3 2" xfId="33339"/>
    <cellStyle name="백분율 3 3 6 2 2 2 4" xfId="22203"/>
    <cellStyle name="백분율 3 3 6 2 2 3" xfId="8283"/>
    <cellStyle name="백분율 3 3 6 2 2 3 2" xfId="24987"/>
    <cellStyle name="백분율 3 3 6 2 2 4" xfId="13851"/>
    <cellStyle name="백분율 3 3 6 2 2 4 2" xfId="30555"/>
    <cellStyle name="백분율 3 3 6 2 2 5" xfId="19419"/>
    <cellStyle name="백분율 3 3 6 2 3" xfId="4107"/>
    <cellStyle name="백분율 3 3 6 2 3 2" xfId="9675"/>
    <cellStyle name="백분율 3 3 6 2 3 2 2" xfId="26379"/>
    <cellStyle name="백분율 3 3 6 2 3 3" xfId="15243"/>
    <cellStyle name="백분율 3 3 6 2 3 3 2" xfId="31947"/>
    <cellStyle name="백분율 3 3 6 2 3 4" xfId="20811"/>
    <cellStyle name="백분율 3 3 6 2 4" xfId="6891"/>
    <cellStyle name="백분율 3 3 6 2 4 2" xfId="23595"/>
    <cellStyle name="백분율 3 3 6 2 5" xfId="12459"/>
    <cellStyle name="백분율 3 3 6 2 5 2" xfId="29163"/>
    <cellStyle name="백분율 3 3 6 2 6" xfId="18027"/>
    <cellStyle name="백분율 3 3 6 3" xfId="2019"/>
    <cellStyle name="백분율 3 3 6 3 2" xfId="4803"/>
    <cellStyle name="백분율 3 3 6 3 2 2" xfId="10371"/>
    <cellStyle name="백분율 3 3 6 3 2 2 2" xfId="27075"/>
    <cellStyle name="백분율 3 3 6 3 2 3" xfId="15939"/>
    <cellStyle name="백분율 3 3 6 3 2 3 2" xfId="32643"/>
    <cellStyle name="백분율 3 3 6 3 2 4" xfId="21507"/>
    <cellStyle name="백분율 3 3 6 3 3" xfId="7587"/>
    <cellStyle name="백분율 3 3 6 3 3 2" xfId="24291"/>
    <cellStyle name="백분율 3 3 6 3 4" xfId="13155"/>
    <cellStyle name="백분율 3 3 6 3 4 2" xfId="29859"/>
    <cellStyle name="백분율 3 3 6 3 5" xfId="18723"/>
    <cellStyle name="백분율 3 3 6 4" xfId="3411"/>
    <cellStyle name="백분율 3 3 6 4 2" xfId="8979"/>
    <cellStyle name="백분율 3 3 6 4 2 2" xfId="25683"/>
    <cellStyle name="백분율 3 3 6 4 3" xfId="14547"/>
    <cellStyle name="백분율 3 3 6 4 3 2" xfId="31251"/>
    <cellStyle name="백분율 3 3 6 4 4" xfId="20115"/>
    <cellStyle name="백분율 3 3 6 5" xfId="6195"/>
    <cellStyle name="백분율 3 3 6 5 2" xfId="22899"/>
    <cellStyle name="백분율 3 3 6 6" xfId="11763"/>
    <cellStyle name="백분율 3 3 6 6 2" xfId="28467"/>
    <cellStyle name="백분율 3 3 6 7" xfId="17331"/>
    <cellStyle name="백분율 3 3 7" xfId="859"/>
    <cellStyle name="백분율 3 3 7 2" xfId="2251"/>
    <cellStyle name="백분율 3 3 7 2 2" xfId="5035"/>
    <cellStyle name="백분율 3 3 7 2 2 2" xfId="10603"/>
    <cellStyle name="백분율 3 3 7 2 2 2 2" xfId="27307"/>
    <cellStyle name="백분율 3 3 7 2 2 3" xfId="16171"/>
    <cellStyle name="백분율 3 3 7 2 2 3 2" xfId="32875"/>
    <cellStyle name="백분율 3 3 7 2 2 4" xfId="21739"/>
    <cellStyle name="백분율 3 3 7 2 3" xfId="7819"/>
    <cellStyle name="백분율 3 3 7 2 3 2" xfId="24523"/>
    <cellStyle name="백분율 3 3 7 2 4" xfId="13387"/>
    <cellStyle name="백분율 3 3 7 2 4 2" xfId="30091"/>
    <cellStyle name="백분율 3 3 7 2 5" xfId="18955"/>
    <cellStyle name="백분율 3 3 7 3" xfId="3643"/>
    <cellStyle name="백분율 3 3 7 3 2" xfId="9211"/>
    <cellStyle name="백분율 3 3 7 3 2 2" xfId="25915"/>
    <cellStyle name="백분율 3 3 7 3 3" xfId="14779"/>
    <cellStyle name="백분율 3 3 7 3 3 2" xfId="31483"/>
    <cellStyle name="백분율 3 3 7 3 4" xfId="20347"/>
    <cellStyle name="백분율 3 3 7 4" xfId="6427"/>
    <cellStyle name="백분율 3 3 7 4 2" xfId="23131"/>
    <cellStyle name="백분율 3 3 7 5" xfId="11995"/>
    <cellStyle name="백분율 3 3 7 5 2" xfId="28699"/>
    <cellStyle name="백분율 3 3 7 6" xfId="17563"/>
    <cellStyle name="백분율 3 3 8" xfId="1555"/>
    <cellStyle name="백분율 3 3 8 2" xfId="4339"/>
    <cellStyle name="백분율 3 3 8 2 2" xfId="9907"/>
    <cellStyle name="백분율 3 3 8 2 2 2" xfId="26611"/>
    <cellStyle name="백분율 3 3 8 2 3" xfId="15475"/>
    <cellStyle name="백분율 3 3 8 2 3 2" xfId="32179"/>
    <cellStyle name="백분율 3 3 8 2 4" xfId="21043"/>
    <cellStyle name="백분율 3 3 8 3" xfId="7123"/>
    <cellStyle name="백분율 3 3 8 3 2" xfId="23827"/>
    <cellStyle name="백분율 3 3 8 4" xfId="12691"/>
    <cellStyle name="백분율 3 3 8 4 2" xfId="29395"/>
    <cellStyle name="백분율 3 3 8 5" xfId="18259"/>
    <cellStyle name="백분율 3 3 9" xfId="2947"/>
    <cellStyle name="백분율 3 3 9 2" xfId="8515"/>
    <cellStyle name="백분율 3 3 9 2 2" xfId="25219"/>
    <cellStyle name="백분율 3 3 9 3" xfId="14083"/>
    <cellStyle name="백분율 3 3 9 3 2" xfId="30787"/>
    <cellStyle name="백분율 3 3 9 4" xfId="19651"/>
    <cellStyle name="백분율 3 4" xfId="98"/>
    <cellStyle name="백분율 3 4 10" xfId="5716"/>
    <cellStyle name="백분율 3 4 10 2" xfId="22420"/>
    <cellStyle name="백분율 3 4 11" xfId="11284"/>
    <cellStyle name="백분율 3 4 11 2" xfId="27988"/>
    <cellStyle name="백분율 3 4 12" xfId="16852"/>
    <cellStyle name="백분율 3 4 2" xfId="177"/>
    <cellStyle name="백분율 3 4 2 10" xfId="11313"/>
    <cellStyle name="백분율 3 4 2 10 2" xfId="28017"/>
    <cellStyle name="백분율 3 4 2 11" xfId="16881"/>
    <cellStyle name="백분율 3 4 2 2" xfId="235"/>
    <cellStyle name="백분율 3 4 2 2 10" xfId="16939"/>
    <cellStyle name="백분율 3 4 2 2 2" xfId="351"/>
    <cellStyle name="백분율 3 4 2 2 2 2" xfId="583"/>
    <cellStyle name="백분율 3 4 2 2 2 2 2" xfId="1279"/>
    <cellStyle name="백분율 3 4 2 2 2 2 2 2" xfId="2671"/>
    <cellStyle name="백분율 3 4 2 2 2 2 2 2 2" xfId="5455"/>
    <cellStyle name="백분율 3 4 2 2 2 2 2 2 2 2" xfId="11023"/>
    <cellStyle name="백분율 3 4 2 2 2 2 2 2 2 2 2" xfId="27727"/>
    <cellStyle name="백분율 3 4 2 2 2 2 2 2 2 3" xfId="16591"/>
    <cellStyle name="백분율 3 4 2 2 2 2 2 2 2 3 2" xfId="33295"/>
    <cellStyle name="백분율 3 4 2 2 2 2 2 2 2 4" xfId="22159"/>
    <cellStyle name="백분율 3 4 2 2 2 2 2 2 3" xfId="8239"/>
    <cellStyle name="백분율 3 4 2 2 2 2 2 2 3 2" xfId="24943"/>
    <cellStyle name="백분율 3 4 2 2 2 2 2 2 4" xfId="13807"/>
    <cellStyle name="백분율 3 4 2 2 2 2 2 2 4 2" xfId="30511"/>
    <cellStyle name="백분율 3 4 2 2 2 2 2 2 5" xfId="19375"/>
    <cellStyle name="백분율 3 4 2 2 2 2 2 3" xfId="4063"/>
    <cellStyle name="백분율 3 4 2 2 2 2 2 3 2" xfId="9631"/>
    <cellStyle name="백분율 3 4 2 2 2 2 2 3 2 2" xfId="26335"/>
    <cellStyle name="백분율 3 4 2 2 2 2 2 3 3" xfId="15199"/>
    <cellStyle name="백분율 3 4 2 2 2 2 2 3 3 2" xfId="31903"/>
    <cellStyle name="백분율 3 4 2 2 2 2 2 3 4" xfId="20767"/>
    <cellStyle name="백분율 3 4 2 2 2 2 2 4" xfId="6847"/>
    <cellStyle name="백분율 3 4 2 2 2 2 2 4 2" xfId="23551"/>
    <cellStyle name="백분율 3 4 2 2 2 2 2 5" xfId="12415"/>
    <cellStyle name="백분율 3 4 2 2 2 2 2 5 2" xfId="29119"/>
    <cellStyle name="백분율 3 4 2 2 2 2 2 6" xfId="17983"/>
    <cellStyle name="백분율 3 4 2 2 2 2 3" xfId="1975"/>
    <cellStyle name="백분율 3 4 2 2 2 2 3 2" xfId="4759"/>
    <cellStyle name="백분율 3 4 2 2 2 2 3 2 2" xfId="10327"/>
    <cellStyle name="백분율 3 4 2 2 2 2 3 2 2 2" xfId="27031"/>
    <cellStyle name="백분율 3 4 2 2 2 2 3 2 3" xfId="15895"/>
    <cellStyle name="백분율 3 4 2 2 2 2 3 2 3 2" xfId="32599"/>
    <cellStyle name="백분율 3 4 2 2 2 2 3 2 4" xfId="21463"/>
    <cellStyle name="백분율 3 4 2 2 2 2 3 3" xfId="7543"/>
    <cellStyle name="백분율 3 4 2 2 2 2 3 3 2" xfId="24247"/>
    <cellStyle name="백분율 3 4 2 2 2 2 3 4" xfId="13111"/>
    <cellStyle name="백분율 3 4 2 2 2 2 3 4 2" xfId="29815"/>
    <cellStyle name="백분율 3 4 2 2 2 2 3 5" xfId="18679"/>
    <cellStyle name="백분율 3 4 2 2 2 2 4" xfId="3367"/>
    <cellStyle name="백분율 3 4 2 2 2 2 4 2" xfId="8935"/>
    <cellStyle name="백분율 3 4 2 2 2 2 4 2 2" xfId="25639"/>
    <cellStyle name="백분율 3 4 2 2 2 2 4 3" xfId="14503"/>
    <cellStyle name="백분율 3 4 2 2 2 2 4 3 2" xfId="31207"/>
    <cellStyle name="백분율 3 4 2 2 2 2 4 4" xfId="20071"/>
    <cellStyle name="백분율 3 4 2 2 2 2 5" xfId="6151"/>
    <cellStyle name="백분율 3 4 2 2 2 2 5 2" xfId="22855"/>
    <cellStyle name="백분율 3 4 2 2 2 2 6" xfId="11719"/>
    <cellStyle name="백분율 3 4 2 2 2 2 6 2" xfId="28423"/>
    <cellStyle name="백분율 3 4 2 2 2 2 7" xfId="17287"/>
    <cellStyle name="백분율 3 4 2 2 2 3" xfId="815"/>
    <cellStyle name="백분율 3 4 2 2 2 3 2" xfId="1511"/>
    <cellStyle name="백분율 3 4 2 2 2 3 2 2" xfId="2903"/>
    <cellStyle name="백분율 3 4 2 2 2 3 2 2 2" xfId="5687"/>
    <cellStyle name="백분율 3 4 2 2 2 3 2 2 2 2" xfId="11255"/>
    <cellStyle name="백분율 3 4 2 2 2 3 2 2 2 2 2" xfId="27959"/>
    <cellStyle name="백분율 3 4 2 2 2 3 2 2 2 3" xfId="16823"/>
    <cellStyle name="백분율 3 4 2 2 2 3 2 2 2 3 2" xfId="33527"/>
    <cellStyle name="백분율 3 4 2 2 2 3 2 2 2 4" xfId="22391"/>
    <cellStyle name="백분율 3 4 2 2 2 3 2 2 3" xfId="8471"/>
    <cellStyle name="백분율 3 4 2 2 2 3 2 2 3 2" xfId="25175"/>
    <cellStyle name="백분율 3 4 2 2 2 3 2 2 4" xfId="14039"/>
    <cellStyle name="백분율 3 4 2 2 2 3 2 2 4 2" xfId="30743"/>
    <cellStyle name="백분율 3 4 2 2 2 3 2 2 5" xfId="19607"/>
    <cellStyle name="백분율 3 4 2 2 2 3 2 3" xfId="4295"/>
    <cellStyle name="백분율 3 4 2 2 2 3 2 3 2" xfId="9863"/>
    <cellStyle name="백분율 3 4 2 2 2 3 2 3 2 2" xfId="26567"/>
    <cellStyle name="백분율 3 4 2 2 2 3 2 3 3" xfId="15431"/>
    <cellStyle name="백분율 3 4 2 2 2 3 2 3 3 2" xfId="32135"/>
    <cellStyle name="백분율 3 4 2 2 2 3 2 3 4" xfId="20999"/>
    <cellStyle name="백분율 3 4 2 2 2 3 2 4" xfId="7079"/>
    <cellStyle name="백분율 3 4 2 2 2 3 2 4 2" xfId="23783"/>
    <cellStyle name="백분율 3 4 2 2 2 3 2 5" xfId="12647"/>
    <cellStyle name="백분율 3 4 2 2 2 3 2 5 2" xfId="29351"/>
    <cellStyle name="백분율 3 4 2 2 2 3 2 6" xfId="18215"/>
    <cellStyle name="백분율 3 4 2 2 2 3 3" xfId="2207"/>
    <cellStyle name="백분율 3 4 2 2 2 3 3 2" xfId="4991"/>
    <cellStyle name="백분율 3 4 2 2 2 3 3 2 2" xfId="10559"/>
    <cellStyle name="백분율 3 4 2 2 2 3 3 2 2 2" xfId="27263"/>
    <cellStyle name="백분율 3 4 2 2 2 3 3 2 3" xfId="16127"/>
    <cellStyle name="백분율 3 4 2 2 2 3 3 2 3 2" xfId="32831"/>
    <cellStyle name="백분율 3 4 2 2 2 3 3 2 4" xfId="21695"/>
    <cellStyle name="백분율 3 4 2 2 2 3 3 3" xfId="7775"/>
    <cellStyle name="백분율 3 4 2 2 2 3 3 3 2" xfId="24479"/>
    <cellStyle name="백분율 3 4 2 2 2 3 3 4" xfId="13343"/>
    <cellStyle name="백분율 3 4 2 2 2 3 3 4 2" xfId="30047"/>
    <cellStyle name="백분율 3 4 2 2 2 3 3 5" xfId="18911"/>
    <cellStyle name="백분율 3 4 2 2 2 3 4" xfId="3599"/>
    <cellStyle name="백분율 3 4 2 2 2 3 4 2" xfId="9167"/>
    <cellStyle name="백분율 3 4 2 2 2 3 4 2 2" xfId="25871"/>
    <cellStyle name="백분율 3 4 2 2 2 3 4 3" xfId="14735"/>
    <cellStyle name="백분율 3 4 2 2 2 3 4 3 2" xfId="31439"/>
    <cellStyle name="백분율 3 4 2 2 2 3 4 4" xfId="20303"/>
    <cellStyle name="백분율 3 4 2 2 2 3 5" xfId="6383"/>
    <cellStyle name="백분율 3 4 2 2 2 3 5 2" xfId="23087"/>
    <cellStyle name="백분율 3 4 2 2 2 3 6" xfId="11951"/>
    <cellStyle name="백분율 3 4 2 2 2 3 6 2" xfId="28655"/>
    <cellStyle name="백분율 3 4 2 2 2 3 7" xfId="17519"/>
    <cellStyle name="백분율 3 4 2 2 2 4" xfId="1047"/>
    <cellStyle name="백분율 3 4 2 2 2 4 2" xfId="2439"/>
    <cellStyle name="백분율 3 4 2 2 2 4 2 2" xfId="5223"/>
    <cellStyle name="백분율 3 4 2 2 2 4 2 2 2" xfId="10791"/>
    <cellStyle name="백분율 3 4 2 2 2 4 2 2 2 2" xfId="27495"/>
    <cellStyle name="백분율 3 4 2 2 2 4 2 2 3" xfId="16359"/>
    <cellStyle name="백분율 3 4 2 2 2 4 2 2 3 2" xfId="33063"/>
    <cellStyle name="백분율 3 4 2 2 2 4 2 2 4" xfId="21927"/>
    <cellStyle name="백분율 3 4 2 2 2 4 2 3" xfId="8007"/>
    <cellStyle name="백분율 3 4 2 2 2 4 2 3 2" xfId="24711"/>
    <cellStyle name="백분율 3 4 2 2 2 4 2 4" xfId="13575"/>
    <cellStyle name="백분율 3 4 2 2 2 4 2 4 2" xfId="30279"/>
    <cellStyle name="백분율 3 4 2 2 2 4 2 5" xfId="19143"/>
    <cellStyle name="백분율 3 4 2 2 2 4 3" xfId="3831"/>
    <cellStyle name="백분율 3 4 2 2 2 4 3 2" xfId="9399"/>
    <cellStyle name="백분율 3 4 2 2 2 4 3 2 2" xfId="26103"/>
    <cellStyle name="백분율 3 4 2 2 2 4 3 3" xfId="14967"/>
    <cellStyle name="백분율 3 4 2 2 2 4 3 3 2" xfId="31671"/>
    <cellStyle name="백분율 3 4 2 2 2 4 3 4" xfId="20535"/>
    <cellStyle name="백분율 3 4 2 2 2 4 4" xfId="6615"/>
    <cellStyle name="백분율 3 4 2 2 2 4 4 2" xfId="23319"/>
    <cellStyle name="백분율 3 4 2 2 2 4 5" xfId="12183"/>
    <cellStyle name="백분율 3 4 2 2 2 4 5 2" xfId="28887"/>
    <cellStyle name="백분율 3 4 2 2 2 4 6" xfId="17751"/>
    <cellStyle name="백분율 3 4 2 2 2 5" xfId="1743"/>
    <cellStyle name="백분율 3 4 2 2 2 5 2" xfId="4527"/>
    <cellStyle name="백분율 3 4 2 2 2 5 2 2" xfId="10095"/>
    <cellStyle name="백분율 3 4 2 2 2 5 2 2 2" xfId="26799"/>
    <cellStyle name="백분율 3 4 2 2 2 5 2 3" xfId="15663"/>
    <cellStyle name="백분율 3 4 2 2 2 5 2 3 2" xfId="32367"/>
    <cellStyle name="백분율 3 4 2 2 2 5 2 4" xfId="21231"/>
    <cellStyle name="백분율 3 4 2 2 2 5 3" xfId="7311"/>
    <cellStyle name="백분율 3 4 2 2 2 5 3 2" xfId="24015"/>
    <cellStyle name="백분율 3 4 2 2 2 5 4" xfId="12879"/>
    <cellStyle name="백분율 3 4 2 2 2 5 4 2" xfId="29583"/>
    <cellStyle name="백분율 3 4 2 2 2 5 5" xfId="18447"/>
    <cellStyle name="백분율 3 4 2 2 2 6" xfId="3135"/>
    <cellStyle name="백분율 3 4 2 2 2 6 2" xfId="8703"/>
    <cellStyle name="백분율 3 4 2 2 2 6 2 2" xfId="25407"/>
    <cellStyle name="백분율 3 4 2 2 2 6 3" xfId="14271"/>
    <cellStyle name="백분율 3 4 2 2 2 6 3 2" xfId="30975"/>
    <cellStyle name="백분율 3 4 2 2 2 6 4" xfId="19839"/>
    <cellStyle name="백분율 3 4 2 2 2 7" xfId="5919"/>
    <cellStyle name="백분율 3 4 2 2 2 7 2" xfId="22623"/>
    <cellStyle name="백분율 3 4 2 2 2 8" xfId="11487"/>
    <cellStyle name="백분율 3 4 2 2 2 8 2" xfId="28191"/>
    <cellStyle name="백분율 3 4 2 2 2 9" xfId="17055"/>
    <cellStyle name="백분율 3 4 2 2 3" xfId="467"/>
    <cellStyle name="백분율 3 4 2 2 3 2" xfId="1163"/>
    <cellStyle name="백분율 3 4 2 2 3 2 2" xfId="2555"/>
    <cellStyle name="백분율 3 4 2 2 3 2 2 2" xfId="5339"/>
    <cellStyle name="백분율 3 4 2 2 3 2 2 2 2" xfId="10907"/>
    <cellStyle name="백분율 3 4 2 2 3 2 2 2 2 2" xfId="27611"/>
    <cellStyle name="백분율 3 4 2 2 3 2 2 2 3" xfId="16475"/>
    <cellStyle name="백분율 3 4 2 2 3 2 2 2 3 2" xfId="33179"/>
    <cellStyle name="백분율 3 4 2 2 3 2 2 2 4" xfId="22043"/>
    <cellStyle name="백분율 3 4 2 2 3 2 2 3" xfId="8123"/>
    <cellStyle name="백분율 3 4 2 2 3 2 2 3 2" xfId="24827"/>
    <cellStyle name="백분율 3 4 2 2 3 2 2 4" xfId="13691"/>
    <cellStyle name="백분율 3 4 2 2 3 2 2 4 2" xfId="30395"/>
    <cellStyle name="백분율 3 4 2 2 3 2 2 5" xfId="19259"/>
    <cellStyle name="백분율 3 4 2 2 3 2 3" xfId="3947"/>
    <cellStyle name="백분율 3 4 2 2 3 2 3 2" xfId="9515"/>
    <cellStyle name="백분율 3 4 2 2 3 2 3 2 2" xfId="26219"/>
    <cellStyle name="백분율 3 4 2 2 3 2 3 3" xfId="15083"/>
    <cellStyle name="백분율 3 4 2 2 3 2 3 3 2" xfId="31787"/>
    <cellStyle name="백분율 3 4 2 2 3 2 3 4" xfId="20651"/>
    <cellStyle name="백분율 3 4 2 2 3 2 4" xfId="6731"/>
    <cellStyle name="백분율 3 4 2 2 3 2 4 2" xfId="23435"/>
    <cellStyle name="백분율 3 4 2 2 3 2 5" xfId="12299"/>
    <cellStyle name="백분율 3 4 2 2 3 2 5 2" xfId="29003"/>
    <cellStyle name="백분율 3 4 2 2 3 2 6" xfId="17867"/>
    <cellStyle name="백분율 3 4 2 2 3 3" xfId="1859"/>
    <cellStyle name="백분율 3 4 2 2 3 3 2" xfId="4643"/>
    <cellStyle name="백분율 3 4 2 2 3 3 2 2" xfId="10211"/>
    <cellStyle name="백분율 3 4 2 2 3 3 2 2 2" xfId="26915"/>
    <cellStyle name="백분율 3 4 2 2 3 3 2 3" xfId="15779"/>
    <cellStyle name="백분율 3 4 2 2 3 3 2 3 2" xfId="32483"/>
    <cellStyle name="백분율 3 4 2 2 3 3 2 4" xfId="21347"/>
    <cellStyle name="백분율 3 4 2 2 3 3 3" xfId="7427"/>
    <cellStyle name="백분율 3 4 2 2 3 3 3 2" xfId="24131"/>
    <cellStyle name="백분율 3 4 2 2 3 3 4" xfId="12995"/>
    <cellStyle name="백분율 3 4 2 2 3 3 4 2" xfId="29699"/>
    <cellStyle name="백분율 3 4 2 2 3 3 5" xfId="18563"/>
    <cellStyle name="백분율 3 4 2 2 3 4" xfId="3251"/>
    <cellStyle name="백분율 3 4 2 2 3 4 2" xfId="8819"/>
    <cellStyle name="백분율 3 4 2 2 3 4 2 2" xfId="25523"/>
    <cellStyle name="백분율 3 4 2 2 3 4 3" xfId="14387"/>
    <cellStyle name="백분율 3 4 2 2 3 4 3 2" xfId="31091"/>
    <cellStyle name="백분율 3 4 2 2 3 4 4" xfId="19955"/>
    <cellStyle name="백분율 3 4 2 2 3 5" xfId="6035"/>
    <cellStyle name="백분율 3 4 2 2 3 5 2" xfId="22739"/>
    <cellStyle name="백분율 3 4 2 2 3 6" xfId="11603"/>
    <cellStyle name="백분율 3 4 2 2 3 6 2" xfId="28307"/>
    <cellStyle name="백분율 3 4 2 2 3 7" xfId="17171"/>
    <cellStyle name="백분율 3 4 2 2 4" xfId="699"/>
    <cellStyle name="백분율 3 4 2 2 4 2" xfId="1395"/>
    <cellStyle name="백분율 3 4 2 2 4 2 2" xfId="2787"/>
    <cellStyle name="백분율 3 4 2 2 4 2 2 2" xfId="5571"/>
    <cellStyle name="백분율 3 4 2 2 4 2 2 2 2" xfId="11139"/>
    <cellStyle name="백분율 3 4 2 2 4 2 2 2 2 2" xfId="27843"/>
    <cellStyle name="백분율 3 4 2 2 4 2 2 2 3" xfId="16707"/>
    <cellStyle name="백분율 3 4 2 2 4 2 2 2 3 2" xfId="33411"/>
    <cellStyle name="백분율 3 4 2 2 4 2 2 2 4" xfId="22275"/>
    <cellStyle name="백분율 3 4 2 2 4 2 2 3" xfId="8355"/>
    <cellStyle name="백분율 3 4 2 2 4 2 2 3 2" xfId="25059"/>
    <cellStyle name="백분율 3 4 2 2 4 2 2 4" xfId="13923"/>
    <cellStyle name="백분율 3 4 2 2 4 2 2 4 2" xfId="30627"/>
    <cellStyle name="백분율 3 4 2 2 4 2 2 5" xfId="19491"/>
    <cellStyle name="백분율 3 4 2 2 4 2 3" xfId="4179"/>
    <cellStyle name="백분율 3 4 2 2 4 2 3 2" xfId="9747"/>
    <cellStyle name="백분율 3 4 2 2 4 2 3 2 2" xfId="26451"/>
    <cellStyle name="백분율 3 4 2 2 4 2 3 3" xfId="15315"/>
    <cellStyle name="백분율 3 4 2 2 4 2 3 3 2" xfId="32019"/>
    <cellStyle name="백분율 3 4 2 2 4 2 3 4" xfId="20883"/>
    <cellStyle name="백분율 3 4 2 2 4 2 4" xfId="6963"/>
    <cellStyle name="백분율 3 4 2 2 4 2 4 2" xfId="23667"/>
    <cellStyle name="백분율 3 4 2 2 4 2 5" xfId="12531"/>
    <cellStyle name="백분율 3 4 2 2 4 2 5 2" xfId="29235"/>
    <cellStyle name="백분율 3 4 2 2 4 2 6" xfId="18099"/>
    <cellStyle name="백분율 3 4 2 2 4 3" xfId="2091"/>
    <cellStyle name="백분율 3 4 2 2 4 3 2" xfId="4875"/>
    <cellStyle name="백분율 3 4 2 2 4 3 2 2" xfId="10443"/>
    <cellStyle name="백분율 3 4 2 2 4 3 2 2 2" xfId="27147"/>
    <cellStyle name="백분율 3 4 2 2 4 3 2 3" xfId="16011"/>
    <cellStyle name="백분율 3 4 2 2 4 3 2 3 2" xfId="32715"/>
    <cellStyle name="백분율 3 4 2 2 4 3 2 4" xfId="21579"/>
    <cellStyle name="백분율 3 4 2 2 4 3 3" xfId="7659"/>
    <cellStyle name="백분율 3 4 2 2 4 3 3 2" xfId="24363"/>
    <cellStyle name="백분율 3 4 2 2 4 3 4" xfId="13227"/>
    <cellStyle name="백분율 3 4 2 2 4 3 4 2" xfId="29931"/>
    <cellStyle name="백분율 3 4 2 2 4 3 5" xfId="18795"/>
    <cellStyle name="백분율 3 4 2 2 4 4" xfId="3483"/>
    <cellStyle name="백분율 3 4 2 2 4 4 2" xfId="9051"/>
    <cellStyle name="백분율 3 4 2 2 4 4 2 2" xfId="25755"/>
    <cellStyle name="백분율 3 4 2 2 4 4 3" xfId="14619"/>
    <cellStyle name="백분율 3 4 2 2 4 4 3 2" xfId="31323"/>
    <cellStyle name="백분율 3 4 2 2 4 4 4" xfId="20187"/>
    <cellStyle name="백분율 3 4 2 2 4 5" xfId="6267"/>
    <cellStyle name="백분율 3 4 2 2 4 5 2" xfId="22971"/>
    <cellStyle name="백분율 3 4 2 2 4 6" xfId="11835"/>
    <cellStyle name="백분율 3 4 2 2 4 6 2" xfId="28539"/>
    <cellStyle name="백분율 3 4 2 2 4 7" xfId="17403"/>
    <cellStyle name="백분율 3 4 2 2 5" xfId="931"/>
    <cellStyle name="백분율 3 4 2 2 5 2" xfId="2323"/>
    <cellStyle name="백분율 3 4 2 2 5 2 2" xfId="5107"/>
    <cellStyle name="백분율 3 4 2 2 5 2 2 2" xfId="10675"/>
    <cellStyle name="백분율 3 4 2 2 5 2 2 2 2" xfId="27379"/>
    <cellStyle name="백분율 3 4 2 2 5 2 2 3" xfId="16243"/>
    <cellStyle name="백분율 3 4 2 2 5 2 2 3 2" xfId="32947"/>
    <cellStyle name="백분율 3 4 2 2 5 2 2 4" xfId="21811"/>
    <cellStyle name="백분율 3 4 2 2 5 2 3" xfId="7891"/>
    <cellStyle name="백분율 3 4 2 2 5 2 3 2" xfId="24595"/>
    <cellStyle name="백분율 3 4 2 2 5 2 4" xfId="13459"/>
    <cellStyle name="백분율 3 4 2 2 5 2 4 2" xfId="30163"/>
    <cellStyle name="백분율 3 4 2 2 5 2 5" xfId="19027"/>
    <cellStyle name="백분율 3 4 2 2 5 3" xfId="3715"/>
    <cellStyle name="백분율 3 4 2 2 5 3 2" xfId="9283"/>
    <cellStyle name="백분율 3 4 2 2 5 3 2 2" xfId="25987"/>
    <cellStyle name="백분율 3 4 2 2 5 3 3" xfId="14851"/>
    <cellStyle name="백분율 3 4 2 2 5 3 3 2" xfId="31555"/>
    <cellStyle name="백분율 3 4 2 2 5 3 4" xfId="20419"/>
    <cellStyle name="백분율 3 4 2 2 5 4" xfId="6499"/>
    <cellStyle name="백분율 3 4 2 2 5 4 2" xfId="23203"/>
    <cellStyle name="백분율 3 4 2 2 5 5" xfId="12067"/>
    <cellStyle name="백분율 3 4 2 2 5 5 2" xfId="28771"/>
    <cellStyle name="백분율 3 4 2 2 5 6" xfId="17635"/>
    <cellStyle name="백분율 3 4 2 2 6" xfId="1627"/>
    <cellStyle name="백분율 3 4 2 2 6 2" xfId="4411"/>
    <cellStyle name="백분율 3 4 2 2 6 2 2" xfId="9979"/>
    <cellStyle name="백분율 3 4 2 2 6 2 2 2" xfId="26683"/>
    <cellStyle name="백분율 3 4 2 2 6 2 3" xfId="15547"/>
    <cellStyle name="백분율 3 4 2 2 6 2 3 2" xfId="32251"/>
    <cellStyle name="백분율 3 4 2 2 6 2 4" xfId="21115"/>
    <cellStyle name="백분율 3 4 2 2 6 3" xfId="7195"/>
    <cellStyle name="백분율 3 4 2 2 6 3 2" xfId="23899"/>
    <cellStyle name="백분율 3 4 2 2 6 4" xfId="12763"/>
    <cellStyle name="백분율 3 4 2 2 6 4 2" xfId="29467"/>
    <cellStyle name="백분율 3 4 2 2 6 5" xfId="18331"/>
    <cellStyle name="백분율 3 4 2 2 7" xfId="3019"/>
    <cellStyle name="백분율 3 4 2 2 7 2" xfId="8587"/>
    <cellStyle name="백분율 3 4 2 2 7 2 2" xfId="25291"/>
    <cellStyle name="백분율 3 4 2 2 7 3" xfId="14155"/>
    <cellStyle name="백분율 3 4 2 2 7 3 2" xfId="30859"/>
    <cellStyle name="백분율 3 4 2 2 7 4" xfId="19723"/>
    <cellStyle name="백분율 3 4 2 2 8" xfId="5803"/>
    <cellStyle name="백분율 3 4 2 2 8 2" xfId="22507"/>
    <cellStyle name="백분율 3 4 2 2 9" xfId="11371"/>
    <cellStyle name="백분율 3 4 2 2 9 2" xfId="28075"/>
    <cellStyle name="백분율 3 4 2 3" xfId="293"/>
    <cellStyle name="백분율 3 4 2 3 2" xfId="525"/>
    <cellStyle name="백분율 3 4 2 3 2 2" xfId="1221"/>
    <cellStyle name="백분율 3 4 2 3 2 2 2" xfId="2613"/>
    <cellStyle name="백분율 3 4 2 3 2 2 2 2" xfId="5397"/>
    <cellStyle name="백분율 3 4 2 3 2 2 2 2 2" xfId="10965"/>
    <cellStyle name="백분율 3 4 2 3 2 2 2 2 2 2" xfId="27669"/>
    <cellStyle name="백분율 3 4 2 3 2 2 2 2 3" xfId="16533"/>
    <cellStyle name="백분율 3 4 2 3 2 2 2 2 3 2" xfId="33237"/>
    <cellStyle name="백분율 3 4 2 3 2 2 2 2 4" xfId="22101"/>
    <cellStyle name="백분율 3 4 2 3 2 2 2 3" xfId="8181"/>
    <cellStyle name="백분율 3 4 2 3 2 2 2 3 2" xfId="24885"/>
    <cellStyle name="백분율 3 4 2 3 2 2 2 4" xfId="13749"/>
    <cellStyle name="백분율 3 4 2 3 2 2 2 4 2" xfId="30453"/>
    <cellStyle name="백분율 3 4 2 3 2 2 2 5" xfId="19317"/>
    <cellStyle name="백분율 3 4 2 3 2 2 3" xfId="4005"/>
    <cellStyle name="백분율 3 4 2 3 2 2 3 2" xfId="9573"/>
    <cellStyle name="백분율 3 4 2 3 2 2 3 2 2" xfId="26277"/>
    <cellStyle name="백분율 3 4 2 3 2 2 3 3" xfId="15141"/>
    <cellStyle name="백분율 3 4 2 3 2 2 3 3 2" xfId="31845"/>
    <cellStyle name="백분율 3 4 2 3 2 2 3 4" xfId="20709"/>
    <cellStyle name="백분율 3 4 2 3 2 2 4" xfId="6789"/>
    <cellStyle name="백분율 3 4 2 3 2 2 4 2" xfId="23493"/>
    <cellStyle name="백분율 3 4 2 3 2 2 5" xfId="12357"/>
    <cellStyle name="백분율 3 4 2 3 2 2 5 2" xfId="29061"/>
    <cellStyle name="백분율 3 4 2 3 2 2 6" xfId="17925"/>
    <cellStyle name="백분율 3 4 2 3 2 3" xfId="1917"/>
    <cellStyle name="백분율 3 4 2 3 2 3 2" xfId="4701"/>
    <cellStyle name="백분율 3 4 2 3 2 3 2 2" xfId="10269"/>
    <cellStyle name="백분율 3 4 2 3 2 3 2 2 2" xfId="26973"/>
    <cellStyle name="백분율 3 4 2 3 2 3 2 3" xfId="15837"/>
    <cellStyle name="백분율 3 4 2 3 2 3 2 3 2" xfId="32541"/>
    <cellStyle name="백분율 3 4 2 3 2 3 2 4" xfId="21405"/>
    <cellStyle name="백분율 3 4 2 3 2 3 3" xfId="7485"/>
    <cellStyle name="백분율 3 4 2 3 2 3 3 2" xfId="24189"/>
    <cellStyle name="백분율 3 4 2 3 2 3 4" xfId="13053"/>
    <cellStyle name="백분율 3 4 2 3 2 3 4 2" xfId="29757"/>
    <cellStyle name="백분율 3 4 2 3 2 3 5" xfId="18621"/>
    <cellStyle name="백분율 3 4 2 3 2 4" xfId="3309"/>
    <cellStyle name="백분율 3 4 2 3 2 4 2" xfId="8877"/>
    <cellStyle name="백분율 3 4 2 3 2 4 2 2" xfId="25581"/>
    <cellStyle name="백분율 3 4 2 3 2 4 3" xfId="14445"/>
    <cellStyle name="백분율 3 4 2 3 2 4 3 2" xfId="31149"/>
    <cellStyle name="백분율 3 4 2 3 2 4 4" xfId="20013"/>
    <cellStyle name="백분율 3 4 2 3 2 5" xfId="6093"/>
    <cellStyle name="백분율 3 4 2 3 2 5 2" xfId="22797"/>
    <cellStyle name="백분율 3 4 2 3 2 6" xfId="11661"/>
    <cellStyle name="백분율 3 4 2 3 2 6 2" xfId="28365"/>
    <cellStyle name="백분율 3 4 2 3 2 7" xfId="17229"/>
    <cellStyle name="백분율 3 4 2 3 3" xfId="757"/>
    <cellStyle name="백분율 3 4 2 3 3 2" xfId="1453"/>
    <cellStyle name="백분율 3 4 2 3 3 2 2" xfId="2845"/>
    <cellStyle name="백분율 3 4 2 3 3 2 2 2" xfId="5629"/>
    <cellStyle name="백분율 3 4 2 3 3 2 2 2 2" xfId="11197"/>
    <cellStyle name="백분율 3 4 2 3 3 2 2 2 2 2" xfId="27901"/>
    <cellStyle name="백분율 3 4 2 3 3 2 2 2 3" xfId="16765"/>
    <cellStyle name="백분율 3 4 2 3 3 2 2 2 3 2" xfId="33469"/>
    <cellStyle name="백분율 3 4 2 3 3 2 2 2 4" xfId="22333"/>
    <cellStyle name="백분율 3 4 2 3 3 2 2 3" xfId="8413"/>
    <cellStyle name="백분율 3 4 2 3 3 2 2 3 2" xfId="25117"/>
    <cellStyle name="백분율 3 4 2 3 3 2 2 4" xfId="13981"/>
    <cellStyle name="백분율 3 4 2 3 3 2 2 4 2" xfId="30685"/>
    <cellStyle name="백분율 3 4 2 3 3 2 2 5" xfId="19549"/>
    <cellStyle name="백분율 3 4 2 3 3 2 3" xfId="4237"/>
    <cellStyle name="백분율 3 4 2 3 3 2 3 2" xfId="9805"/>
    <cellStyle name="백분율 3 4 2 3 3 2 3 2 2" xfId="26509"/>
    <cellStyle name="백분율 3 4 2 3 3 2 3 3" xfId="15373"/>
    <cellStyle name="백분율 3 4 2 3 3 2 3 3 2" xfId="32077"/>
    <cellStyle name="백분율 3 4 2 3 3 2 3 4" xfId="20941"/>
    <cellStyle name="백분율 3 4 2 3 3 2 4" xfId="7021"/>
    <cellStyle name="백분율 3 4 2 3 3 2 4 2" xfId="23725"/>
    <cellStyle name="백분율 3 4 2 3 3 2 5" xfId="12589"/>
    <cellStyle name="백분율 3 4 2 3 3 2 5 2" xfId="29293"/>
    <cellStyle name="백분율 3 4 2 3 3 2 6" xfId="18157"/>
    <cellStyle name="백분율 3 4 2 3 3 3" xfId="2149"/>
    <cellStyle name="백분율 3 4 2 3 3 3 2" xfId="4933"/>
    <cellStyle name="백분율 3 4 2 3 3 3 2 2" xfId="10501"/>
    <cellStyle name="백분율 3 4 2 3 3 3 2 2 2" xfId="27205"/>
    <cellStyle name="백분율 3 4 2 3 3 3 2 3" xfId="16069"/>
    <cellStyle name="백분율 3 4 2 3 3 3 2 3 2" xfId="32773"/>
    <cellStyle name="백분율 3 4 2 3 3 3 2 4" xfId="21637"/>
    <cellStyle name="백분율 3 4 2 3 3 3 3" xfId="7717"/>
    <cellStyle name="백분율 3 4 2 3 3 3 3 2" xfId="24421"/>
    <cellStyle name="백분율 3 4 2 3 3 3 4" xfId="13285"/>
    <cellStyle name="백분율 3 4 2 3 3 3 4 2" xfId="29989"/>
    <cellStyle name="백분율 3 4 2 3 3 3 5" xfId="18853"/>
    <cellStyle name="백분율 3 4 2 3 3 4" xfId="3541"/>
    <cellStyle name="백분율 3 4 2 3 3 4 2" xfId="9109"/>
    <cellStyle name="백분율 3 4 2 3 3 4 2 2" xfId="25813"/>
    <cellStyle name="백분율 3 4 2 3 3 4 3" xfId="14677"/>
    <cellStyle name="백분율 3 4 2 3 3 4 3 2" xfId="31381"/>
    <cellStyle name="백분율 3 4 2 3 3 4 4" xfId="20245"/>
    <cellStyle name="백분율 3 4 2 3 3 5" xfId="6325"/>
    <cellStyle name="백분율 3 4 2 3 3 5 2" xfId="23029"/>
    <cellStyle name="백분율 3 4 2 3 3 6" xfId="11893"/>
    <cellStyle name="백분율 3 4 2 3 3 6 2" xfId="28597"/>
    <cellStyle name="백분율 3 4 2 3 3 7" xfId="17461"/>
    <cellStyle name="백분율 3 4 2 3 4" xfId="989"/>
    <cellStyle name="백분율 3 4 2 3 4 2" xfId="2381"/>
    <cellStyle name="백분율 3 4 2 3 4 2 2" xfId="5165"/>
    <cellStyle name="백분율 3 4 2 3 4 2 2 2" xfId="10733"/>
    <cellStyle name="백분율 3 4 2 3 4 2 2 2 2" xfId="27437"/>
    <cellStyle name="백분율 3 4 2 3 4 2 2 3" xfId="16301"/>
    <cellStyle name="백분율 3 4 2 3 4 2 2 3 2" xfId="33005"/>
    <cellStyle name="백분율 3 4 2 3 4 2 2 4" xfId="21869"/>
    <cellStyle name="백분율 3 4 2 3 4 2 3" xfId="7949"/>
    <cellStyle name="백분율 3 4 2 3 4 2 3 2" xfId="24653"/>
    <cellStyle name="백분율 3 4 2 3 4 2 4" xfId="13517"/>
    <cellStyle name="백분율 3 4 2 3 4 2 4 2" xfId="30221"/>
    <cellStyle name="백분율 3 4 2 3 4 2 5" xfId="19085"/>
    <cellStyle name="백분율 3 4 2 3 4 3" xfId="3773"/>
    <cellStyle name="백분율 3 4 2 3 4 3 2" xfId="9341"/>
    <cellStyle name="백분율 3 4 2 3 4 3 2 2" xfId="26045"/>
    <cellStyle name="백분율 3 4 2 3 4 3 3" xfId="14909"/>
    <cellStyle name="백분율 3 4 2 3 4 3 3 2" xfId="31613"/>
    <cellStyle name="백분율 3 4 2 3 4 3 4" xfId="20477"/>
    <cellStyle name="백분율 3 4 2 3 4 4" xfId="6557"/>
    <cellStyle name="백분율 3 4 2 3 4 4 2" xfId="23261"/>
    <cellStyle name="백분율 3 4 2 3 4 5" xfId="12125"/>
    <cellStyle name="백분율 3 4 2 3 4 5 2" xfId="28829"/>
    <cellStyle name="백분율 3 4 2 3 4 6" xfId="17693"/>
    <cellStyle name="백분율 3 4 2 3 5" xfId="1685"/>
    <cellStyle name="백분율 3 4 2 3 5 2" xfId="4469"/>
    <cellStyle name="백분율 3 4 2 3 5 2 2" xfId="10037"/>
    <cellStyle name="백분율 3 4 2 3 5 2 2 2" xfId="26741"/>
    <cellStyle name="백분율 3 4 2 3 5 2 3" xfId="15605"/>
    <cellStyle name="백분율 3 4 2 3 5 2 3 2" xfId="32309"/>
    <cellStyle name="백분율 3 4 2 3 5 2 4" xfId="21173"/>
    <cellStyle name="백분율 3 4 2 3 5 3" xfId="7253"/>
    <cellStyle name="백분율 3 4 2 3 5 3 2" xfId="23957"/>
    <cellStyle name="백분율 3 4 2 3 5 4" xfId="12821"/>
    <cellStyle name="백분율 3 4 2 3 5 4 2" xfId="29525"/>
    <cellStyle name="백분율 3 4 2 3 5 5" xfId="18389"/>
    <cellStyle name="백분율 3 4 2 3 6" xfId="3077"/>
    <cellStyle name="백분율 3 4 2 3 6 2" xfId="8645"/>
    <cellStyle name="백분율 3 4 2 3 6 2 2" xfId="25349"/>
    <cellStyle name="백분율 3 4 2 3 6 3" xfId="14213"/>
    <cellStyle name="백분율 3 4 2 3 6 3 2" xfId="30917"/>
    <cellStyle name="백분율 3 4 2 3 6 4" xfId="19781"/>
    <cellStyle name="백분율 3 4 2 3 7" xfId="5861"/>
    <cellStyle name="백분율 3 4 2 3 7 2" xfId="22565"/>
    <cellStyle name="백분율 3 4 2 3 8" xfId="11429"/>
    <cellStyle name="백분율 3 4 2 3 8 2" xfId="28133"/>
    <cellStyle name="백분율 3 4 2 3 9" xfId="16997"/>
    <cellStyle name="백분율 3 4 2 4" xfId="409"/>
    <cellStyle name="백분율 3 4 2 4 2" xfId="1105"/>
    <cellStyle name="백분율 3 4 2 4 2 2" xfId="2497"/>
    <cellStyle name="백분율 3 4 2 4 2 2 2" xfId="5281"/>
    <cellStyle name="백분율 3 4 2 4 2 2 2 2" xfId="10849"/>
    <cellStyle name="백분율 3 4 2 4 2 2 2 2 2" xfId="27553"/>
    <cellStyle name="백분율 3 4 2 4 2 2 2 3" xfId="16417"/>
    <cellStyle name="백분율 3 4 2 4 2 2 2 3 2" xfId="33121"/>
    <cellStyle name="백분율 3 4 2 4 2 2 2 4" xfId="21985"/>
    <cellStyle name="백분율 3 4 2 4 2 2 3" xfId="8065"/>
    <cellStyle name="백분율 3 4 2 4 2 2 3 2" xfId="24769"/>
    <cellStyle name="백분율 3 4 2 4 2 2 4" xfId="13633"/>
    <cellStyle name="백분율 3 4 2 4 2 2 4 2" xfId="30337"/>
    <cellStyle name="백분율 3 4 2 4 2 2 5" xfId="19201"/>
    <cellStyle name="백분율 3 4 2 4 2 3" xfId="3889"/>
    <cellStyle name="백분율 3 4 2 4 2 3 2" xfId="9457"/>
    <cellStyle name="백분율 3 4 2 4 2 3 2 2" xfId="26161"/>
    <cellStyle name="백분율 3 4 2 4 2 3 3" xfId="15025"/>
    <cellStyle name="백분율 3 4 2 4 2 3 3 2" xfId="31729"/>
    <cellStyle name="백분율 3 4 2 4 2 3 4" xfId="20593"/>
    <cellStyle name="백분율 3 4 2 4 2 4" xfId="6673"/>
    <cellStyle name="백분율 3 4 2 4 2 4 2" xfId="23377"/>
    <cellStyle name="백분율 3 4 2 4 2 5" xfId="12241"/>
    <cellStyle name="백분율 3 4 2 4 2 5 2" xfId="28945"/>
    <cellStyle name="백분율 3 4 2 4 2 6" xfId="17809"/>
    <cellStyle name="백분율 3 4 2 4 3" xfId="1801"/>
    <cellStyle name="백분율 3 4 2 4 3 2" xfId="4585"/>
    <cellStyle name="백분율 3 4 2 4 3 2 2" xfId="10153"/>
    <cellStyle name="백분율 3 4 2 4 3 2 2 2" xfId="26857"/>
    <cellStyle name="백분율 3 4 2 4 3 2 3" xfId="15721"/>
    <cellStyle name="백분율 3 4 2 4 3 2 3 2" xfId="32425"/>
    <cellStyle name="백분율 3 4 2 4 3 2 4" xfId="21289"/>
    <cellStyle name="백분율 3 4 2 4 3 3" xfId="7369"/>
    <cellStyle name="백분율 3 4 2 4 3 3 2" xfId="24073"/>
    <cellStyle name="백분율 3 4 2 4 3 4" xfId="12937"/>
    <cellStyle name="백분율 3 4 2 4 3 4 2" xfId="29641"/>
    <cellStyle name="백분율 3 4 2 4 3 5" xfId="18505"/>
    <cellStyle name="백분율 3 4 2 4 4" xfId="3193"/>
    <cellStyle name="백분율 3 4 2 4 4 2" xfId="8761"/>
    <cellStyle name="백분율 3 4 2 4 4 2 2" xfId="25465"/>
    <cellStyle name="백분율 3 4 2 4 4 3" xfId="14329"/>
    <cellStyle name="백분율 3 4 2 4 4 3 2" xfId="31033"/>
    <cellStyle name="백분율 3 4 2 4 4 4" xfId="19897"/>
    <cellStyle name="백분율 3 4 2 4 5" xfId="5977"/>
    <cellStyle name="백분율 3 4 2 4 5 2" xfId="22681"/>
    <cellStyle name="백분율 3 4 2 4 6" xfId="11545"/>
    <cellStyle name="백분율 3 4 2 4 6 2" xfId="28249"/>
    <cellStyle name="백분율 3 4 2 4 7" xfId="17113"/>
    <cellStyle name="백분율 3 4 2 5" xfId="641"/>
    <cellStyle name="백분율 3 4 2 5 2" xfId="1337"/>
    <cellStyle name="백분율 3 4 2 5 2 2" xfId="2729"/>
    <cellStyle name="백분율 3 4 2 5 2 2 2" xfId="5513"/>
    <cellStyle name="백분율 3 4 2 5 2 2 2 2" xfId="11081"/>
    <cellStyle name="백분율 3 4 2 5 2 2 2 2 2" xfId="27785"/>
    <cellStyle name="백분율 3 4 2 5 2 2 2 3" xfId="16649"/>
    <cellStyle name="백분율 3 4 2 5 2 2 2 3 2" xfId="33353"/>
    <cellStyle name="백분율 3 4 2 5 2 2 2 4" xfId="22217"/>
    <cellStyle name="백분율 3 4 2 5 2 2 3" xfId="8297"/>
    <cellStyle name="백분율 3 4 2 5 2 2 3 2" xfId="25001"/>
    <cellStyle name="백분율 3 4 2 5 2 2 4" xfId="13865"/>
    <cellStyle name="백분율 3 4 2 5 2 2 4 2" xfId="30569"/>
    <cellStyle name="백분율 3 4 2 5 2 2 5" xfId="19433"/>
    <cellStyle name="백분율 3 4 2 5 2 3" xfId="4121"/>
    <cellStyle name="백분율 3 4 2 5 2 3 2" xfId="9689"/>
    <cellStyle name="백분율 3 4 2 5 2 3 2 2" xfId="26393"/>
    <cellStyle name="백분율 3 4 2 5 2 3 3" xfId="15257"/>
    <cellStyle name="백분율 3 4 2 5 2 3 3 2" xfId="31961"/>
    <cellStyle name="백분율 3 4 2 5 2 3 4" xfId="20825"/>
    <cellStyle name="백분율 3 4 2 5 2 4" xfId="6905"/>
    <cellStyle name="백분율 3 4 2 5 2 4 2" xfId="23609"/>
    <cellStyle name="백분율 3 4 2 5 2 5" xfId="12473"/>
    <cellStyle name="백분율 3 4 2 5 2 5 2" xfId="29177"/>
    <cellStyle name="백분율 3 4 2 5 2 6" xfId="18041"/>
    <cellStyle name="백분율 3 4 2 5 3" xfId="2033"/>
    <cellStyle name="백분율 3 4 2 5 3 2" xfId="4817"/>
    <cellStyle name="백분율 3 4 2 5 3 2 2" xfId="10385"/>
    <cellStyle name="백분율 3 4 2 5 3 2 2 2" xfId="27089"/>
    <cellStyle name="백분율 3 4 2 5 3 2 3" xfId="15953"/>
    <cellStyle name="백분율 3 4 2 5 3 2 3 2" xfId="32657"/>
    <cellStyle name="백분율 3 4 2 5 3 2 4" xfId="21521"/>
    <cellStyle name="백분율 3 4 2 5 3 3" xfId="7601"/>
    <cellStyle name="백분율 3 4 2 5 3 3 2" xfId="24305"/>
    <cellStyle name="백분율 3 4 2 5 3 4" xfId="13169"/>
    <cellStyle name="백분율 3 4 2 5 3 4 2" xfId="29873"/>
    <cellStyle name="백분율 3 4 2 5 3 5" xfId="18737"/>
    <cellStyle name="백분율 3 4 2 5 4" xfId="3425"/>
    <cellStyle name="백분율 3 4 2 5 4 2" xfId="8993"/>
    <cellStyle name="백분율 3 4 2 5 4 2 2" xfId="25697"/>
    <cellStyle name="백분율 3 4 2 5 4 3" xfId="14561"/>
    <cellStyle name="백분율 3 4 2 5 4 3 2" xfId="31265"/>
    <cellStyle name="백분율 3 4 2 5 4 4" xfId="20129"/>
    <cellStyle name="백분율 3 4 2 5 5" xfId="6209"/>
    <cellStyle name="백분율 3 4 2 5 5 2" xfId="22913"/>
    <cellStyle name="백분율 3 4 2 5 6" xfId="11777"/>
    <cellStyle name="백분율 3 4 2 5 6 2" xfId="28481"/>
    <cellStyle name="백분율 3 4 2 5 7" xfId="17345"/>
    <cellStyle name="백분율 3 4 2 6" xfId="873"/>
    <cellStyle name="백분율 3 4 2 6 2" xfId="2265"/>
    <cellStyle name="백분율 3 4 2 6 2 2" xfId="5049"/>
    <cellStyle name="백분율 3 4 2 6 2 2 2" xfId="10617"/>
    <cellStyle name="백분율 3 4 2 6 2 2 2 2" xfId="27321"/>
    <cellStyle name="백분율 3 4 2 6 2 2 3" xfId="16185"/>
    <cellStyle name="백분율 3 4 2 6 2 2 3 2" xfId="32889"/>
    <cellStyle name="백분율 3 4 2 6 2 2 4" xfId="21753"/>
    <cellStyle name="백분율 3 4 2 6 2 3" xfId="7833"/>
    <cellStyle name="백분율 3 4 2 6 2 3 2" xfId="24537"/>
    <cellStyle name="백분율 3 4 2 6 2 4" xfId="13401"/>
    <cellStyle name="백분율 3 4 2 6 2 4 2" xfId="30105"/>
    <cellStyle name="백분율 3 4 2 6 2 5" xfId="18969"/>
    <cellStyle name="백분율 3 4 2 6 3" xfId="3657"/>
    <cellStyle name="백분율 3 4 2 6 3 2" xfId="9225"/>
    <cellStyle name="백분율 3 4 2 6 3 2 2" xfId="25929"/>
    <cellStyle name="백분율 3 4 2 6 3 3" xfId="14793"/>
    <cellStyle name="백분율 3 4 2 6 3 3 2" xfId="31497"/>
    <cellStyle name="백분율 3 4 2 6 3 4" xfId="20361"/>
    <cellStyle name="백분율 3 4 2 6 4" xfId="6441"/>
    <cellStyle name="백분율 3 4 2 6 4 2" xfId="23145"/>
    <cellStyle name="백분율 3 4 2 6 5" xfId="12009"/>
    <cellStyle name="백분율 3 4 2 6 5 2" xfId="28713"/>
    <cellStyle name="백분율 3 4 2 6 6" xfId="17577"/>
    <cellStyle name="백분율 3 4 2 7" xfId="1569"/>
    <cellStyle name="백분율 3 4 2 7 2" xfId="4353"/>
    <cellStyle name="백분율 3 4 2 7 2 2" xfId="9921"/>
    <cellStyle name="백분율 3 4 2 7 2 2 2" xfId="26625"/>
    <cellStyle name="백분율 3 4 2 7 2 3" xfId="15489"/>
    <cellStyle name="백분율 3 4 2 7 2 3 2" xfId="32193"/>
    <cellStyle name="백분율 3 4 2 7 2 4" xfId="21057"/>
    <cellStyle name="백분율 3 4 2 7 3" xfId="7137"/>
    <cellStyle name="백분율 3 4 2 7 3 2" xfId="23841"/>
    <cellStyle name="백분율 3 4 2 7 4" xfId="12705"/>
    <cellStyle name="백분율 3 4 2 7 4 2" xfId="29409"/>
    <cellStyle name="백분율 3 4 2 7 5" xfId="18273"/>
    <cellStyle name="백분율 3 4 2 8" xfId="2961"/>
    <cellStyle name="백분율 3 4 2 8 2" xfId="8529"/>
    <cellStyle name="백분율 3 4 2 8 2 2" xfId="25233"/>
    <cellStyle name="백분율 3 4 2 8 3" xfId="14097"/>
    <cellStyle name="백분율 3 4 2 8 3 2" xfId="30801"/>
    <cellStyle name="백분율 3 4 2 8 4" xfId="19665"/>
    <cellStyle name="백분율 3 4 2 9" xfId="5745"/>
    <cellStyle name="백분율 3 4 2 9 2" xfId="22449"/>
    <cellStyle name="백분율 3 4 3" xfId="206"/>
    <cellStyle name="백분율 3 4 3 10" xfId="16910"/>
    <cellStyle name="백분율 3 4 3 2" xfId="322"/>
    <cellStyle name="백분율 3 4 3 2 2" xfId="554"/>
    <cellStyle name="백분율 3 4 3 2 2 2" xfId="1250"/>
    <cellStyle name="백분율 3 4 3 2 2 2 2" xfId="2642"/>
    <cellStyle name="백분율 3 4 3 2 2 2 2 2" xfId="5426"/>
    <cellStyle name="백분율 3 4 3 2 2 2 2 2 2" xfId="10994"/>
    <cellStyle name="백분율 3 4 3 2 2 2 2 2 2 2" xfId="27698"/>
    <cellStyle name="백분율 3 4 3 2 2 2 2 2 3" xfId="16562"/>
    <cellStyle name="백분율 3 4 3 2 2 2 2 2 3 2" xfId="33266"/>
    <cellStyle name="백분율 3 4 3 2 2 2 2 2 4" xfId="22130"/>
    <cellStyle name="백분율 3 4 3 2 2 2 2 3" xfId="8210"/>
    <cellStyle name="백분율 3 4 3 2 2 2 2 3 2" xfId="24914"/>
    <cellStyle name="백분율 3 4 3 2 2 2 2 4" xfId="13778"/>
    <cellStyle name="백분율 3 4 3 2 2 2 2 4 2" xfId="30482"/>
    <cellStyle name="백분율 3 4 3 2 2 2 2 5" xfId="19346"/>
    <cellStyle name="백분율 3 4 3 2 2 2 3" xfId="4034"/>
    <cellStyle name="백분율 3 4 3 2 2 2 3 2" xfId="9602"/>
    <cellStyle name="백분율 3 4 3 2 2 2 3 2 2" xfId="26306"/>
    <cellStyle name="백분율 3 4 3 2 2 2 3 3" xfId="15170"/>
    <cellStyle name="백분율 3 4 3 2 2 2 3 3 2" xfId="31874"/>
    <cellStyle name="백분율 3 4 3 2 2 2 3 4" xfId="20738"/>
    <cellStyle name="백분율 3 4 3 2 2 2 4" xfId="6818"/>
    <cellStyle name="백분율 3 4 3 2 2 2 4 2" xfId="23522"/>
    <cellStyle name="백분율 3 4 3 2 2 2 5" xfId="12386"/>
    <cellStyle name="백분율 3 4 3 2 2 2 5 2" xfId="29090"/>
    <cellStyle name="백분율 3 4 3 2 2 2 6" xfId="17954"/>
    <cellStyle name="백분율 3 4 3 2 2 3" xfId="1946"/>
    <cellStyle name="백분율 3 4 3 2 2 3 2" xfId="4730"/>
    <cellStyle name="백분율 3 4 3 2 2 3 2 2" xfId="10298"/>
    <cellStyle name="백분율 3 4 3 2 2 3 2 2 2" xfId="27002"/>
    <cellStyle name="백분율 3 4 3 2 2 3 2 3" xfId="15866"/>
    <cellStyle name="백분율 3 4 3 2 2 3 2 3 2" xfId="32570"/>
    <cellStyle name="백분율 3 4 3 2 2 3 2 4" xfId="21434"/>
    <cellStyle name="백분율 3 4 3 2 2 3 3" xfId="7514"/>
    <cellStyle name="백분율 3 4 3 2 2 3 3 2" xfId="24218"/>
    <cellStyle name="백분율 3 4 3 2 2 3 4" xfId="13082"/>
    <cellStyle name="백분율 3 4 3 2 2 3 4 2" xfId="29786"/>
    <cellStyle name="백분율 3 4 3 2 2 3 5" xfId="18650"/>
    <cellStyle name="백분율 3 4 3 2 2 4" xfId="3338"/>
    <cellStyle name="백분율 3 4 3 2 2 4 2" xfId="8906"/>
    <cellStyle name="백분율 3 4 3 2 2 4 2 2" xfId="25610"/>
    <cellStyle name="백분율 3 4 3 2 2 4 3" xfId="14474"/>
    <cellStyle name="백분율 3 4 3 2 2 4 3 2" xfId="31178"/>
    <cellStyle name="백분율 3 4 3 2 2 4 4" xfId="20042"/>
    <cellStyle name="백분율 3 4 3 2 2 5" xfId="6122"/>
    <cellStyle name="백분율 3 4 3 2 2 5 2" xfId="22826"/>
    <cellStyle name="백분율 3 4 3 2 2 6" xfId="11690"/>
    <cellStyle name="백분율 3 4 3 2 2 6 2" xfId="28394"/>
    <cellStyle name="백분율 3 4 3 2 2 7" xfId="17258"/>
    <cellStyle name="백분율 3 4 3 2 3" xfId="786"/>
    <cellStyle name="백분율 3 4 3 2 3 2" xfId="1482"/>
    <cellStyle name="백분율 3 4 3 2 3 2 2" xfId="2874"/>
    <cellStyle name="백분율 3 4 3 2 3 2 2 2" xfId="5658"/>
    <cellStyle name="백분율 3 4 3 2 3 2 2 2 2" xfId="11226"/>
    <cellStyle name="백분율 3 4 3 2 3 2 2 2 2 2" xfId="27930"/>
    <cellStyle name="백분율 3 4 3 2 3 2 2 2 3" xfId="16794"/>
    <cellStyle name="백분율 3 4 3 2 3 2 2 2 3 2" xfId="33498"/>
    <cellStyle name="백분율 3 4 3 2 3 2 2 2 4" xfId="22362"/>
    <cellStyle name="백분율 3 4 3 2 3 2 2 3" xfId="8442"/>
    <cellStyle name="백분율 3 4 3 2 3 2 2 3 2" xfId="25146"/>
    <cellStyle name="백분율 3 4 3 2 3 2 2 4" xfId="14010"/>
    <cellStyle name="백분율 3 4 3 2 3 2 2 4 2" xfId="30714"/>
    <cellStyle name="백분율 3 4 3 2 3 2 2 5" xfId="19578"/>
    <cellStyle name="백분율 3 4 3 2 3 2 3" xfId="4266"/>
    <cellStyle name="백분율 3 4 3 2 3 2 3 2" xfId="9834"/>
    <cellStyle name="백분율 3 4 3 2 3 2 3 2 2" xfId="26538"/>
    <cellStyle name="백분율 3 4 3 2 3 2 3 3" xfId="15402"/>
    <cellStyle name="백분율 3 4 3 2 3 2 3 3 2" xfId="32106"/>
    <cellStyle name="백분율 3 4 3 2 3 2 3 4" xfId="20970"/>
    <cellStyle name="백분율 3 4 3 2 3 2 4" xfId="7050"/>
    <cellStyle name="백분율 3 4 3 2 3 2 4 2" xfId="23754"/>
    <cellStyle name="백분율 3 4 3 2 3 2 5" xfId="12618"/>
    <cellStyle name="백분율 3 4 3 2 3 2 5 2" xfId="29322"/>
    <cellStyle name="백분율 3 4 3 2 3 2 6" xfId="18186"/>
    <cellStyle name="백분율 3 4 3 2 3 3" xfId="2178"/>
    <cellStyle name="백분율 3 4 3 2 3 3 2" xfId="4962"/>
    <cellStyle name="백분율 3 4 3 2 3 3 2 2" xfId="10530"/>
    <cellStyle name="백분율 3 4 3 2 3 3 2 2 2" xfId="27234"/>
    <cellStyle name="백분율 3 4 3 2 3 3 2 3" xfId="16098"/>
    <cellStyle name="백분율 3 4 3 2 3 3 2 3 2" xfId="32802"/>
    <cellStyle name="백분율 3 4 3 2 3 3 2 4" xfId="21666"/>
    <cellStyle name="백분율 3 4 3 2 3 3 3" xfId="7746"/>
    <cellStyle name="백분율 3 4 3 2 3 3 3 2" xfId="24450"/>
    <cellStyle name="백분율 3 4 3 2 3 3 4" xfId="13314"/>
    <cellStyle name="백분율 3 4 3 2 3 3 4 2" xfId="30018"/>
    <cellStyle name="백분율 3 4 3 2 3 3 5" xfId="18882"/>
    <cellStyle name="백분율 3 4 3 2 3 4" xfId="3570"/>
    <cellStyle name="백분율 3 4 3 2 3 4 2" xfId="9138"/>
    <cellStyle name="백분율 3 4 3 2 3 4 2 2" xfId="25842"/>
    <cellStyle name="백분율 3 4 3 2 3 4 3" xfId="14706"/>
    <cellStyle name="백분율 3 4 3 2 3 4 3 2" xfId="31410"/>
    <cellStyle name="백분율 3 4 3 2 3 4 4" xfId="20274"/>
    <cellStyle name="백분율 3 4 3 2 3 5" xfId="6354"/>
    <cellStyle name="백분율 3 4 3 2 3 5 2" xfId="23058"/>
    <cellStyle name="백분율 3 4 3 2 3 6" xfId="11922"/>
    <cellStyle name="백분율 3 4 3 2 3 6 2" xfId="28626"/>
    <cellStyle name="백분율 3 4 3 2 3 7" xfId="17490"/>
    <cellStyle name="백분율 3 4 3 2 4" xfId="1018"/>
    <cellStyle name="백분율 3 4 3 2 4 2" xfId="2410"/>
    <cellStyle name="백분율 3 4 3 2 4 2 2" xfId="5194"/>
    <cellStyle name="백분율 3 4 3 2 4 2 2 2" xfId="10762"/>
    <cellStyle name="백분율 3 4 3 2 4 2 2 2 2" xfId="27466"/>
    <cellStyle name="백분율 3 4 3 2 4 2 2 3" xfId="16330"/>
    <cellStyle name="백분율 3 4 3 2 4 2 2 3 2" xfId="33034"/>
    <cellStyle name="백분율 3 4 3 2 4 2 2 4" xfId="21898"/>
    <cellStyle name="백분율 3 4 3 2 4 2 3" xfId="7978"/>
    <cellStyle name="백분율 3 4 3 2 4 2 3 2" xfId="24682"/>
    <cellStyle name="백분율 3 4 3 2 4 2 4" xfId="13546"/>
    <cellStyle name="백분율 3 4 3 2 4 2 4 2" xfId="30250"/>
    <cellStyle name="백분율 3 4 3 2 4 2 5" xfId="19114"/>
    <cellStyle name="백분율 3 4 3 2 4 3" xfId="3802"/>
    <cellStyle name="백분율 3 4 3 2 4 3 2" xfId="9370"/>
    <cellStyle name="백분율 3 4 3 2 4 3 2 2" xfId="26074"/>
    <cellStyle name="백분율 3 4 3 2 4 3 3" xfId="14938"/>
    <cellStyle name="백분율 3 4 3 2 4 3 3 2" xfId="31642"/>
    <cellStyle name="백분율 3 4 3 2 4 3 4" xfId="20506"/>
    <cellStyle name="백분율 3 4 3 2 4 4" xfId="6586"/>
    <cellStyle name="백분율 3 4 3 2 4 4 2" xfId="23290"/>
    <cellStyle name="백분율 3 4 3 2 4 5" xfId="12154"/>
    <cellStyle name="백분율 3 4 3 2 4 5 2" xfId="28858"/>
    <cellStyle name="백분율 3 4 3 2 4 6" xfId="17722"/>
    <cellStyle name="백분율 3 4 3 2 5" xfId="1714"/>
    <cellStyle name="백분율 3 4 3 2 5 2" xfId="4498"/>
    <cellStyle name="백분율 3 4 3 2 5 2 2" xfId="10066"/>
    <cellStyle name="백분율 3 4 3 2 5 2 2 2" xfId="26770"/>
    <cellStyle name="백분율 3 4 3 2 5 2 3" xfId="15634"/>
    <cellStyle name="백분율 3 4 3 2 5 2 3 2" xfId="32338"/>
    <cellStyle name="백분율 3 4 3 2 5 2 4" xfId="21202"/>
    <cellStyle name="백분율 3 4 3 2 5 3" xfId="7282"/>
    <cellStyle name="백분율 3 4 3 2 5 3 2" xfId="23986"/>
    <cellStyle name="백분율 3 4 3 2 5 4" xfId="12850"/>
    <cellStyle name="백분율 3 4 3 2 5 4 2" xfId="29554"/>
    <cellStyle name="백분율 3 4 3 2 5 5" xfId="18418"/>
    <cellStyle name="백분율 3 4 3 2 6" xfId="3106"/>
    <cellStyle name="백분율 3 4 3 2 6 2" xfId="8674"/>
    <cellStyle name="백분율 3 4 3 2 6 2 2" xfId="25378"/>
    <cellStyle name="백분율 3 4 3 2 6 3" xfId="14242"/>
    <cellStyle name="백분율 3 4 3 2 6 3 2" xfId="30946"/>
    <cellStyle name="백분율 3 4 3 2 6 4" xfId="19810"/>
    <cellStyle name="백분율 3 4 3 2 7" xfId="5890"/>
    <cellStyle name="백분율 3 4 3 2 7 2" xfId="22594"/>
    <cellStyle name="백분율 3 4 3 2 8" xfId="11458"/>
    <cellStyle name="백분율 3 4 3 2 8 2" xfId="28162"/>
    <cellStyle name="백분율 3 4 3 2 9" xfId="17026"/>
    <cellStyle name="백분율 3 4 3 3" xfId="438"/>
    <cellStyle name="백분율 3 4 3 3 2" xfId="1134"/>
    <cellStyle name="백분율 3 4 3 3 2 2" xfId="2526"/>
    <cellStyle name="백분율 3 4 3 3 2 2 2" xfId="5310"/>
    <cellStyle name="백분율 3 4 3 3 2 2 2 2" xfId="10878"/>
    <cellStyle name="백분율 3 4 3 3 2 2 2 2 2" xfId="27582"/>
    <cellStyle name="백분율 3 4 3 3 2 2 2 3" xfId="16446"/>
    <cellStyle name="백분율 3 4 3 3 2 2 2 3 2" xfId="33150"/>
    <cellStyle name="백분율 3 4 3 3 2 2 2 4" xfId="22014"/>
    <cellStyle name="백분율 3 4 3 3 2 2 3" xfId="8094"/>
    <cellStyle name="백분율 3 4 3 3 2 2 3 2" xfId="24798"/>
    <cellStyle name="백분율 3 4 3 3 2 2 4" xfId="13662"/>
    <cellStyle name="백분율 3 4 3 3 2 2 4 2" xfId="30366"/>
    <cellStyle name="백분율 3 4 3 3 2 2 5" xfId="19230"/>
    <cellStyle name="백분율 3 4 3 3 2 3" xfId="3918"/>
    <cellStyle name="백분율 3 4 3 3 2 3 2" xfId="9486"/>
    <cellStyle name="백분율 3 4 3 3 2 3 2 2" xfId="26190"/>
    <cellStyle name="백분율 3 4 3 3 2 3 3" xfId="15054"/>
    <cellStyle name="백분율 3 4 3 3 2 3 3 2" xfId="31758"/>
    <cellStyle name="백분율 3 4 3 3 2 3 4" xfId="20622"/>
    <cellStyle name="백분율 3 4 3 3 2 4" xfId="6702"/>
    <cellStyle name="백분율 3 4 3 3 2 4 2" xfId="23406"/>
    <cellStyle name="백분율 3 4 3 3 2 5" xfId="12270"/>
    <cellStyle name="백분율 3 4 3 3 2 5 2" xfId="28974"/>
    <cellStyle name="백분율 3 4 3 3 2 6" xfId="17838"/>
    <cellStyle name="백분율 3 4 3 3 3" xfId="1830"/>
    <cellStyle name="백분율 3 4 3 3 3 2" xfId="4614"/>
    <cellStyle name="백분율 3 4 3 3 3 2 2" xfId="10182"/>
    <cellStyle name="백분율 3 4 3 3 3 2 2 2" xfId="26886"/>
    <cellStyle name="백분율 3 4 3 3 3 2 3" xfId="15750"/>
    <cellStyle name="백분율 3 4 3 3 3 2 3 2" xfId="32454"/>
    <cellStyle name="백분율 3 4 3 3 3 2 4" xfId="21318"/>
    <cellStyle name="백분율 3 4 3 3 3 3" xfId="7398"/>
    <cellStyle name="백분율 3 4 3 3 3 3 2" xfId="24102"/>
    <cellStyle name="백분율 3 4 3 3 3 4" xfId="12966"/>
    <cellStyle name="백분율 3 4 3 3 3 4 2" xfId="29670"/>
    <cellStyle name="백분율 3 4 3 3 3 5" xfId="18534"/>
    <cellStyle name="백분율 3 4 3 3 4" xfId="3222"/>
    <cellStyle name="백분율 3 4 3 3 4 2" xfId="8790"/>
    <cellStyle name="백분율 3 4 3 3 4 2 2" xfId="25494"/>
    <cellStyle name="백분율 3 4 3 3 4 3" xfId="14358"/>
    <cellStyle name="백분율 3 4 3 3 4 3 2" xfId="31062"/>
    <cellStyle name="백분율 3 4 3 3 4 4" xfId="19926"/>
    <cellStyle name="백분율 3 4 3 3 5" xfId="6006"/>
    <cellStyle name="백분율 3 4 3 3 5 2" xfId="22710"/>
    <cellStyle name="백분율 3 4 3 3 6" xfId="11574"/>
    <cellStyle name="백분율 3 4 3 3 6 2" xfId="28278"/>
    <cellStyle name="백분율 3 4 3 3 7" xfId="17142"/>
    <cellStyle name="백분율 3 4 3 4" xfId="670"/>
    <cellStyle name="백분율 3 4 3 4 2" xfId="1366"/>
    <cellStyle name="백분율 3 4 3 4 2 2" xfId="2758"/>
    <cellStyle name="백분율 3 4 3 4 2 2 2" xfId="5542"/>
    <cellStyle name="백분율 3 4 3 4 2 2 2 2" xfId="11110"/>
    <cellStyle name="백분율 3 4 3 4 2 2 2 2 2" xfId="27814"/>
    <cellStyle name="백분율 3 4 3 4 2 2 2 3" xfId="16678"/>
    <cellStyle name="백분율 3 4 3 4 2 2 2 3 2" xfId="33382"/>
    <cellStyle name="백분율 3 4 3 4 2 2 2 4" xfId="22246"/>
    <cellStyle name="백분율 3 4 3 4 2 2 3" xfId="8326"/>
    <cellStyle name="백분율 3 4 3 4 2 2 3 2" xfId="25030"/>
    <cellStyle name="백분율 3 4 3 4 2 2 4" xfId="13894"/>
    <cellStyle name="백분율 3 4 3 4 2 2 4 2" xfId="30598"/>
    <cellStyle name="백분율 3 4 3 4 2 2 5" xfId="19462"/>
    <cellStyle name="백분율 3 4 3 4 2 3" xfId="4150"/>
    <cellStyle name="백분율 3 4 3 4 2 3 2" xfId="9718"/>
    <cellStyle name="백분율 3 4 3 4 2 3 2 2" xfId="26422"/>
    <cellStyle name="백분율 3 4 3 4 2 3 3" xfId="15286"/>
    <cellStyle name="백분율 3 4 3 4 2 3 3 2" xfId="31990"/>
    <cellStyle name="백분율 3 4 3 4 2 3 4" xfId="20854"/>
    <cellStyle name="백분율 3 4 3 4 2 4" xfId="6934"/>
    <cellStyle name="백분율 3 4 3 4 2 4 2" xfId="23638"/>
    <cellStyle name="백분율 3 4 3 4 2 5" xfId="12502"/>
    <cellStyle name="백분율 3 4 3 4 2 5 2" xfId="29206"/>
    <cellStyle name="백분율 3 4 3 4 2 6" xfId="18070"/>
    <cellStyle name="백분율 3 4 3 4 3" xfId="2062"/>
    <cellStyle name="백분율 3 4 3 4 3 2" xfId="4846"/>
    <cellStyle name="백분율 3 4 3 4 3 2 2" xfId="10414"/>
    <cellStyle name="백분율 3 4 3 4 3 2 2 2" xfId="27118"/>
    <cellStyle name="백분율 3 4 3 4 3 2 3" xfId="15982"/>
    <cellStyle name="백분율 3 4 3 4 3 2 3 2" xfId="32686"/>
    <cellStyle name="백분율 3 4 3 4 3 2 4" xfId="21550"/>
    <cellStyle name="백분율 3 4 3 4 3 3" xfId="7630"/>
    <cellStyle name="백분율 3 4 3 4 3 3 2" xfId="24334"/>
    <cellStyle name="백분율 3 4 3 4 3 4" xfId="13198"/>
    <cellStyle name="백분율 3 4 3 4 3 4 2" xfId="29902"/>
    <cellStyle name="백분율 3 4 3 4 3 5" xfId="18766"/>
    <cellStyle name="백분율 3 4 3 4 4" xfId="3454"/>
    <cellStyle name="백분율 3 4 3 4 4 2" xfId="9022"/>
    <cellStyle name="백분율 3 4 3 4 4 2 2" xfId="25726"/>
    <cellStyle name="백분율 3 4 3 4 4 3" xfId="14590"/>
    <cellStyle name="백분율 3 4 3 4 4 3 2" xfId="31294"/>
    <cellStyle name="백분율 3 4 3 4 4 4" xfId="20158"/>
    <cellStyle name="백분율 3 4 3 4 5" xfId="6238"/>
    <cellStyle name="백분율 3 4 3 4 5 2" xfId="22942"/>
    <cellStyle name="백분율 3 4 3 4 6" xfId="11806"/>
    <cellStyle name="백분율 3 4 3 4 6 2" xfId="28510"/>
    <cellStyle name="백분율 3 4 3 4 7" xfId="17374"/>
    <cellStyle name="백분율 3 4 3 5" xfId="902"/>
    <cellStyle name="백분율 3 4 3 5 2" xfId="2294"/>
    <cellStyle name="백분율 3 4 3 5 2 2" xfId="5078"/>
    <cellStyle name="백분율 3 4 3 5 2 2 2" xfId="10646"/>
    <cellStyle name="백분율 3 4 3 5 2 2 2 2" xfId="27350"/>
    <cellStyle name="백분율 3 4 3 5 2 2 3" xfId="16214"/>
    <cellStyle name="백분율 3 4 3 5 2 2 3 2" xfId="32918"/>
    <cellStyle name="백분율 3 4 3 5 2 2 4" xfId="21782"/>
    <cellStyle name="백분율 3 4 3 5 2 3" xfId="7862"/>
    <cellStyle name="백분율 3 4 3 5 2 3 2" xfId="24566"/>
    <cellStyle name="백분율 3 4 3 5 2 4" xfId="13430"/>
    <cellStyle name="백분율 3 4 3 5 2 4 2" xfId="30134"/>
    <cellStyle name="백분율 3 4 3 5 2 5" xfId="18998"/>
    <cellStyle name="백분율 3 4 3 5 3" xfId="3686"/>
    <cellStyle name="백분율 3 4 3 5 3 2" xfId="9254"/>
    <cellStyle name="백분율 3 4 3 5 3 2 2" xfId="25958"/>
    <cellStyle name="백분율 3 4 3 5 3 3" xfId="14822"/>
    <cellStyle name="백분율 3 4 3 5 3 3 2" xfId="31526"/>
    <cellStyle name="백분율 3 4 3 5 3 4" xfId="20390"/>
    <cellStyle name="백분율 3 4 3 5 4" xfId="6470"/>
    <cellStyle name="백분율 3 4 3 5 4 2" xfId="23174"/>
    <cellStyle name="백분율 3 4 3 5 5" xfId="12038"/>
    <cellStyle name="백분율 3 4 3 5 5 2" xfId="28742"/>
    <cellStyle name="백분율 3 4 3 5 6" xfId="17606"/>
    <cellStyle name="백분율 3 4 3 6" xfId="1598"/>
    <cellStyle name="백분율 3 4 3 6 2" xfId="4382"/>
    <cellStyle name="백분율 3 4 3 6 2 2" xfId="9950"/>
    <cellStyle name="백분율 3 4 3 6 2 2 2" xfId="26654"/>
    <cellStyle name="백분율 3 4 3 6 2 3" xfId="15518"/>
    <cellStyle name="백분율 3 4 3 6 2 3 2" xfId="32222"/>
    <cellStyle name="백분율 3 4 3 6 2 4" xfId="21086"/>
    <cellStyle name="백분율 3 4 3 6 3" xfId="7166"/>
    <cellStyle name="백분율 3 4 3 6 3 2" xfId="23870"/>
    <cellStyle name="백분율 3 4 3 6 4" xfId="12734"/>
    <cellStyle name="백분율 3 4 3 6 4 2" xfId="29438"/>
    <cellStyle name="백분율 3 4 3 6 5" xfId="18302"/>
    <cellStyle name="백분율 3 4 3 7" xfId="2990"/>
    <cellStyle name="백분율 3 4 3 7 2" xfId="8558"/>
    <cellStyle name="백분율 3 4 3 7 2 2" xfId="25262"/>
    <cellStyle name="백분율 3 4 3 7 3" xfId="14126"/>
    <cellStyle name="백분율 3 4 3 7 3 2" xfId="30830"/>
    <cellStyle name="백분율 3 4 3 7 4" xfId="19694"/>
    <cellStyle name="백분율 3 4 3 8" xfId="5774"/>
    <cellStyle name="백분율 3 4 3 8 2" xfId="22478"/>
    <cellStyle name="백분율 3 4 3 9" xfId="11342"/>
    <cellStyle name="백분율 3 4 3 9 2" xfId="28046"/>
    <cellStyle name="백분율 3 4 4" xfId="264"/>
    <cellStyle name="백분율 3 4 4 2" xfId="496"/>
    <cellStyle name="백분율 3 4 4 2 2" xfId="1192"/>
    <cellStyle name="백분율 3 4 4 2 2 2" xfId="2584"/>
    <cellStyle name="백분율 3 4 4 2 2 2 2" xfId="5368"/>
    <cellStyle name="백분율 3 4 4 2 2 2 2 2" xfId="10936"/>
    <cellStyle name="백분율 3 4 4 2 2 2 2 2 2" xfId="27640"/>
    <cellStyle name="백분율 3 4 4 2 2 2 2 3" xfId="16504"/>
    <cellStyle name="백분율 3 4 4 2 2 2 2 3 2" xfId="33208"/>
    <cellStyle name="백분율 3 4 4 2 2 2 2 4" xfId="22072"/>
    <cellStyle name="백분율 3 4 4 2 2 2 3" xfId="8152"/>
    <cellStyle name="백분율 3 4 4 2 2 2 3 2" xfId="24856"/>
    <cellStyle name="백분율 3 4 4 2 2 2 4" xfId="13720"/>
    <cellStyle name="백분율 3 4 4 2 2 2 4 2" xfId="30424"/>
    <cellStyle name="백분율 3 4 4 2 2 2 5" xfId="19288"/>
    <cellStyle name="백분율 3 4 4 2 2 3" xfId="3976"/>
    <cellStyle name="백분율 3 4 4 2 2 3 2" xfId="9544"/>
    <cellStyle name="백분율 3 4 4 2 2 3 2 2" xfId="26248"/>
    <cellStyle name="백분율 3 4 4 2 2 3 3" xfId="15112"/>
    <cellStyle name="백분율 3 4 4 2 2 3 3 2" xfId="31816"/>
    <cellStyle name="백분율 3 4 4 2 2 3 4" xfId="20680"/>
    <cellStyle name="백분율 3 4 4 2 2 4" xfId="6760"/>
    <cellStyle name="백분율 3 4 4 2 2 4 2" xfId="23464"/>
    <cellStyle name="백분율 3 4 4 2 2 5" xfId="12328"/>
    <cellStyle name="백분율 3 4 4 2 2 5 2" xfId="29032"/>
    <cellStyle name="백분율 3 4 4 2 2 6" xfId="17896"/>
    <cellStyle name="백분율 3 4 4 2 3" xfId="1888"/>
    <cellStyle name="백분율 3 4 4 2 3 2" xfId="4672"/>
    <cellStyle name="백분율 3 4 4 2 3 2 2" xfId="10240"/>
    <cellStyle name="백분율 3 4 4 2 3 2 2 2" xfId="26944"/>
    <cellStyle name="백분율 3 4 4 2 3 2 3" xfId="15808"/>
    <cellStyle name="백분율 3 4 4 2 3 2 3 2" xfId="32512"/>
    <cellStyle name="백분율 3 4 4 2 3 2 4" xfId="21376"/>
    <cellStyle name="백분율 3 4 4 2 3 3" xfId="7456"/>
    <cellStyle name="백분율 3 4 4 2 3 3 2" xfId="24160"/>
    <cellStyle name="백분율 3 4 4 2 3 4" xfId="13024"/>
    <cellStyle name="백분율 3 4 4 2 3 4 2" xfId="29728"/>
    <cellStyle name="백분율 3 4 4 2 3 5" xfId="18592"/>
    <cellStyle name="백분율 3 4 4 2 4" xfId="3280"/>
    <cellStyle name="백분율 3 4 4 2 4 2" xfId="8848"/>
    <cellStyle name="백분율 3 4 4 2 4 2 2" xfId="25552"/>
    <cellStyle name="백분율 3 4 4 2 4 3" xfId="14416"/>
    <cellStyle name="백분율 3 4 4 2 4 3 2" xfId="31120"/>
    <cellStyle name="백분율 3 4 4 2 4 4" xfId="19984"/>
    <cellStyle name="백분율 3 4 4 2 5" xfId="6064"/>
    <cellStyle name="백분율 3 4 4 2 5 2" xfId="22768"/>
    <cellStyle name="백분율 3 4 4 2 6" xfId="11632"/>
    <cellStyle name="백분율 3 4 4 2 6 2" xfId="28336"/>
    <cellStyle name="백분율 3 4 4 2 7" xfId="17200"/>
    <cellStyle name="백분율 3 4 4 3" xfId="728"/>
    <cellStyle name="백분율 3 4 4 3 2" xfId="1424"/>
    <cellStyle name="백분율 3 4 4 3 2 2" xfId="2816"/>
    <cellStyle name="백분율 3 4 4 3 2 2 2" xfId="5600"/>
    <cellStyle name="백분율 3 4 4 3 2 2 2 2" xfId="11168"/>
    <cellStyle name="백분율 3 4 4 3 2 2 2 2 2" xfId="27872"/>
    <cellStyle name="백분율 3 4 4 3 2 2 2 3" xfId="16736"/>
    <cellStyle name="백분율 3 4 4 3 2 2 2 3 2" xfId="33440"/>
    <cellStyle name="백분율 3 4 4 3 2 2 2 4" xfId="22304"/>
    <cellStyle name="백분율 3 4 4 3 2 2 3" xfId="8384"/>
    <cellStyle name="백분율 3 4 4 3 2 2 3 2" xfId="25088"/>
    <cellStyle name="백분율 3 4 4 3 2 2 4" xfId="13952"/>
    <cellStyle name="백분율 3 4 4 3 2 2 4 2" xfId="30656"/>
    <cellStyle name="백분율 3 4 4 3 2 2 5" xfId="19520"/>
    <cellStyle name="백분율 3 4 4 3 2 3" xfId="4208"/>
    <cellStyle name="백분율 3 4 4 3 2 3 2" xfId="9776"/>
    <cellStyle name="백분율 3 4 4 3 2 3 2 2" xfId="26480"/>
    <cellStyle name="백분율 3 4 4 3 2 3 3" xfId="15344"/>
    <cellStyle name="백분율 3 4 4 3 2 3 3 2" xfId="32048"/>
    <cellStyle name="백분율 3 4 4 3 2 3 4" xfId="20912"/>
    <cellStyle name="백분율 3 4 4 3 2 4" xfId="6992"/>
    <cellStyle name="백분율 3 4 4 3 2 4 2" xfId="23696"/>
    <cellStyle name="백분율 3 4 4 3 2 5" xfId="12560"/>
    <cellStyle name="백분율 3 4 4 3 2 5 2" xfId="29264"/>
    <cellStyle name="백분율 3 4 4 3 2 6" xfId="18128"/>
    <cellStyle name="백분율 3 4 4 3 3" xfId="2120"/>
    <cellStyle name="백분율 3 4 4 3 3 2" xfId="4904"/>
    <cellStyle name="백분율 3 4 4 3 3 2 2" xfId="10472"/>
    <cellStyle name="백분율 3 4 4 3 3 2 2 2" xfId="27176"/>
    <cellStyle name="백분율 3 4 4 3 3 2 3" xfId="16040"/>
    <cellStyle name="백분율 3 4 4 3 3 2 3 2" xfId="32744"/>
    <cellStyle name="백분율 3 4 4 3 3 2 4" xfId="21608"/>
    <cellStyle name="백분율 3 4 4 3 3 3" xfId="7688"/>
    <cellStyle name="백분율 3 4 4 3 3 3 2" xfId="24392"/>
    <cellStyle name="백분율 3 4 4 3 3 4" xfId="13256"/>
    <cellStyle name="백분율 3 4 4 3 3 4 2" xfId="29960"/>
    <cellStyle name="백분율 3 4 4 3 3 5" xfId="18824"/>
    <cellStyle name="백분율 3 4 4 3 4" xfId="3512"/>
    <cellStyle name="백분율 3 4 4 3 4 2" xfId="9080"/>
    <cellStyle name="백분율 3 4 4 3 4 2 2" xfId="25784"/>
    <cellStyle name="백분율 3 4 4 3 4 3" xfId="14648"/>
    <cellStyle name="백분율 3 4 4 3 4 3 2" xfId="31352"/>
    <cellStyle name="백분율 3 4 4 3 4 4" xfId="20216"/>
    <cellStyle name="백분율 3 4 4 3 5" xfId="6296"/>
    <cellStyle name="백분율 3 4 4 3 5 2" xfId="23000"/>
    <cellStyle name="백분율 3 4 4 3 6" xfId="11864"/>
    <cellStyle name="백분율 3 4 4 3 6 2" xfId="28568"/>
    <cellStyle name="백분율 3 4 4 3 7" xfId="17432"/>
    <cellStyle name="백분율 3 4 4 4" xfId="960"/>
    <cellStyle name="백분율 3 4 4 4 2" xfId="2352"/>
    <cellStyle name="백분율 3 4 4 4 2 2" xfId="5136"/>
    <cellStyle name="백분율 3 4 4 4 2 2 2" xfId="10704"/>
    <cellStyle name="백분율 3 4 4 4 2 2 2 2" xfId="27408"/>
    <cellStyle name="백분율 3 4 4 4 2 2 3" xfId="16272"/>
    <cellStyle name="백분율 3 4 4 4 2 2 3 2" xfId="32976"/>
    <cellStyle name="백분율 3 4 4 4 2 2 4" xfId="21840"/>
    <cellStyle name="백분율 3 4 4 4 2 3" xfId="7920"/>
    <cellStyle name="백분율 3 4 4 4 2 3 2" xfId="24624"/>
    <cellStyle name="백분율 3 4 4 4 2 4" xfId="13488"/>
    <cellStyle name="백분율 3 4 4 4 2 4 2" xfId="30192"/>
    <cellStyle name="백분율 3 4 4 4 2 5" xfId="19056"/>
    <cellStyle name="백분율 3 4 4 4 3" xfId="3744"/>
    <cellStyle name="백분율 3 4 4 4 3 2" xfId="9312"/>
    <cellStyle name="백분율 3 4 4 4 3 2 2" xfId="26016"/>
    <cellStyle name="백분율 3 4 4 4 3 3" xfId="14880"/>
    <cellStyle name="백분율 3 4 4 4 3 3 2" xfId="31584"/>
    <cellStyle name="백분율 3 4 4 4 3 4" xfId="20448"/>
    <cellStyle name="백분율 3 4 4 4 4" xfId="6528"/>
    <cellStyle name="백분율 3 4 4 4 4 2" xfId="23232"/>
    <cellStyle name="백분율 3 4 4 4 5" xfId="12096"/>
    <cellStyle name="백분율 3 4 4 4 5 2" xfId="28800"/>
    <cellStyle name="백분율 3 4 4 4 6" xfId="17664"/>
    <cellStyle name="백분율 3 4 4 5" xfId="1656"/>
    <cellStyle name="백분율 3 4 4 5 2" xfId="4440"/>
    <cellStyle name="백분율 3 4 4 5 2 2" xfId="10008"/>
    <cellStyle name="백분율 3 4 4 5 2 2 2" xfId="26712"/>
    <cellStyle name="백분율 3 4 4 5 2 3" xfId="15576"/>
    <cellStyle name="백분율 3 4 4 5 2 3 2" xfId="32280"/>
    <cellStyle name="백분율 3 4 4 5 2 4" xfId="21144"/>
    <cellStyle name="백분율 3 4 4 5 3" xfId="7224"/>
    <cellStyle name="백분율 3 4 4 5 3 2" xfId="23928"/>
    <cellStyle name="백분율 3 4 4 5 4" xfId="12792"/>
    <cellStyle name="백분율 3 4 4 5 4 2" xfId="29496"/>
    <cellStyle name="백분율 3 4 4 5 5" xfId="18360"/>
    <cellStyle name="백분율 3 4 4 6" xfId="3048"/>
    <cellStyle name="백분율 3 4 4 6 2" xfId="8616"/>
    <cellStyle name="백분율 3 4 4 6 2 2" xfId="25320"/>
    <cellStyle name="백분율 3 4 4 6 3" xfId="14184"/>
    <cellStyle name="백분율 3 4 4 6 3 2" xfId="30888"/>
    <cellStyle name="백분율 3 4 4 6 4" xfId="19752"/>
    <cellStyle name="백분율 3 4 4 7" xfId="5832"/>
    <cellStyle name="백분율 3 4 4 7 2" xfId="22536"/>
    <cellStyle name="백분율 3 4 4 8" xfId="11400"/>
    <cellStyle name="백분율 3 4 4 8 2" xfId="28104"/>
    <cellStyle name="백분율 3 4 4 9" xfId="16968"/>
    <cellStyle name="백분율 3 4 5" xfId="380"/>
    <cellStyle name="백분율 3 4 5 2" xfId="1076"/>
    <cellStyle name="백분율 3 4 5 2 2" xfId="2468"/>
    <cellStyle name="백분율 3 4 5 2 2 2" xfId="5252"/>
    <cellStyle name="백분율 3 4 5 2 2 2 2" xfId="10820"/>
    <cellStyle name="백분율 3 4 5 2 2 2 2 2" xfId="27524"/>
    <cellStyle name="백분율 3 4 5 2 2 2 3" xfId="16388"/>
    <cellStyle name="백분율 3 4 5 2 2 2 3 2" xfId="33092"/>
    <cellStyle name="백분율 3 4 5 2 2 2 4" xfId="21956"/>
    <cellStyle name="백분율 3 4 5 2 2 3" xfId="8036"/>
    <cellStyle name="백분율 3 4 5 2 2 3 2" xfId="24740"/>
    <cellStyle name="백분율 3 4 5 2 2 4" xfId="13604"/>
    <cellStyle name="백분율 3 4 5 2 2 4 2" xfId="30308"/>
    <cellStyle name="백분율 3 4 5 2 2 5" xfId="19172"/>
    <cellStyle name="백분율 3 4 5 2 3" xfId="3860"/>
    <cellStyle name="백분율 3 4 5 2 3 2" xfId="9428"/>
    <cellStyle name="백분율 3 4 5 2 3 2 2" xfId="26132"/>
    <cellStyle name="백분율 3 4 5 2 3 3" xfId="14996"/>
    <cellStyle name="백분율 3 4 5 2 3 3 2" xfId="31700"/>
    <cellStyle name="백분율 3 4 5 2 3 4" xfId="20564"/>
    <cellStyle name="백분율 3 4 5 2 4" xfId="6644"/>
    <cellStyle name="백분율 3 4 5 2 4 2" xfId="23348"/>
    <cellStyle name="백분율 3 4 5 2 5" xfId="12212"/>
    <cellStyle name="백분율 3 4 5 2 5 2" xfId="28916"/>
    <cellStyle name="백분율 3 4 5 2 6" xfId="17780"/>
    <cellStyle name="백분율 3 4 5 3" xfId="1772"/>
    <cellStyle name="백분율 3 4 5 3 2" xfId="4556"/>
    <cellStyle name="백분율 3 4 5 3 2 2" xfId="10124"/>
    <cellStyle name="백분율 3 4 5 3 2 2 2" xfId="26828"/>
    <cellStyle name="백분율 3 4 5 3 2 3" xfId="15692"/>
    <cellStyle name="백분율 3 4 5 3 2 3 2" xfId="32396"/>
    <cellStyle name="백분율 3 4 5 3 2 4" xfId="21260"/>
    <cellStyle name="백분율 3 4 5 3 3" xfId="7340"/>
    <cellStyle name="백분율 3 4 5 3 3 2" xfId="24044"/>
    <cellStyle name="백분율 3 4 5 3 4" xfId="12908"/>
    <cellStyle name="백분율 3 4 5 3 4 2" xfId="29612"/>
    <cellStyle name="백분율 3 4 5 3 5" xfId="18476"/>
    <cellStyle name="백분율 3 4 5 4" xfId="3164"/>
    <cellStyle name="백분율 3 4 5 4 2" xfId="8732"/>
    <cellStyle name="백분율 3 4 5 4 2 2" xfId="25436"/>
    <cellStyle name="백분율 3 4 5 4 3" xfId="14300"/>
    <cellStyle name="백분율 3 4 5 4 3 2" xfId="31004"/>
    <cellStyle name="백분율 3 4 5 4 4" xfId="19868"/>
    <cellStyle name="백분율 3 4 5 5" xfId="5948"/>
    <cellStyle name="백분율 3 4 5 5 2" xfId="22652"/>
    <cellStyle name="백분율 3 4 5 6" xfId="11516"/>
    <cellStyle name="백분율 3 4 5 6 2" xfId="28220"/>
    <cellStyle name="백분율 3 4 5 7" xfId="17084"/>
    <cellStyle name="백분율 3 4 6" xfId="612"/>
    <cellStyle name="백분율 3 4 6 2" xfId="1308"/>
    <cellStyle name="백분율 3 4 6 2 2" xfId="2700"/>
    <cellStyle name="백분율 3 4 6 2 2 2" xfId="5484"/>
    <cellStyle name="백분율 3 4 6 2 2 2 2" xfId="11052"/>
    <cellStyle name="백분율 3 4 6 2 2 2 2 2" xfId="27756"/>
    <cellStyle name="백분율 3 4 6 2 2 2 3" xfId="16620"/>
    <cellStyle name="백분율 3 4 6 2 2 2 3 2" xfId="33324"/>
    <cellStyle name="백분율 3 4 6 2 2 2 4" xfId="22188"/>
    <cellStyle name="백분율 3 4 6 2 2 3" xfId="8268"/>
    <cellStyle name="백분율 3 4 6 2 2 3 2" xfId="24972"/>
    <cellStyle name="백분율 3 4 6 2 2 4" xfId="13836"/>
    <cellStyle name="백분율 3 4 6 2 2 4 2" xfId="30540"/>
    <cellStyle name="백분율 3 4 6 2 2 5" xfId="19404"/>
    <cellStyle name="백분율 3 4 6 2 3" xfId="4092"/>
    <cellStyle name="백분율 3 4 6 2 3 2" xfId="9660"/>
    <cellStyle name="백분율 3 4 6 2 3 2 2" xfId="26364"/>
    <cellStyle name="백분율 3 4 6 2 3 3" xfId="15228"/>
    <cellStyle name="백분율 3 4 6 2 3 3 2" xfId="31932"/>
    <cellStyle name="백분율 3 4 6 2 3 4" xfId="20796"/>
    <cellStyle name="백분율 3 4 6 2 4" xfId="6876"/>
    <cellStyle name="백분율 3 4 6 2 4 2" xfId="23580"/>
    <cellStyle name="백분율 3 4 6 2 5" xfId="12444"/>
    <cellStyle name="백분율 3 4 6 2 5 2" xfId="29148"/>
    <cellStyle name="백분율 3 4 6 2 6" xfId="18012"/>
    <cellStyle name="백분율 3 4 6 3" xfId="2004"/>
    <cellStyle name="백분율 3 4 6 3 2" xfId="4788"/>
    <cellStyle name="백분율 3 4 6 3 2 2" xfId="10356"/>
    <cellStyle name="백분율 3 4 6 3 2 2 2" xfId="27060"/>
    <cellStyle name="백분율 3 4 6 3 2 3" xfId="15924"/>
    <cellStyle name="백분율 3 4 6 3 2 3 2" xfId="32628"/>
    <cellStyle name="백분율 3 4 6 3 2 4" xfId="21492"/>
    <cellStyle name="백분율 3 4 6 3 3" xfId="7572"/>
    <cellStyle name="백분율 3 4 6 3 3 2" xfId="24276"/>
    <cellStyle name="백분율 3 4 6 3 4" xfId="13140"/>
    <cellStyle name="백분율 3 4 6 3 4 2" xfId="29844"/>
    <cellStyle name="백분율 3 4 6 3 5" xfId="18708"/>
    <cellStyle name="백분율 3 4 6 4" xfId="3396"/>
    <cellStyle name="백분율 3 4 6 4 2" xfId="8964"/>
    <cellStyle name="백분율 3 4 6 4 2 2" xfId="25668"/>
    <cellStyle name="백분율 3 4 6 4 3" xfId="14532"/>
    <cellStyle name="백분율 3 4 6 4 3 2" xfId="31236"/>
    <cellStyle name="백분율 3 4 6 4 4" xfId="20100"/>
    <cellStyle name="백분율 3 4 6 5" xfId="6180"/>
    <cellStyle name="백분율 3 4 6 5 2" xfId="22884"/>
    <cellStyle name="백분율 3 4 6 6" xfId="11748"/>
    <cellStyle name="백분율 3 4 6 6 2" xfId="28452"/>
    <cellStyle name="백분율 3 4 6 7" xfId="17316"/>
    <cellStyle name="백분율 3 4 7" xfId="844"/>
    <cellStyle name="백분율 3 4 7 2" xfId="2236"/>
    <cellStyle name="백분율 3 4 7 2 2" xfId="5020"/>
    <cellStyle name="백분율 3 4 7 2 2 2" xfId="10588"/>
    <cellStyle name="백분율 3 4 7 2 2 2 2" xfId="27292"/>
    <cellStyle name="백분율 3 4 7 2 2 3" xfId="16156"/>
    <cellStyle name="백분율 3 4 7 2 2 3 2" xfId="32860"/>
    <cellStyle name="백분율 3 4 7 2 2 4" xfId="21724"/>
    <cellStyle name="백분율 3 4 7 2 3" xfId="7804"/>
    <cellStyle name="백분율 3 4 7 2 3 2" xfId="24508"/>
    <cellStyle name="백분율 3 4 7 2 4" xfId="13372"/>
    <cellStyle name="백분율 3 4 7 2 4 2" xfId="30076"/>
    <cellStyle name="백분율 3 4 7 2 5" xfId="18940"/>
    <cellStyle name="백분율 3 4 7 3" xfId="3628"/>
    <cellStyle name="백분율 3 4 7 3 2" xfId="9196"/>
    <cellStyle name="백분율 3 4 7 3 2 2" xfId="25900"/>
    <cellStyle name="백분율 3 4 7 3 3" xfId="14764"/>
    <cellStyle name="백분율 3 4 7 3 3 2" xfId="31468"/>
    <cellStyle name="백분율 3 4 7 3 4" xfId="20332"/>
    <cellStyle name="백분율 3 4 7 4" xfId="6412"/>
    <cellStyle name="백분율 3 4 7 4 2" xfId="23116"/>
    <cellStyle name="백분율 3 4 7 5" xfId="11980"/>
    <cellStyle name="백분율 3 4 7 5 2" xfId="28684"/>
    <cellStyle name="백분율 3 4 7 6" xfId="17548"/>
    <cellStyle name="백분율 3 4 8" xfId="1540"/>
    <cellStyle name="백분율 3 4 8 2" xfId="4324"/>
    <cellStyle name="백분율 3 4 8 2 2" xfId="9892"/>
    <cellStyle name="백분율 3 4 8 2 2 2" xfId="26596"/>
    <cellStyle name="백분율 3 4 8 2 3" xfId="15460"/>
    <cellStyle name="백분율 3 4 8 2 3 2" xfId="32164"/>
    <cellStyle name="백분율 3 4 8 2 4" xfId="21028"/>
    <cellStyle name="백분율 3 4 8 3" xfId="7108"/>
    <cellStyle name="백분율 3 4 8 3 2" xfId="23812"/>
    <cellStyle name="백분율 3 4 8 4" xfId="12676"/>
    <cellStyle name="백분율 3 4 8 4 2" xfId="29380"/>
    <cellStyle name="백분율 3 4 8 5" xfId="18244"/>
    <cellStyle name="백분율 3 4 9" xfId="2932"/>
    <cellStyle name="백분율 3 4 9 2" xfId="8500"/>
    <cellStyle name="백분율 3 4 9 2 2" xfId="25204"/>
    <cellStyle name="백분율 3 4 9 3" xfId="14068"/>
    <cellStyle name="백분율 3 4 9 3 2" xfId="30772"/>
    <cellStyle name="백분율 3 4 9 4" xfId="19636"/>
    <cellStyle name="백분율 4" xfId="99"/>
    <cellStyle name="백분율 5" xfId="100"/>
    <cellStyle name="백분율 6" xfId="101"/>
    <cellStyle name="보통 2" xfId="102"/>
    <cellStyle name="보통 3" xfId="103"/>
    <cellStyle name="설명 텍스트 2" xfId="104"/>
    <cellStyle name="설명 텍스트 3" xfId="105"/>
    <cellStyle name="셀 확인 2" xfId="106"/>
    <cellStyle name="셀 확인 3" xfId="107"/>
    <cellStyle name="쉼표 [0] 2" xfId="22"/>
    <cellStyle name="쉼표 [0] 2 10" xfId="610"/>
    <cellStyle name="쉼표 [0] 2 10 2" xfId="1306"/>
    <cellStyle name="쉼표 [0] 2 10 2 2" xfId="2698"/>
    <cellStyle name="쉼표 [0] 2 10 2 2 2" xfId="5482"/>
    <cellStyle name="쉼표 [0] 2 10 2 2 2 2" xfId="11050"/>
    <cellStyle name="쉼표 [0] 2 10 2 2 2 2 2" xfId="27754"/>
    <cellStyle name="쉼표 [0] 2 10 2 2 2 3" xfId="16618"/>
    <cellStyle name="쉼표 [0] 2 10 2 2 2 3 2" xfId="33322"/>
    <cellStyle name="쉼표 [0] 2 10 2 2 2 4" xfId="22186"/>
    <cellStyle name="쉼표 [0] 2 10 2 2 3" xfId="8266"/>
    <cellStyle name="쉼표 [0] 2 10 2 2 3 2" xfId="24970"/>
    <cellStyle name="쉼표 [0] 2 10 2 2 4" xfId="13834"/>
    <cellStyle name="쉼표 [0] 2 10 2 2 4 2" xfId="30538"/>
    <cellStyle name="쉼표 [0] 2 10 2 2 5" xfId="19402"/>
    <cellStyle name="쉼표 [0] 2 10 2 3" xfId="4090"/>
    <cellStyle name="쉼표 [0] 2 10 2 3 2" xfId="9658"/>
    <cellStyle name="쉼표 [0] 2 10 2 3 2 2" xfId="26362"/>
    <cellStyle name="쉼표 [0] 2 10 2 3 3" xfId="15226"/>
    <cellStyle name="쉼표 [0] 2 10 2 3 3 2" xfId="31930"/>
    <cellStyle name="쉼표 [0] 2 10 2 3 4" xfId="20794"/>
    <cellStyle name="쉼표 [0] 2 10 2 4" xfId="6874"/>
    <cellStyle name="쉼표 [0] 2 10 2 4 2" xfId="23578"/>
    <cellStyle name="쉼표 [0] 2 10 2 5" xfId="12442"/>
    <cellStyle name="쉼표 [0] 2 10 2 5 2" xfId="29146"/>
    <cellStyle name="쉼표 [0] 2 10 2 6" xfId="18010"/>
    <cellStyle name="쉼표 [0] 2 10 3" xfId="2002"/>
    <cellStyle name="쉼표 [0] 2 10 3 2" xfId="4786"/>
    <cellStyle name="쉼표 [0] 2 10 3 2 2" xfId="10354"/>
    <cellStyle name="쉼표 [0] 2 10 3 2 2 2" xfId="27058"/>
    <cellStyle name="쉼표 [0] 2 10 3 2 3" xfId="15922"/>
    <cellStyle name="쉼표 [0] 2 10 3 2 3 2" xfId="32626"/>
    <cellStyle name="쉼표 [0] 2 10 3 2 4" xfId="21490"/>
    <cellStyle name="쉼표 [0] 2 10 3 3" xfId="7570"/>
    <cellStyle name="쉼표 [0] 2 10 3 3 2" xfId="24274"/>
    <cellStyle name="쉼표 [0] 2 10 3 4" xfId="13138"/>
    <cellStyle name="쉼표 [0] 2 10 3 4 2" xfId="29842"/>
    <cellStyle name="쉼표 [0] 2 10 3 5" xfId="18706"/>
    <cellStyle name="쉼표 [0] 2 10 4" xfId="3394"/>
    <cellStyle name="쉼표 [0] 2 10 4 2" xfId="8962"/>
    <cellStyle name="쉼표 [0] 2 10 4 2 2" xfId="25666"/>
    <cellStyle name="쉼표 [0] 2 10 4 3" xfId="14530"/>
    <cellStyle name="쉼표 [0] 2 10 4 3 2" xfId="31234"/>
    <cellStyle name="쉼표 [0] 2 10 4 4" xfId="20098"/>
    <cellStyle name="쉼표 [0] 2 10 5" xfId="6178"/>
    <cellStyle name="쉼표 [0] 2 10 5 2" xfId="22882"/>
    <cellStyle name="쉼표 [0] 2 10 6" xfId="11746"/>
    <cellStyle name="쉼표 [0] 2 10 6 2" xfId="28450"/>
    <cellStyle name="쉼표 [0] 2 10 7" xfId="17314"/>
    <cellStyle name="쉼표 [0] 2 11" xfId="842"/>
    <cellStyle name="쉼표 [0] 2 11 2" xfId="2234"/>
    <cellStyle name="쉼표 [0] 2 11 2 2" xfId="5018"/>
    <cellStyle name="쉼표 [0] 2 11 2 2 2" xfId="10586"/>
    <cellStyle name="쉼표 [0] 2 11 2 2 2 2" xfId="27290"/>
    <cellStyle name="쉼표 [0] 2 11 2 2 3" xfId="16154"/>
    <cellStyle name="쉼표 [0] 2 11 2 2 3 2" xfId="32858"/>
    <cellStyle name="쉼표 [0] 2 11 2 2 4" xfId="21722"/>
    <cellStyle name="쉼표 [0] 2 11 2 3" xfId="7802"/>
    <cellStyle name="쉼표 [0] 2 11 2 3 2" xfId="24506"/>
    <cellStyle name="쉼표 [0] 2 11 2 4" xfId="13370"/>
    <cellStyle name="쉼표 [0] 2 11 2 4 2" xfId="30074"/>
    <cellStyle name="쉼표 [0] 2 11 2 5" xfId="18938"/>
    <cellStyle name="쉼표 [0] 2 11 3" xfId="3626"/>
    <cellStyle name="쉼표 [0] 2 11 3 2" xfId="9194"/>
    <cellStyle name="쉼표 [0] 2 11 3 2 2" xfId="25898"/>
    <cellStyle name="쉼표 [0] 2 11 3 3" xfId="14762"/>
    <cellStyle name="쉼표 [0] 2 11 3 3 2" xfId="31466"/>
    <cellStyle name="쉼표 [0] 2 11 3 4" xfId="20330"/>
    <cellStyle name="쉼표 [0] 2 11 4" xfId="6410"/>
    <cellStyle name="쉼표 [0] 2 11 4 2" xfId="23114"/>
    <cellStyle name="쉼표 [0] 2 11 5" xfId="11978"/>
    <cellStyle name="쉼표 [0] 2 11 5 2" xfId="28682"/>
    <cellStyle name="쉼표 [0] 2 11 6" xfId="17546"/>
    <cellStyle name="쉼표 [0] 2 12" xfId="1538"/>
    <cellStyle name="쉼표 [0] 2 12 2" xfId="4322"/>
    <cellStyle name="쉼표 [0] 2 12 2 2" xfId="9890"/>
    <cellStyle name="쉼표 [0] 2 12 2 2 2" xfId="26594"/>
    <cellStyle name="쉼표 [0] 2 12 2 3" xfId="15458"/>
    <cellStyle name="쉼표 [0] 2 12 2 3 2" xfId="32162"/>
    <cellStyle name="쉼표 [0] 2 12 2 4" xfId="21026"/>
    <cellStyle name="쉼표 [0] 2 12 3" xfId="7106"/>
    <cellStyle name="쉼표 [0] 2 12 3 2" xfId="23810"/>
    <cellStyle name="쉼표 [0] 2 12 4" xfId="12674"/>
    <cellStyle name="쉼표 [0] 2 12 4 2" xfId="29378"/>
    <cellStyle name="쉼표 [0] 2 12 5" xfId="18242"/>
    <cellStyle name="쉼표 [0] 2 13" xfId="2930"/>
    <cellStyle name="쉼표 [0] 2 13 2" xfId="8498"/>
    <cellStyle name="쉼표 [0] 2 13 2 2" xfId="25202"/>
    <cellStyle name="쉼표 [0] 2 13 3" xfId="14066"/>
    <cellStyle name="쉼표 [0] 2 13 3 2" xfId="30770"/>
    <cellStyle name="쉼표 [0] 2 13 4" xfId="19634"/>
    <cellStyle name="쉼표 [0] 2 14" xfId="5714"/>
    <cellStyle name="쉼표 [0] 2 14 2" xfId="22418"/>
    <cellStyle name="쉼표 [0] 2 15" xfId="11282"/>
    <cellStyle name="쉼표 [0] 2 15 2" xfId="27986"/>
    <cellStyle name="쉼표 [0] 2 16" xfId="16850"/>
    <cellStyle name="쉼표 [0] 2 2" xfId="109"/>
    <cellStyle name="쉼표 [0] 2 2 10" xfId="5718"/>
    <cellStyle name="쉼표 [0] 2 2 10 2" xfId="22422"/>
    <cellStyle name="쉼표 [0] 2 2 11" xfId="11286"/>
    <cellStyle name="쉼표 [0] 2 2 11 2" xfId="27990"/>
    <cellStyle name="쉼표 [0] 2 2 12" xfId="16854"/>
    <cellStyle name="쉼표 [0] 2 2 2" xfId="179"/>
    <cellStyle name="쉼표 [0] 2 2 2 10" xfId="11315"/>
    <cellStyle name="쉼표 [0] 2 2 2 10 2" xfId="28019"/>
    <cellStyle name="쉼표 [0] 2 2 2 11" xfId="16883"/>
    <cellStyle name="쉼표 [0] 2 2 2 2" xfId="237"/>
    <cellStyle name="쉼표 [0] 2 2 2 2 10" xfId="16941"/>
    <cellStyle name="쉼표 [0] 2 2 2 2 2" xfId="353"/>
    <cellStyle name="쉼표 [0] 2 2 2 2 2 2" xfId="585"/>
    <cellStyle name="쉼표 [0] 2 2 2 2 2 2 2" xfId="1281"/>
    <cellStyle name="쉼표 [0] 2 2 2 2 2 2 2 2" xfId="2673"/>
    <cellStyle name="쉼표 [0] 2 2 2 2 2 2 2 2 2" xfId="5457"/>
    <cellStyle name="쉼표 [0] 2 2 2 2 2 2 2 2 2 2" xfId="11025"/>
    <cellStyle name="쉼표 [0] 2 2 2 2 2 2 2 2 2 2 2" xfId="27729"/>
    <cellStyle name="쉼표 [0] 2 2 2 2 2 2 2 2 2 3" xfId="16593"/>
    <cellStyle name="쉼표 [0] 2 2 2 2 2 2 2 2 2 3 2" xfId="33297"/>
    <cellStyle name="쉼표 [0] 2 2 2 2 2 2 2 2 2 4" xfId="22161"/>
    <cellStyle name="쉼표 [0] 2 2 2 2 2 2 2 2 3" xfId="8241"/>
    <cellStyle name="쉼표 [0] 2 2 2 2 2 2 2 2 3 2" xfId="24945"/>
    <cellStyle name="쉼표 [0] 2 2 2 2 2 2 2 2 4" xfId="13809"/>
    <cellStyle name="쉼표 [0] 2 2 2 2 2 2 2 2 4 2" xfId="30513"/>
    <cellStyle name="쉼표 [0] 2 2 2 2 2 2 2 2 5" xfId="19377"/>
    <cellStyle name="쉼표 [0] 2 2 2 2 2 2 2 3" xfId="4065"/>
    <cellStyle name="쉼표 [0] 2 2 2 2 2 2 2 3 2" xfId="9633"/>
    <cellStyle name="쉼표 [0] 2 2 2 2 2 2 2 3 2 2" xfId="26337"/>
    <cellStyle name="쉼표 [0] 2 2 2 2 2 2 2 3 3" xfId="15201"/>
    <cellStyle name="쉼표 [0] 2 2 2 2 2 2 2 3 3 2" xfId="31905"/>
    <cellStyle name="쉼표 [0] 2 2 2 2 2 2 2 3 4" xfId="20769"/>
    <cellStyle name="쉼표 [0] 2 2 2 2 2 2 2 4" xfId="6849"/>
    <cellStyle name="쉼표 [0] 2 2 2 2 2 2 2 4 2" xfId="23553"/>
    <cellStyle name="쉼표 [0] 2 2 2 2 2 2 2 5" xfId="12417"/>
    <cellStyle name="쉼표 [0] 2 2 2 2 2 2 2 5 2" xfId="29121"/>
    <cellStyle name="쉼표 [0] 2 2 2 2 2 2 2 6" xfId="17985"/>
    <cellStyle name="쉼표 [0] 2 2 2 2 2 2 3" xfId="1977"/>
    <cellStyle name="쉼표 [0] 2 2 2 2 2 2 3 2" xfId="4761"/>
    <cellStyle name="쉼표 [0] 2 2 2 2 2 2 3 2 2" xfId="10329"/>
    <cellStyle name="쉼표 [0] 2 2 2 2 2 2 3 2 2 2" xfId="27033"/>
    <cellStyle name="쉼표 [0] 2 2 2 2 2 2 3 2 3" xfId="15897"/>
    <cellStyle name="쉼표 [0] 2 2 2 2 2 2 3 2 3 2" xfId="32601"/>
    <cellStyle name="쉼표 [0] 2 2 2 2 2 2 3 2 4" xfId="21465"/>
    <cellStyle name="쉼표 [0] 2 2 2 2 2 2 3 3" xfId="7545"/>
    <cellStyle name="쉼표 [0] 2 2 2 2 2 2 3 3 2" xfId="24249"/>
    <cellStyle name="쉼표 [0] 2 2 2 2 2 2 3 4" xfId="13113"/>
    <cellStyle name="쉼표 [0] 2 2 2 2 2 2 3 4 2" xfId="29817"/>
    <cellStyle name="쉼표 [0] 2 2 2 2 2 2 3 5" xfId="18681"/>
    <cellStyle name="쉼표 [0] 2 2 2 2 2 2 4" xfId="3369"/>
    <cellStyle name="쉼표 [0] 2 2 2 2 2 2 4 2" xfId="8937"/>
    <cellStyle name="쉼표 [0] 2 2 2 2 2 2 4 2 2" xfId="25641"/>
    <cellStyle name="쉼표 [0] 2 2 2 2 2 2 4 3" xfId="14505"/>
    <cellStyle name="쉼표 [0] 2 2 2 2 2 2 4 3 2" xfId="31209"/>
    <cellStyle name="쉼표 [0] 2 2 2 2 2 2 4 4" xfId="20073"/>
    <cellStyle name="쉼표 [0] 2 2 2 2 2 2 5" xfId="6153"/>
    <cellStyle name="쉼표 [0] 2 2 2 2 2 2 5 2" xfId="22857"/>
    <cellStyle name="쉼표 [0] 2 2 2 2 2 2 6" xfId="11721"/>
    <cellStyle name="쉼표 [0] 2 2 2 2 2 2 6 2" xfId="28425"/>
    <cellStyle name="쉼표 [0] 2 2 2 2 2 2 7" xfId="17289"/>
    <cellStyle name="쉼표 [0] 2 2 2 2 2 3" xfId="817"/>
    <cellStyle name="쉼표 [0] 2 2 2 2 2 3 2" xfId="1513"/>
    <cellStyle name="쉼표 [0] 2 2 2 2 2 3 2 2" xfId="2905"/>
    <cellStyle name="쉼표 [0] 2 2 2 2 2 3 2 2 2" xfId="5689"/>
    <cellStyle name="쉼표 [0] 2 2 2 2 2 3 2 2 2 2" xfId="11257"/>
    <cellStyle name="쉼표 [0] 2 2 2 2 2 3 2 2 2 2 2" xfId="27961"/>
    <cellStyle name="쉼표 [0] 2 2 2 2 2 3 2 2 2 3" xfId="16825"/>
    <cellStyle name="쉼표 [0] 2 2 2 2 2 3 2 2 2 3 2" xfId="33529"/>
    <cellStyle name="쉼표 [0] 2 2 2 2 2 3 2 2 2 4" xfId="22393"/>
    <cellStyle name="쉼표 [0] 2 2 2 2 2 3 2 2 3" xfId="8473"/>
    <cellStyle name="쉼표 [0] 2 2 2 2 2 3 2 2 3 2" xfId="25177"/>
    <cellStyle name="쉼표 [0] 2 2 2 2 2 3 2 2 4" xfId="14041"/>
    <cellStyle name="쉼표 [0] 2 2 2 2 2 3 2 2 4 2" xfId="30745"/>
    <cellStyle name="쉼표 [0] 2 2 2 2 2 3 2 2 5" xfId="19609"/>
    <cellStyle name="쉼표 [0] 2 2 2 2 2 3 2 3" xfId="4297"/>
    <cellStyle name="쉼표 [0] 2 2 2 2 2 3 2 3 2" xfId="9865"/>
    <cellStyle name="쉼표 [0] 2 2 2 2 2 3 2 3 2 2" xfId="26569"/>
    <cellStyle name="쉼표 [0] 2 2 2 2 2 3 2 3 3" xfId="15433"/>
    <cellStyle name="쉼표 [0] 2 2 2 2 2 3 2 3 3 2" xfId="32137"/>
    <cellStyle name="쉼표 [0] 2 2 2 2 2 3 2 3 4" xfId="21001"/>
    <cellStyle name="쉼표 [0] 2 2 2 2 2 3 2 4" xfId="7081"/>
    <cellStyle name="쉼표 [0] 2 2 2 2 2 3 2 4 2" xfId="23785"/>
    <cellStyle name="쉼표 [0] 2 2 2 2 2 3 2 5" xfId="12649"/>
    <cellStyle name="쉼표 [0] 2 2 2 2 2 3 2 5 2" xfId="29353"/>
    <cellStyle name="쉼표 [0] 2 2 2 2 2 3 2 6" xfId="18217"/>
    <cellStyle name="쉼표 [0] 2 2 2 2 2 3 3" xfId="2209"/>
    <cellStyle name="쉼표 [0] 2 2 2 2 2 3 3 2" xfId="4993"/>
    <cellStyle name="쉼표 [0] 2 2 2 2 2 3 3 2 2" xfId="10561"/>
    <cellStyle name="쉼표 [0] 2 2 2 2 2 3 3 2 2 2" xfId="27265"/>
    <cellStyle name="쉼표 [0] 2 2 2 2 2 3 3 2 3" xfId="16129"/>
    <cellStyle name="쉼표 [0] 2 2 2 2 2 3 3 2 3 2" xfId="32833"/>
    <cellStyle name="쉼표 [0] 2 2 2 2 2 3 3 2 4" xfId="21697"/>
    <cellStyle name="쉼표 [0] 2 2 2 2 2 3 3 3" xfId="7777"/>
    <cellStyle name="쉼표 [0] 2 2 2 2 2 3 3 3 2" xfId="24481"/>
    <cellStyle name="쉼표 [0] 2 2 2 2 2 3 3 4" xfId="13345"/>
    <cellStyle name="쉼표 [0] 2 2 2 2 2 3 3 4 2" xfId="30049"/>
    <cellStyle name="쉼표 [0] 2 2 2 2 2 3 3 5" xfId="18913"/>
    <cellStyle name="쉼표 [0] 2 2 2 2 2 3 4" xfId="3601"/>
    <cellStyle name="쉼표 [0] 2 2 2 2 2 3 4 2" xfId="9169"/>
    <cellStyle name="쉼표 [0] 2 2 2 2 2 3 4 2 2" xfId="25873"/>
    <cellStyle name="쉼표 [0] 2 2 2 2 2 3 4 3" xfId="14737"/>
    <cellStyle name="쉼표 [0] 2 2 2 2 2 3 4 3 2" xfId="31441"/>
    <cellStyle name="쉼표 [0] 2 2 2 2 2 3 4 4" xfId="20305"/>
    <cellStyle name="쉼표 [0] 2 2 2 2 2 3 5" xfId="6385"/>
    <cellStyle name="쉼표 [0] 2 2 2 2 2 3 5 2" xfId="23089"/>
    <cellStyle name="쉼표 [0] 2 2 2 2 2 3 6" xfId="11953"/>
    <cellStyle name="쉼표 [0] 2 2 2 2 2 3 6 2" xfId="28657"/>
    <cellStyle name="쉼표 [0] 2 2 2 2 2 3 7" xfId="17521"/>
    <cellStyle name="쉼표 [0] 2 2 2 2 2 4" xfId="1049"/>
    <cellStyle name="쉼표 [0] 2 2 2 2 2 4 2" xfId="2441"/>
    <cellStyle name="쉼표 [0] 2 2 2 2 2 4 2 2" xfId="5225"/>
    <cellStyle name="쉼표 [0] 2 2 2 2 2 4 2 2 2" xfId="10793"/>
    <cellStyle name="쉼표 [0] 2 2 2 2 2 4 2 2 2 2" xfId="27497"/>
    <cellStyle name="쉼표 [0] 2 2 2 2 2 4 2 2 3" xfId="16361"/>
    <cellStyle name="쉼표 [0] 2 2 2 2 2 4 2 2 3 2" xfId="33065"/>
    <cellStyle name="쉼표 [0] 2 2 2 2 2 4 2 2 4" xfId="21929"/>
    <cellStyle name="쉼표 [0] 2 2 2 2 2 4 2 3" xfId="8009"/>
    <cellStyle name="쉼표 [0] 2 2 2 2 2 4 2 3 2" xfId="24713"/>
    <cellStyle name="쉼표 [0] 2 2 2 2 2 4 2 4" xfId="13577"/>
    <cellStyle name="쉼표 [0] 2 2 2 2 2 4 2 4 2" xfId="30281"/>
    <cellStyle name="쉼표 [0] 2 2 2 2 2 4 2 5" xfId="19145"/>
    <cellStyle name="쉼표 [0] 2 2 2 2 2 4 3" xfId="3833"/>
    <cellStyle name="쉼표 [0] 2 2 2 2 2 4 3 2" xfId="9401"/>
    <cellStyle name="쉼표 [0] 2 2 2 2 2 4 3 2 2" xfId="26105"/>
    <cellStyle name="쉼표 [0] 2 2 2 2 2 4 3 3" xfId="14969"/>
    <cellStyle name="쉼표 [0] 2 2 2 2 2 4 3 3 2" xfId="31673"/>
    <cellStyle name="쉼표 [0] 2 2 2 2 2 4 3 4" xfId="20537"/>
    <cellStyle name="쉼표 [0] 2 2 2 2 2 4 4" xfId="6617"/>
    <cellStyle name="쉼표 [0] 2 2 2 2 2 4 4 2" xfId="23321"/>
    <cellStyle name="쉼표 [0] 2 2 2 2 2 4 5" xfId="12185"/>
    <cellStyle name="쉼표 [0] 2 2 2 2 2 4 5 2" xfId="28889"/>
    <cellStyle name="쉼표 [0] 2 2 2 2 2 4 6" xfId="17753"/>
    <cellStyle name="쉼표 [0] 2 2 2 2 2 5" xfId="1745"/>
    <cellStyle name="쉼표 [0] 2 2 2 2 2 5 2" xfId="4529"/>
    <cellStyle name="쉼표 [0] 2 2 2 2 2 5 2 2" xfId="10097"/>
    <cellStyle name="쉼표 [0] 2 2 2 2 2 5 2 2 2" xfId="26801"/>
    <cellStyle name="쉼표 [0] 2 2 2 2 2 5 2 3" xfId="15665"/>
    <cellStyle name="쉼표 [0] 2 2 2 2 2 5 2 3 2" xfId="32369"/>
    <cellStyle name="쉼표 [0] 2 2 2 2 2 5 2 4" xfId="21233"/>
    <cellStyle name="쉼표 [0] 2 2 2 2 2 5 3" xfId="7313"/>
    <cellStyle name="쉼표 [0] 2 2 2 2 2 5 3 2" xfId="24017"/>
    <cellStyle name="쉼표 [0] 2 2 2 2 2 5 4" xfId="12881"/>
    <cellStyle name="쉼표 [0] 2 2 2 2 2 5 4 2" xfId="29585"/>
    <cellStyle name="쉼표 [0] 2 2 2 2 2 5 5" xfId="18449"/>
    <cellStyle name="쉼표 [0] 2 2 2 2 2 6" xfId="3137"/>
    <cellStyle name="쉼표 [0] 2 2 2 2 2 6 2" xfId="8705"/>
    <cellStyle name="쉼표 [0] 2 2 2 2 2 6 2 2" xfId="25409"/>
    <cellStyle name="쉼표 [0] 2 2 2 2 2 6 3" xfId="14273"/>
    <cellStyle name="쉼표 [0] 2 2 2 2 2 6 3 2" xfId="30977"/>
    <cellStyle name="쉼표 [0] 2 2 2 2 2 6 4" xfId="19841"/>
    <cellStyle name="쉼표 [0] 2 2 2 2 2 7" xfId="5921"/>
    <cellStyle name="쉼표 [0] 2 2 2 2 2 7 2" xfId="22625"/>
    <cellStyle name="쉼표 [0] 2 2 2 2 2 8" xfId="11489"/>
    <cellStyle name="쉼표 [0] 2 2 2 2 2 8 2" xfId="28193"/>
    <cellStyle name="쉼표 [0] 2 2 2 2 2 9" xfId="17057"/>
    <cellStyle name="쉼표 [0] 2 2 2 2 3" xfId="469"/>
    <cellStyle name="쉼표 [0] 2 2 2 2 3 2" xfId="1165"/>
    <cellStyle name="쉼표 [0] 2 2 2 2 3 2 2" xfId="2557"/>
    <cellStyle name="쉼표 [0] 2 2 2 2 3 2 2 2" xfId="5341"/>
    <cellStyle name="쉼표 [0] 2 2 2 2 3 2 2 2 2" xfId="10909"/>
    <cellStyle name="쉼표 [0] 2 2 2 2 3 2 2 2 2 2" xfId="27613"/>
    <cellStyle name="쉼표 [0] 2 2 2 2 3 2 2 2 3" xfId="16477"/>
    <cellStyle name="쉼표 [0] 2 2 2 2 3 2 2 2 3 2" xfId="33181"/>
    <cellStyle name="쉼표 [0] 2 2 2 2 3 2 2 2 4" xfId="22045"/>
    <cellStyle name="쉼표 [0] 2 2 2 2 3 2 2 3" xfId="8125"/>
    <cellStyle name="쉼표 [0] 2 2 2 2 3 2 2 3 2" xfId="24829"/>
    <cellStyle name="쉼표 [0] 2 2 2 2 3 2 2 4" xfId="13693"/>
    <cellStyle name="쉼표 [0] 2 2 2 2 3 2 2 4 2" xfId="30397"/>
    <cellStyle name="쉼표 [0] 2 2 2 2 3 2 2 5" xfId="19261"/>
    <cellStyle name="쉼표 [0] 2 2 2 2 3 2 3" xfId="3949"/>
    <cellStyle name="쉼표 [0] 2 2 2 2 3 2 3 2" xfId="9517"/>
    <cellStyle name="쉼표 [0] 2 2 2 2 3 2 3 2 2" xfId="26221"/>
    <cellStyle name="쉼표 [0] 2 2 2 2 3 2 3 3" xfId="15085"/>
    <cellStyle name="쉼표 [0] 2 2 2 2 3 2 3 3 2" xfId="31789"/>
    <cellStyle name="쉼표 [0] 2 2 2 2 3 2 3 4" xfId="20653"/>
    <cellStyle name="쉼표 [0] 2 2 2 2 3 2 4" xfId="6733"/>
    <cellStyle name="쉼표 [0] 2 2 2 2 3 2 4 2" xfId="23437"/>
    <cellStyle name="쉼표 [0] 2 2 2 2 3 2 5" xfId="12301"/>
    <cellStyle name="쉼표 [0] 2 2 2 2 3 2 5 2" xfId="29005"/>
    <cellStyle name="쉼표 [0] 2 2 2 2 3 2 6" xfId="17869"/>
    <cellStyle name="쉼표 [0] 2 2 2 2 3 3" xfId="1861"/>
    <cellStyle name="쉼표 [0] 2 2 2 2 3 3 2" xfId="4645"/>
    <cellStyle name="쉼표 [0] 2 2 2 2 3 3 2 2" xfId="10213"/>
    <cellStyle name="쉼표 [0] 2 2 2 2 3 3 2 2 2" xfId="26917"/>
    <cellStyle name="쉼표 [0] 2 2 2 2 3 3 2 3" xfId="15781"/>
    <cellStyle name="쉼표 [0] 2 2 2 2 3 3 2 3 2" xfId="32485"/>
    <cellStyle name="쉼표 [0] 2 2 2 2 3 3 2 4" xfId="21349"/>
    <cellStyle name="쉼표 [0] 2 2 2 2 3 3 3" xfId="7429"/>
    <cellStyle name="쉼표 [0] 2 2 2 2 3 3 3 2" xfId="24133"/>
    <cellStyle name="쉼표 [0] 2 2 2 2 3 3 4" xfId="12997"/>
    <cellStyle name="쉼표 [0] 2 2 2 2 3 3 4 2" xfId="29701"/>
    <cellStyle name="쉼표 [0] 2 2 2 2 3 3 5" xfId="18565"/>
    <cellStyle name="쉼표 [0] 2 2 2 2 3 4" xfId="3253"/>
    <cellStyle name="쉼표 [0] 2 2 2 2 3 4 2" xfId="8821"/>
    <cellStyle name="쉼표 [0] 2 2 2 2 3 4 2 2" xfId="25525"/>
    <cellStyle name="쉼표 [0] 2 2 2 2 3 4 3" xfId="14389"/>
    <cellStyle name="쉼표 [0] 2 2 2 2 3 4 3 2" xfId="31093"/>
    <cellStyle name="쉼표 [0] 2 2 2 2 3 4 4" xfId="19957"/>
    <cellStyle name="쉼표 [0] 2 2 2 2 3 5" xfId="6037"/>
    <cellStyle name="쉼표 [0] 2 2 2 2 3 5 2" xfId="22741"/>
    <cellStyle name="쉼표 [0] 2 2 2 2 3 6" xfId="11605"/>
    <cellStyle name="쉼표 [0] 2 2 2 2 3 6 2" xfId="28309"/>
    <cellStyle name="쉼표 [0] 2 2 2 2 3 7" xfId="17173"/>
    <cellStyle name="쉼표 [0] 2 2 2 2 4" xfId="701"/>
    <cellStyle name="쉼표 [0] 2 2 2 2 4 2" xfId="1397"/>
    <cellStyle name="쉼표 [0] 2 2 2 2 4 2 2" xfId="2789"/>
    <cellStyle name="쉼표 [0] 2 2 2 2 4 2 2 2" xfId="5573"/>
    <cellStyle name="쉼표 [0] 2 2 2 2 4 2 2 2 2" xfId="11141"/>
    <cellStyle name="쉼표 [0] 2 2 2 2 4 2 2 2 2 2" xfId="27845"/>
    <cellStyle name="쉼표 [0] 2 2 2 2 4 2 2 2 3" xfId="16709"/>
    <cellStyle name="쉼표 [0] 2 2 2 2 4 2 2 2 3 2" xfId="33413"/>
    <cellStyle name="쉼표 [0] 2 2 2 2 4 2 2 2 4" xfId="22277"/>
    <cellStyle name="쉼표 [0] 2 2 2 2 4 2 2 3" xfId="8357"/>
    <cellStyle name="쉼표 [0] 2 2 2 2 4 2 2 3 2" xfId="25061"/>
    <cellStyle name="쉼표 [0] 2 2 2 2 4 2 2 4" xfId="13925"/>
    <cellStyle name="쉼표 [0] 2 2 2 2 4 2 2 4 2" xfId="30629"/>
    <cellStyle name="쉼표 [0] 2 2 2 2 4 2 2 5" xfId="19493"/>
    <cellStyle name="쉼표 [0] 2 2 2 2 4 2 3" xfId="4181"/>
    <cellStyle name="쉼표 [0] 2 2 2 2 4 2 3 2" xfId="9749"/>
    <cellStyle name="쉼표 [0] 2 2 2 2 4 2 3 2 2" xfId="26453"/>
    <cellStyle name="쉼표 [0] 2 2 2 2 4 2 3 3" xfId="15317"/>
    <cellStyle name="쉼표 [0] 2 2 2 2 4 2 3 3 2" xfId="32021"/>
    <cellStyle name="쉼표 [0] 2 2 2 2 4 2 3 4" xfId="20885"/>
    <cellStyle name="쉼표 [0] 2 2 2 2 4 2 4" xfId="6965"/>
    <cellStyle name="쉼표 [0] 2 2 2 2 4 2 4 2" xfId="23669"/>
    <cellStyle name="쉼표 [0] 2 2 2 2 4 2 5" xfId="12533"/>
    <cellStyle name="쉼표 [0] 2 2 2 2 4 2 5 2" xfId="29237"/>
    <cellStyle name="쉼표 [0] 2 2 2 2 4 2 6" xfId="18101"/>
    <cellStyle name="쉼표 [0] 2 2 2 2 4 3" xfId="2093"/>
    <cellStyle name="쉼표 [0] 2 2 2 2 4 3 2" xfId="4877"/>
    <cellStyle name="쉼표 [0] 2 2 2 2 4 3 2 2" xfId="10445"/>
    <cellStyle name="쉼표 [0] 2 2 2 2 4 3 2 2 2" xfId="27149"/>
    <cellStyle name="쉼표 [0] 2 2 2 2 4 3 2 3" xfId="16013"/>
    <cellStyle name="쉼표 [0] 2 2 2 2 4 3 2 3 2" xfId="32717"/>
    <cellStyle name="쉼표 [0] 2 2 2 2 4 3 2 4" xfId="21581"/>
    <cellStyle name="쉼표 [0] 2 2 2 2 4 3 3" xfId="7661"/>
    <cellStyle name="쉼표 [0] 2 2 2 2 4 3 3 2" xfId="24365"/>
    <cellStyle name="쉼표 [0] 2 2 2 2 4 3 4" xfId="13229"/>
    <cellStyle name="쉼표 [0] 2 2 2 2 4 3 4 2" xfId="29933"/>
    <cellStyle name="쉼표 [0] 2 2 2 2 4 3 5" xfId="18797"/>
    <cellStyle name="쉼표 [0] 2 2 2 2 4 4" xfId="3485"/>
    <cellStyle name="쉼표 [0] 2 2 2 2 4 4 2" xfId="9053"/>
    <cellStyle name="쉼표 [0] 2 2 2 2 4 4 2 2" xfId="25757"/>
    <cellStyle name="쉼표 [0] 2 2 2 2 4 4 3" xfId="14621"/>
    <cellStyle name="쉼표 [0] 2 2 2 2 4 4 3 2" xfId="31325"/>
    <cellStyle name="쉼표 [0] 2 2 2 2 4 4 4" xfId="20189"/>
    <cellStyle name="쉼표 [0] 2 2 2 2 4 5" xfId="6269"/>
    <cellStyle name="쉼표 [0] 2 2 2 2 4 5 2" xfId="22973"/>
    <cellStyle name="쉼표 [0] 2 2 2 2 4 6" xfId="11837"/>
    <cellStyle name="쉼표 [0] 2 2 2 2 4 6 2" xfId="28541"/>
    <cellStyle name="쉼표 [0] 2 2 2 2 4 7" xfId="17405"/>
    <cellStyle name="쉼표 [0] 2 2 2 2 5" xfId="933"/>
    <cellStyle name="쉼표 [0] 2 2 2 2 5 2" xfId="2325"/>
    <cellStyle name="쉼표 [0] 2 2 2 2 5 2 2" xfId="5109"/>
    <cellStyle name="쉼표 [0] 2 2 2 2 5 2 2 2" xfId="10677"/>
    <cellStyle name="쉼표 [0] 2 2 2 2 5 2 2 2 2" xfId="27381"/>
    <cellStyle name="쉼표 [0] 2 2 2 2 5 2 2 3" xfId="16245"/>
    <cellStyle name="쉼표 [0] 2 2 2 2 5 2 2 3 2" xfId="32949"/>
    <cellStyle name="쉼표 [0] 2 2 2 2 5 2 2 4" xfId="21813"/>
    <cellStyle name="쉼표 [0] 2 2 2 2 5 2 3" xfId="7893"/>
    <cellStyle name="쉼표 [0] 2 2 2 2 5 2 3 2" xfId="24597"/>
    <cellStyle name="쉼표 [0] 2 2 2 2 5 2 4" xfId="13461"/>
    <cellStyle name="쉼표 [0] 2 2 2 2 5 2 4 2" xfId="30165"/>
    <cellStyle name="쉼표 [0] 2 2 2 2 5 2 5" xfId="19029"/>
    <cellStyle name="쉼표 [0] 2 2 2 2 5 3" xfId="3717"/>
    <cellStyle name="쉼표 [0] 2 2 2 2 5 3 2" xfId="9285"/>
    <cellStyle name="쉼표 [0] 2 2 2 2 5 3 2 2" xfId="25989"/>
    <cellStyle name="쉼표 [0] 2 2 2 2 5 3 3" xfId="14853"/>
    <cellStyle name="쉼표 [0] 2 2 2 2 5 3 3 2" xfId="31557"/>
    <cellStyle name="쉼표 [0] 2 2 2 2 5 3 4" xfId="20421"/>
    <cellStyle name="쉼표 [0] 2 2 2 2 5 4" xfId="6501"/>
    <cellStyle name="쉼표 [0] 2 2 2 2 5 4 2" xfId="23205"/>
    <cellStyle name="쉼표 [0] 2 2 2 2 5 5" xfId="12069"/>
    <cellStyle name="쉼표 [0] 2 2 2 2 5 5 2" xfId="28773"/>
    <cellStyle name="쉼표 [0] 2 2 2 2 5 6" xfId="17637"/>
    <cellStyle name="쉼표 [0] 2 2 2 2 6" xfId="1629"/>
    <cellStyle name="쉼표 [0] 2 2 2 2 6 2" xfId="4413"/>
    <cellStyle name="쉼표 [0] 2 2 2 2 6 2 2" xfId="9981"/>
    <cellStyle name="쉼표 [0] 2 2 2 2 6 2 2 2" xfId="26685"/>
    <cellStyle name="쉼표 [0] 2 2 2 2 6 2 3" xfId="15549"/>
    <cellStyle name="쉼표 [0] 2 2 2 2 6 2 3 2" xfId="32253"/>
    <cellStyle name="쉼표 [0] 2 2 2 2 6 2 4" xfId="21117"/>
    <cellStyle name="쉼표 [0] 2 2 2 2 6 3" xfId="7197"/>
    <cellStyle name="쉼표 [0] 2 2 2 2 6 3 2" xfId="23901"/>
    <cellStyle name="쉼표 [0] 2 2 2 2 6 4" xfId="12765"/>
    <cellStyle name="쉼표 [0] 2 2 2 2 6 4 2" xfId="29469"/>
    <cellStyle name="쉼표 [0] 2 2 2 2 6 5" xfId="18333"/>
    <cellStyle name="쉼표 [0] 2 2 2 2 7" xfId="3021"/>
    <cellStyle name="쉼표 [0] 2 2 2 2 7 2" xfId="8589"/>
    <cellStyle name="쉼표 [0] 2 2 2 2 7 2 2" xfId="25293"/>
    <cellStyle name="쉼표 [0] 2 2 2 2 7 3" xfId="14157"/>
    <cellStyle name="쉼표 [0] 2 2 2 2 7 3 2" xfId="30861"/>
    <cellStyle name="쉼표 [0] 2 2 2 2 7 4" xfId="19725"/>
    <cellStyle name="쉼표 [0] 2 2 2 2 8" xfId="5805"/>
    <cellStyle name="쉼표 [0] 2 2 2 2 8 2" xfId="22509"/>
    <cellStyle name="쉼표 [0] 2 2 2 2 9" xfId="11373"/>
    <cellStyle name="쉼표 [0] 2 2 2 2 9 2" xfId="28077"/>
    <cellStyle name="쉼표 [0] 2 2 2 3" xfId="295"/>
    <cellStyle name="쉼표 [0] 2 2 2 3 2" xfId="527"/>
    <cellStyle name="쉼표 [0] 2 2 2 3 2 2" xfId="1223"/>
    <cellStyle name="쉼표 [0] 2 2 2 3 2 2 2" xfId="2615"/>
    <cellStyle name="쉼표 [0] 2 2 2 3 2 2 2 2" xfId="5399"/>
    <cellStyle name="쉼표 [0] 2 2 2 3 2 2 2 2 2" xfId="10967"/>
    <cellStyle name="쉼표 [0] 2 2 2 3 2 2 2 2 2 2" xfId="27671"/>
    <cellStyle name="쉼표 [0] 2 2 2 3 2 2 2 2 3" xfId="16535"/>
    <cellStyle name="쉼표 [0] 2 2 2 3 2 2 2 2 3 2" xfId="33239"/>
    <cellStyle name="쉼표 [0] 2 2 2 3 2 2 2 2 4" xfId="22103"/>
    <cellStyle name="쉼표 [0] 2 2 2 3 2 2 2 3" xfId="8183"/>
    <cellStyle name="쉼표 [0] 2 2 2 3 2 2 2 3 2" xfId="24887"/>
    <cellStyle name="쉼표 [0] 2 2 2 3 2 2 2 4" xfId="13751"/>
    <cellStyle name="쉼표 [0] 2 2 2 3 2 2 2 4 2" xfId="30455"/>
    <cellStyle name="쉼표 [0] 2 2 2 3 2 2 2 5" xfId="19319"/>
    <cellStyle name="쉼표 [0] 2 2 2 3 2 2 3" xfId="4007"/>
    <cellStyle name="쉼표 [0] 2 2 2 3 2 2 3 2" xfId="9575"/>
    <cellStyle name="쉼표 [0] 2 2 2 3 2 2 3 2 2" xfId="26279"/>
    <cellStyle name="쉼표 [0] 2 2 2 3 2 2 3 3" xfId="15143"/>
    <cellStyle name="쉼표 [0] 2 2 2 3 2 2 3 3 2" xfId="31847"/>
    <cellStyle name="쉼표 [0] 2 2 2 3 2 2 3 4" xfId="20711"/>
    <cellStyle name="쉼표 [0] 2 2 2 3 2 2 4" xfId="6791"/>
    <cellStyle name="쉼표 [0] 2 2 2 3 2 2 4 2" xfId="23495"/>
    <cellStyle name="쉼표 [0] 2 2 2 3 2 2 5" xfId="12359"/>
    <cellStyle name="쉼표 [0] 2 2 2 3 2 2 5 2" xfId="29063"/>
    <cellStyle name="쉼표 [0] 2 2 2 3 2 2 6" xfId="17927"/>
    <cellStyle name="쉼표 [0] 2 2 2 3 2 3" xfId="1919"/>
    <cellStyle name="쉼표 [0] 2 2 2 3 2 3 2" xfId="4703"/>
    <cellStyle name="쉼표 [0] 2 2 2 3 2 3 2 2" xfId="10271"/>
    <cellStyle name="쉼표 [0] 2 2 2 3 2 3 2 2 2" xfId="26975"/>
    <cellStyle name="쉼표 [0] 2 2 2 3 2 3 2 3" xfId="15839"/>
    <cellStyle name="쉼표 [0] 2 2 2 3 2 3 2 3 2" xfId="32543"/>
    <cellStyle name="쉼표 [0] 2 2 2 3 2 3 2 4" xfId="21407"/>
    <cellStyle name="쉼표 [0] 2 2 2 3 2 3 3" xfId="7487"/>
    <cellStyle name="쉼표 [0] 2 2 2 3 2 3 3 2" xfId="24191"/>
    <cellStyle name="쉼표 [0] 2 2 2 3 2 3 4" xfId="13055"/>
    <cellStyle name="쉼표 [0] 2 2 2 3 2 3 4 2" xfId="29759"/>
    <cellStyle name="쉼표 [0] 2 2 2 3 2 3 5" xfId="18623"/>
    <cellStyle name="쉼표 [0] 2 2 2 3 2 4" xfId="3311"/>
    <cellStyle name="쉼표 [0] 2 2 2 3 2 4 2" xfId="8879"/>
    <cellStyle name="쉼표 [0] 2 2 2 3 2 4 2 2" xfId="25583"/>
    <cellStyle name="쉼표 [0] 2 2 2 3 2 4 3" xfId="14447"/>
    <cellStyle name="쉼표 [0] 2 2 2 3 2 4 3 2" xfId="31151"/>
    <cellStyle name="쉼표 [0] 2 2 2 3 2 4 4" xfId="20015"/>
    <cellStyle name="쉼표 [0] 2 2 2 3 2 5" xfId="6095"/>
    <cellStyle name="쉼표 [0] 2 2 2 3 2 5 2" xfId="22799"/>
    <cellStyle name="쉼표 [0] 2 2 2 3 2 6" xfId="11663"/>
    <cellStyle name="쉼표 [0] 2 2 2 3 2 6 2" xfId="28367"/>
    <cellStyle name="쉼표 [0] 2 2 2 3 2 7" xfId="17231"/>
    <cellStyle name="쉼표 [0] 2 2 2 3 3" xfId="759"/>
    <cellStyle name="쉼표 [0] 2 2 2 3 3 2" xfId="1455"/>
    <cellStyle name="쉼표 [0] 2 2 2 3 3 2 2" xfId="2847"/>
    <cellStyle name="쉼표 [0] 2 2 2 3 3 2 2 2" xfId="5631"/>
    <cellStyle name="쉼표 [0] 2 2 2 3 3 2 2 2 2" xfId="11199"/>
    <cellStyle name="쉼표 [0] 2 2 2 3 3 2 2 2 2 2" xfId="27903"/>
    <cellStyle name="쉼표 [0] 2 2 2 3 3 2 2 2 3" xfId="16767"/>
    <cellStyle name="쉼표 [0] 2 2 2 3 3 2 2 2 3 2" xfId="33471"/>
    <cellStyle name="쉼표 [0] 2 2 2 3 3 2 2 2 4" xfId="22335"/>
    <cellStyle name="쉼표 [0] 2 2 2 3 3 2 2 3" xfId="8415"/>
    <cellStyle name="쉼표 [0] 2 2 2 3 3 2 2 3 2" xfId="25119"/>
    <cellStyle name="쉼표 [0] 2 2 2 3 3 2 2 4" xfId="13983"/>
    <cellStyle name="쉼표 [0] 2 2 2 3 3 2 2 4 2" xfId="30687"/>
    <cellStyle name="쉼표 [0] 2 2 2 3 3 2 2 5" xfId="19551"/>
    <cellStyle name="쉼표 [0] 2 2 2 3 3 2 3" xfId="4239"/>
    <cellStyle name="쉼표 [0] 2 2 2 3 3 2 3 2" xfId="9807"/>
    <cellStyle name="쉼표 [0] 2 2 2 3 3 2 3 2 2" xfId="26511"/>
    <cellStyle name="쉼표 [0] 2 2 2 3 3 2 3 3" xfId="15375"/>
    <cellStyle name="쉼표 [0] 2 2 2 3 3 2 3 3 2" xfId="32079"/>
    <cellStyle name="쉼표 [0] 2 2 2 3 3 2 3 4" xfId="20943"/>
    <cellStyle name="쉼표 [0] 2 2 2 3 3 2 4" xfId="7023"/>
    <cellStyle name="쉼표 [0] 2 2 2 3 3 2 4 2" xfId="23727"/>
    <cellStyle name="쉼표 [0] 2 2 2 3 3 2 5" xfId="12591"/>
    <cellStyle name="쉼표 [0] 2 2 2 3 3 2 5 2" xfId="29295"/>
    <cellStyle name="쉼표 [0] 2 2 2 3 3 2 6" xfId="18159"/>
    <cellStyle name="쉼표 [0] 2 2 2 3 3 3" xfId="2151"/>
    <cellStyle name="쉼표 [0] 2 2 2 3 3 3 2" xfId="4935"/>
    <cellStyle name="쉼표 [0] 2 2 2 3 3 3 2 2" xfId="10503"/>
    <cellStyle name="쉼표 [0] 2 2 2 3 3 3 2 2 2" xfId="27207"/>
    <cellStyle name="쉼표 [0] 2 2 2 3 3 3 2 3" xfId="16071"/>
    <cellStyle name="쉼표 [0] 2 2 2 3 3 3 2 3 2" xfId="32775"/>
    <cellStyle name="쉼표 [0] 2 2 2 3 3 3 2 4" xfId="21639"/>
    <cellStyle name="쉼표 [0] 2 2 2 3 3 3 3" xfId="7719"/>
    <cellStyle name="쉼표 [0] 2 2 2 3 3 3 3 2" xfId="24423"/>
    <cellStyle name="쉼표 [0] 2 2 2 3 3 3 4" xfId="13287"/>
    <cellStyle name="쉼표 [0] 2 2 2 3 3 3 4 2" xfId="29991"/>
    <cellStyle name="쉼표 [0] 2 2 2 3 3 3 5" xfId="18855"/>
    <cellStyle name="쉼표 [0] 2 2 2 3 3 4" xfId="3543"/>
    <cellStyle name="쉼표 [0] 2 2 2 3 3 4 2" xfId="9111"/>
    <cellStyle name="쉼표 [0] 2 2 2 3 3 4 2 2" xfId="25815"/>
    <cellStyle name="쉼표 [0] 2 2 2 3 3 4 3" xfId="14679"/>
    <cellStyle name="쉼표 [0] 2 2 2 3 3 4 3 2" xfId="31383"/>
    <cellStyle name="쉼표 [0] 2 2 2 3 3 4 4" xfId="20247"/>
    <cellStyle name="쉼표 [0] 2 2 2 3 3 5" xfId="6327"/>
    <cellStyle name="쉼표 [0] 2 2 2 3 3 5 2" xfId="23031"/>
    <cellStyle name="쉼표 [0] 2 2 2 3 3 6" xfId="11895"/>
    <cellStyle name="쉼표 [0] 2 2 2 3 3 6 2" xfId="28599"/>
    <cellStyle name="쉼표 [0] 2 2 2 3 3 7" xfId="17463"/>
    <cellStyle name="쉼표 [0] 2 2 2 3 4" xfId="991"/>
    <cellStyle name="쉼표 [0] 2 2 2 3 4 2" xfId="2383"/>
    <cellStyle name="쉼표 [0] 2 2 2 3 4 2 2" xfId="5167"/>
    <cellStyle name="쉼표 [0] 2 2 2 3 4 2 2 2" xfId="10735"/>
    <cellStyle name="쉼표 [0] 2 2 2 3 4 2 2 2 2" xfId="27439"/>
    <cellStyle name="쉼표 [0] 2 2 2 3 4 2 2 3" xfId="16303"/>
    <cellStyle name="쉼표 [0] 2 2 2 3 4 2 2 3 2" xfId="33007"/>
    <cellStyle name="쉼표 [0] 2 2 2 3 4 2 2 4" xfId="21871"/>
    <cellStyle name="쉼표 [0] 2 2 2 3 4 2 3" xfId="7951"/>
    <cellStyle name="쉼표 [0] 2 2 2 3 4 2 3 2" xfId="24655"/>
    <cellStyle name="쉼표 [0] 2 2 2 3 4 2 4" xfId="13519"/>
    <cellStyle name="쉼표 [0] 2 2 2 3 4 2 4 2" xfId="30223"/>
    <cellStyle name="쉼표 [0] 2 2 2 3 4 2 5" xfId="19087"/>
    <cellStyle name="쉼표 [0] 2 2 2 3 4 3" xfId="3775"/>
    <cellStyle name="쉼표 [0] 2 2 2 3 4 3 2" xfId="9343"/>
    <cellStyle name="쉼표 [0] 2 2 2 3 4 3 2 2" xfId="26047"/>
    <cellStyle name="쉼표 [0] 2 2 2 3 4 3 3" xfId="14911"/>
    <cellStyle name="쉼표 [0] 2 2 2 3 4 3 3 2" xfId="31615"/>
    <cellStyle name="쉼표 [0] 2 2 2 3 4 3 4" xfId="20479"/>
    <cellStyle name="쉼표 [0] 2 2 2 3 4 4" xfId="6559"/>
    <cellStyle name="쉼표 [0] 2 2 2 3 4 4 2" xfId="23263"/>
    <cellStyle name="쉼표 [0] 2 2 2 3 4 5" xfId="12127"/>
    <cellStyle name="쉼표 [0] 2 2 2 3 4 5 2" xfId="28831"/>
    <cellStyle name="쉼표 [0] 2 2 2 3 4 6" xfId="17695"/>
    <cellStyle name="쉼표 [0] 2 2 2 3 5" xfId="1687"/>
    <cellStyle name="쉼표 [0] 2 2 2 3 5 2" xfId="4471"/>
    <cellStyle name="쉼표 [0] 2 2 2 3 5 2 2" xfId="10039"/>
    <cellStyle name="쉼표 [0] 2 2 2 3 5 2 2 2" xfId="26743"/>
    <cellStyle name="쉼표 [0] 2 2 2 3 5 2 3" xfId="15607"/>
    <cellStyle name="쉼표 [0] 2 2 2 3 5 2 3 2" xfId="32311"/>
    <cellStyle name="쉼표 [0] 2 2 2 3 5 2 4" xfId="21175"/>
    <cellStyle name="쉼표 [0] 2 2 2 3 5 3" xfId="7255"/>
    <cellStyle name="쉼표 [0] 2 2 2 3 5 3 2" xfId="23959"/>
    <cellStyle name="쉼표 [0] 2 2 2 3 5 4" xfId="12823"/>
    <cellStyle name="쉼표 [0] 2 2 2 3 5 4 2" xfId="29527"/>
    <cellStyle name="쉼표 [0] 2 2 2 3 5 5" xfId="18391"/>
    <cellStyle name="쉼표 [0] 2 2 2 3 6" xfId="3079"/>
    <cellStyle name="쉼표 [0] 2 2 2 3 6 2" xfId="8647"/>
    <cellStyle name="쉼표 [0] 2 2 2 3 6 2 2" xfId="25351"/>
    <cellStyle name="쉼표 [0] 2 2 2 3 6 3" xfId="14215"/>
    <cellStyle name="쉼표 [0] 2 2 2 3 6 3 2" xfId="30919"/>
    <cellStyle name="쉼표 [0] 2 2 2 3 6 4" xfId="19783"/>
    <cellStyle name="쉼표 [0] 2 2 2 3 7" xfId="5863"/>
    <cellStyle name="쉼표 [0] 2 2 2 3 7 2" xfId="22567"/>
    <cellStyle name="쉼표 [0] 2 2 2 3 8" xfId="11431"/>
    <cellStyle name="쉼표 [0] 2 2 2 3 8 2" xfId="28135"/>
    <cellStyle name="쉼표 [0] 2 2 2 3 9" xfId="16999"/>
    <cellStyle name="쉼표 [0] 2 2 2 4" xfId="411"/>
    <cellStyle name="쉼표 [0] 2 2 2 4 2" xfId="1107"/>
    <cellStyle name="쉼표 [0] 2 2 2 4 2 2" xfId="2499"/>
    <cellStyle name="쉼표 [0] 2 2 2 4 2 2 2" xfId="5283"/>
    <cellStyle name="쉼표 [0] 2 2 2 4 2 2 2 2" xfId="10851"/>
    <cellStyle name="쉼표 [0] 2 2 2 4 2 2 2 2 2" xfId="27555"/>
    <cellStyle name="쉼표 [0] 2 2 2 4 2 2 2 3" xfId="16419"/>
    <cellStyle name="쉼표 [0] 2 2 2 4 2 2 2 3 2" xfId="33123"/>
    <cellStyle name="쉼표 [0] 2 2 2 4 2 2 2 4" xfId="21987"/>
    <cellStyle name="쉼표 [0] 2 2 2 4 2 2 3" xfId="8067"/>
    <cellStyle name="쉼표 [0] 2 2 2 4 2 2 3 2" xfId="24771"/>
    <cellStyle name="쉼표 [0] 2 2 2 4 2 2 4" xfId="13635"/>
    <cellStyle name="쉼표 [0] 2 2 2 4 2 2 4 2" xfId="30339"/>
    <cellStyle name="쉼표 [0] 2 2 2 4 2 2 5" xfId="19203"/>
    <cellStyle name="쉼표 [0] 2 2 2 4 2 3" xfId="3891"/>
    <cellStyle name="쉼표 [0] 2 2 2 4 2 3 2" xfId="9459"/>
    <cellStyle name="쉼표 [0] 2 2 2 4 2 3 2 2" xfId="26163"/>
    <cellStyle name="쉼표 [0] 2 2 2 4 2 3 3" xfId="15027"/>
    <cellStyle name="쉼표 [0] 2 2 2 4 2 3 3 2" xfId="31731"/>
    <cellStyle name="쉼표 [0] 2 2 2 4 2 3 4" xfId="20595"/>
    <cellStyle name="쉼표 [0] 2 2 2 4 2 4" xfId="6675"/>
    <cellStyle name="쉼표 [0] 2 2 2 4 2 4 2" xfId="23379"/>
    <cellStyle name="쉼표 [0] 2 2 2 4 2 5" xfId="12243"/>
    <cellStyle name="쉼표 [0] 2 2 2 4 2 5 2" xfId="28947"/>
    <cellStyle name="쉼표 [0] 2 2 2 4 2 6" xfId="17811"/>
    <cellStyle name="쉼표 [0] 2 2 2 4 3" xfId="1803"/>
    <cellStyle name="쉼표 [0] 2 2 2 4 3 2" xfId="4587"/>
    <cellStyle name="쉼표 [0] 2 2 2 4 3 2 2" xfId="10155"/>
    <cellStyle name="쉼표 [0] 2 2 2 4 3 2 2 2" xfId="26859"/>
    <cellStyle name="쉼표 [0] 2 2 2 4 3 2 3" xfId="15723"/>
    <cellStyle name="쉼표 [0] 2 2 2 4 3 2 3 2" xfId="32427"/>
    <cellStyle name="쉼표 [0] 2 2 2 4 3 2 4" xfId="21291"/>
    <cellStyle name="쉼표 [0] 2 2 2 4 3 3" xfId="7371"/>
    <cellStyle name="쉼표 [0] 2 2 2 4 3 3 2" xfId="24075"/>
    <cellStyle name="쉼표 [0] 2 2 2 4 3 4" xfId="12939"/>
    <cellStyle name="쉼표 [0] 2 2 2 4 3 4 2" xfId="29643"/>
    <cellStyle name="쉼표 [0] 2 2 2 4 3 5" xfId="18507"/>
    <cellStyle name="쉼표 [0] 2 2 2 4 4" xfId="3195"/>
    <cellStyle name="쉼표 [0] 2 2 2 4 4 2" xfId="8763"/>
    <cellStyle name="쉼표 [0] 2 2 2 4 4 2 2" xfId="25467"/>
    <cellStyle name="쉼표 [0] 2 2 2 4 4 3" xfId="14331"/>
    <cellStyle name="쉼표 [0] 2 2 2 4 4 3 2" xfId="31035"/>
    <cellStyle name="쉼표 [0] 2 2 2 4 4 4" xfId="19899"/>
    <cellStyle name="쉼표 [0] 2 2 2 4 5" xfId="5979"/>
    <cellStyle name="쉼표 [0] 2 2 2 4 5 2" xfId="22683"/>
    <cellStyle name="쉼표 [0] 2 2 2 4 6" xfId="11547"/>
    <cellStyle name="쉼표 [0] 2 2 2 4 6 2" xfId="28251"/>
    <cellStyle name="쉼표 [0] 2 2 2 4 7" xfId="17115"/>
    <cellStyle name="쉼표 [0] 2 2 2 5" xfId="643"/>
    <cellStyle name="쉼표 [0] 2 2 2 5 2" xfId="1339"/>
    <cellStyle name="쉼표 [0] 2 2 2 5 2 2" xfId="2731"/>
    <cellStyle name="쉼표 [0] 2 2 2 5 2 2 2" xfId="5515"/>
    <cellStyle name="쉼표 [0] 2 2 2 5 2 2 2 2" xfId="11083"/>
    <cellStyle name="쉼표 [0] 2 2 2 5 2 2 2 2 2" xfId="27787"/>
    <cellStyle name="쉼표 [0] 2 2 2 5 2 2 2 3" xfId="16651"/>
    <cellStyle name="쉼표 [0] 2 2 2 5 2 2 2 3 2" xfId="33355"/>
    <cellStyle name="쉼표 [0] 2 2 2 5 2 2 2 4" xfId="22219"/>
    <cellStyle name="쉼표 [0] 2 2 2 5 2 2 3" xfId="8299"/>
    <cellStyle name="쉼표 [0] 2 2 2 5 2 2 3 2" xfId="25003"/>
    <cellStyle name="쉼표 [0] 2 2 2 5 2 2 4" xfId="13867"/>
    <cellStyle name="쉼표 [0] 2 2 2 5 2 2 4 2" xfId="30571"/>
    <cellStyle name="쉼표 [0] 2 2 2 5 2 2 5" xfId="19435"/>
    <cellStyle name="쉼표 [0] 2 2 2 5 2 3" xfId="4123"/>
    <cellStyle name="쉼표 [0] 2 2 2 5 2 3 2" xfId="9691"/>
    <cellStyle name="쉼표 [0] 2 2 2 5 2 3 2 2" xfId="26395"/>
    <cellStyle name="쉼표 [0] 2 2 2 5 2 3 3" xfId="15259"/>
    <cellStyle name="쉼표 [0] 2 2 2 5 2 3 3 2" xfId="31963"/>
    <cellStyle name="쉼표 [0] 2 2 2 5 2 3 4" xfId="20827"/>
    <cellStyle name="쉼표 [0] 2 2 2 5 2 4" xfId="6907"/>
    <cellStyle name="쉼표 [0] 2 2 2 5 2 4 2" xfId="23611"/>
    <cellStyle name="쉼표 [0] 2 2 2 5 2 5" xfId="12475"/>
    <cellStyle name="쉼표 [0] 2 2 2 5 2 5 2" xfId="29179"/>
    <cellStyle name="쉼표 [0] 2 2 2 5 2 6" xfId="18043"/>
    <cellStyle name="쉼표 [0] 2 2 2 5 3" xfId="2035"/>
    <cellStyle name="쉼표 [0] 2 2 2 5 3 2" xfId="4819"/>
    <cellStyle name="쉼표 [0] 2 2 2 5 3 2 2" xfId="10387"/>
    <cellStyle name="쉼표 [0] 2 2 2 5 3 2 2 2" xfId="27091"/>
    <cellStyle name="쉼표 [0] 2 2 2 5 3 2 3" xfId="15955"/>
    <cellStyle name="쉼표 [0] 2 2 2 5 3 2 3 2" xfId="32659"/>
    <cellStyle name="쉼표 [0] 2 2 2 5 3 2 4" xfId="21523"/>
    <cellStyle name="쉼표 [0] 2 2 2 5 3 3" xfId="7603"/>
    <cellStyle name="쉼표 [0] 2 2 2 5 3 3 2" xfId="24307"/>
    <cellStyle name="쉼표 [0] 2 2 2 5 3 4" xfId="13171"/>
    <cellStyle name="쉼표 [0] 2 2 2 5 3 4 2" xfId="29875"/>
    <cellStyle name="쉼표 [0] 2 2 2 5 3 5" xfId="18739"/>
    <cellStyle name="쉼표 [0] 2 2 2 5 4" xfId="3427"/>
    <cellStyle name="쉼표 [0] 2 2 2 5 4 2" xfId="8995"/>
    <cellStyle name="쉼표 [0] 2 2 2 5 4 2 2" xfId="25699"/>
    <cellStyle name="쉼표 [0] 2 2 2 5 4 3" xfId="14563"/>
    <cellStyle name="쉼표 [0] 2 2 2 5 4 3 2" xfId="31267"/>
    <cellStyle name="쉼표 [0] 2 2 2 5 4 4" xfId="20131"/>
    <cellStyle name="쉼표 [0] 2 2 2 5 5" xfId="6211"/>
    <cellStyle name="쉼표 [0] 2 2 2 5 5 2" xfId="22915"/>
    <cellStyle name="쉼표 [0] 2 2 2 5 6" xfId="11779"/>
    <cellStyle name="쉼표 [0] 2 2 2 5 6 2" xfId="28483"/>
    <cellStyle name="쉼표 [0] 2 2 2 5 7" xfId="17347"/>
    <cellStyle name="쉼표 [0] 2 2 2 6" xfId="875"/>
    <cellStyle name="쉼표 [0] 2 2 2 6 2" xfId="2267"/>
    <cellStyle name="쉼표 [0] 2 2 2 6 2 2" xfId="5051"/>
    <cellStyle name="쉼표 [0] 2 2 2 6 2 2 2" xfId="10619"/>
    <cellStyle name="쉼표 [0] 2 2 2 6 2 2 2 2" xfId="27323"/>
    <cellStyle name="쉼표 [0] 2 2 2 6 2 2 3" xfId="16187"/>
    <cellStyle name="쉼표 [0] 2 2 2 6 2 2 3 2" xfId="32891"/>
    <cellStyle name="쉼표 [0] 2 2 2 6 2 2 4" xfId="21755"/>
    <cellStyle name="쉼표 [0] 2 2 2 6 2 3" xfId="7835"/>
    <cellStyle name="쉼표 [0] 2 2 2 6 2 3 2" xfId="24539"/>
    <cellStyle name="쉼표 [0] 2 2 2 6 2 4" xfId="13403"/>
    <cellStyle name="쉼표 [0] 2 2 2 6 2 4 2" xfId="30107"/>
    <cellStyle name="쉼표 [0] 2 2 2 6 2 5" xfId="18971"/>
    <cellStyle name="쉼표 [0] 2 2 2 6 3" xfId="3659"/>
    <cellStyle name="쉼표 [0] 2 2 2 6 3 2" xfId="9227"/>
    <cellStyle name="쉼표 [0] 2 2 2 6 3 2 2" xfId="25931"/>
    <cellStyle name="쉼표 [0] 2 2 2 6 3 3" xfId="14795"/>
    <cellStyle name="쉼표 [0] 2 2 2 6 3 3 2" xfId="31499"/>
    <cellStyle name="쉼표 [0] 2 2 2 6 3 4" xfId="20363"/>
    <cellStyle name="쉼표 [0] 2 2 2 6 4" xfId="6443"/>
    <cellStyle name="쉼표 [0] 2 2 2 6 4 2" xfId="23147"/>
    <cellStyle name="쉼표 [0] 2 2 2 6 5" xfId="12011"/>
    <cellStyle name="쉼표 [0] 2 2 2 6 5 2" xfId="28715"/>
    <cellStyle name="쉼표 [0] 2 2 2 6 6" xfId="17579"/>
    <cellStyle name="쉼표 [0] 2 2 2 7" xfId="1571"/>
    <cellStyle name="쉼표 [0] 2 2 2 7 2" xfId="4355"/>
    <cellStyle name="쉼표 [0] 2 2 2 7 2 2" xfId="9923"/>
    <cellStyle name="쉼표 [0] 2 2 2 7 2 2 2" xfId="26627"/>
    <cellStyle name="쉼표 [0] 2 2 2 7 2 3" xfId="15491"/>
    <cellStyle name="쉼표 [0] 2 2 2 7 2 3 2" xfId="32195"/>
    <cellStyle name="쉼표 [0] 2 2 2 7 2 4" xfId="21059"/>
    <cellStyle name="쉼표 [0] 2 2 2 7 3" xfId="7139"/>
    <cellStyle name="쉼표 [0] 2 2 2 7 3 2" xfId="23843"/>
    <cellStyle name="쉼표 [0] 2 2 2 7 4" xfId="12707"/>
    <cellStyle name="쉼표 [0] 2 2 2 7 4 2" xfId="29411"/>
    <cellStyle name="쉼표 [0] 2 2 2 7 5" xfId="18275"/>
    <cellStyle name="쉼표 [0] 2 2 2 8" xfId="2963"/>
    <cellStyle name="쉼표 [0] 2 2 2 8 2" xfId="8531"/>
    <cellStyle name="쉼표 [0] 2 2 2 8 2 2" xfId="25235"/>
    <cellStyle name="쉼표 [0] 2 2 2 8 3" xfId="14099"/>
    <cellStyle name="쉼표 [0] 2 2 2 8 3 2" xfId="30803"/>
    <cellStyle name="쉼표 [0] 2 2 2 8 4" xfId="19667"/>
    <cellStyle name="쉼표 [0] 2 2 2 9" xfId="5747"/>
    <cellStyle name="쉼표 [0] 2 2 2 9 2" xfId="22451"/>
    <cellStyle name="쉼표 [0] 2 2 3" xfId="208"/>
    <cellStyle name="쉼표 [0] 2 2 3 10" xfId="16912"/>
    <cellStyle name="쉼표 [0] 2 2 3 2" xfId="324"/>
    <cellStyle name="쉼표 [0] 2 2 3 2 2" xfId="556"/>
    <cellStyle name="쉼표 [0] 2 2 3 2 2 2" xfId="1252"/>
    <cellStyle name="쉼표 [0] 2 2 3 2 2 2 2" xfId="2644"/>
    <cellStyle name="쉼표 [0] 2 2 3 2 2 2 2 2" xfId="5428"/>
    <cellStyle name="쉼표 [0] 2 2 3 2 2 2 2 2 2" xfId="10996"/>
    <cellStyle name="쉼표 [0] 2 2 3 2 2 2 2 2 2 2" xfId="27700"/>
    <cellStyle name="쉼표 [0] 2 2 3 2 2 2 2 2 3" xfId="16564"/>
    <cellStyle name="쉼표 [0] 2 2 3 2 2 2 2 2 3 2" xfId="33268"/>
    <cellStyle name="쉼표 [0] 2 2 3 2 2 2 2 2 4" xfId="22132"/>
    <cellStyle name="쉼표 [0] 2 2 3 2 2 2 2 3" xfId="8212"/>
    <cellStyle name="쉼표 [0] 2 2 3 2 2 2 2 3 2" xfId="24916"/>
    <cellStyle name="쉼표 [0] 2 2 3 2 2 2 2 4" xfId="13780"/>
    <cellStyle name="쉼표 [0] 2 2 3 2 2 2 2 4 2" xfId="30484"/>
    <cellStyle name="쉼표 [0] 2 2 3 2 2 2 2 5" xfId="19348"/>
    <cellStyle name="쉼표 [0] 2 2 3 2 2 2 3" xfId="4036"/>
    <cellStyle name="쉼표 [0] 2 2 3 2 2 2 3 2" xfId="9604"/>
    <cellStyle name="쉼표 [0] 2 2 3 2 2 2 3 2 2" xfId="26308"/>
    <cellStyle name="쉼표 [0] 2 2 3 2 2 2 3 3" xfId="15172"/>
    <cellStyle name="쉼표 [0] 2 2 3 2 2 2 3 3 2" xfId="31876"/>
    <cellStyle name="쉼표 [0] 2 2 3 2 2 2 3 4" xfId="20740"/>
    <cellStyle name="쉼표 [0] 2 2 3 2 2 2 4" xfId="6820"/>
    <cellStyle name="쉼표 [0] 2 2 3 2 2 2 4 2" xfId="23524"/>
    <cellStyle name="쉼표 [0] 2 2 3 2 2 2 5" xfId="12388"/>
    <cellStyle name="쉼표 [0] 2 2 3 2 2 2 5 2" xfId="29092"/>
    <cellStyle name="쉼표 [0] 2 2 3 2 2 2 6" xfId="17956"/>
    <cellStyle name="쉼표 [0] 2 2 3 2 2 3" xfId="1948"/>
    <cellStyle name="쉼표 [0] 2 2 3 2 2 3 2" xfId="4732"/>
    <cellStyle name="쉼표 [0] 2 2 3 2 2 3 2 2" xfId="10300"/>
    <cellStyle name="쉼표 [0] 2 2 3 2 2 3 2 2 2" xfId="27004"/>
    <cellStyle name="쉼표 [0] 2 2 3 2 2 3 2 3" xfId="15868"/>
    <cellStyle name="쉼표 [0] 2 2 3 2 2 3 2 3 2" xfId="32572"/>
    <cellStyle name="쉼표 [0] 2 2 3 2 2 3 2 4" xfId="21436"/>
    <cellStyle name="쉼표 [0] 2 2 3 2 2 3 3" xfId="7516"/>
    <cellStyle name="쉼표 [0] 2 2 3 2 2 3 3 2" xfId="24220"/>
    <cellStyle name="쉼표 [0] 2 2 3 2 2 3 4" xfId="13084"/>
    <cellStyle name="쉼표 [0] 2 2 3 2 2 3 4 2" xfId="29788"/>
    <cellStyle name="쉼표 [0] 2 2 3 2 2 3 5" xfId="18652"/>
    <cellStyle name="쉼표 [0] 2 2 3 2 2 4" xfId="3340"/>
    <cellStyle name="쉼표 [0] 2 2 3 2 2 4 2" xfId="8908"/>
    <cellStyle name="쉼표 [0] 2 2 3 2 2 4 2 2" xfId="25612"/>
    <cellStyle name="쉼표 [0] 2 2 3 2 2 4 3" xfId="14476"/>
    <cellStyle name="쉼표 [0] 2 2 3 2 2 4 3 2" xfId="31180"/>
    <cellStyle name="쉼표 [0] 2 2 3 2 2 4 4" xfId="20044"/>
    <cellStyle name="쉼표 [0] 2 2 3 2 2 5" xfId="6124"/>
    <cellStyle name="쉼표 [0] 2 2 3 2 2 5 2" xfId="22828"/>
    <cellStyle name="쉼표 [0] 2 2 3 2 2 6" xfId="11692"/>
    <cellStyle name="쉼표 [0] 2 2 3 2 2 6 2" xfId="28396"/>
    <cellStyle name="쉼표 [0] 2 2 3 2 2 7" xfId="17260"/>
    <cellStyle name="쉼표 [0] 2 2 3 2 3" xfId="788"/>
    <cellStyle name="쉼표 [0] 2 2 3 2 3 2" xfId="1484"/>
    <cellStyle name="쉼표 [0] 2 2 3 2 3 2 2" xfId="2876"/>
    <cellStyle name="쉼표 [0] 2 2 3 2 3 2 2 2" xfId="5660"/>
    <cellStyle name="쉼표 [0] 2 2 3 2 3 2 2 2 2" xfId="11228"/>
    <cellStyle name="쉼표 [0] 2 2 3 2 3 2 2 2 2 2" xfId="27932"/>
    <cellStyle name="쉼표 [0] 2 2 3 2 3 2 2 2 3" xfId="16796"/>
    <cellStyle name="쉼표 [0] 2 2 3 2 3 2 2 2 3 2" xfId="33500"/>
    <cellStyle name="쉼표 [0] 2 2 3 2 3 2 2 2 4" xfId="22364"/>
    <cellStyle name="쉼표 [0] 2 2 3 2 3 2 2 3" xfId="8444"/>
    <cellStyle name="쉼표 [0] 2 2 3 2 3 2 2 3 2" xfId="25148"/>
    <cellStyle name="쉼표 [0] 2 2 3 2 3 2 2 4" xfId="14012"/>
    <cellStyle name="쉼표 [0] 2 2 3 2 3 2 2 4 2" xfId="30716"/>
    <cellStyle name="쉼표 [0] 2 2 3 2 3 2 2 5" xfId="19580"/>
    <cellStyle name="쉼표 [0] 2 2 3 2 3 2 3" xfId="4268"/>
    <cellStyle name="쉼표 [0] 2 2 3 2 3 2 3 2" xfId="9836"/>
    <cellStyle name="쉼표 [0] 2 2 3 2 3 2 3 2 2" xfId="26540"/>
    <cellStyle name="쉼표 [0] 2 2 3 2 3 2 3 3" xfId="15404"/>
    <cellStyle name="쉼표 [0] 2 2 3 2 3 2 3 3 2" xfId="32108"/>
    <cellStyle name="쉼표 [0] 2 2 3 2 3 2 3 4" xfId="20972"/>
    <cellStyle name="쉼표 [0] 2 2 3 2 3 2 4" xfId="7052"/>
    <cellStyle name="쉼표 [0] 2 2 3 2 3 2 4 2" xfId="23756"/>
    <cellStyle name="쉼표 [0] 2 2 3 2 3 2 5" xfId="12620"/>
    <cellStyle name="쉼표 [0] 2 2 3 2 3 2 5 2" xfId="29324"/>
    <cellStyle name="쉼표 [0] 2 2 3 2 3 2 6" xfId="18188"/>
    <cellStyle name="쉼표 [0] 2 2 3 2 3 3" xfId="2180"/>
    <cellStyle name="쉼표 [0] 2 2 3 2 3 3 2" xfId="4964"/>
    <cellStyle name="쉼표 [0] 2 2 3 2 3 3 2 2" xfId="10532"/>
    <cellStyle name="쉼표 [0] 2 2 3 2 3 3 2 2 2" xfId="27236"/>
    <cellStyle name="쉼표 [0] 2 2 3 2 3 3 2 3" xfId="16100"/>
    <cellStyle name="쉼표 [0] 2 2 3 2 3 3 2 3 2" xfId="32804"/>
    <cellStyle name="쉼표 [0] 2 2 3 2 3 3 2 4" xfId="21668"/>
    <cellStyle name="쉼표 [0] 2 2 3 2 3 3 3" xfId="7748"/>
    <cellStyle name="쉼표 [0] 2 2 3 2 3 3 3 2" xfId="24452"/>
    <cellStyle name="쉼표 [0] 2 2 3 2 3 3 4" xfId="13316"/>
    <cellStyle name="쉼표 [0] 2 2 3 2 3 3 4 2" xfId="30020"/>
    <cellStyle name="쉼표 [0] 2 2 3 2 3 3 5" xfId="18884"/>
    <cellStyle name="쉼표 [0] 2 2 3 2 3 4" xfId="3572"/>
    <cellStyle name="쉼표 [0] 2 2 3 2 3 4 2" xfId="9140"/>
    <cellStyle name="쉼표 [0] 2 2 3 2 3 4 2 2" xfId="25844"/>
    <cellStyle name="쉼표 [0] 2 2 3 2 3 4 3" xfId="14708"/>
    <cellStyle name="쉼표 [0] 2 2 3 2 3 4 3 2" xfId="31412"/>
    <cellStyle name="쉼표 [0] 2 2 3 2 3 4 4" xfId="20276"/>
    <cellStyle name="쉼표 [0] 2 2 3 2 3 5" xfId="6356"/>
    <cellStyle name="쉼표 [0] 2 2 3 2 3 5 2" xfId="23060"/>
    <cellStyle name="쉼표 [0] 2 2 3 2 3 6" xfId="11924"/>
    <cellStyle name="쉼표 [0] 2 2 3 2 3 6 2" xfId="28628"/>
    <cellStyle name="쉼표 [0] 2 2 3 2 3 7" xfId="17492"/>
    <cellStyle name="쉼표 [0] 2 2 3 2 4" xfId="1020"/>
    <cellStyle name="쉼표 [0] 2 2 3 2 4 2" xfId="2412"/>
    <cellStyle name="쉼표 [0] 2 2 3 2 4 2 2" xfId="5196"/>
    <cellStyle name="쉼표 [0] 2 2 3 2 4 2 2 2" xfId="10764"/>
    <cellStyle name="쉼표 [0] 2 2 3 2 4 2 2 2 2" xfId="27468"/>
    <cellStyle name="쉼표 [0] 2 2 3 2 4 2 2 3" xfId="16332"/>
    <cellStyle name="쉼표 [0] 2 2 3 2 4 2 2 3 2" xfId="33036"/>
    <cellStyle name="쉼표 [0] 2 2 3 2 4 2 2 4" xfId="21900"/>
    <cellStyle name="쉼표 [0] 2 2 3 2 4 2 3" xfId="7980"/>
    <cellStyle name="쉼표 [0] 2 2 3 2 4 2 3 2" xfId="24684"/>
    <cellStyle name="쉼표 [0] 2 2 3 2 4 2 4" xfId="13548"/>
    <cellStyle name="쉼표 [0] 2 2 3 2 4 2 4 2" xfId="30252"/>
    <cellStyle name="쉼표 [0] 2 2 3 2 4 2 5" xfId="19116"/>
    <cellStyle name="쉼표 [0] 2 2 3 2 4 3" xfId="3804"/>
    <cellStyle name="쉼표 [0] 2 2 3 2 4 3 2" xfId="9372"/>
    <cellStyle name="쉼표 [0] 2 2 3 2 4 3 2 2" xfId="26076"/>
    <cellStyle name="쉼표 [0] 2 2 3 2 4 3 3" xfId="14940"/>
    <cellStyle name="쉼표 [0] 2 2 3 2 4 3 3 2" xfId="31644"/>
    <cellStyle name="쉼표 [0] 2 2 3 2 4 3 4" xfId="20508"/>
    <cellStyle name="쉼표 [0] 2 2 3 2 4 4" xfId="6588"/>
    <cellStyle name="쉼표 [0] 2 2 3 2 4 4 2" xfId="23292"/>
    <cellStyle name="쉼표 [0] 2 2 3 2 4 5" xfId="12156"/>
    <cellStyle name="쉼표 [0] 2 2 3 2 4 5 2" xfId="28860"/>
    <cellStyle name="쉼표 [0] 2 2 3 2 4 6" xfId="17724"/>
    <cellStyle name="쉼표 [0] 2 2 3 2 5" xfId="1716"/>
    <cellStyle name="쉼표 [0] 2 2 3 2 5 2" xfId="4500"/>
    <cellStyle name="쉼표 [0] 2 2 3 2 5 2 2" xfId="10068"/>
    <cellStyle name="쉼표 [0] 2 2 3 2 5 2 2 2" xfId="26772"/>
    <cellStyle name="쉼표 [0] 2 2 3 2 5 2 3" xfId="15636"/>
    <cellStyle name="쉼표 [0] 2 2 3 2 5 2 3 2" xfId="32340"/>
    <cellStyle name="쉼표 [0] 2 2 3 2 5 2 4" xfId="21204"/>
    <cellStyle name="쉼표 [0] 2 2 3 2 5 3" xfId="7284"/>
    <cellStyle name="쉼표 [0] 2 2 3 2 5 3 2" xfId="23988"/>
    <cellStyle name="쉼표 [0] 2 2 3 2 5 4" xfId="12852"/>
    <cellStyle name="쉼표 [0] 2 2 3 2 5 4 2" xfId="29556"/>
    <cellStyle name="쉼표 [0] 2 2 3 2 5 5" xfId="18420"/>
    <cellStyle name="쉼표 [0] 2 2 3 2 6" xfId="3108"/>
    <cellStyle name="쉼표 [0] 2 2 3 2 6 2" xfId="8676"/>
    <cellStyle name="쉼표 [0] 2 2 3 2 6 2 2" xfId="25380"/>
    <cellStyle name="쉼표 [0] 2 2 3 2 6 3" xfId="14244"/>
    <cellStyle name="쉼표 [0] 2 2 3 2 6 3 2" xfId="30948"/>
    <cellStyle name="쉼표 [0] 2 2 3 2 6 4" xfId="19812"/>
    <cellStyle name="쉼표 [0] 2 2 3 2 7" xfId="5892"/>
    <cellStyle name="쉼표 [0] 2 2 3 2 7 2" xfId="22596"/>
    <cellStyle name="쉼표 [0] 2 2 3 2 8" xfId="11460"/>
    <cellStyle name="쉼표 [0] 2 2 3 2 8 2" xfId="28164"/>
    <cellStyle name="쉼표 [0] 2 2 3 2 9" xfId="17028"/>
    <cellStyle name="쉼표 [0] 2 2 3 3" xfId="440"/>
    <cellStyle name="쉼표 [0] 2 2 3 3 2" xfId="1136"/>
    <cellStyle name="쉼표 [0] 2 2 3 3 2 2" xfId="2528"/>
    <cellStyle name="쉼표 [0] 2 2 3 3 2 2 2" xfId="5312"/>
    <cellStyle name="쉼표 [0] 2 2 3 3 2 2 2 2" xfId="10880"/>
    <cellStyle name="쉼표 [0] 2 2 3 3 2 2 2 2 2" xfId="27584"/>
    <cellStyle name="쉼표 [0] 2 2 3 3 2 2 2 3" xfId="16448"/>
    <cellStyle name="쉼표 [0] 2 2 3 3 2 2 2 3 2" xfId="33152"/>
    <cellStyle name="쉼표 [0] 2 2 3 3 2 2 2 4" xfId="22016"/>
    <cellStyle name="쉼표 [0] 2 2 3 3 2 2 3" xfId="8096"/>
    <cellStyle name="쉼표 [0] 2 2 3 3 2 2 3 2" xfId="24800"/>
    <cellStyle name="쉼표 [0] 2 2 3 3 2 2 4" xfId="13664"/>
    <cellStyle name="쉼표 [0] 2 2 3 3 2 2 4 2" xfId="30368"/>
    <cellStyle name="쉼표 [0] 2 2 3 3 2 2 5" xfId="19232"/>
    <cellStyle name="쉼표 [0] 2 2 3 3 2 3" xfId="3920"/>
    <cellStyle name="쉼표 [0] 2 2 3 3 2 3 2" xfId="9488"/>
    <cellStyle name="쉼표 [0] 2 2 3 3 2 3 2 2" xfId="26192"/>
    <cellStyle name="쉼표 [0] 2 2 3 3 2 3 3" xfId="15056"/>
    <cellStyle name="쉼표 [0] 2 2 3 3 2 3 3 2" xfId="31760"/>
    <cellStyle name="쉼표 [0] 2 2 3 3 2 3 4" xfId="20624"/>
    <cellStyle name="쉼표 [0] 2 2 3 3 2 4" xfId="6704"/>
    <cellStyle name="쉼표 [0] 2 2 3 3 2 4 2" xfId="23408"/>
    <cellStyle name="쉼표 [0] 2 2 3 3 2 5" xfId="12272"/>
    <cellStyle name="쉼표 [0] 2 2 3 3 2 5 2" xfId="28976"/>
    <cellStyle name="쉼표 [0] 2 2 3 3 2 6" xfId="17840"/>
    <cellStyle name="쉼표 [0] 2 2 3 3 3" xfId="1832"/>
    <cellStyle name="쉼표 [0] 2 2 3 3 3 2" xfId="4616"/>
    <cellStyle name="쉼표 [0] 2 2 3 3 3 2 2" xfId="10184"/>
    <cellStyle name="쉼표 [0] 2 2 3 3 3 2 2 2" xfId="26888"/>
    <cellStyle name="쉼표 [0] 2 2 3 3 3 2 3" xfId="15752"/>
    <cellStyle name="쉼표 [0] 2 2 3 3 3 2 3 2" xfId="32456"/>
    <cellStyle name="쉼표 [0] 2 2 3 3 3 2 4" xfId="21320"/>
    <cellStyle name="쉼표 [0] 2 2 3 3 3 3" xfId="7400"/>
    <cellStyle name="쉼표 [0] 2 2 3 3 3 3 2" xfId="24104"/>
    <cellStyle name="쉼표 [0] 2 2 3 3 3 4" xfId="12968"/>
    <cellStyle name="쉼표 [0] 2 2 3 3 3 4 2" xfId="29672"/>
    <cellStyle name="쉼표 [0] 2 2 3 3 3 5" xfId="18536"/>
    <cellStyle name="쉼표 [0] 2 2 3 3 4" xfId="3224"/>
    <cellStyle name="쉼표 [0] 2 2 3 3 4 2" xfId="8792"/>
    <cellStyle name="쉼표 [0] 2 2 3 3 4 2 2" xfId="25496"/>
    <cellStyle name="쉼표 [0] 2 2 3 3 4 3" xfId="14360"/>
    <cellStyle name="쉼표 [0] 2 2 3 3 4 3 2" xfId="31064"/>
    <cellStyle name="쉼표 [0] 2 2 3 3 4 4" xfId="19928"/>
    <cellStyle name="쉼표 [0] 2 2 3 3 5" xfId="6008"/>
    <cellStyle name="쉼표 [0] 2 2 3 3 5 2" xfId="22712"/>
    <cellStyle name="쉼표 [0] 2 2 3 3 6" xfId="11576"/>
    <cellStyle name="쉼표 [0] 2 2 3 3 6 2" xfId="28280"/>
    <cellStyle name="쉼표 [0] 2 2 3 3 7" xfId="17144"/>
    <cellStyle name="쉼표 [0] 2 2 3 4" xfId="672"/>
    <cellStyle name="쉼표 [0] 2 2 3 4 2" xfId="1368"/>
    <cellStyle name="쉼표 [0] 2 2 3 4 2 2" xfId="2760"/>
    <cellStyle name="쉼표 [0] 2 2 3 4 2 2 2" xfId="5544"/>
    <cellStyle name="쉼표 [0] 2 2 3 4 2 2 2 2" xfId="11112"/>
    <cellStyle name="쉼표 [0] 2 2 3 4 2 2 2 2 2" xfId="27816"/>
    <cellStyle name="쉼표 [0] 2 2 3 4 2 2 2 3" xfId="16680"/>
    <cellStyle name="쉼표 [0] 2 2 3 4 2 2 2 3 2" xfId="33384"/>
    <cellStyle name="쉼표 [0] 2 2 3 4 2 2 2 4" xfId="22248"/>
    <cellStyle name="쉼표 [0] 2 2 3 4 2 2 3" xfId="8328"/>
    <cellStyle name="쉼표 [0] 2 2 3 4 2 2 3 2" xfId="25032"/>
    <cellStyle name="쉼표 [0] 2 2 3 4 2 2 4" xfId="13896"/>
    <cellStyle name="쉼표 [0] 2 2 3 4 2 2 4 2" xfId="30600"/>
    <cellStyle name="쉼표 [0] 2 2 3 4 2 2 5" xfId="19464"/>
    <cellStyle name="쉼표 [0] 2 2 3 4 2 3" xfId="4152"/>
    <cellStyle name="쉼표 [0] 2 2 3 4 2 3 2" xfId="9720"/>
    <cellStyle name="쉼표 [0] 2 2 3 4 2 3 2 2" xfId="26424"/>
    <cellStyle name="쉼표 [0] 2 2 3 4 2 3 3" xfId="15288"/>
    <cellStyle name="쉼표 [0] 2 2 3 4 2 3 3 2" xfId="31992"/>
    <cellStyle name="쉼표 [0] 2 2 3 4 2 3 4" xfId="20856"/>
    <cellStyle name="쉼표 [0] 2 2 3 4 2 4" xfId="6936"/>
    <cellStyle name="쉼표 [0] 2 2 3 4 2 4 2" xfId="23640"/>
    <cellStyle name="쉼표 [0] 2 2 3 4 2 5" xfId="12504"/>
    <cellStyle name="쉼표 [0] 2 2 3 4 2 5 2" xfId="29208"/>
    <cellStyle name="쉼표 [0] 2 2 3 4 2 6" xfId="18072"/>
    <cellStyle name="쉼표 [0] 2 2 3 4 3" xfId="2064"/>
    <cellStyle name="쉼표 [0] 2 2 3 4 3 2" xfId="4848"/>
    <cellStyle name="쉼표 [0] 2 2 3 4 3 2 2" xfId="10416"/>
    <cellStyle name="쉼표 [0] 2 2 3 4 3 2 2 2" xfId="27120"/>
    <cellStyle name="쉼표 [0] 2 2 3 4 3 2 3" xfId="15984"/>
    <cellStyle name="쉼표 [0] 2 2 3 4 3 2 3 2" xfId="32688"/>
    <cellStyle name="쉼표 [0] 2 2 3 4 3 2 4" xfId="21552"/>
    <cellStyle name="쉼표 [0] 2 2 3 4 3 3" xfId="7632"/>
    <cellStyle name="쉼표 [0] 2 2 3 4 3 3 2" xfId="24336"/>
    <cellStyle name="쉼표 [0] 2 2 3 4 3 4" xfId="13200"/>
    <cellStyle name="쉼표 [0] 2 2 3 4 3 4 2" xfId="29904"/>
    <cellStyle name="쉼표 [0] 2 2 3 4 3 5" xfId="18768"/>
    <cellStyle name="쉼표 [0] 2 2 3 4 4" xfId="3456"/>
    <cellStyle name="쉼표 [0] 2 2 3 4 4 2" xfId="9024"/>
    <cellStyle name="쉼표 [0] 2 2 3 4 4 2 2" xfId="25728"/>
    <cellStyle name="쉼표 [0] 2 2 3 4 4 3" xfId="14592"/>
    <cellStyle name="쉼표 [0] 2 2 3 4 4 3 2" xfId="31296"/>
    <cellStyle name="쉼표 [0] 2 2 3 4 4 4" xfId="20160"/>
    <cellStyle name="쉼표 [0] 2 2 3 4 5" xfId="6240"/>
    <cellStyle name="쉼표 [0] 2 2 3 4 5 2" xfId="22944"/>
    <cellStyle name="쉼표 [0] 2 2 3 4 6" xfId="11808"/>
    <cellStyle name="쉼표 [0] 2 2 3 4 6 2" xfId="28512"/>
    <cellStyle name="쉼표 [0] 2 2 3 4 7" xfId="17376"/>
    <cellStyle name="쉼표 [0] 2 2 3 5" xfId="904"/>
    <cellStyle name="쉼표 [0] 2 2 3 5 2" xfId="2296"/>
    <cellStyle name="쉼표 [0] 2 2 3 5 2 2" xfId="5080"/>
    <cellStyle name="쉼표 [0] 2 2 3 5 2 2 2" xfId="10648"/>
    <cellStyle name="쉼표 [0] 2 2 3 5 2 2 2 2" xfId="27352"/>
    <cellStyle name="쉼표 [0] 2 2 3 5 2 2 3" xfId="16216"/>
    <cellStyle name="쉼표 [0] 2 2 3 5 2 2 3 2" xfId="32920"/>
    <cellStyle name="쉼표 [0] 2 2 3 5 2 2 4" xfId="21784"/>
    <cellStyle name="쉼표 [0] 2 2 3 5 2 3" xfId="7864"/>
    <cellStyle name="쉼표 [0] 2 2 3 5 2 3 2" xfId="24568"/>
    <cellStyle name="쉼표 [0] 2 2 3 5 2 4" xfId="13432"/>
    <cellStyle name="쉼표 [0] 2 2 3 5 2 4 2" xfId="30136"/>
    <cellStyle name="쉼표 [0] 2 2 3 5 2 5" xfId="19000"/>
    <cellStyle name="쉼표 [0] 2 2 3 5 3" xfId="3688"/>
    <cellStyle name="쉼표 [0] 2 2 3 5 3 2" xfId="9256"/>
    <cellStyle name="쉼표 [0] 2 2 3 5 3 2 2" xfId="25960"/>
    <cellStyle name="쉼표 [0] 2 2 3 5 3 3" xfId="14824"/>
    <cellStyle name="쉼표 [0] 2 2 3 5 3 3 2" xfId="31528"/>
    <cellStyle name="쉼표 [0] 2 2 3 5 3 4" xfId="20392"/>
    <cellStyle name="쉼표 [0] 2 2 3 5 4" xfId="6472"/>
    <cellStyle name="쉼표 [0] 2 2 3 5 4 2" xfId="23176"/>
    <cellStyle name="쉼표 [0] 2 2 3 5 5" xfId="12040"/>
    <cellStyle name="쉼표 [0] 2 2 3 5 5 2" xfId="28744"/>
    <cellStyle name="쉼표 [0] 2 2 3 5 6" xfId="17608"/>
    <cellStyle name="쉼표 [0] 2 2 3 6" xfId="1600"/>
    <cellStyle name="쉼표 [0] 2 2 3 6 2" xfId="4384"/>
    <cellStyle name="쉼표 [0] 2 2 3 6 2 2" xfId="9952"/>
    <cellStyle name="쉼표 [0] 2 2 3 6 2 2 2" xfId="26656"/>
    <cellStyle name="쉼표 [0] 2 2 3 6 2 3" xfId="15520"/>
    <cellStyle name="쉼표 [0] 2 2 3 6 2 3 2" xfId="32224"/>
    <cellStyle name="쉼표 [0] 2 2 3 6 2 4" xfId="21088"/>
    <cellStyle name="쉼표 [0] 2 2 3 6 3" xfId="7168"/>
    <cellStyle name="쉼표 [0] 2 2 3 6 3 2" xfId="23872"/>
    <cellStyle name="쉼표 [0] 2 2 3 6 4" xfId="12736"/>
    <cellStyle name="쉼표 [0] 2 2 3 6 4 2" xfId="29440"/>
    <cellStyle name="쉼표 [0] 2 2 3 6 5" xfId="18304"/>
    <cellStyle name="쉼표 [0] 2 2 3 7" xfId="2992"/>
    <cellStyle name="쉼표 [0] 2 2 3 7 2" xfId="8560"/>
    <cellStyle name="쉼표 [0] 2 2 3 7 2 2" xfId="25264"/>
    <cellStyle name="쉼표 [0] 2 2 3 7 3" xfId="14128"/>
    <cellStyle name="쉼표 [0] 2 2 3 7 3 2" xfId="30832"/>
    <cellStyle name="쉼표 [0] 2 2 3 7 4" xfId="19696"/>
    <cellStyle name="쉼표 [0] 2 2 3 8" xfId="5776"/>
    <cellStyle name="쉼표 [0] 2 2 3 8 2" xfId="22480"/>
    <cellStyle name="쉼표 [0] 2 2 3 9" xfId="11344"/>
    <cellStyle name="쉼표 [0] 2 2 3 9 2" xfId="28048"/>
    <cellStyle name="쉼표 [0] 2 2 4" xfId="266"/>
    <cellStyle name="쉼표 [0] 2 2 4 2" xfId="498"/>
    <cellStyle name="쉼표 [0] 2 2 4 2 2" xfId="1194"/>
    <cellStyle name="쉼표 [0] 2 2 4 2 2 2" xfId="2586"/>
    <cellStyle name="쉼표 [0] 2 2 4 2 2 2 2" xfId="5370"/>
    <cellStyle name="쉼표 [0] 2 2 4 2 2 2 2 2" xfId="10938"/>
    <cellStyle name="쉼표 [0] 2 2 4 2 2 2 2 2 2" xfId="27642"/>
    <cellStyle name="쉼표 [0] 2 2 4 2 2 2 2 3" xfId="16506"/>
    <cellStyle name="쉼표 [0] 2 2 4 2 2 2 2 3 2" xfId="33210"/>
    <cellStyle name="쉼표 [0] 2 2 4 2 2 2 2 4" xfId="22074"/>
    <cellStyle name="쉼표 [0] 2 2 4 2 2 2 3" xfId="8154"/>
    <cellStyle name="쉼표 [0] 2 2 4 2 2 2 3 2" xfId="24858"/>
    <cellStyle name="쉼표 [0] 2 2 4 2 2 2 4" xfId="13722"/>
    <cellStyle name="쉼표 [0] 2 2 4 2 2 2 4 2" xfId="30426"/>
    <cellStyle name="쉼표 [0] 2 2 4 2 2 2 5" xfId="19290"/>
    <cellStyle name="쉼표 [0] 2 2 4 2 2 3" xfId="3978"/>
    <cellStyle name="쉼표 [0] 2 2 4 2 2 3 2" xfId="9546"/>
    <cellStyle name="쉼표 [0] 2 2 4 2 2 3 2 2" xfId="26250"/>
    <cellStyle name="쉼표 [0] 2 2 4 2 2 3 3" xfId="15114"/>
    <cellStyle name="쉼표 [0] 2 2 4 2 2 3 3 2" xfId="31818"/>
    <cellStyle name="쉼표 [0] 2 2 4 2 2 3 4" xfId="20682"/>
    <cellStyle name="쉼표 [0] 2 2 4 2 2 4" xfId="6762"/>
    <cellStyle name="쉼표 [0] 2 2 4 2 2 4 2" xfId="23466"/>
    <cellStyle name="쉼표 [0] 2 2 4 2 2 5" xfId="12330"/>
    <cellStyle name="쉼표 [0] 2 2 4 2 2 5 2" xfId="29034"/>
    <cellStyle name="쉼표 [0] 2 2 4 2 2 6" xfId="17898"/>
    <cellStyle name="쉼표 [0] 2 2 4 2 3" xfId="1890"/>
    <cellStyle name="쉼표 [0] 2 2 4 2 3 2" xfId="4674"/>
    <cellStyle name="쉼표 [0] 2 2 4 2 3 2 2" xfId="10242"/>
    <cellStyle name="쉼표 [0] 2 2 4 2 3 2 2 2" xfId="26946"/>
    <cellStyle name="쉼표 [0] 2 2 4 2 3 2 3" xfId="15810"/>
    <cellStyle name="쉼표 [0] 2 2 4 2 3 2 3 2" xfId="32514"/>
    <cellStyle name="쉼표 [0] 2 2 4 2 3 2 4" xfId="21378"/>
    <cellStyle name="쉼표 [0] 2 2 4 2 3 3" xfId="7458"/>
    <cellStyle name="쉼표 [0] 2 2 4 2 3 3 2" xfId="24162"/>
    <cellStyle name="쉼표 [0] 2 2 4 2 3 4" xfId="13026"/>
    <cellStyle name="쉼표 [0] 2 2 4 2 3 4 2" xfId="29730"/>
    <cellStyle name="쉼표 [0] 2 2 4 2 3 5" xfId="18594"/>
    <cellStyle name="쉼표 [0] 2 2 4 2 4" xfId="3282"/>
    <cellStyle name="쉼표 [0] 2 2 4 2 4 2" xfId="8850"/>
    <cellStyle name="쉼표 [0] 2 2 4 2 4 2 2" xfId="25554"/>
    <cellStyle name="쉼표 [0] 2 2 4 2 4 3" xfId="14418"/>
    <cellStyle name="쉼표 [0] 2 2 4 2 4 3 2" xfId="31122"/>
    <cellStyle name="쉼표 [0] 2 2 4 2 4 4" xfId="19986"/>
    <cellStyle name="쉼표 [0] 2 2 4 2 5" xfId="6066"/>
    <cellStyle name="쉼표 [0] 2 2 4 2 5 2" xfId="22770"/>
    <cellStyle name="쉼표 [0] 2 2 4 2 6" xfId="11634"/>
    <cellStyle name="쉼표 [0] 2 2 4 2 6 2" xfId="28338"/>
    <cellStyle name="쉼표 [0] 2 2 4 2 7" xfId="17202"/>
    <cellStyle name="쉼표 [0] 2 2 4 3" xfId="730"/>
    <cellStyle name="쉼표 [0] 2 2 4 3 2" xfId="1426"/>
    <cellStyle name="쉼표 [0] 2 2 4 3 2 2" xfId="2818"/>
    <cellStyle name="쉼표 [0] 2 2 4 3 2 2 2" xfId="5602"/>
    <cellStyle name="쉼표 [0] 2 2 4 3 2 2 2 2" xfId="11170"/>
    <cellStyle name="쉼표 [0] 2 2 4 3 2 2 2 2 2" xfId="27874"/>
    <cellStyle name="쉼표 [0] 2 2 4 3 2 2 2 3" xfId="16738"/>
    <cellStyle name="쉼표 [0] 2 2 4 3 2 2 2 3 2" xfId="33442"/>
    <cellStyle name="쉼표 [0] 2 2 4 3 2 2 2 4" xfId="22306"/>
    <cellStyle name="쉼표 [0] 2 2 4 3 2 2 3" xfId="8386"/>
    <cellStyle name="쉼표 [0] 2 2 4 3 2 2 3 2" xfId="25090"/>
    <cellStyle name="쉼표 [0] 2 2 4 3 2 2 4" xfId="13954"/>
    <cellStyle name="쉼표 [0] 2 2 4 3 2 2 4 2" xfId="30658"/>
    <cellStyle name="쉼표 [0] 2 2 4 3 2 2 5" xfId="19522"/>
    <cellStyle name="쉼표 [0] 2 2 4 3 2 3" xfId="4210"/>
    <cellStyle name="쉼표 [0] 2 2 4 3 2 3 2" xfId="9778"/>
    <cellStyle name="쉼표 [0] 2 2 4 3 2 3 2 2" xfId="26482"/>
    <cellStyle name="쉼표 [0] 2 2 4 3 2 3 3" xfId="15346"/>
    <cellStyle name="쉼표 [0] 2 2 4 3 2 3 3 2" xfId="32050"/>
    <cellStyle name="쉼표 [0] 2 2 4 3 2 3 4" xfId="20914"/>
    <cellStyle name="쉼표 [0] 2 2 4 3 2 4" xfId="6994"/>
    <cellStyle name="쉼표 [0] 2 2 4 3 2 4 2" xfId="23698"/>
    <cellStyle name="쉼표 [0] 2 2 4 3 2 5" xfId="12562"/>
    <cellStyle name="쉼표 [0] 2 2 4 3 2 5 2" xfId="29266"/>
    <cellStyle name="쉼표 [0] 2 2 4 3 2 6" xfId="18130"/>
    <cellStyle name="쉼표 [0] 2 2 4 3 3" xfId="2122"/>
    <cellStyle name="쉼표 [0] 2 2 4 3 3 2" xfId="4906"/>
    <cellStyle name="쉼표 [0] 2 2 4 3 3 2 2" xfId="10474"/>
    <cellStyle name="쉼표 [0] 2 2 4 3 3 2 2 2" xfId="27178"/>
    <cellStyle name="쉼표 [0] 2 2 4 3 3 2 3" xfId="16042"/>
    <cellStyle name="쉼표 [0] 2 2 4 3 3 2 3 2" xfId="32746"/>
    <cellStyle name="쉼표 [0] 2 2 4 3 3 2 4" xfId="21610"/>
    <cellStyle name="쉼표 [0] 2 2 4 3 3 3" xfId="7690"/>
    <cellStyle name="쉼표 [0] 2 2 4 3 3 3 2" xfId="24394"/>
    <cellStyle name="쉼표 [0] 2 2 4 3 3 4" xfId="13258"/>
    <cellStyle name="쉼표 [0] 2 2 4 3 3 4 2" xfId="29962"/>
    <cellStyle name="쉼표 [0] 2 2 4 3 3 5" xfId="18826"/>
    <cellStyle name="쉼표 [0] 2 2 4 3 4" xfId="3514"/>
    <cellStyle name="쉼표 [0] 2 2 4 3 4 2" xfId="9082"/>
    <cellStyle name="쉼표 [0] 2 2 4 3 4 2 2" xfId="25786"/>
    <cellStyle name="쉼표 [0] 2 2 4 3 4 3" xfId="14650"/>
    <cellStyle name="쉼표 [0] 2 2 4 3 4 3 2" xfId="31354"/>
    <cellStyle name="쉼표 [0] 2 2 4 3 4 4" xfId="20218"/>
    <cellStyle name="쉼표 [0] 2 2 4 3 5" xfId="6298"/>
    <cellStyle name="쉼표 [0] 2 2 4 3 5 2" xfId="23002"/>
    <cellStyle name="쉼표 [0] 2 2 4 3 6" xfId="11866"/>
    <cellStyle name="쉼표 [0] 2 2 4 3 6 2" xfId="28570"/>
    <cellStyle name="쉼표 [0] 2 2 4 3 7" xfId="17434"/>
    <cellStyle name="쉼표 [0] 2 2 4 4" xfId="962"/>
    <cellStyle name="쉼표 [0] 2 2 4 4 2" xfId="2354"/>
    <cellStyle name="쉼표 [0] 2 2 4 4 2 2" xfId="5138"/>
    <cellStyle name="쉼표 [0] 2 2 4 4 2 2 2" xfId="10706"/>
    <cellStyle name="쉼표 [0] 2 2 4 4 2 2 2 2" xfId="27410"/>
    <cellStyle name="쉼표 [0] 2 2 4 4 2 2 3" xfId="16274"/>
    <cellStyle name="쉼표 [0] 2 2 4 4 2 2 3 2" xfId="32978"/>
    <cellStyle name="쉼표 [0] 2 2 4 4 2 2 4" xfId="21842"/>
    <cellStyle name="쉼표 [0] 2 2 4 4 2 3" xfId="7922"/>
    <cellStyle name="쉼표 [0] 2 2 4 4 2 3 2" xfId="24626"/>
    <cellStyle name="쉼표 [0] 2 2 4 4 2 4" xfId="13490"/>
    <cellStyle name="쉼표 [0] 2 2 4 4 2 4 2" xfId="30194"/>
    <cellStyle name="쉼표 [0] 2 2 4 4 2 5" xfId="19058"/>
    <cellStyle name="쉼표 [0] 2 2 4 4 3" xfId="3746"/>
    <cellStyle name="쉼표 [0] 2 2 4 4 3 2" xfId="9314"/>
    <cellStyle name="쉼표 [0] 2 2 4 4 3 2 2" xfId="26018"/>
    <cellStyle name="쉼표 [0] 2 2 4 4 3 3" xfId="14882"/>
    <cellStyle name="쉼표 [0] 2 2 4 4 3 3 2" xfId="31586"/>
    <cellStyle name="쉼표 [0] 2 2 4 4 3 4" xfId="20450"/>
    <cellStyle name="쉼표 [0] 2 2 4 4 4" xfId="6530"/>
    <cellStyle name="쉼표 [0] 2 2 4 4 4 2" xfId="23234"/>
    <cellStyle name="쉼표 [0] 2 2 4 4 5" xfId="12098"/>
    <cellStyle name="쉼표 [0] 2 2 4 4 5 2" xfId="28802"/>
    <cellStyle name="쉼표 [0] 2 2 4 4 6" xfId="17666"/>
    <cellStyle name="쉼표 [0] 2 2 4 5" xfId="1658"/>
    <cellStyle name="쉼표 [0] 2 2 4 5 2" xfId="4442"/>
    <cellStyle name="쉼표 [0] 2 2 4 5 2 2" xfId="10010"/>
    <cellStyle name="쉼표 [0] 2 2 4 5 2 2 2" xfId="26714"/>
    <cellStyle name="쉼표 [0] 2 2 4 5 2 3" xfId="15578"/>
    <cellStyle name="쉼표 [0] 2 2 4 5 2 3 2" xfId="32282"/>
    <cellStyle name="쉼표 [0] 2 2 4 5 2 4" xfId="21146"/>
    <cellStyle name="쉼표 [0] 2 2 4 5 3" xfId="7226"/>
    <cellStyle name="쉼표 [0] 2 2 4 5 3 2" xfId="23930"/>
    <cellStyle name="쉼표 [0] 2 2 4 5 4" xfId="12794"/>
    <cellStyle name="쉼표 [0] 2 2 4 5 4 2" xfId="29498"/>
    <cellStyle name="쉼표 [0] 2 2 4 5 5" xfId="18362"/>
    <cellStyle name="쉼표 [0] 2 2 4 6" xfId="3050"/>
    <cellStyle name="쉼표 [0] 2 2 4 6 2" xfId="8618"/>
    <cellStyle name="쉼표 [0] 2 2 4 6 2 2" xfId="25322"/>
    <cellStyle name="쉼표 [0] 2 2 4 6 3" xfId="14186"/>
    <cellStyle name="쉼표 [0] 2 2 4 6 3 2" xfId="30890"/>
    <cellStyle name="쉼표 [0] 2 2 4 6 4" xfId="19754"/>
    <cellStyle name="쉼표 [0] 2 2 4 7" xfId="5834"/>
    <cellStyle name="쉼표 [0] 2 2 4 7 2" xfId="22538"/>
    <cellStyle name="쉼표 [0] 2 2 4 8" xfId="11402"/>
    <cellStyle name="쉼표 [0] 2 2 4 8 2" xfId="28106"/>
    <cellStyle name="쉼표 [0] 2 2 4 9" xfId="16970"/>
    <cellStyle name="쉼표 [0] 2 2 5" xfId="382"/>
    <cellStyle name="쉼표 [0] 2 2 5 2" xfId="1078"/>
    <cellStyle name="쉼표 [0] 2 2 5 2 2" xfId="2470"/>
    <cellStyle name="쉼표 [0] 2 2 5 2 2 2" xfId="5254"/>
    <cellStyle name="쉼표 [0] 2 2 5 2 2 2 2" xfId="10822"/>
    <cellStyle name="쉼표 [0] 2 2 5 2 2 2 2 2" xfId="27526"/>
    <cellStyle name="쉼표 [0] 2 2 5 2 2 2 3" xfId="16390"/>
    <cellStyle name="쉼표 [0] 2 2 5 2 2 2 3 2" xfId="33094"/>
    <cellStyle name="쉼표 [0] 2 2 5 2 2 2 4" xfId="21958"/>
    <cellStyle name="쉼표 [0] 2 2 5 2 2 3" xfId="8038"/>
    <cellStyle name="쉼표 [0] 2 2 5 2 2 3 2" xfId="24742"/>
    <cellStyle name="쉼표 [0] 2 2 5 2 2 4" xfId="13606"/>
    <cellStyle name="쉼표 [0] 2 2 5 2 2 4 2" xfId="30310"/>
    <cellStyle name="쉼표 [0] 2 2 5 2 2 5" xfId="19174"/>
    <cellStyle name="쉼표 [0] 2 2 5 2 3" xfId="3862"/>
    <cellStyle name="쉼표 [0] 2 2 5 2 3 2" xfId="9430"/>
    <cellStyle name="쉼표 [0] 2 2 5 2 3 2 2" xfId="26134"/>
    <cellStyle name="쉼표 [0] 2 2 5 2 3 3" xfId="14998"/>
    <cellStyle name="쉼표 [0] 2 2 5 2 3 3 2" xfId="31702"/>
    <cellStyle name="쉼표 [0] 2 2 5 2 3 4" xfId="20566"/>
    <cellStyle name="쉼표 [0] 2 2 5 2 4" xfId="6646"/>
    <cellStyle name="쉼표 [0] 2 2 5 2 4 2" xfId="23350"/>
    <cellStyle name="쉼표 [0] 2 2 5 2 5" xfId="12214"/>
    <cellStyle name="쉼표 [0] 2 2 5 2 5 2" xfId="28918"/>
    <cellStyle name="쉼표 [0] 2 2 5 2 6" xfId="17782"/>
    <cellStyle name="쉼표 [0] 2 2 5 3" xfId="1774"/>
    <cellStyle name="쉼표 [0] 2 2 5 3 2" xfId="4558"/>
    <cellStyle name="쉼표 [0] 2 2 5 3 2 2" xfId="10126"/>
    <cellStyle name="쉼표 [0] 2 2 5 3 2 2 2" xfId="26830"/>
    <cellStyle name="쉼표 [0] 2 2 5 3 2 3" xfId="15694"/>
    <cellStyle name="쉼표 [0] 2 2 5 3 2 3 2" xfId="32398"/>
    <cellStyle name="쉼표 [0] 2 2 5 3 2 4" xfId="21262"/>
    <cellStyle name="쉼표 [0] 2 2 5 3 3" xfId="7342"/>
    <cellStyle name="쉼표 [0] 2 2 5 3 3 2" xfId="24046"/>
    <cellStyle name="쉼표 [0] 2 2 5 3 4" xfId="12910"/>
    <cellStyle name="쉼표 [0] 2 2 5 3 4 2" xfId="29614"/>
    <cellStyle name="쉼표 [0] 2 2 5 3 5" xfId="18478"/>
    <cellStyle name="쉼표 [0] 2 2 5 4" xfId="3166"/>
    <cellStyle name="쉼표 [0] 2 2 5 4 2" xfId="8734"/>
    <cellStyle name="쉼표 [0] 2 2 5 4 2 2" xfId="25438"/>
    <cellStyle name="쉼표 [0] 2 2 5 4 3" xfId="14302"/>
    <cellStyle name="쉼표 [0] 2 2 5 4 3 2" xfId="31006"/>
    <cellStyle name="쉼표 [0] 2 2 5 4 4" xfId="19870"/>
    <cellStyle name="쉼표 [0] 2 2 5 5" xfId="5950"/>
    <cellStyle name="쉼표 [0] 2 2 5 5 2" xfId="22654"/>
    <cellStyle name="쉼표 [0] 2 2 5 6" xfId="11518"/>
    <cellStyle name="쉼표 [0] 2 2 5 6 2" xfId="28222"/>
    <cellStyle name="쉼표 [0] 2 2 5 7" xfId="17086"/>
    <cellStyle name="쉼표 [0] 2 2 6" xfId="614"/>
    <cellStyle name="쉼표 [0] 2 2 6 2" xfId="1310"/>
    <cellStyle name="쉼표 [0] 2 2 6 2 2" xfId="2702"/>
    <cellStyle name="쉼표 [0] 2 2 6 2 2 2" xfId="5486"/>
    <cellStyle name="쉼표 [0] 2 2 6 2 2 2 2" xfId="11054"/>
    <cellStyle name="쉼표 [0] 2 2 6 2 2 2 2 2" xfId="27758"/>
    <cellStyle name="쉼표 [0] 2 2 6 2 2 2 3" xfId="16622"/>
    <cellStyle name="쉼표 [0] 2 2 6 2 2 2 3 2" xfId="33326"/>
    <cellStyle name="쉼표 [0] 2 2 6 2 2 2 4" xfId="22190"/>
    <cellStyle name="쉼표 [0] 2 2 6 2 2 3" xfId="8270"/>
    <cellStyle name="쉼표 [0] 2 2 6 2 2 3 2" xfId="24974"/>
    <cellStyle name="쉼표 [0] 2 2 6 2 2 4" xfId="13838"/>
    <cellStyle name="쉼표 [0] 2 2 6 2 2 4 2" xfId="30542"/>
    <cellStyle name="쉼표 [0] 2 2 6 2 2 5" xfId="19406"/>
    <cellStyle name="쉼표 [0] 2 2 6 2 3" xfId="4094"/>
    <cellStyle name="쉼표 [0] 2 2 6 2 3 2" xfId="9662"/>
    <cellStyle name="쉼표 [0] 2 2 6 2 3 2 2" xfId="26366"/>
    <cellStyle name="쉼표 [0] 2 2 6 2 3 3" xfId="15230"/>
    <cellStyle name="쉼표 [0] 2 2 6 2 3 3 2" xfId="31934"/>
    <cellStyle name="쉼표 [0] 2 2 6 2 3 4" xfId="20798"/>
    <cellStyle name="쉼표 [0] 2 2 6 2 4" xfId="6878"/>
    <cellStyle name="쉼표 [0] 2 2 6 2 4 2" xfId="23582"/>
    <cellStyle name="쉼표 [0] 2 2 6 2 5" xfId="12446"/>
    <cellStyle name="쉼표 [0] 2 2 6 2 5 2" xfId="29150"/>
    <cellStyle name="쉼표 [0] 2 2 6 2 6" xfId="18014"/>
    <cellStyle name="쉼표 [0] 2 2 6 3" xfId="2006"/>
    <cellStyle name="쉼표 [0] 2 2 6 3 2" xfId="4790"/>
    <cellStyle name="쉼표 [0] 2 2 6 3 2 2" xfId="10358"/>
    <cellStyle name="쉼표 [0] 2 2 6 3 2 2 2" xfId="27062"/>
    <cellStyle name="쉼표 [0] 2 2 6 3 2 3" xfId="15926"/>
    <cellStyle name="쉼표 [0] 2 2 6 3 2 3 2" xfId="32630"/>
    <cellStyle name="쉼표 [0] 2 2 6 3 2 4" xfId="21494"/>
    <cellStyle name="쉼표 [0] 2 2 6 3 3" xfId="7574"/>
    <cellStyle name="쉼표 [0] 2 2 6 3 3 2" xfId="24278"/>
    <cellStyle name="쉼표 [0] 2 2 6 3 4" xfId="13142"/>
    <cellStyle name="쉼표 [0] 2 2 6 3 4 2" xfId="29846"/>
    <cellStyle name="쉼표 [0] 2 2 6 3 5" xfId="18710"/>
    <cellStyle name="쉼표 [0] 2 2 6 4" xfId="3398"/>
    <cellStyle name="쉼표 [0] 2 2 6 4 2" xfId="8966"/>
    <cellStyle name="쉼표 [0] 2 2 6 4 2 2" xfId="25670"/>
    <cellStyle name="쉼표 [0] 2 2 6 4 3" xfId="14534"/>
    <cellStyle name="쉼표 [0] 2 2 6 4 3 2" xfId="31238"/>
    <cellStyle name="쉼표 [0] 2 2 6 4 4" xfId="20102"/>
    <cellStyle name="쉼표 [0] 2 2 6 5" xfId="6182"/>
    <cellStyle name="쉼표 [0] 2 2 6 5 2" xfId="22886"/>
    <cellStyle name="쉼표 [0] 2 2 6 6" xfId="11750"/>
    <cellStyle name="쉼표 [0] 2 2 6 6 2" xfId="28454"/>
    <cellStyle name="쉼표 [0] 2 2 6 7" xfId="17318"/>
    <cellStyle name="쉼표 [0] 2 2 7" xfId="846"/>
    <cellStyle name="쉼표 [0] 2 2 7 2" xfId="2238"/>
    <cellStyle name="쉼표 [0] 2 2 7 2 2" xfId="5022"/>
    <cellStyle name="쉼표 [0] 2 2 7 2 2 2" xfId="10590"/>
    <cellStyle name="쉼표 [0] 2 2 7 2 2 2 2" xfId="27294"/>
    <cellStyle name="쉼표 [0] 2 2 7 2 2 3" xfId="16158"/>
    <cellStyle name="쉼표 [0] 2 2 7 2 2 3 2" xfId="32862"/>
    <cellStyle name="쉼표 [0] 2 2 7 2 2 4" xfId="21726"/>
    <cellStyle name="쉼표 [0] 2 2 7 2 3" xfId="7806"/>
    <cellStyle name="쉼표 [0] 2 2 7 2 3 2" xfId="24510"/>
    <cellStyle name="쉼표 [0] 2 2 7 2 4" xfId="13374"/>
    <cellStyle name="쉼표 [0] 2 2 7 2 4 2" xfId="30078"/>
    <cellStyle name="쉼표 [0] 2 2 7 2 5" xfId="18942"/>
    <cellStyle name="쉼표 [0] 2 2 7 3" xfId="3630"/>
    <cellStyle name="쉼표 [0] 2 2 7 3 2" xfId="9198"/>
    <cellStyle name="쉼표 [0] 2 2 7 3 2 2" xfId="25902"/>
    <cellStyle name="쉼표 [0] 2 2 7 3 3" xfId="14766"/>
    <cellStyle name="쉼표 [0] 2 2 7 3 3 2" xfId="31470"/>
    <cellStyle name="쉼표 [0] 2 2 7 3 4" xfId="20334"/>
    <cellStyle name="쉼표 [0] 2 2 7 4" xfId="6414"/>
    <cellStyle name="쉼표 [0] 2 2 7 4 2" xfId="23118"/>
    <cellStyle name="쉼표 [0] 2 2 7 5" xfId="11982"/>
    <cellStyle name="쉼표 [0] 2 2 7 5 2" xfId="28686"/>
    <cellStyle name="쉼표 [0] 2 2 7 6" xfId="17550"/>
    <cellStyle name="쉼표 [0] 2 2 8" xfId="1542"/>
    <cellStyle name="쉼표 [0] 2 2 8 2" xfId="4326"/>
    <cellStyle name="쉼표 [0] 2 2 8 2 2" xfId="9894"/>
    <cellStyle name="쉼표 [0] 2 2 8 2 2 2" xfId="26598"/>
    <cellStyle name="쉼표 [0] 2 2 8 2 3" xfId="15462"/>
    <cellStyle name="쉼표 [0] 2 2 8 2 3 2" xfId="32166"/>
    <cellStyle name="쉼표 [0] 2 2 8 2 4" xfId="21030"/>
    <cellStyle name="쉼표 [0] 2 2 8 3" xfId="7110"/>
    <cellStyle name="쉼표 [0] 2 2 8 3 2" xfId="23814"/>
    <cellStyle name="쉼표 [0] 2 2 8 4" xfId="12678"/>
    <cellStyle name="쉼표 [0] 2 2 8 4 2" xfId="29382"/>
    <cellStyle name="쉼표 [0] 2 2 8 5" xfId="18246"/>
    <cellStyle name="쉼표 [0] 2 2 9" xfId="2934"/>
    <cellStyle name="쉼표 [0] 2 2 9 2" xfId="8502"/>
    <cellStyle name="쉼표 [0] 2 2 9 2 2" xfId="25206"/>
    <cellStyle name="쉼표 [0] 2 2 9 3" xfId="14070"/>
    <cellStyle name="쉼표 [0] 2 2 9 3 2" xfId="30774"/>
    <cellStyle name="쉼표 [0] 2 2 9 4" xfId="19638"/>
    <cellStyle name="쉼표 [0] 2 3" xfId="160"/>
    <cellStyle name="쉼표 [0] 2 3 10" xfId="5730"/>
    <cellStyle name="쉼표 [0] 2 3 10 2" xfId="22434"/>
    <cellStyle name="쉼표 [0] 2 3 11" xfId="11298"/>
    <cellStyle name="쉼표 [0] 2 3 11 2" xfId="28002"/>
    <cellStyle name="쉼표 [0] 2 3 12" xfId="16866"/>
    <cellStyle name="쉼표 [0] 2 3 2" xfId="191"/>
    <cellStyle name="쉼표 [0] 2 3 2 10" xfId="11327"/>
    <cellStyle name="쉼표 [0] 2 3 2 10 2" xfId="28031"/>
    <cellStyle name="쉼표 [0] 2 3 2 11" xfId="16895"/>
    <cellStyle name="쉼표 [0] 2 3 2 2" xfId="249"/>
    <cellStyle name="쉼표 [0] 2 3 2 2 10" xfId="16953"/>
    <cellStyle name="쉼표 [0] 2 3 2 2 2" xfId="365"/>
    <cellStyle name="쉼표 [0] 2 3 2 2 2 2" xfId="597"/>
    <cellStyle name="쉼표 [0] 2 3 2 2 2 2 2" xfId="1293"/>
    <cellStyle name="쉼표 [0] 2 3 2 2 2 2 2 2" xfId="2685"/>
    <cellStyle name="쉼표 [0] 2 3 2 2 2 2 2 2 2" xfId="5469"/>
    <cellStyle name="쉼표 [0] 2 3 2 2 2 2 2 2 2 2" xfId="11037"/>
    <cellStyle name="쉼표 [0] 2 3 2 2 2 2 2 2 2 2 2" xfId="27741"/>
    <cellStyle name="쉼표 [0] 2 3 2 2 2 2 2 2 2 3" xfId="16605"/>
    <cellStyle name="쉼표 [0] 2 3 2 2 2 2 2 2 2 3 2" xfId="33309"/>
    <cellStyle name="쉼표 [0] 2 3 2 2 2 2 2 2 2 4" xfId="22173"/>
    <cellStyle name="쉼표 [0] 2 3 2 2 2 2 2 2 3" xfId="8253"/>
    <cellStyle name="쉼표 [0] 2 3 2 2 2 2 2 2 3 2" xfId="24957"/>
    <cellStyle name="쉼표 [0] 2 3 2 2 2 2 2 2 4" xfId="13821"/>
    <cellStyle name="쉼표 [0] 2 3 2 2 2 2 2 2 4 2" xfId="30525"/>
    <cellStyle name="쉼표 [0] 2 3 2 2 2 2 2 2 5" xfId="19389"/>
    <cellStyle name="쉼표 [0] 2 3 2 2 2 2 2 3" xfId="4077"/>
    <cellStyle name="쉼표 [0] 2 3 2 2 2 2 2 3 2" xfId="9645"/>
    <cellStyle name="쉼표 [0] 2 3 2 2 2 2 2 3 2 2" xfId="26349"/>
    <cellStyle name="쉼표 [0] 2 3 2 2 2 2 2 3 3" xfId="15213"/>
    <cellStyle name="쉼표 [0] 2 3 2 2 2 2 2 3 3 2" xfId="31917"/>
    <cellStyle name="쉼표 [0] 2 3 2 2 2 2 2 3 4" xfId="20781"/>
    <cellStyle name="쉼표 [0] 2 3 2 2 2 2 2 4" xfId="6861"/>
    <cellStyle name="쉼표 [0] 2 3 2 2 2 2 2 4 2" xfId="23565"/>
    <cellStyle name="쉼표 [0] 2 3 2 2 2 2 2 5" xfId="12429"/>
    <cellStyle name="쉼표 [0] 2 3 2 2 2 2 2 5 2" xfId="29133"/>
    <cellStyle name="쉼표 [0] 2 3 2 2 2 2 2 6" xfId="17997"/>
    <cellStyle name="쉼표 [0] 2 3 2 2 2 2 3" xfId="1989"/>
    <cellStyle name="쉼표 [0] 2 3 2 2 2 2 3 2" xfId="4773"/>
    <cellStyle name="쉼표 [0] 2 3 2 2 2 2 3 2 2" xfId="10341"/>
    <cellStyle name="쉼표 [0] 2 3 2 2 2 2 3 2 2 2" xfId="27045"/>
    <cellStyle name="쉼표 [0] 2 3 2 2 2 2 3 2 3" xfId="15909"/>
    <cellStyle name="쉼표 [0] 2 3 2 2 2 2 3 2 3 2" xfId="32613"/>
    <cellStyle name="쉼표 [0] 2 3 2 2 2 2 3 2 4" xfId="21477"/>
    <cellStyle name="쉼표 [0] 2 3 2 2 2 2 3 3" xfId="7557"/>
    <cellStyle name="쉼표 [0] 2 3 2 2 2 2 3 3 2" xfId="24261"/>
    <cellStyle name="쉼표 [0] 2 3 2 2 2 2 3 4" xfId="13125"/>
    <cellStyle name="쉼표 [0] 2 3 2 2 2 2 3 4 2" xfId="29829"/>
    <cellStyle name="쉼표 [0] 2 3 2 2 2 2 3 5" xfId="18693"/>
    <cellStyle name="쉼표 [0] 2 3 2 2 2 2 4" xfId="3381"/>
    <cellStyle name="쉼표 [0] 2 3 2 2 2 2 4 2" xfId="8949"/>
    <cellStyle name="쉼표 [0] 2 3 2 2 2 2 4 2 2" xfId="25653"/>
    <cellStyle name="쉼표 [0] 2 3 2 2 2 2 4 3" xfId="14517"/>
    <cellStyle name="쉼표 [0] 2 3 2 2 2 2 4 3 2" xfId="31221"/>
    <cellStyle name="쉼표 [0] 2 3 2 2 2 2 4 4" xfId="20085"/>
    <cellStyle name="쉼표 [0] 2 3 2 2 2 2 5" xfId="6165"/>
    <cellStyle name="쉼표 [0] 2 3 2 2 2 2 5 2" xfId="22869"/>
    <cellStyle name="쉼표 [0] 2 3 2 2 2 2 6" xfId="11733"/>
    <cellStyle name="쉼표 [0] 2 3 2 2 2 2 6 2" xfId="28437"/>
    <cellStyle name="쉼표 [0] 2 3 2 2 2 2 7" xfId="17301"/>
    <cellStyle name="쉼표 [0] 2 3 2 2 2 3" xfId="829"/>
    <cellStyle name="쉼표 [0] 2 3 2 2 2 3 2" xfId="1525"/>
    <cellStyle name="쉼표 [0] 2 3 2 2 2 3 2 2" xfId="2917"/>
    <cellStyle name="쉼표 [0] 2 3 2 2 2 3 2 2 2" xfId="5701"/>
    <cellStyle name="쉼표 [0] 2 3 2 2 2 3 2 2 2 2" xfId="11269"/>
    <cellStyle name="쉼표 [0] 2 3 2 2 2 3 2 2 2 2 2" xfId="27973"/>
    <cellStyle name="쉼표 [0] 2 3 2 2 2 3 2 2 2 3" xfId="16837"/>
    <cellStyle name="쉼표 [0] 2 3 2 2 2 3 2 2 2 3 2" xfId="33541"/>
    <cellStyle name="쉼표 [0] 2 3 2 2 2 3 2 2 2 4" xfId="22405"/>
    <cellStyle name="쉼표 [0] 2 3 2 2 2 3 2 2 3" xfId="8485"/>
    <cellStyle name="쉼표 [0] 2 3 2 2 2 3 2 2 3 2" xfId="25189"/>
    <cellStyle name="쉼표 [0] 2 3 2 2 2 3 2 2 4" xfId="14053"/>
    <cellStyle name="쉼표 [0] 2 3 2 2 2 3 2 2 4 2" xfId="30757"/>
    <cellStyle name="쉼표 [0] 2 3 2 2 2 3 2 2 5" xfId="19621"/>
    <cellStyle name="쉼표 [0] 2 3 2 2 2 3 2 3" xfId="4309"/>
    <cellStyle name="쉼표 [0] 2 3 2 2 2 3 2 3 2" xfId="9877"/>
    <cellStyle name="쉼표 [0] 2 3 2 2 2 3 2 3 2 2" xfId="26581"/>
    <cellStyle name="쉼표 [0] 2 3 2 2 2 3 2 3 3" xfId="15445"/>
    <cellStyle name="쉼표 [0] 2 3 2 2 2 3 2 3 3 2" xfId="32149"/>
    <cellStyle name="쉼표 [0] 2 3 2 2 2 3 2 3 4" xfId="21013"/>
    <cellStyle name="쉼표 [0] 2 3 2 2 2 3 2 4" xfId="7093"/>
    <cellStyle name="쉼표 [0] 2 3 2 2 2 3 2 4 2" xfId="23797"/>
    <cellStyle name="쉼표 [0] 2 3 2 2 2 3 2 5" xfId="12661"/>
    <cellStyle name="쉼표 [0] 2 3 2 2 2 3 2 5 2" xfId="29365"/>
    <cellStyle name="쉼표 [0] 2 3 2 2 2 3 2 6" xfId="18229"/>
    <cellStyle name="쉼표 [0] 2 3 2 2 2 3 3" xfId="2221"/>
    <cellStyle name="쉼표 [0] 2 3 2 2 2 3 3 2" xfId="5005"/>
    <cellStyle name="쉼표 [0] 2 3 2 2 2 3 3 2 2" xfId="10573"/>
    <cellStyle name="쉼표 [0] 2 3 2 2 2 3 3 2 2 2" xfId="27277"/>
    <cellStyle name="쉼표 [0] 2 3 2 2 2 3 3 2 3" xfId="16141"/>
    <cellStyle name="쉼표 [0] 2 3 2 2 2 3 3 2 3 2" xfId="32845"/>
    <cellStyle name="쉼표 [0] 2 3 2 2 2 3 3 2 4" xfId="21709"/>
    <cellStyle name="쉼표 [0] 2 3 2 2 2 3 3 3" xfId="7789"/>
    <cellStyle name="쉼표 [0] 2 3 2 2 2 3 3 3 2" xfId="24493"/>
    <cellStyle name="쉼표 [0] 2 3 2 2 2 3 3 4" xfId="13357"/>
    <cellStyle name="쉼표 [0] 2 3 2 2 2 3 3 4 2" xfId="30061"/>
    <cellStyle name="쉼표 [0] 2 3 2 2 2 3 3 5" xfId="18925"/>
    <cellStyle name="쉼표 [0] 2 3 2 2 2 3 4" xfId="3613"/>
    <cellStyle name="쉼표 [0] 2 3 2 2 2 3 4 2" xfId="9181"/>
    <cellStyle name="쉼표 [0] 2 3 2 2 2 3 4 2 2" xfId="25885"/>
    <cellStyle name="쉼표 [0] 2 3 2 2 2 3 4 3" xfId="14749"/>
    <cellStyle name="쉼표 [0] 2 3 2 2 2 3 4 3 2" xfId="31453"/>
    <cellStyle name="쉼표 [0] 2 3 2 2 2 3 4 4" xfId="20317"/>
    <cellStyle name="쉼표 [0] 2 3 2 2 2 3 5" xfId="6397"/>
    <cellStyle name="쉼표 [0] 2 3 2 2 2 3 5 2" xfId="23101"/>
    <cellStyle name="쉼표 [0] 2 3 2 2 2 3 6" xfId="11965"/>
    <cellStyle name="쉼표 [0] 2 3 2 2 2 3 6 2" xfId="28669"/>
    <cellStyle name="쉼표 [0] 2 3 2 2 2 3 7" xfId="17533"/>
    <cellStyle name="쉼표 [0] 2 3 2 2 2 4" xfId="1061"/>
    <cellStyle name="쉼표 [0] 2 3 2 2 2 4 2" xfId="2453"/>
    <cellStyle name="쉼표 [0] 2 3 2 2 2 4 2 2" xfId="5237"/>
    <cellStyle name="쉼표 [0] 2 3 2 2 2 4 2 2 2" xfId="10805"/>
    <cellStyle name="쉼표 [0] 2 3 2 2 2 4 2 2 2 2" xfId="27509"/>
    <cellStyle name="쉼표 [0] 2 3 2 2 2 4 2 2 3" xfId="16373"/>
    <cellStyle name="쉼표 [0] 2 3 2 2 2 4 2 2 3 2" xfId="33077"/>
    <cellStyle name="쉼표 [0] 2 3 2 2 2 4 2 2 4" xfId="21941"/>
    <cellStyle name="쉼표 [0] 2 3 2 2 2 4 2 3" xfId="8021"/>
    <cellStyle name="쉼표 [0] 2 3 2 2 2 4 2 3 2" xfId="24725"/>
    <cellStyle name="쉼표 [0] 2 3 2 2 2 4 2 4" xfId="13589"/>
    <cellStyle name="쉼표 [0] 2 3 2 2 2 4 2 4 2" xfId="30293"/>
    <cellStyle name="쉼표 [0] 2 3 2 2 2 4 2 5" xfId="19157"/>
    <cellStyle name="쉼표 [0] 2 3 2 2 2 4 3" xfId="3845"/>
    <cellStyle name="쉼표 [0] 2 3 2 2 2 4 3 2" xfId="9413"/>
    <cellStyle name="쉼표 [0] 2 3 2 2 2 4 3 2 2" xfId="26117"/>
    <cellStyle name="쉼표 [0] 2 3 2 2 2 4 3 3" xfId="14981"/>
    <cellStyle name="쉼표 [0] 2 3 2 2 2 4 3 3 2" xfId="31685"/>
    <cellStyle name="쉼표 [0] 2 3 2 2 2 4 3 4" xfId="20549"/>
    <cellStyle name="쉼표 [0] 2 3 2 2 2 4 4" xfId="6629"/>
    <cellStyle name="쉼표 [0] 2 3 2 2 2 4 4 2" xfId="23333"/>
    <cellStyle name="쉼표 [0] 2 3 2 2 2 4 5" xfId="12197"/>
    <cellStyle name="쉼표 [0] 2 3 2 2 2 4 5 2" xfId="28901"/>
    <cellStyle name="쉼표 [0] 2 3 2 2 2 4 6" xfId="17765"/>
    <cellStyle name="쉼표 [0] 2 3 2 2 2 5" xfId="1757"/>
    <cellStyle name="쉼표 [0] 2 3 2 2 2 5 2" xfId="4541"/>
    <cellStyle name="쉼표 [0] 2 3 2 2 2 5 2 2" xfId="10109"/>
    <cellStyle name="쉼표 [0] 2 3 2 2 2 5 2 2 2" xfId="26813"/>
    <cellStyle name="쉼표 [0] 2 3 2 2 2 5 2 3" xfId="15677"/>
    <cellStyle name="쉼표 [0] 2 3 2 2 2 5 2 3 2" xfId="32381"/>
    <cellStyle name="쉼표 [0] 2 3 2 2 2 5 2 4" xfId="21245"/>
    <cellStyle name="쉼표 [0] 2 3 2 2 2 5 3" xfId="7325"/>
    <cellStyle name="쉼표 [0] 2 3 2 2 2 5 3 2" xfId="24029"/>
    <cellStyle name="쉼표 [0] 2 3 2 2 2 5 4" xfId="12893"/>
    <cellStyle name="쉼표 [0] 2 3 2 2 2 5 4 2" xfId="29597"/>
    <cellStyle name="쉼표 [0] 2 3 2 2 2 5 5" xfId="18461"/>
    <cellStyle name="쉼표 [0] 2 3 2 2 2 6" xfId="3149"/>
    <cellStyle name="쉼표 [0] 2 3 2 2 2 6 2" xfId="8717"/>
    <cellStyle name="쉼표 [0] 2 3 2 2 2 6 2 2" xfId="25421"/>
    <cellStyle name="쉼표 [0] 2 3 2 2 2 6 3" xfId="14285"/>
    <cellStyle name="쉼표 [0] 2 3 2 2 2 6 3 2" xfId="30989"/>
    <cellStyle name="쉼표 [0] 2 3 2 2 2 6 4" xfId="19853"/>
    <cellStyle name="쉼표 [0] 2 3 2 2 2 7" xfId="5933"/>
    <cellStyle name="쉼표 [0] 2 3 2 2 2 7 2" xfId="22637"/>
    <cellStyle name="쉼표 [0] 2 3 2 2 2 8" xfId="11501"/>
    <cellStyle name="쉼표 [0] 2 3 2 2 2 8 2" xfId="28205"/>
    <cellStyle name="쉼표 [0] 2 3 2 2 2 9" xfId="17069"/>
    <cellStyle name="쉼표 [0] 2 3 2 2 3" xfId="481"/>
    <cellStyle name="쉼표 [0] 2 3 2 2 3 2" xfId="1177"/>
    <cellStyle name="쉼표 [0] 2 3 2 2 3 2 2" xfId="2569"/>
    <cellStyle name="쉼표 [0] 2 3 2 2 3 2 2 2" xfId="5353"/>
    <cellStyle name="쉼표 [0] 2 3 2 2 3 2 2 2 2" xfId="10921"/>
    <cellStyle name="쉼표 [0] 2 3 2 2 3 2 2 2 2 2" xfId="27625"/>
    <cellStyle name="쉼표 [0] 2 3 2 2 3 2 2 2 3" xfId="16489"/>
    <cellStyle name="쉼표 [0] 2 3 2 2 3 2 2 2 3 2" xfId="33193"/>
    <cellStyle name="쉼표 [0] 2 3 2 2 3 2 2 2 4" xfId="22057"/>
    <cellStyle name="쉼표 [0] 2 3 2 2 3 2 2 3" xfId="8137"/>
    <cellStyle name="쉼표 [0] 2 3 2 2 3 2 2 3 2" xfId="24841"/>
    <cellStyle name="쉼표 [0] 2 3 2 2 3 2 2 4" xfId="13705"/>
    <cellStyle name="쉼표 [0] 2 3 2 2 3 2 2 4 2" xfId="30409"/>
    <cellStyle name="쉼표 [0] 2 3 2 2 3 2 2 5" xfId="19273"/>
    <cellStyle name="쉼표 [0] 2 3 2 2 3 2 3" xfId="3961"/>
    <cellStyle name="쉼표 [0] 2 3 2 2 3 2 3 2" xfId="9529"/>
    <cellStyle name="쉼표 [0] 2 3 2 2 3 2 3 2 2" xfId="26233"/>
    <cellStyle name="쉼표 [0] 2 3 2 2 3 2 3 3" xfId="15097"/>
    <cellStyle name="쉼표 [0] 2 3 2 2 3 2 3 3 2" xfId="31801"/>
    <cellStyle name="쉼표 [0] 2 3 2 2 3 2 3 4" xfId="20665"/>
    <cellStyle name="쉼표 [0] 2 3 2 2 3 2 4" xfId="6745"/>
    <cellStyle name="쉼표 [0] 2 3 2 2 3 2 4 2" xfId="23449"/>
    <cellStyle name="쉼표 [0] 2 3 2 2 3 2 5" xfId="12313"/>
    <cellStyle name="쉼표 [0] 2 3 2 2 3 2 5 2" xfId="29017"/>
    <cellStyle name="쉼표 [0] 2 3 2 2 3 2 6" xfId="17881"/>
    <cellStyle name="쉼표 [0] 2 3 2 2 3 3" xfId="1873"/>
    <cellStyle name="쉼표 [0] 2 3 2 2 3 3 2" xfId="4657"/>
    <cellStyle name="쉼표 [0] 2 3 2 2 3 3 2 2" xfId="10225"/>
    <cellStyle name="쉼표 [0] 2 3 2 2 3 3 2 2 2" xfId="26929"/>
    <cellStyle name="쉼표 [0] 2 3 2 2 3 3 2 3" xfId="15793"/>
    <cellStyle name="쉼표 [0] 2 3 2 2 3 3 2 3 2" xfId="32497"/>
    <cellStyle name="쉼표 [0] 2 3 2 2 3 3 2 4" xfId="21361"/>
    <cellStyle name="쉼표 [0] 2 3 2 2 3 3 3" xfId="7441"/>
    <cellStyle name="쉼표 [0] 2 3 2 2 3 3 3 2" xfId="24145"/>
    <cellStyle name="쉼표 [0] 2 3 2 2 3 3 4" xfId="13009"/>
    <cellStyle name="쉼표 [0] 2 3 2 2 3 3 4 2" xfId="29713"/>
    <cellStyle name="쉼표 [0] 2 3 2 2 3 3 5" xfId="18577"/>
    <cellStyle name="쉼표 [0] 2 3 2 2 3 4" xfId="3265"/>
    <cellStyle name="쉼표 [0] 2 3 2 2 3 4 2" xfId="8833"/>
    <cellStyle name="쉼표 [0] 2 3 2 2 3 4 2 2" xfId="25537"/>
    <cellStyle name="쉼표 [0] 2 3 2 2 3 4 3" xfId="14401"/>
    <cellStyle name="쉼표 [0] 2 3 2 2 3 4 3 2" xfId="31105"/>
    <cellStyle name="쉼표 [0] 2 3 2 2 3 4 4" xfId="19969"/>
    <cellStyle name="쉼표 [0] 2 3 2 2 3 5" xfId="6049"/>
    <cellStyle name="쉼표 [0] 2 3 2 2 3 5 2" xfId="22753"/>
    <cellStyle name="쉼표 [0] 2 3 2 2 3 6" xfId="11617"/>
    <cellStyle name="쉼표 [0] 2 3 2 2 3 6 2" xfId="28321"/>
    <cellStyle name="쉼표 [0] 2 3 2 2 3 7" xfId="17185"/>
    <cellStyle name="쉼표 [0] 2 3 2 2 4" xfId="713"/>
    <cellStyle name="쉼표 [0] 2 3 2 2 4 2" xfId="1409"/>
    <cellStyle name="쉼표 [0] 2 3 2 2 4 2 2" xfId="2801"/>
    <cellStyle name="쉼표 [0] 2 3 2 2 4 2 2 2" xfId="5585"/>
    <cellStyle name="쉼표 [0] 2 3 2 2 4 2 2 2 2" xfId="11153"/>
    <cellStyle name="쉼표 [0] 2 3 2 2 4 2 2 2 2 2" xfId="27857"/>
    <cellStyle name="쉼표 [0] 2 3 2 2 4 2 2 2 3" xfId="16721"/>
    <cellStyle name="쉼표 [0] 2 3 2 2 4 2 2 2 3 2" xfId="33425"/>
    <cellStyle name="쉼표 [0] 2 3 2 2 4 2 2 2 4" xfId="22289"/>
    <cellStyle name="쉼표 [0] 2 3 2 2 4 2 2 3" xfId="8369"/>
    <cellStyle name="쉼표 [0] 2 3 2 2 4 2 2 3 2" xfId="25073"/>
    <cellStyle name="쉼표 [0] 2 3 2 2 4 2 2 4" xfId="13937"/>
    <cellStyle name="쉼표 [0] 2 3 2 2 4 2 2 4 2" xfId="30641"/>
    <cellStyle name="쉼표 [0] 2 3 2 2 4 2 2 5" xfId="19505"/>
    <cellStyle name="쉼표 [0] 2 3 2 2 4 2 3" xfId="4193"/>
    <cellStyle name="쉼표 [0] 2 3 2 2 4 2 3 2" xfId="9761"/>
    <cellStyle name="쉼표 [0] 2 3 2 2 4 2 3 2 2" xfId="26465"/>
    <cellStyle name="쉼표 [0] 2 3 2 2 4 2 3 3" xfId="15329"/>
    <cellStyle name="쉼표 [0] 2 3 2 2 4 2 3 3 2" xfId="32033"/>
    <cellStyle name="쉼표 [0] 2 3 2 2 4 2 3 4" xfId="20897"/>
    <cellStyle name="쉼표 [0] 2 3 2 2 4 2 4" xfId="6977"/>
    <cellStyle name="쉼표 [0] 2 3 2 2 4 2 4 2" xfId="23681"/>
    <cellStyle name="쉼표 [0] 2 3 2 2 4 2 5" xfId="12545"/>
    <cellStyle name="쉼표 [0] 2 3 2 2 4 2 5 2" xfId="29249"/>
    <cellStyle name="쉼표 [0] 2 3 2 2 4 2 6" xfId="18113"/>
    <cellStyle name="쉼표 [0] 2 3 2 2 4 3" xfId="2105"/>
    <cellStyle name="쉼표 [0] 2 3 2 2 4 3 2" xfId="4889"/>
    <cellStyle name="쉼표 [0] 2 3 2 2 4 3 2 2" xfId="10457"/>
    <cellStyle name="쉼표 [0] 2 3 2 2 4 3 2 2 2" xfId="27161"/>
    <cellStyle name="쉼표 [0] 2 3 2 2 4 3 2 3" xfId="16025"/>
    <cellStyle name="쉼표 [0] 2 3 2 2 4 3 2 3 2" xfId="32729"/>
    <cellStyle name="쉼표 [0] 2 3 2 2 4 3 2 4" xfId="21593"/>
    <cellStyle name="쉼표 [0] 2 3 2 2 4 3 3" xfId="7673"/>
    <cellStyle name="쉼표 [0] 2 3 2 2 4 3 3 2" xfId="24377"/>
    <cellStyle name="쉼표 [0] 2 3 2 2 4 3 4" xfId="13241"/>
    <cellStyle name="쉼표 [0] 2 3 2 2 4 3 4 2" xfId="29945"/>
    <cellStyle name="쉼표 [0] 2 3 2 2 4 3 5" xfId="18809"/>
    <cellStyle name="쉼표 [0] 2 3 2 2 4 4" xfId="3497"/>
    <cellStyle name="쉼표 [0] 2 3 2 2 4 4 2" xfId="9065"/>
    <cellStyle name="쉼표 [0] 2 3 2 2 4 4 2 2" xfId="25769"/>
    <cellStyle name="쉼표 [0] 2 3 2 2 4 4 3" xfId="14633"/>
    <cellStyle name="쉼표 [0] 2 3 2 2 4 4 3 2" xfId="31337"/>
    <cellStyle name="쉼표 [0] 2 3 2 2 4 4 4" xfId="20201"/>
    <cellStyle name="쉼표 [0] 2 3 2 2 4 5" xfId="6281"/>
    <cellStyle name="쉼표 [0] 2 3 2 2 4 5 2" xfId="22985"/>
    <cellStyle name="쉼표 [0] 2 3 2 2 4 6" xfId="11849"/>
    <cellStyle name="쉼표 [0] 2 3 2 2 4 6 2" xfId="28553"/>
    <cellStyle name="쉼표 [0] 2 3 2 2 4 7" xfId="17417"/>
    <cellStyle name="쉼표 [0] 2 3 2 2 5" xfId="945"/>
    <cellStyle name="쉼표 [0] 2 3 2 2 5 2" xfId="2337"/>
    <cellStyle name="쉼표 [0] 2 3 2 2 5 2 2" xfId="5121"/>
    <cellStyle name="쉼표 [0] 2 3 2 2 5 2 2 2" xfId="10689"/>
    <cellStyle name="쉼표 [0] 2 3 2 2 5 2 2 2 2" xfId="27393"/>
    <cellStyle name="쉼표 [0] 2 3 2 2 5 2 2 3" xfId="16257"/>
    <cellStyle name="쉼표 [0] 2 3 2 2 5 2 2 3 2" xfId="32961"/>
    <cellStyle name="쉼표 [0] 2 3 2 2 5 2 2 4" xfId="21825"/>
    <cellStyle name="쉼표 [0] 2 3 2 2 5 2 3" xfId="7905"/>
    <cellStyle name="쉼표 [0] 2 3 2 2 5 2 3 2" xfId="24609"/>
    <cellStyle name="쉼표 [0] 2 3 2 2 5 2 4" xfId="13473"/>
    <cellStyle name="쉼표 [0] 2 3 2 2 5 2 4 2" xfId="30177"/>
    <cellStyle name="쉼표 [0] 2 3 2 2 5 2 5" xfId="19041"/>
    <cellStyle name="쉼표 [0] 2 3 2 2 5 3" xfId="3729"/>
    <cellStyle name="쉼표 [0] 2 3 2 2 5 3 2" xfId="9297"/>
    <cellStyle name="쉼표 [0] 2 3 2 2 5 3 2 2" xfId="26001"/>
    <cellStyle name="쉼표 [0] 2 3 2 2 5 3 3" xfId="14865"/>
    <cellStyle name="쉼표 [0] 2 3 2 2 5 3 3 2" xfId="31569"/>
    <cellStyle name="쉼표 [0] 2 3 2 2 5 3 4" xfId="20433"/>
    <cellStyle name="쉼표 [0] 2 3 2 2 5 4" xfId="6513"/>
    <cellStyle name="쉼표 [0] 2 3 2 2 5 4 2" xfId="23217"/>
    <cellStyle name="쉼표 [0] 2 3 2 2 5 5" xfId="12081"/>
    <cellStyle name="쉼표 [0] 2 3 2 2 5 5 2" xfId="28785"/>
    <cellStyle name="쉼표 [0] 2 3 2 2 5 6" xfId="17649"/>
    <cellStyle name="쉼표 [0] 2 3 2 2 6" xfId="1641"/>
    <cellStyle name="쉼표 [0] 2 3 2 2 6 2" xfId="4425"/>
    <cellStyle name="쉼표 [0] 2 3 2 2 6 2 2" xfId="9993"/>
    <cellStyle name="쉼표 [0] 2 3 2 2 6 2 2 2" xfId="26697"/>
    <cellStyle name="쉼표 [0] 2 3 2 2 6 2 3" xfId="15561"/>
    <cellStyle name="쉼표 [0] 2 3 2 2 6 2 3 2" xfId="32265"/>
    <cellStyle name="쉼표 [0] 2 3 2 2 6 2 4" xfId="21129"/>
    <cellStyle name="쉼표 [0] 2 3 2 2 6 3" xfId="7209"/>
    <cellStyle name="쉼표 [0] 2 3 2 2 6 3 2" xfId="23913"/>
    <cellStyle name="쉼표 [0] 2 3 2 2 6 4" xfId="12777"/>
    <cellStyle name="쉼표 [0] 2 3 2 2 6 4 2" xfId="29481"/>
    <cellStyle name="쉼표 [0] 2 3 2 2 6 5" xfId="18345"/>
    <cellStyle name="쉼표 [0] 2 3 2 2 7" xfId="3033"/>
    <cellStyle name="쉼표 [0] 2 3 2 2 7 2" xfId="8601"/>
    <cellStyle name="쉼표 [0] 2 3 2 2 7 2 2" xfId="25305"/>
    <cellStyle name="쉼표 [0] 2 3 2 2 7 3" xfId="14169"/>
    <cellStyle name="쉼표 [0] 2 3 2 2 7 3 2" xfId="30873"/>
    <cellStyle name="쉼표 [0] 2 3 2 2 7 4" xfId="19737"/>
    <cellStyle name="쉼표 [0] 2 3 2 2 8" xfId="5817"/>
    <cellStyle name="쉼표 [0] 2 3 2 2 8 2" xfId="22521"/>
    <cellStyle name="쉼표 [0] 2 3 2 2 9" xfId="11385"/>
    <cellStyle name="쉼표 [0] 2 3 2 2 9 2" xfId="28089"/>
    <cellStyle name="쉼표 [0] 2 3 2 3" xfId="307"/>
    <cellStyle name="쉼표 [0] 2 3 2 3 2" xfId="539"/>
    <cellStyle name="쉼표 [0] 2 3 2 3 2 2" xfId="1235"/>
    <cellStyle name="쉼표 [0] 2 3 2 3 2 2 2" xfId="2627"/>
    <cellStyle name="쉼표 [0] 2 3 2 3 2 2 2 2" xfId="5411"/>
    <cellStyle name="쉼표 [0] 2 3 2 3 2 2 2 2 2" xfId="10979"/>
    <cellStyle name="쉼표 [0] 2 3 2 3 2 2 2 2 2 2" xfId="27683"/>
    <cellStyle name="쉼표 [0] 2 3 2 3 2 2 2 2 3" xfId="16547"/>
    <cellStyle name="쉼표 [0] 2 3 2 3 2 2 2 2 3 2" xfId="33251"/>
    <cellStyle name="쉼표 [0] 2 3 2 3 2 2 2 2 4" xfId="22115"/>
    <cellStyle name="쉼표 [0] 2 3 2 3 2 2 2 3" xfId="8195"/>
    <cellStyle name="쉼표 [0] 2 3 2 3 2 2 2 3 2" xfId="24899"/>
    <cellStyle name="쉼표 [0] 2 3 2 3 2 2 2 4" xfId="13763"/>
    <cellStyle name="쉼표 [0] 2 3 2 3 2 2 2 4 2" xfId="30467"/>
    <cellStyle name="쉼표 [0] 2 3 2 3 2 2 2 5" xfId="19331"/>
    <cellStyle name="쉼표 [0] 2 3 2 3 2 2 3" xfId="4019"/>
    <cellStyle name="쉼표 [0] 2 3 2 3 2 2 3 2" xfId="9587"/>
    <cellStyle name="쉼표 [0] 2 3 2 3 2 2 3 2 2" xfId="26291"/>
    <cellStyle name="쉼표 [0] 2 3 2 3 2 2 3 3" xfId="15155"/>
    <cellStyle name="쉼표 [0] 2 3 2 3 2 2 3 3 2" xfId="31859"/>
    <cellStyle name="쉼표 [0] 2 3 2 3 2 2 3 4" xfId="20723"/>
    <cellStyle name="쉼표 [0] 2 3 2 3 2 2 4" xfId="6803"/>
    <cellStyle name="쉼표 [0] 2 3 2 3 2 2 4 2" xfId="23507"/>
    <cellStyle name="쉼표 [0] 2 3 2 3 2 2 5" xfId="12371"/>
    <cellStyle name="쉼표 [0] 2 3 2 3 2 2 5 2" xfId="29075"/>
    <cellStyle name="쉼표 [0] 2 3 2 3 2 2 6" xfId="17939"/>
    <cellStyle name="쉼표 [0] 2 3 2 3 2 3" xfId="1931"/>
    <cellStyle name="쉼표 [0] 2 3 2 3 2 3 2" xfId="4715"/>
    <cellStyle name="쉼표 [0] 2 3 2 3 2 3 2 2" xfId="10283"/>
    <cellStyle name="쉼표 [0] 2 3 2 3 2 3 2 2 2" xfId="26987"/>
    <cellStyle name="쉼표 [0] 2 3 2 3 2 3 2 3" xfId="15851"/>
    <cellStyle name="쉼표 [0] 2 3 2 3 2 3 2 3 2" xfId="32555"/>
    <cellStyle name="쉼표 [0] 2 3 2 3 2 3 2 4" xfId="21419"/>
    <cellStyle name="쉼표 [0] 2 3 2 3 2 3 3" xfId="7499"/>
    <cellStyle name="쉼표 [0] 2 3 2 3 2 3 3 2" xfId="24203"/>
    <cellStyle name="쉼표 [0] 2 3 2 3 2 3 4" xfId="13067"/>
    <cellStyle name="쉼표 [0] 2 3 2 3 2 3 4 2" xfId="29771"/>
    <cellStyle name="쉼표 [0] 2 3 2 3 2 3 5" xfId="18635"/>
    <cellStyle name="쉼표 [0] 2 3 2 3 2 4" xfId="3323"/>
    <cellStyle name="쉼표 [0] 2 3 2 3 2 4 2" xfId="8891"/>
    <cellStyle name="쉼표 [0] 2 3 2 3 2 4 2 2" xfId="25595"/>
    <cellStyle name="쉼표 [0] 2 3 2 3 2 4 3" xfId="14459"/>
    <cellStyle name="쉼표 [0] 2 3 2 3 2 4 3 2" xfId="31163"/>
    <cellStyle name="쉼표 [0] 2 3 2 3 2 4 4" xfId="20027"/>
    <cellStyle name="쉼표 [0] 2 3 2 3 2 5" xfId="6107"/>
    <cellStyle name="쉼표 [0] 2 3 2 3 2 5 2" xfId="22811"/>
    <cellStyle name="쉼표 [0] 2 3 2 3 2 6" xfId="11675"/>
    <cellStyle name="쉼표 [0] 2 3 2 3 2 6 2" xfId="28379"/>
    <cellStyle name="쉼표 [0] 2 3 2 3 2 7" xfId="17243"/>
    <cellStyle name="쉼표 [0] 2 3 2 3 3" xfId="771"/>
    <cellStyle name="쉼표 [0] 2 3 2 3 3 2" xfId="1467"/>
    <cellStyle name="쉼표 [0] 2 3 2 3 3 2 2" xfId="2859"/>
    <cellStyle name="쉼표 [0] 2 3 2 3 3 2 2 2" xfId="5643"/>
    <cellStyle name="쉼표 [0] 2 3 2 3 3 2 2 2 2" xfId="11211"/>
    <cellStyle name="쉼표 [0] 2 3 2 3 3 2 2 2 2 2" xfId="27915"/>
    <cellStyle name="쉼표 [0] 2 3 2 3 3 2 2 2 3" xfId="16779"/>
    <cellStyle name="쉼표 [0] 2 3 2 3 3 2 2 2 3 2" xfId="33483"/>
    <cellStyle name="쉼표 [0] 2 3 2 3 3 2 2 2 4" xfId="22347"/>
    <cellStyle name="쉼표 [0] 2 3 2 3 3 2 2 3" xfId="8427"/>
    <cellStyle name="쉼표 [0] 2 3 2 3 3 2 2 3 2" xfId="25131"/>
    <cellStyle name="쉼표 [0] 2 3 2 3 3 2 2 4" xfId="13995"/>
    <cellStyle name="쉼표 [0] 2 3 2 3 3 2 2 4 2" xfId="30699"/>
    <cellStyle name="쉼표 [0] 2 3 2 3 3 2 2 5" xfId="19563"/>
    <cellStyle name="쉼표 [0] 2 3 2 3 3 2 3" xfId="4251"/>
    <cellStyle name="쉼표 [0] 2 3 2 3 3 2 3 2" xfId="9819"/>
    <cellStyle name="쉼표 [0] 2 3 2 3 3 2 3 2 2" xfId="26523"/>
    <cellStyle name="쉼표 [0] 2 3 2 3 3 2 3 3" xfId="15387"/>
    <cellStyle name="쉼표 [0] 2 3 2 3 3 2 3 3 2" xfId="32091"/>
    <cellStyle name="쉼표 [0] 2 3 2 3 3 2 3 4" xfId="20955"/>
    <cellStyle name="쉼표 [0] 2 3 2 3 3 2 4" xfId="7035"/>
    <cellStyle name="쉼표 [0] 2 3 2 3 3 2 4 2" xfId="23739"/>
    <cellStyle name="쉼표 [0] 2 3 2 3 3 2 5" xfId="12603"/>
    <cellStyle name="쉼표 [0] 2 3 2 3 3 2 5 2" xfId="29307"/>
    <cellStyle name="쉼표 [0] 2 3 2 3 3 2 6" xfId="18171"/>
    <cellStyle name="쉼표 [0] 2 3 2 3 3 3" xfId="2163"/>
    <cellStyle name="쉼표 [0] 2 3 2 3 3 3 2" xfId="4947"/>
    <cellStyle name="쉼표 [0] 2 3 2 3 3 3 2 2" xfId="10515"/>
    <cellStyle name="쉼표 [0] 2 3 2 3 3 3 2 2 2" xfId="27219"/>
    <cellStyle name="쉼표 [0] 2 3 2 3 3 3 2 3" xfId="16083"/>
    <cellStyle name="쉼표 [0] 2 3 2 3 3 3 2 3 2" xfId="32787"/>
    <cellStyle name="쉼표 [0] 2 3 2 3 3 3 2 4" xfId="21651"/>
    <cellStyle name="쉼표 [0] 2 3 2 3 3 3 3" xfId="7731"/>
    <cellStyle name="쉼표 [0] 2 3 2 3 3 3 3 2" xfId="24435"/>
    <cellStyle name="쉼표 [0] 2 3 2 3 3 3 4" xfId="13299"/>
    <cellStyle name="쉼표 [0] 2 3 2 3 3 3 4 2" xfId="30003"/>
    <cellStyle name="쉼표 [0] 2 3 2 3 3 3 5" xfId="18867"/>
    <cellStyle name="쉼표 [0] 2 3 2 3 3 4" xfId="3555"/>
    <cellStyle name="쉼표 [0] 2 3 2 3 3 4 2" xfId="9123"/>
    <cellStyle name="쉼표 [0] 2 3 2 3 3 4 2 2" xfId="25827"/>
    <cellStyle name="쉼표 [0] 2 3 2 3 3 4 3" xfId="14691"/>
    <cellStyle name="쉼표 [0] 2 3 2 3 3 4 3 2" xfId="31395"/>
    <cellStyle name="쉼표 [0] 2 3 2 3 3 4 4" xfId="20259"/>
    <cellStyle name="쉼표 [0] 2 3 2 3 3 5" xfId="6339"/>
    <cellStyle name="쉼표 [0] 2 3 2 3 3 5 2" xfId="23043"/>
    <cellStyle name="쉼표 [0] 2 3 2 3 3 6" xfId="11907"/>
    <cellStyle name="쉼표 [0] 2 3 2 3 3 6 2" xfId="28611"/>
    <cellStyle name="쉼표 [0] 2 3 2 3 3 7" xfId="17475"/>
    <cellStyle name="쉼표 [0] 2 3 2 3 4" xfId="1003"/>
    <cellStyle name="쉼표 [0] 2 3 2 3 4 2" xfId="2395"/>
    <cellStyle name="쉼표 [0] 2 3 2 3 4 2 2" xfId="5179"/>
    <cellStyle name="쉼표 [0] 2 3 2 3 4 2 2 2" xfId="10747"/>
    <cellStyle name="쉼표 [0] 2 3 2 3 4 2 2 2 2" xfId="27451"/>
    <cellStyle name="쉼표 [0] 2 3 2 3 4 2 2 3" xfId="16315"/>
    <cellStyle name="쉼표 [0] 2 3 2 3 4 2 2 3 2" xfId="33019"/>
    <cellStyle name="쉼표 [0] 2 3 2 3 4 2 2 4" xfId="21883"/>
    <cellStyle name="쉼표 [0] 2 3 2 3 4 2 3" xfId="7963"/>
    <cellStyle name="쉼표 [0] 2 3 2 3 4 2 3 2" xfId="24667"/>
    <cellStyle name="쉼표 [0] 2 3 2 3 4 2 4" xfId="13531"/>
    <cellStyle name="쉼표 [0] 2 3 2 3 4 2 4 2" xfId="30235"/>
    <cellStyle name="쉼표 [0] 2 3 2 3 4 2 5" xfId="19099"/>
    <cellStyle name="쉼표 [0] 2 3 2 3 4 3" xfId="3787"/>
    <cellStyle name="쉼표 [0] 2 3 2 3 4 3 2" xfId="9355"/>
    <cellStyle name="쉼표 [0] 2 3 2 3 4 3 2 2" xfId="26059"/>
    <cellStyle name="쉼표 [0] 2 3 2 3 4 3 3" xfId="14923"/>
    <cellStyle name="쉼표 [0] 2 3 2 3 4 3 3 2" xfId="31627"/>
    <cellStyle name="쉼표 [0] 2 3 2 3 4 3 4" xfId="20491"/>
    <cellStyle name="쉼표 [0] 2 3 2 3 4 4" xfId="6571"/>
    <cellStyle name="쉼표 [0] 2 3 2 3 4 4 2" xfId="23275"/>
    <cellStyle name="쉼표 [0] 2 3 2 3 4 5" xfId="12139"/>
    <cellStyle name="쉼표 [0] 2 3 2 3 4 5 2" xfId="28843"/>
    <cellStyle name="쉼표 [0] 2 3 2 3 4 6" xfId="17707"/>
    <cellStyle name="쉼표 [0] 2 3 2 3 5" xfId="1699"/>
    <cellStyle name="쉼표 [0] 2 3 2 3 5 2" xfId="4483"/>
    <cellStyle name="쉼표 [0] 2 3 2 3 5 2 2" xfId="10051"/>
    <cellStyle name="쉼표 [0] 2 3 2 3 5 2 2 2" xfId="26755"/>
    <cellStyle name="쉼표 [0] 2 3 2 3 5 2 3" xfId="15619"/>
    <cellStyle name="쉼표 [0] 2 3 2 3 5 2 3 2" xfId="32323"/>
    <cellStyle name="쉼표 [0] 2 3 2 3 5 2 4" xfId="21187"/>
    <cellStyle name="쉼표 [0] 2 3 2 3 5 3" xfId="7267"/>
    <cellStyle name="쉼표 [0] 2 3 2 3 5 3 2" xfId="23971"/>
    <cellStyle name="쉼표 [0] 2 3 2 3 5 4" xfId="12835"/>
    <cellStyle name="쉼표 [0] 2 3 2 3 5 4 2" xfId="29539"/>
    <cellStyle name="쉼표 [0] 2 3 2 3 5 5" xfId="18403"/>
    <cellStyle name="쉼표 [0] 2 3 2 3 6" xfId="3091"/>
    <cellStyle name="쉼표 [0] 2 3 2 3 6 2" xfId="8659"/>
    <cellStyle name="쉼표 [0] 2 3 2 3 6 2 2" xfId="25363"/>
    <cellStyle name="쉼표 [0] 2 3 2 3 6 3" xfId="14227"/>
    <cellStyle name="쉼표 [0] 2 3 2 3 6 3 2" xfId="30931"/>
    <cellStyle name="쉼표 [0] 2 3 2 3 6 4" xfId="19795"/>
    <cellStyle name="쉼표 [0] 2 3 2 3 7" xfId="5875"/>
    <cellStyle name="쉼표 [0] 2 3 2 3 7 2" xfId="22579"/>
    <cellStyle name="쉼표 [0] 2 3 2 3 8" xfId="11443"/>
    <cellStyle name="쉼표 [0] 2 3 2 3 8 2" xfId="28147"/>
    <cellStyle name="쉼표 [0] 2 3 2 3 9" xfId="17011"/>
    <cellStyle name="쉼표 [0] 2 3 2 4" xfId="423"/>
    <cellStyle name="쉼표 [0] 2 3 2 4 2" xfId="1119"/>
    <cellStyle name="쉼표 [0] 2 3 2 4 2 2" xfId="2511"/>
    <cellStyle name="쉼표 [0] 2 3 2 4 2 2 2" xfId="5295"/>
    <cellStyle name="쉼표 [0] 2 3 2 4 2 2 2 2" xfId="10863"/>
    <cellStyle name="쉼표 [0] 2 3 2 4 2 2 2 2 2" xfId="27567"/>
    <cellStyle name="쉼표 [0] 2 3 2 4 2 2 2 3" xfId="16431"/>
    <cellStyle name="쉼표 [0] 2 3 2 4 2 2 2 3 2" xfId="33135"/>
    <cellStyle name="쉼표 [0] 2 3 2 4 2 2 2 4" xfId="21999"/>
    <cellStyle name="쉼표 [0] 2 3 2 4 2 2 3" xfId="8079"/>
    <cellStyle name="쉼표 [0] 2 3 2 4 2 2 3 2" xfId="24783"/>
    <cellStyle name="쉼표 [0] 2 3 2 4 2 2 4" xfId="13647"/>
    <cellStyle name="쉼표 [0] 2 3 2 4 2 2 4 2" xfId="30351"/>
    <cellStyle name="쉼표 [0] 2 3 2 4 2 2 5" xfId="19215"/>
    <cellStyle name="쉼표 [0] 2 3 2 4 2 3" xfId="3903"/>
    <cellStyle name="쉼표 [0] 2 3 2 4 2 3 2" xfId="9471"/>
    <cellStyle name="쉼표 [0] 2 3 2 4 2 3 2 2" xfId="26175"/>
    <cellStyle name="쉼표 [0] 2 3 2 4 2 3 3" xfId="15039"/>
    <cellStyle name="쉼표 [0] 2 3 2 4 2 3 3 2" xfId="31743"/>
    <cellStyle name="쉼표 [0] 2 3 2 4 2 3 4" xfId="20607"/>
    <cellStyle name="쉼표 [0] 2 3 2 4 2 4" xfId="6687"/>
    <cellStyle name="쉼표 [0] 2 3 2 4 2 4 2" xfId="23391"/>
    <cellStyle name="쉼표 [0] 2 3 2 4 2 5" xfId="12255"/>
    <cellStyle name="쉼표 [0] 2 3 2 4 2 5 2" xfId="28959"/>
    <cellStyle name="쉼표 [0] 2 3 2 4 2 6" xfId="17823"/>
    <cellStyle name="쉼표 [0] 2 3 2 4 3" xfId="1815"/>
    <cellStyle name="쉼표 [0] 2 3 2 4 3 2" xfId="4599"/>
    <cellStyle name="쉼표 [0] 2 3 2 4 3 2 2" xfId="10167"/>
    <cellStyle name="쉼표 [0] 2 3 2 4 3 2 2 2" xfId="26871"/>
    <cellStyle name="쉼표 [0] 2 3 2 4 3 2 3" xfId="15735"/>
    <cellStyle name="쉼표 [0] 2 3 2 4 3 2 3 2" xfId="32439"/>
    <cellStyle name="쉼표 [0] 2 3 2 4 3 2 4" xfId="21303"/>
    <cellStyle name="쉼표 [0] 2 3 2 4 3 3" xfId="7383"/>
    <cellStyle name="쉼표 [0] 2 3 2 4 3 3 2" xfId="24087"/>
    <cellStyle name="쉼표 [0] 2 3 2 4 3 4" xfId="12951"/>
    <cellStyle name="쉼표 [0] 2 3 2 4 3 4 2" xfId="29655"/>
    <cellStyle name="쉼표 [0] 2 3 2 4 3 5" xfId="18519"/>
    <cellStyle name="쉼표 [0] 2 3 2 4 4" xfId="3207"/>
    <cellStyle name="쉼표 [0] 2 3 2 4 4 2" xfId="8775"/>
    <cellStyle name="쉼표 [0] 2 3 2 4 4 2 2" xfId="25479"/>
    <cellStyle name="쉼표 [0] 2 3 2 4 4 3" xfId="14343"/>
    <cellStyle name="쉼표 [0] 2 3 2 4 4 3 2" xfId="31047"/>
    <cellStyle name="쉼표 [0] 2 3 2 4 4 4" xfId="19911"/>
    <cellStyle name="쉼표 [0] 2 3 2 4 5" xfId="5991"/>
    <cellStyle name="쉼표 [0] 2 3 2 4 5 2" xfId="22695"/>
    <cellStyle name="쉼표 [0] 2 3 2 4 6" xfId="11559"/>
    <cellStyle name="쉼표 [0] 2 3 2 4 6 2" xfId="28263"/>
    <cellStyle name="쉼표 [0] 2 3 2 4 7" xfId="17127"/>
    <cellStyle name="쉼표 [0] 2 3 2 5" xfId="655"/>
    <cellStyle name="쉼표 [0] 2 3 2 5 2" xfId="1351"/>
    <cellStyle name="쉼표 [0] 2 3 2 5 2 2" xfId="2743"/>
    <cellStyle name="쉼표 [0] 2 3 2 5 2 2 2" xfId="5527"/>
    <cellStyle name="쉼표 [0] 2 3 2 5 2 2 2 2" xfId="11095"/>
    <cellStyle name="쉼표 [0] 2 3 2 5 2 2 2 2 2" xfId="27799"/>
    <cellStyle name="쉼표 [0] 2 3 2 5 2 2 2 3" xfId="16663"/>
    <cellStyle name="쉼표 [0] 2 3 2 5 2 2 2 3 2" xfId="33367"/>
    <cellStyle name="쉼표 [0] 2 3 2 5 2 2 2 4" xfId="22231"/>
    <cellStyle name="쉼표 [0] 2 3 2 5 2 2 3" xfId="8311"/>
    <cellStyle name="쉼표 [0] 2 3 2 5 2 2 3 2" xfId="25015"/>
    <cellStyle name="쉼표 [0] 2 3 2 5 2 2 4" xfId="13879"/>
    <cellStyle name="쉼표 [0] 2 3 2 5 2 2 4 2" xfId="30583"/>
    <cellStyle name="쉼표 [0] 2 3 2 5 2 2 5" xfId="19447"/>
    <cellStyle name="쉼표 [0] 2 3 2 5 2 3" xfId="4135"/>
    <cellStyle name="쉼표 [0] 2 3 2 5 2 3 2" xfId="9703"/>
    <cellStyle name="쉼표 [0] 2 3 2 5 2 3 2 2" xfId="26407"/>
    <cellStyle name="쉼표 [0] 2 3 2 5 2 3 3" xfId="15271"/>
    <cellStyle name="쉼표 [0] 2 3 2 5 2 3 3 2" xfId="31975"/>
    <cellStyle name="쉼표 [0] 2 3 2 5 2 3 4" xfId="20839"/>
    <cellStyle name="쉼표 [0] 2 3 2 5 2 4" xfId="6919"/>
    <cellStyle name="쉼표 [0] 2 3 2 5 2 4 2" xfId="23623"/>
    <cellStyle name="쉼표 [0] 2 3 2 5 2 5" xfId="12487"/>
    <cellStyle name="쉼표 [0] 2 3 2 5 2 5 2" xfId="29191"/>
    <cellStyle name="쉼표 [0] 2 3 2 5 2 6" xfId="18055"/>
    <cellStyle name="쉼표 [0] 2 3 2 5 3" xfId="2047"/>
    <cellStyle name="쉼표 [0] 2 3 2 5 3 2" xfId="4831"/>
    <cellStyle name="쉼표 [0] 2 3 2 5 3 2 2" xfId="10399"/>
    <cellStyle name="쉼표 [0] 2 3 2 5 3 2 2 2" xfId="27103"/>
    <cellStyle name="쉼표 [0] 2 3 2 5 3 2 3" xfId="15967"/>
    <cellStyle name="쉼표 [0] 2 3 2 5 3 2 3 2" xfId="32671"/>
    <cellStyle name="쉼표 [0] 2 3 2 5 3 2 4" xfId="21535"/>
    <cellStyle name="쉼표 [0] 2 3 2 5 3 3" xfId="7615"/>
    <cellStyle name="쉼표 [0] 2 3 2 5 3 3 2" xfId="24319"/>
    <cellStyle name="쉼표 [0] 2 3 2 5 3 4" xfId="13183"/>
    <cellStyle name="쉼표 [0] 2 3 2 5 3 4 2" xfId="29887"/>
    <cellStyle name="쉼표 [0] 2 3 2 5 3 5" xfId="18751"/>
    <cellStyle name="쉼표 [0] 2 3 2 5 4" xfId="3439"/>
    <cellStyle name="쉼표 [0] 2 3 2 5 4 2" xfId="9007"/>
    <cellStyle name="쉼표 [0] 2 3 2 5 4 2 2" xfId="25711"/>
    <cellStyle name="쉼표 [0] 2 3 2 5 4 3" xfId="14575"/>
    <cellStyle name="쉼표 [0] 2 3 2 5 4 3 2" xfId="31279"/>
    <cellStyle name="쉼표 [0] 2 3 2 5 4 4" xfId="20143"/>
    <cellStyle name="쉼표 [0] 2 3 2 5 5" xfId="6223"/>
    <cellStyle name="쉼표 [0] 2 3 2 5 5 2" xfId="22927"/>
    <cellStyle name="쉼표 [0] 2 3 2 5 6" xfId="11791"/>
    <cellStyle name="쉼표 [0] 2 3 2 5 6 2" xfId="28495"/>
    <cellStyle name="쉼표 [0] 2 3 2 5 7" xfId="17359"/>
    <cellStyle name="쉼표 [0] 2 3 2 6" xfId="887"/>
    <cellStyle name="쉼표 [0] 2 3 2 6 2" xfId="2279"/>
    <cellStyle name="쉼표 [0] 2 3 2 6 2 2" xfId="5063"/>
    <cellStyle name="쉼표 [0] 2 3 2 6 2 2 2" xfId="10631"/>
    <cellStyle name="쉼표 [0] 2 3 2 6 2 2 2 2" xfId="27335"/>
    <cellStyle name="쉼표 [0] 2 3 2 6 2 2 3" xfId="16199"/>
    <cellStyle name="쉼표 [0] 2 3 2 6 2 2 3 2" xfId="32903"/>
    <cellStyle name="쉼표 [0] 2 3 2 6 2 2 4" xfId="21767"/>
    <cellStyle name="쉼표 [0] 2 3 2 6 2 3" xfId="7847"/>
    <cellStyle name="쉼표 [0] 2 3 2 6 2 3 2" xfId="24551"/>
    <cellStyle name="쉼표 [0] 2 3 2 6 2 4" xfId="13415"/>
    <cellStyle name="쉼표 [0] 2 3 2 6 2 4 2" xfId="30119"/>
    <cellStyle name="쉼표 [0] 2 3 2 6 2 5" xfId="18983"/>
    <cellStyle name="쉼표 [0] 2 3 2 6 3" xfId="3671"/>
    <cellStyle name="쉼표 [0] 2 3 2 6 3 2" xfId="9239"/>
    <cellStyle name="쉼표 [0] 2 3 2 6 3 2 2" xfId="25943"/>
    <cellStyle name="쉼표 [0] 2 3 2 6 3 3" xfId="14807"/>
    <cellStyle name="쉼표 [0] 2 3 2 6 3 3 2" xfId="31511"/>
    <cellStyle name="쉼표 [0] 2 3 2 6 3 4" xfId="20375"/>
    <cellStyle name="쉼표 [0] 2 3 2 6 4" xfId="6455"/>
    <cellStyle name="쉼표 [0] 2 3 2 6 4 2" xfId="23159"/>
    <cellStyle name="쉼표 [0] 2 3 2 6 5" xfId="12023"/>
    <cellStyle name="쉼표 [0] 2 3 2 6 5 2" xfId="28727"/>
    <cellStyle name="쉼표 [0] 2 3 2 6 6" xfId="17591"/>
    <cellStyle name="쉼표 [0] 2 3 2 7" xfId="1583"/>
    <cellStyle name="쉼표 [0] 2 3 2 7 2" xfId="4367"/>
    <cellStyle name="쉼표 [0] 2 3 2 7 2 2" xfId="9935"/>
    <cellStyle name="쉼표 [0] 2 3 2 7 2 2 2" xfId="26639"/>
    <cellStyle name="쉼표 [0] 2 3 2 7 2 3" xfId="15503"/>
    <cellStyle name="쉼표 [0] 2 3 2 7 2 3 2" xfId="32207"/>
    <cellStyle name="쉼표 [0] 2 3 2 7 2 4" xfId="21071"/>
    <cellStyle name="쉼표 [0] 2 3 2 7 3" xfId="7151"/>
    <cellStyle name="쉼표 [0] 2 3 2 7 3 2" xfId="23855"/>
    <cellStyle name="쉼표 [0] 2 3 2 7 4" xfId="12719"/>
    <cellStyle name="쉼표 [0] 2 3 2 7 4 2" xfId="29423"/>
    <cellStyle name="쉼표 [0] 2 3 2 7 5" xfId="18287"/>
    <cellStyle name="쉼표 [0] 2 3 2 8" xfId="2975"/>
    <cellStyle name="쉼표 [0] 2 3 2 8 2" xfId="8543"/>
    <cellStyle name="쉼표 [0] 2 3 2 8 2 2" xfId="25247"/>
    <cellStyle name="쉼표 [0] 2 3 2 8 3" xfId="14111"/>
    <cellStyle name="쉼표 [0] 2 3 2 8 3 2" xfId="30815"/>
    <cellStyle name="쉼표 [0] 2 3 2 8 4" xfId="19679"/>
    <cellStyle name="쉼표 [0] 2 3 2 9" xfId="5759"/>
    <cellStyle name="쉼표 [0] 2 3 2 9 2" xfId="22463"/>
    <cellStyle name="쉼표 [0] 2 3 3" xfId="220"/>
    <cellStyle name="쉼표 [0] 2 3 3 10" xfId="16924"/>
    <cellStyle name="쉼표 [0] 2 3 3 2" xfId="336"/>
    <cellStyle name="쉼표 [0] 2 3 3 2 2" xfId="568"/>
    <cellStyle name="쉼표 [0] 2 3 3 2 2 2" xfId="1264"/>
    <cellStyle name="쉼표 [0] 2 3 3 2 2 2 2" xfId="2656"/>
    <cellStyle name="쉼표 [0] 2 3 3 2 2 2 2 2" xfId="5440"/>
    <cellStyle name="쉼표 [0] 2 3 3 2 2 2 2 2 2" xfId="11008"/>
    <cellStyle name="쉼표 [0] 2 3 3 2 2 2 2 2 2 2" xfId="27712"/>
    <cellStyle name="쉼표 [0] 2 3 3 2 2 2 2 2 3" xfId="16576"/>
    <cellStyle name="쉼표 [0] 2 3 3 2 2 2 2 2 3 2" xfId="33280"/>
    <cellStyle name="쉼표 [0] 2 3 3 2 2 2 2 2 4" xfId="22144"/>
    <cellStyle name="쉼표 [0] 2 3 3 2 2 2 2 3" xfId="8224"/>
    <cellStyle name="쉼표 [0] 2 3 3 2 2 2 2 3 2" xfId="24928"/>
    <cellStyle name="쉼표 [0] 2 3 3 2 2 2 2 4" xfId="13792"/>
    <cellStyle name="쉼표 [0] 2 3 3 2 2 2 2 4 2" xfId="30496"/>
    <cellStyle name="쉼표 [0] 2 3 3 2 2 2 2 5" xfId="19360"/>
    <cellStyle name="쉼표 [0] 2 3 3 2 2 2 3" xfId="4048"/>
    <cellStyle name="쉼표 [0] 2 3 3 2 2 2 3 2" xfId="9616"/>
    <cellStyle name="쉼표 [0] 2 3 3 2 2 2 3 2 2" xfId="26320"/>
    <cellStyle name="쉼표 [0] 2 3 3 2 2 2 3 3" xfId="15184"/>
    <cellStyle name="쉼표 [0] 2 3 3 2 2 2 3 3 2" xfId="31888"/>
    <cellStyle name="쉼표 [0] 2 3 3 2 2 2 3 4" xfId="20752"/>
    <cellStyle name="쉼표 [0] 2 3 3 2 2 2 4" xfId="6832"/>
    <cellStyle name="쉼표 [0] 2 3 3 2 2 2 4 2" xfId="23536"/>
    <cellStyle name="쉼표 [0] 2 3 3 2 2 2 5" xfId="12400"/>
    <cellStyle name="쉼표 [0] 2 3 3 2 2 2 5 2" xfId="29104"/>
    <cellStyle name="쉼표 [0] 2 3 3 2 2 2 6" xfId="17968"/>
    <cellStyle name="쉼표 [0] 2 3 3 2 2 3" xfId="1960"/>
    <cellStyle name="쉼표 [0] 2 3 3 2 2 3 2" xfId="4744"/>
    <cellStyle name="쉼표 [0] 2 3 3 2 2 3 2 2" xfId="10312"/>
    <cellStyle name="쉼표 [0] 2 3 3 2 2 3 2 2 2" xfId="27016"/>
    <cellStyle name="쉼표 [0] 2 3 3 2 2 3 2 3" xfId="15880"/>
    <cellStyle name="쉼표 [0] 2 3 3 2 2 3 2 3 2" xfId="32584"/>
    <cellStyle name="쉼표 [0] 2 3 3 2 2 3 2 4" xfId="21448"/>
    <cellStyle name="쉼표 [0] 2 3 3 2 2 3 3" xfId="7528"/>
    <cellStyle name="쉼표 [0] 2 3 3 2 2 3 3 2" xfId="24232"/>
    <cellStyle name="쉼표 [0] 2 3 3 2 2 3 4" xfId="13096"/>
    <cellStyle name="쉼표 [0] 2 3 3 2 2 3 4 2" xfId="29800"/>
    <cellStyle name="쉼표 [0] 2 3 3 2 2 3 5" xfId="18664"/>
    <cellStyle name="쉼표 [0] 2 3 3 2 2 4" xfId="3352"/>
    <cellStyle name="쉼표 [0] 2 3 3 2 2 4 2" xfId="8920"/>
    <cellStyle name="쉼표 [0] 2 3 3 2 2 4 2 2" xfId="25624"/>
    <cellStyle name="쉼표 [0] 2 3 3 2 2 4 3" xfId="14488"/>
    <cellStyle name="쉼표 [0] 2 3 3 2 2 4 3 2" xfId="31192"/>
    <cellStyle name="쉼표 [0] 2 3 3 2 2 4 4" xfId="20056"/>
    <cellStyle name="쉼표 [0] 2 3 3 2 2 5" xfId="6136"/>
    <cellStyle name="쉼표 [0] 2 3 3 2 2 5 2" xfId="22840"/>
    <cellStyle name="쉼표 [0] 2 3 3 2 2 6" xfId="11704"/>
    <cellStyle name="쉼표 [0] 2 3 3 2 2 6 2" xfId="28408"/>
    <cellStyle name="쉼표 [0] 2 3 3 2 2 7" xfId="17272"/>
    <cellStyle name="쉼표 [0] 2 3 3 2 3" xfId="800"/>
    <cellStyle name="쉼표 [0] 2 3 3 2 3 2" xfId="1496"/>
    <cellStyle name="쉼표 [0] 2 3 3 2 3 2 2" xfId="2888"/>
    <cellStyle name="쉼표 [0] 2 3 3 2 3 2 2 2" xfId="5672"/>
    <cellStyle name="쉼표 [0] 2 3 3 2 3 2 2 2 2" xfId="11240"/>
    <cellStyle name="쉼표 [0] 2 3 3 2 3 2 2 2 2 2" xfId="27944"/>
    <cellStyle name="쉼표 [0] 2 3 3 2 3 2 2 2 3" xfId="16808"/>
    <cellStyle name="쉼표 [0] 2 3 3 2 3 2 2 2 3 2" xfId="33512"/>
    <cellStyle name="쉼표 [0] 2 3 3 2 3 2 2 2 4" xfId="22376"/>
    <cellStyle name="쉼표 [0] 2 3 3 2 3 2 2 3" xfId="8456"/>
    <cellStyle name="쉼표 [0] 2 3 3 2 3 2 2 3 2" xfId="25160"/>
    <cellStyle name="쉼표 [0] 2 3 3 2 3 2 2 4" xfId="14024"/>
    <cellStyle name="쉼표 [0] 2 3 3 2 3 2 2 4 2" xfId="30728"/>
    <cellStyle name="쉼표 [0] 2 3 3 2 3 2 2 5" xfId="19592"/>
    <cellStyle name="쉼표 [0] 2 3 3 2 3 2 3" xfId="4280"/>
    <cellStyle name="쉼표 [0] 2 3 3 2 3 2 3 2" xfId="9848"/>
    <cellStyle name="쉼표 [0] 2 3 3 2 3 2 3 2 2" xfId="26552"/>
    <cellStyle name="쉼표 [0] 2 3 3 2 3 2 3 3" xfId="15416"/>
    <cellStyle name="쉼표 [0] 2 3 3 2 3 2 3 3 2" xfId="32120"/>
    <cellStyle name="쉼표 [0] 2 3 3 2 3 2 3 4" xfId="20984"/>
    <cellStyle name="쉼표 [0] 2 3 3 2 3 2 4" xfId="7064"/>
    <cellStyle name="쉼표 [0] 2 3 3 2 3 2 4 2" xfId="23768"/>
    <cellStyle name="쉼표 [0] 2 3 3 2 3 2 5" xfId="12632"/>
    <cellStyle name="쉼표 [0] 2 3 3 2 3 2 5 2" xfId="29336"/>
    <cellStyle name="쉼표 [0] 2 3 3 2 3 2 6" xfId="18200"/>
    <cellStyle name="쉼표 [0] 2 3 3 2 3 3" xfId="2192"/>
    <cellStyle name="쉼표 [0] 2 3 3 2 3 3 2" xfId="4976"/>
    <cellStyle name="쉼표 [0] 2 3 3 2 3 3 2 2" xfId="10544"/>
    <cellStyle name="쉼표 [0] 2 3 3 2 3 3 2 2 2" xfId="27248"/>
    <cellStyle name="쉼표 [0] 2 3 3 2 3 3 2 3" xfId="16112"/>
    <cellStyle name="쉼표 [0] 2 3 3 2 3 3 2 3 2" xfId="32816"/>
    <cellStyle name="쉼표 [0] 2 3 3 2 3 3 2 4" xfId="21680"/>
    <cellStyle name="쉼표 [0] 2 3 3 2 3 3 3" xfId="7760"/>
    <cellStyle name="쉼표 [0] 2 3 3 2 3 3 3 2" xfId="24464"/>
    <cellStyle name="쉼표 [0] 2 3 3 2 3 3 4" xfId="13328"/>
    <cellStyle name="쉼표 [0] 2 3 3 2 3 3 4 2" xfId="30032"/>
    <cellStyle name="쉼표 [0] 2 3 3 2 3 3 5" xfId="18896"/>
    <cellStyle name="쉼표 [0] 2 3 3 2 3 4" xfId="3584"/>
    <cellStyle name="쉼표 [0] 2 3 3 2 3 4 2" xfId="9152"/>
    <cellStyle name="쉼표 [0] 2 3 3 2 3 4 2 2" xfId="25856"/>
    <cellStyle name="쉼표 [0] 2 3 3 2 3 4 3" xfId="14720"/>
    <cellStyle name="쉼표 [0] 2 3 3 2 3 4 3 2" xfId="31424"/>
    <cellStyle name="쉼표 [0] 2 3 3 2 3 4 4" xfId="20288"/>
    <cellStyle name="쉼표 [0] 2 3 3 2 3 5" xfId="6368"/>
    <cellStyle name="쉼표 [0] 2 3 3 2 3 5 2" xfId="23072"/>
    <cellStyle name="쉼표 [0] 2 3 3 2 3 6" xfId="11936"/>
    <cellStyle name="쉼표 [0] 2 3 3 2 3 6 2" xfId="28640"/>
    <cellStyle name="쉼표 [0] 2 3 3 2 3 7" xfId="17504"/>
    <cellStyle name="쉼표 [0] 2 3 3 2 4" xfId="1032"/>
    <cellStyle name="쉼표 [0] 2 3 3 2 4 2" xfId="2424"/>
    <cellStyle name="쉼표 [0] 2 3 3 2 4 2 2" xfId="5208"/>
    <cellStyle name="쉼표 [0] 2 3 3 2 4 2 2 2" xfId="10776"/>
    <cellStyle name="쉼표 [0] 2 3 3 2 4 2 2 2 2" xfId="27480"/>
    <cellStyle name="쉼표 [0] 2 3 3 2 4 2 2 3" xfId="16344"/>
    <cellStyle name="쉼표 [0] 2 3 3 2 4 2 2 3 2" xfId="33048"/>
    <cellStyle name="쉼표 [0] 2 3 3 2 4 2 2 4" xfId="21912"/>
    <cellStyle name="쉼표 [0] 2 3 3 2 4 2 3" xfId="7992"/>
    <cellStyle name="쉼표 [0] 2 3 3 2 4 2 3 2" xfId="24696"/>
    <cellStyle name="쉼표 [0] 2 3 3 2 4 2 4" xfId="13560"/>
    <cellStyle name="쉼표 [0] 2 3 3 2 4 2 4 2" xfId="30264"/>
    <cellStyle name="쉼표 [0] 2 3 3 2 4 2 5" xfId="19128"/>
    <cellStyle name="쉼표 [0] 2 3 3 2 4 3" xfId="3816"/>
    <cellStyle name="쉼표 [0] 2 3 3 2 4 3 2" xfId="9384"/>
    <cellStyle name="쉼표 [0] 2 3 3 2 4 3 2 2" xfId="26088"/>
    <cellStyle name="쉼표 [0] 2 3 3 2 4 3 3" xfId="14952"/>
    <cellStyle name="쉼표 [0] 2 3 3 2 4 3 3 2" xfId="31656"/>
    <cellStyle name="쉼표 [0] 2 3 3 2 4 3 4" xfId="20520"/>
    <cellStyle name="쉼표 [0] 2 3 3 2 4 4" xfId="6600"/>
    <cellStyle name="쉼표 [0] 2 3 3 2 4 4 2" xfId="23304"/>
    <cellStyle name="쉼표 [0] 2 3 3 2 4 5" xfId="12168"/>
    <cellStyle name="쉼표 [0] 2 3 3 2 4 5 2" xfId="28872"/>
    <cellStyle name="쉼표 [0] 2 3 3 2 4 6" xfId="17736"/>
    <cellStyle name="쉼표 [0] 2 3 3 2 5" xfId="1728"/>
    <cellStyle name="쉼표 [0] 2 3 3 2 5 2" xfId="4512"/>
    <cellStyle name="쉼표 [0] 2 3 3 2 5 2 2" xfId="10080"/>
    <cellStyle name="쉼표 [0] 2 3 3 2 5 2 2 2" xfId="26784"/>
    <cellStyle name="쉼표 [0] 2 3 3 2 5 2 3" xfId="15648"/>
    <cellStyle name="쉼표 [0] 2 3 3 2 5 2 3 2" xfId="32352"/>
    <cellStyle name="쉼표 [0] 2 3 3 2 5 2 4" xfId="21216"/>
    <cellStyle name="쉼표 [0] 2 3 3 2 5 3" xfId="7296"/>
    <cellStyle name="쉼표 [0] 2 3 3 2 5 3 2" xfId="24000"/>
    <cellStyle name="쉼표 [0] 2 3 3 2 5 4" xfId="12864"/>
    <cellStyle name="쉼표 [0] 2 3 3 2 5 4 2" xfId="29568"/>
    <cellStyle name="쉼표 [0] 2 3 3 2 5 5" xfId="18432"/>
    <cellStyle name="쉼표 [0] 2 3 3 2 6" xfId="3120"/>
    <cellStyle name="쉼표 [0] 2 3 3 2 6 2" xfId="8688"/>
    <cellStyle name="쉼표 [0] 2 3 3 2 6 2 2" xfId="25392"/>
    <cellStyle name="쉼표 [0] 2 3 3 2 6 3" xfId="14256"/>
    <cellStyle name="쉼표 [0] 2 3 3 2 6 3 2" xfId="30960"/>
    <cellStyle name="쉼표 [0] 2 3 3 2 6 4" xfId="19824"/>
    <cellStyle name="쉼표 [0] 2 3 3 2 7" xfId="5904"/>
    <cellStyle name="쉼표 [0] 2 3 3 2 7 2" xfId="22608"/>
    <cellStyle name="쉼표 [0] 2 3 3 2 8" xfId="11472"/>
    <cellStyle name="쉼표 [0] 2 3 3 2 8 2" xfId="28176"/>
    <cellStyle name="쉼표 [0] 2 3 3 2 9" xfId="17040"/>
    <cellStyle name="쉼표 [0] 2 3 3 3" xfId="452"/>
    <cellStyle name="쉼표 [0] 2 3 3 3 2" xfId="1148"/>
    <cellStyle name="쉼표 [0] 2 3 3 3 2 2" xfId="2540"/>
    <cellStyle name="쉼표 [0] 2 3 3 3 2 2 2" xfId="5324"/>
    <cellStyle name="쉼표 [0] 2 3 3 3 2 2 2 2" xfId="10892"/>
    <cellStyle name="쉼표 [0] 2 3 3 3 2 2 2 2 2" xfId="27596"/>
    <cellStyle name="쉼표 [0] 2 3 3 3 2 2 2 3" xfId="16460"/>
    <cellStyle name="쉼표 [0] 2 3 3 3 2 2 2 3 2" xfId="33164"/>
    <cellStyle name="쉼표 [0] 2 3 3 3 2 2 2 4" xfId="22028"/>
    <cellStyle name="쉼표 [0] 2 3 3 3 2 2 3" xfId="8108"/>
    <cellStyle name="쉼표 [0] 2 3 3 3 2 2 3 2" xfId="24812"/>
    <cellStyle name="쉼표 [0] 2 3 3 3 2 2 4" xfId="13676"/>
    <cellStyle name="쉼표 [0] 2 3 3 3 2 2 4 2" xfId="30380"/>
    <cellStyle name="쉼표 [0] 2 3 3 3 2 2 5" xfId="19244"/>
    <cellStyle name="쉼표 [0] 2 3 3 3 2 3" xfId="3932"/>
    <cellStyle name="쉼표 [0] 2 3 3 3 2 3 2" xfId="9500"/>
    <cellStyle name="쉼표 [0] 2 3 3 3 2 3 2 2" xfId="26204"/>
    <cellStyle name="쉼표 [0] 2 3 3 3 2 3 3" xfId="15068"/>
    <cellStyle name="쉼표 [0] 2 3 3 3 2 3 3 2" xfId="31772"/>
    <cellStyle name="쉼표 [0] 2 3 3 3 2 3 4" xfId="20636"/>
    <cellStyle name="쉼표 [0] 2 3 3 3 2 4" xfId="6716"/>
    <cellStyle name="쉼표 [0] 2 3 3 3 2 4 2" xfId="23420"/>
    <cellStyle name="쉼표 [0] 2 3 3 3 2 5" xfId="12284"/>
    <cellStyle name="쉼표 [0] 2 3 3 3 2 5 2" xfId="28988"/>
    <cellStyle name="쉼표 [0] 2 3 3 3 2 6" xfId="17852"/>
    <cellStyle name="쉼표 [0] 2 3 3 3 3" xfId="1844"/>
    <cellStyle name="쉼표 [0] 2 3 3 3 3 2" xfId="4628"/>
    <cellStyle name="쉼표 [0] 2 3 3 3 3 2 2" xfId="10196"/>
    <cellStyle name="쉼표 [0] 2 3 3 3 3 2 2 2" xfId="26900"/>
    <cellStyle name="쉼표 [0] 2 3 3 3 3 2 3" xfId="15764"/>
    <cellStyle name="쉼표 [0] 2 3 3 3 3 2 3 2" xfId="32468"/>
    <cellStyle name="쉼표 [0] 2 3 3 3 3 2 4" xfId="21332"/>
    <cellStyle name="쉼표 [0] 2 3 3 3 3 3" xfId="7412"/>
    <cellStyle name="쉼표 [0] 2 3 3 3 3 3 2" xfId="24116"/>
    <cellStyle name="쉼표 [0] 2 3 3 3 3 4" xfId="12980"/>
    <cellStyle name="쉼표 [0] 2 3 3 3 3 4 2" xfId="29684"/>
    <cellStyle name="쉼표 [0] 2 3 3 3 3 5" xfId="18548"/>
    <cellStyle name="쉼표 [0] 2 3 3 3 4" xfId="3236"/>
    <cellStyle name="쉼표 [0] 2 3 3 3 4 2" xfId="8804"/>
    <cellStyle name="쉼표 [0] 2 3 3 3 4 2 2" xfId="25508"/>
    <cellStyle name="쉼표 [0] 2 3 3 3 4 3" xfId="14372"/>
    <cellStyle name="쉼표 [0] 2 3 3 3 4 3 2" xfId="31076"/>
    <cellStyle name="쉼표 [0] 2 3 3 3 4 4" xfId="19940"/>
    <cellStyle name="쉼표 [0] 2 3 3 3 5" xfId="6020"/>
    <cellStyle name="쉼표 [0] 2 3 3 3 5 2" xfId="22724"/>
    <cellStyle name="쉼표 [0] 2 3 3 3 6" xfId="11588"/>
    <cellStyle name="쉼표 [0] 2 3 3 3 6 2" xfId="28292"/>
    <cellStyle name="쉼표 [0] 2 3 3 3 7" xfId="17156"/>
    <cellStyle name="쉼표 [0] 2 3 3 4" xfId="684"/>
    <cellStyle name="쉼표 [0] 2 3 3 4 2" xfId="1380"/>
    <cellStyle name="쉼표 [0] 2 3 3 4 2 2" xfId="2772"/>
    <cellStyle name="쉼표 [0] 2 3 3 4 2 2 2" xfId="5556"/>
    <cellStyle name="쉼표 [0] 2 3 3 4 2 2 2 2" xfId="11124"/>
    <cellStyle name="쉼표 [0] 2 3 3 4 2 2 2 2 2" xfId="27828"/>
    <cellStyle name="쉼표 [0] 2 3 3 4 2 2 2 3" xfId="16692"/>
    <cellStyle name="쉼표 [0] 2 3 3 4 2 2 2 3 2" xfId="33396"/>
    <cellStyle name="쉼표 [0] 2 3 3 4 2 2 2 4" xfId="22260"/>
    <cellStyle name="쉼표 [0] 2 3 3 4 2 2 3" xfId="8340"/>
    <cellStyle name="쉼표 [0] 2 3 3 4 2 2 3 2" xfId="25044"/>
    <cellStyle name="쉼표 [0] 2 3 3 4 2 2 4" xfId="13908"/>
    <cellStyle name="쉼표 [0] 2 3 3 4 2 2 4 2" xfId="30612"/>
    <cellStyle name="쉼표 [0] 2 3 3 4 2 2 5" xfId="19476"/>
    <cellStyle name="쉼표 [0] 2 3 3 4 2 3" xfId="4164"/>
    <cellStyle name="쉼표 [0] 2 3 3 4 2 3 2" xfId="9732"/>
    <cellStyle name="쉼표 [0] 2 3 3 4 2 3 2 2" xfId="26436"/>
    <cellStyle name="쉼표 [0] 2 3 3 4 2 3 3" xfId="15300"/>
    <cellStyle name="쉼표 [0] 2 3 3 4 2 3 3 2" xfId="32004"/>
    <cellStyle name="쉼표 [0] 2 3 3 4 2 3 4" xfId="20868"/>
    <cellStyle name="쉼표 [0] 2 3 3 4 2 4" xfId="6948"/>
    <cellStyle name="쉼표 [0] 2 3 3 4 2 4 2" xfId="23652"/>
    <cellStyle name="쉼표 [0] 2 3 3 4 2 5" xfId="12516"/>
    <cellStyle name="쉼표 [0] 2 3 3 4 2 5 2" xfId="29220"/>
    <cellStyle name="쉼표 [0] 2 3 3 4 2 6" xfId="18084"/>
    <cellStyle name="쉼표 [0] 2 3 3 4 3" xfId="2076"/>
    <cellStyle name="쉼표 [0] 2 3 3 4 3 2" xfId="4860"/>
    <cellStyle name="쉼표 [0] 2 3 3 4 3 2 2" xfId="10428"/>
    <cellStyle name="쉼표 [0] 2 3 3 4 3 2 2 2" xfId="27132"/>
    <cellStyle name="쉼표 [0] 2 3 3 4 3 2 3" xfId="15996"/>
    <cellStyle name="쉼표 [0] 2 3 3 4 3 2 3 2" xfId="32700"/>
    <cellStyle name="쉼표 [0] 2 3 3 4 3 2 4" xfId="21564"/>
    <cellStyle name="쉼표 [0] 2 3 3 4 3 3" xfId="7644"/>
    <cellStyle name="쉼표 [0] 2 3 3 4 3 3 2" xfId="24348"/>
    <cellStyle name="쉼표 [0] 2 3 3 4 3 4" xfId="13212"/>
    <cellStyle name="쉼표 [0] 2 3 3 4 3 4 2" xfId="29916"/>
    <cellStyle name="쉼표 [0] 2 3 3 4 3 5" xfId="18780"/>
    <cellStyle name="쉼표 [0] 2 3 3 4 4" xfId="3468"/>
    <cellStyle name="쉼표 [0] 2 3 3 4 4 2" xfId="9036"/>
    <cellStyle name="쉼표 [0] 2 3 3 4 4 2 2" xfId="25740"/>
    <cellStyle name="쉼표 [0] 2 3 3 4 4 3" xfId="14604"/>
    <cellStyle name="쉼표 [0] 2 3 3 4 4 3 2" xfId="31308"/>
    <cellStyle name="쉼표 [0] 2 3 3 4 4 4" xfId="20172"/>
    <cellStyle name="쉼표 [0] 2 3 3 4 5" xfId="6252"/>
    <cellStyle name="쉼표 [0] 2 3 3 4 5 2" xfId="22956"/>
    <cellStyle name="쉼표 [0] 2 3 3 4 6" xfId="11820"/>
    <cellStyle name="쉼표 [0] 2 3 3 4 6 2" xfId="28524"/>
    <cellStyle name="쉼표 [0] 2 3 3 4 7" xfId="17388"/>
    <cellStyle name="쉼표 [0] 2 3 3 5" xfId="916"/>
    <cellStyle name="쉼표 [0] 2 3 3 5 2" xfId="2308"/>
    <cellStyle name="쉼표 [0] 2 3 3 5 2 2" xfId="5092"/>
    <cellStyle name="쉼표 [0] 2 3 3 5 2 2 2" xfId="10660"/>
    <cellStyle name="쉼표 [0] 2 3 3 5 2 2 2 2" xfId="27364"/>
    <cellStyle name="쉼표 [0] 2 3 3 5 2 2 3" xfId="16228"/>
    <cellStyle name="쉼표 [0] 2 3 3 5 2 2 3 2" xfId="32932"/>
    <cellStyle name="쉼표 [0] 2 3 3 5 2 2 4" xfId="21796"/>
    <cellStyle name="쉼표 [0] 2 3 3 5 2 3" xfId="7876"/>
    <cellStyle name="쉼표 [0] 2 3 3 5 2 3 2" xfId="24580"/>
    <cellStyle name="쉼표 [0] 2 3 3 5 2 4" xfId="13444"/>
    <cellStyle name="쉼표 [0] 2 3 3 5 2 4 2" xfId="30148"/>
    <cellStyle name="쉼표 [0] 2 3 3 5 2 5" xfId="19012"/>
    <cellStyle name="쉼표 [0] 2 3 3 5 3" xfId="3700"/>
    <cellStyle name="쉼표 [0] 2 3 3 5 3 2" xfId="9268"/>
    <cellStyle name="쉼표 [0] 2 3 3 5 3 2 2" xfId="25972"/>
    <cellStyle name="쉼표 [0] 2 3 3 5 3 3" xfId="14836"/>
    <cellStyle name="쉼표 [0] 2 3 3 5 3 3 2" xfId="31540"/>
    <cellStyle name="쉼표 [0] 2 3 3 5 3 4" xfId="20404"/>
    <cellStyle name="쉼표 [0] 2 3 3 5 4" xfId="6484"/>
    <cellStyle name="쉼표 [0] 2 3 3 5 4 2" xfId="23188"/>
    <cellStyle name="쉼표 [0] 2 3 3 5 5" xfId="12052"/>
    <cellStyle name="쉼표 [0] 2 3 3 5 5 2" xfId="28756"/>
    <cellStyle name="쉼표 [0] 2 3 3 5 6" xfId="17620"/>
    <cellStyle name="쉼표 [0] 2 3 3 6" xfId="1612"/>
    <cellStyle name="쉼표 [0] 2 3 3 6 2" xfId="4396"/>
    <cellStyle name="쉼표 [0] 2 3 3 6 2 2" xfId="9964"/>
    <cellStyle name="쉼표 [0] 2 3 3 6 2 2 2" xfId="26668"/>
    <cellStyle name="쉼표 [0] 2 3 3 6 2 3" xfId="15532"/>
    <cellStyle name="쉼표 [0] 2 3 3 6 2 3 2" xfId="32236"/>
    <cellStyle name="쉼표 [0] 2 3 3 6 2 4" xfId="21100"/>
    <cellStyle name="쉼표 [0] 2 3 3 6 3" xfId="7180"/>
    <cellStyle name="쉼표 [0] 2 3 3 6 3 2" xfId="23884"/>
    <cellStyle name="쉼표 [0] 2 3 3 6 4" xfId="12748"/>
    <cellStyle name="쉼표 [0] 2 3 3 6 4 2" xfId="29452"/>
    <cellStyle name="쉼표 [0] 2 3 3 6 5" xfId="18316"/>
    <cellStyle name="쉼표 [0] 2 3 3 7" xfId="3004"/>
    <cellStyle name="쉼표 [0] 2 3 3 7 2" xfId="8572"/>
    <cellStyle name="쉼표 [0] 2 3 3 7 2 2" xfId="25276"/>
    <cellStyle name="쉼표 [0] 2 3 3 7 3" xfId="14140"/>
    <cellStyle name="쉼표 [0] 2 3 3 7 3 2" xfId="30844"/>
    <cellStyle name="쉼표 [0] 2 3 3 7 4" xfId="19708"/>
    <cellStyle name="쉼표 [0] 2 3 3 8" xfId="5788"/>
    <cellStyle name="쉼표 [0] 2 3 3 8 2" xfId="22492"/>
    <cellStyle name="쉼표 [0] 2 3 3 9" xfId="11356"/>
    <cellStyle name="쉼표 [0] 2 3 3 9 2" xfId="28060"/>
    <cellStyle name="쉼표 [0] 2 3 4" xfId="278"/>
    <cellStyle name="쉼표 [0] 2 3 4 2" xfId="510"/>
    <cellStyle name="쉼표 [0] 2 3 4 2 2" xfId="1206"/>
    <cellStyle name="쉼표 [0] 2 3 4 2 2 2" xfId="2598"/>
    <cellStyle name="쉼표 [0] 2 3 4 2 2 2 2" xfId="5382"/>
    <cellStyle name="쉼표 [0] 2 3 4 2 2 2 2 2" xfId="10950"/>
    <cellStyle name="쉼표 [0] 2 3 4 2 2 2 2 2 2" xfId="27654"/>
    <cellStyle name="쉼표 [0] 2 3 4 2 2 2 2 3" xfId="16518"/>
    <cellStyle name="쉼표 [0] 2 3 4 2 2 2 2 3 2" xfId="33222"/>
    <cellStyle name="쉼표 [0] 2 3 4 2 2 2 2 4" xfId="22086"/>
    <cellStyle name="쉼표 [0] 2 3 4 2 2 2 3" xfId="8166"/>
    <cellStyle name="쉼표 [0] 2 3 4 2 2 2 3 2" xfId="24870"/>
    <cellStyle name="쉼표 [0] 2 3 4 2 2 2 4" xfId="13734"/>
    <cellStyle name="쉼표 [0] 2 3 4 2 2 2 4 2" xfId="30438"/>
    <cellStyle name="쉼표 [0] 2 3 4 2 2 2 5" xfId="19302"/>
    <cellStyle name="쉼표 [0] 2 3 4 2 2 3" xfId="3990"/>
    <cellStyle name="쉼표 [0] 2 3 4 2 2 3 2" xfId="9558"/>
    <cellStyle name="쉼표 [0] 2 3 4 2 2 3 2 2" xfId="26262"/>
    <cellStyle name="쉼표 [0] 2 3 4 2 2 3 3" xfId="15126"/>
    <cellStyle name="쉼표 [0] 2 3 4 2 2 3 3 2" xfId="31830"/>
    <cellStyle name="쉼표 [0] 2 3 4 2 2 3 4" xfId="20694"/>
    <cellStyle name="쉼표 [0] 2 3 4 2 2 4" xfId="6774"/>
    <cellStyle name="쉼표 [0] 2 3 4 2 2 4 2" xfId="23478"/>
    <cellStyle name="쉼표 [0] 2 3 4 2 2 5" xfId="12342"/>
    <cellStyle name="쉼표 [0] 2 3 4 2 2 5 2" xfId="29046"/>
    <cellStyle name="쉼표 [0] 2 3 4 2 2 6" xfId="17910"/>
    <cellStyle name="쉼표 [0] 2 3 4 2 3" xfId="1902"/>
    <cellStyle name="쉼표 [0] 2 3 4 2 3 2" xfId="4686"/>
    <cellStyle name="쉼표 [0] 2 3 4 2 3 2 2" xfId="10254"/>
    <cellStyle name="쉼표 [0] 2 3 4 2 3 2 2 2" xfId="26958"/>
    <cellStyle name="쉼표 [0] 2 3 4 2 3 2 3" xfId="15822"/>
    <cellStyle name="쉼표 [0] 2 3 4 2 3 2 3 2" xfId="32526"/>
    <cellStyle name="쉼표 [0] 2 3 4 2 3 2 4" xfId="21390"/>
    <cellStyle name="쉼표 [0] 2 3 4 2 3 3" xfId="7470"/>
    <cellStyle name="쉼표 [0] 2 3 4 2 3 3 2" xfId="24174"/>
    <cellStyle name="쉼표 [0] 2 3 4 2 3 4" xfId="13038"/>
    <cellStyle name="쉼표 [0] 2 3 4 2 3 4 2" xfId="29742"/>
    <cellStyle name="쉼표 [0] 2 3 4 2 3 5" xfId="18606"/>
    <cellStyle name="쉼표 [0] 2 3 4 2 4" xfId="3294"/>
    <cellStyle name="쉼표 [0] 2 3 4 2 4 2" xfId="8862"/>
    <cellStyle name="쉼표 [0] 2 3 4 2 4 2 2" xfId="25566"/>
    <cellStyle name="쉼표 [0] 2 3 4 2 4 3" xfId="14430"/>
    <cellStyle name="쉼표 [0] 2 3 4 2 4 3 2" xfId="31134"/>
    <cellStyle name="쉼표 [0] 2 3 4 2 4 4" xfId="19998"/>
    <cellStyle name="쉼표 [0] 2 3 4 2 5" xfId="6078"/>
    <cellStyle name="쉼표 [0] 2 3 4 2 5 2" xfId="22782"/>
    <cellStyle name="쉼표 [0] 2 3 4 2 6" xfId="11646"/>
    <cellStyle name="쉼표 [0] 2 3 4 2 6 2" xfId="28350"/>
    <cellStyle name="쉼표 [0] 2 3 4 2 7" xfId="17214"/>
    <cellStyle name="쉼표 [0] 2 3 4 3" xfId="742"/>
    <cellStyle name="쉼표 [0] 2 3 4 3 2" xfId="1438"/>
    <cellStyle name="쉼표 [0] 2 3 4 3 2 2" xfId="2830"/>
    <cellStyle name="쉼표 [0] 2 3 4 3 2 2 2" xfId="5614"/>
    <cellStyle name="쉼표 [0] 2 3 4 3 2 2 2 2" xfId="11182"/>
    <cellStyle name="쉼표 [0] 2 3 4 3 2 2 2 2 2" xfId="27886"/>
    <cellStyle name="쉼표 [0] 2 3 4 3 2 2 2 3" xfId="16750"/>
    <cellStyle name="쉼표 [0] 2 3 4 3 2 2 2 3 2" xfId="33454"/>
    <cellStyle name="쉼표 [0] 2 3 4 3 2 2 2 4" xfId="22318"/>
    <cellStyle name="쉼표 [0] 2 3 4 3 2 2 3" xfId="8398"/>
    <cellStyle name="쉼표 [0] 2 3 4 3 2 2 3 2" xfId="25102"/>
    <cellStyle name="쉼표 [0] 2 3 4 3 2 2 4" xfId="13966"/>
    <cellStyle name="쉼표 [0] 2 3 4 3 2 2 4 2" xfId="30670"/>
    <cellStyle name="쉼표 [0] 2 3 4 3 2 2 5" xfId="19534"/>
    <cellStyle name="쉼표 [0] 2 3 4 3 2 3" xfId="4222"/>
    <cellStyle name="쉼표 [0] 2 3 4 3 2 3 2" xfId="9790"/>
    <cellStyle name="쉼표 [0] 2 3 4 3 2 3 2 2" xfId="26494"/>
    <cellStyle name="쉼표 [0] 2 3 4 3 2 3 3" xfId="15358"/>
    <cellStyle name="쉼표 [0] 2 3 4 3 2 3 3 2" xfId="32062"/>
    <cellStyle name="쉼표 [0] 2 3 4 3 2 3 4" xfId="20926"/>
    <cellStyle name="쉼표 [0] 2 3 4 3 2 4" xfId="7006"/>
    <cellStyle name="쉼표 [0] 2 3 4 3 2 4 2" xfId="23710"/>
    <cellStyle name="쉼표 [0] 2 3 4 3 2 5" xfId="12574"/>
    <cellStyle name="쉼표 [0] 2 3 4 3 2 5 2" xfId="29278"/>
    <cellStyle name="쉼표 [0] 2 3 4 3 2 6" xfId="18142"/>
    <cellStyle name="쉼표 [0] 2 3 4 3 3" xfId="2134"/>
    <cellStyle name="쉼표 [0] 2 3 4 3 3 2" xfId="4918"/>
    <cellStyle name="쉼표 [0] 2 3 4 3 3 2 2" xfId="10486"/>
    <cellStyle name="쉼표 [0] 2 3 4 3 3 2 2 2" xfId="27190"/>
    <cellStyle name="쉼표 [0] 2 3 4 3 3 2 3" xfId="16054"/>
    <cellStyle name="쉼표 [0] 2 3 4 3 3 2 3 2" xfId="32758"/>
    <cellStyle name="쉼표 [0] 2 3 4 3 3 2 4" xfId="21622"/>
    <cellStyle name="쉼표 [0] 2 3 4 3 3 3" xfId="7702"/>
    <cellStyle name="쉼표 [0] 2 3 4 3 3 3 2" xfId="24406"/>
    <cellStyle name="쉼표 [0] 2 3 4 3 3 4" xfId="13270"/>
    <cellStyle name="쉼표 [0] 2 3 4 3 3 4 2" xfId="29974"/>
    <cellStyle name="쉼표 [0] 2 3 4 3 3 5" xfId="18838"/>
    <cellStyle name="쉼표 [0] 2 3 4 3 4" xfId="3526"/>
    <cellStyle name="쉼표 [0] 2 3 4 3 4 2" xfId="9094"/>
    <cellStyle name="쉼표 [0] 2 3 4 3 4 2 2" xfId="25798"/>
    <cellStyle name="쉼표 [0] 2 3 4 3 4 3" xfId="14662"/>
    <cellStyle name="쉼표 [0] 2 3 4 3 4 3 2" xfId="31366"/>
    <cellStyle name="쉼표 [0] 2 3 4 3 4 4" xfId="20230"/>
    <cellStyle name="쉼표 [0] 2 3 4 3 5" xfId="6310"/>
    <cellStyle name="쉼표 [0] 2 3 4 3 5 2" xfId="23014"/>
    <cellStyle name="쉼표 [0] 2 3 4 3 6" xfId="11878"/>
    <cellStyle name="쉼표 [0] 2 3 4 3 6 2" xfId="28582"/>
    <cellStyle name="쉼표 [0] 2 3 4 3 7" xfId="17446"/>
    <cellStyle name="쉼표 [0] 2 3 4 4" xfId="974"/>
    <cellStyle name="쉼표 [0] 2 3 4 4 2" xfId="2366"/>
    <cellStyle name="쉼표 [0] 2 3 4 4 2 2" xfId="5150"/>
    <cellStyle name="쉼표 [0] 2 3 4 4 2 2 2" xfId="10718"/>
    <cellStyle name="쉼표 [0] 2 3 4 4 2 2 2 2" xfId="27422"/>
    <cellStyle name="쉼표 [0] 2 3 4 4 2 2 3" xfId="16286"/>
    <cellStyle name="쉼표 [0] 2 3 4 4 2 2 3 2" xfId="32990"/>
    <cellStyle name="쉼표 [0] 2 3 4 4 2 2 4" xfId="21854"/>
    <cellStyle name="쉼표 [0] 2 3 4 4 2 3" xfId="7934"/>
    <cellStyle name="쉼표 [0] 2 3 4 4 2 3 2" xfId="24638"/>
    <cellStyle name="쉼표 [0] 2 3 4 4 2 4" xfId="13502"/>
    <cellStyle name="쉼표 [0] 2 3 4 4 2 4 2" xfId="30206"/>
    <cellStyle name="쉼표 [0] 2 3 4 4 2 5" xfId="19070"/>
    <cellStyle name="쉼표 [0] 2 3 4 4 3" xfId="3758"/>
    <cellStyle name="쉼표 [0] 2 3 4 4 3 2" xfId="9326"/>
    <cellStyle name="쉼표 [0] 2 3 4 4 3 2 2" xfId="26030"/>
    <cellStyle name="쉼표 [0] 2 3 4 4 3 3" xfId="14894"/>
    <cellStyle name="쉼표 [0] 2 3 4 4 3 3 2" xfId="31598"/>
    <cellStyle name="쉼표 [0] 2 3 4 4 3 4" xfId="20462"/>
    <cellStyle name="쉼표 [0] 2 3 4 4 4" xfId="6542"/>
    <cellStyle name="쉼표 [0] 2 3 4 4 4 2" xfId="23246"/>
    <cellStyle name="쉼표 [0] 2 3 4 4 5" xfId="12110"/>
    <cellStyle name="쉼표 [0] 2 3 4 4 5 2" xfId="28814"/>
    <cellStyle name="쉼표 [0] 2 3 4 4 6" xfId="17678"/>
    <cellStyle name="쉼표 [0] 2 3 4 5" xfId="1670"/>
    <cellStyle name="쉼표 [0] 2 3 4 5 2" xfId="4454"/>
    <cellStyle name="쉼표 [0] 2 3 4 5 2 2" xfId="10022"/>
    <cellStyle name="쉼표 [0] 2 3 4 5 2 2 2" xfId="26726"/>
    <cellStyle name="쉼표 [0] 2 3 4 5 2 3" xfId="15590"/>
    <cellStyle name="쉼표 [0] 2 3 4 5 2 3 2" xfId="32294"/>
    <cellStyle name="쉼표 [0] 2 3 4 5 2 4" xfId="21158"/>
    <cellStyle name="쉼표 [0] 2 3 4 5 3" xfId="7238"/>
    <cellStyle name="쉼표 [0] 2 3 4 5 3 2" xfId="23942"/>
    <cellStyle name="쉼표 [0] 2 3 4 5 4" xfId="12806"/>
    <cellStyle name="쉼표 [0] 2 3 4 5 4 2" xfId="29510"/>
    <cellStyle name="쉼표 [0] 2 3 4 5 5" xfId="18374"/>
    <cellStyle name="쉼표 [0] 2 3 4 6" xfId="3062"/>
    <cellStyle name="쉼표 [0] 2 3 4 6 2" xfId="8630"/>
    <cellStyle name="쉼표 [0] 2 3 4 6 2 2" xfId="25334"/>
    <cellStyle name="쉼표 [0] 2 3 4 6 3" xfId="14198"/>
    <cellStyle name="쉼표 [0] 2 3 4 6 3 2" xfId="30902"/>
    <cellStyle name="쉼표 [0] 2 3 4 6 4" xfId="19766"/>
    <cellStyle name="쉼표 [0] 2 3 4 7" xfId="5846"/>
    <cellStyle name="쉼표 [0] 2 3 4 7 2" xfId="22550"/>
    <cellStyle name="쉼표 [0] 2 3 4 8" xfId="11414"/>
    <cellStyle name="쉼표 [0] 2 3 4 8 2" xfId="28118"/>
    <cellStyle name="쉼표 [0] 2 3 4 9" xfId="16982"/>
    <cellStyle name="쉼표 [0] 2 3 5" xfId="394"/>
    <cellStyle name="쉼표 [0] 2 3 5 2" xfId="1090"/>
    <cellStyle name="쉼표 [0] 2 3 5 2 2" xfId="2482"/>
    <cellStyle name="쉼표 [0] 2 3 5 2 2 2" xfId="5266"/>
    <cellStyle name="쉼표 [0] 2 3 5 2 2 2 2" xfId="10834"/>
    <cellStyle name="쉼표 [0] 2 3 5 2 2 2 2 2" xfId="27538"/>
    <cellStyle name="쉼표 [0] 2 3 5 2 2 2 3" xfId="16402"/>
    <cellStyle name="쉼표 [0] 2 3 5 2 2 2 3 2" xfId="33106"/>
    <cellStyle name="쉼표 [0] 2 3 5 2 2 2 4" xfId="21970"/>
    <cellStyle name="쉼표 [0] 2 3 5 2 2 3" xfId="8050"/>
    <cellStyle name="쉼표 [0] 2 3 5 2 2 3 2" xfId="24754"/>
    <cellStyle name="쉼표 [0] 2 3 5 2 2 4" xfId="13618"/>
    <cellStyle name="쉼표 [0] 2 3 5 2 2 4 2" xfId="30322"/>
    <cellStyle name="쉼표 [0] 2 3 5 2 2 5" xfId="19186"/>
    <cellStyle name="쉼표 [0] 2 3 5 2 3" xfId="3874"/>
    <cellStyle name="쉼표 [0] 2 3 5 2 3 2" xfId="9442"/>
    <cellStyle name="쉼표 [0] 2 3 5 2 3 2 2" xfId="26146"/>
    <cellStyle name="쉼표 [0] 2 3 5 2 3 3" xfId="15010"/>
    <cellStyle name="쉼표 [0] 2 3 5 2 3 3 2" xfId="31714"/>
    <cellStyle name="쉼표 [0] 2 3 5 2 3 4" xfId="20578"/>
    <cellStyle name="쉼표 [0] 2 3 5 2 4" xfId="6658"/>
    <cellStyle name="쉼표 [0] 2 3 5 2 4 2" xfId="23362"/>
    <cellStyle name="쉼표 [0] 2 3 5 2 5" xfId="12226"/>
    <cellStyle name="쉼표 [0] 2 3 5 2 5 2" xfId="28930"/>
    <cellStyle name="쉼표 [0] 2 3 5 2 6" xfId="17794"/>
    <cellStyle name="쉼표 [0] 2 3 5 3" xfId="1786"/>
    <cellStyle name="쉼표 [0] 2 3 5 3 2" xfId="4570"/>
    <cellStyle name="쉼표 [0] 2 3 5 3 2 2" xfId="10138"/>
    <cellStyle name="쉼표 [0] 2 3 5 3 2 2 2" xfId="26842"/>
    <cellStyle name="쉼표 [0] 2 3 5 3 2 3" xfId="15706"/>
    <cellStyle name="쉼표 [0] 2 3 5 3 2 3 2" xfId="32410"/>
    <cellStyle name="쉼표 [0] 2 3 5 3 2 4" xfId="21274"/>
    <cellStyle name="쉼표 [0] 2 3 5 3 3" xfId="7354"/>
    <cellStyle name="쉼표 [0] 2 3 5 3 3 2" xfId="24058"/>
    <cellStyle name="쉼표 [0] 2 3 5 3 4" xfId="12922"/>
    <cellStyle name="쉼표 [0] 2 3 5 3 4 2" xfId="29626"/>
    <cellStyle name="쉼표 [0] 2 3 5 3 5" xfId="18490"/>
    <cellStyle name="쉼표 [0] 2 3 5 4" xfId="3178"/>
    <cellStyle name="쉼표 [0] 2 3 5 4 2" xfId="8746"/>
    <cellStyle name="쉼표 [0] 2 3 5 4 2 2" xfId="25450"/>
    <cellStyle name="쉼표 [0] 2 3 5 4 3" xfId="14314"/>
    <cellStyle name="쉼표 [0] 2 3 5 4 3 2" xfId="31018"/>
    <cellStyle name="쉼표 [0] 2 3 5 4 4" xfId="19882"/>
    <cellStyle name="쉼표 [0] 2 3 5 5" xfId="5962"/>
    <cellStyle name="쉼표 [0] 2 3 5 5 2" xfId="22666"/>
    <cellStyle name="쉼표 [0] 2 3 5 6" xfId="11530"/>
    <cellStyle name="쉼표 [0] 2 3 5 6 2" xfId="28234"/>
    <cellStyle name="쉼표 [0] 2 3 5 7" xfId="17098"/>
    <cellStyle name="쉼표 [0] 2 3 6" xfId="626"/>
    <cellStyle name="쉼표 [0] 2 3 6 2" xfId="1322"/>
    <cellStyle name="쉼표 [0] 2 3 6 2 2" xfId="2714"/>
    <cellStyle name="쉼표 [0] 2 3 6 2 2 2" xfId="5498"/>
    <cellStyle name="쉼표 [0] 2 3 6 2 2 2 2" xfId="11066"/>
    <cellStyle name="쉼표 [0] 2 3 6 2 2 2 2 2" xfId="27770"/>
    <cellStyle name="쉼표 [0] 2 3 6 2 2 2 3" xfId="16634"/>
    <cellStyle name="쉼표 [0] 2 3 6 2 2 2 3 2" xfId="33338"/>
    <cellStyle name="쉼표 [0] 2 3 6 2 2 2 4" xfId="22202"/>
    <cellStyle name="쉼표 [0] 2 3 6 2 2 3" xfId="8282"/>
    <cellStyle name="쉼표 [0] 2 3 6 2 2 3 2" xfId="24986"/>
    <cellStyle name="쉼표 [0] 2 3 6 2 2 4" xfId="13850"/>
    <cellStyle name="쉼표 [0] 2 3 6 2 2 4 2" xfId="30554"/>
    <cellStyle name="쉼표 [0] 2 3 6 2 2 5" xfId="19418"/>
    <cellStyle name="쉼표 [0] 2 3 6 2 3" xfId="4106"/>
    <cellStyle name="쉼표 [0] 2 3 6 2 3 2" xfId="9674"/>
    <cellStyle name="쉼표 [0] 2 3 6 2 3 2 2" xfId="26378"/>
    <cellStyle name="쉼표 [0] 2 3 6 2 3 3" xfId="15242"/>
    <cellStyle name="쉼표 [0] 2 3 6 2 3 3 2" xfId="31946"/>
    <cellStyle name="쉼표 [0] 2 3 6 2 3 4" xfId="20810"/>
    <cellStyle name="쉼표 [0] 2 3 6 2 4" xfId="6890"/>
    <cellStyle name="쉼표 [0] 2 3 6 2 4 2" xfId="23594"/>
    <cellStyle name="쉼표 [0] 2 3 6 2 5" xfId="12458"/>
    <cellStyle name="쉼표 [0] 2 3 6 2 5 2" xfId="29162"/>
    <cellStyle name="쉼표 [0] 2 3 6 2 6" xfId="18026"/>
    <cellStyle name="쉼표 [0] 2 3 6 3" xfId="2018"/>
    <cellStyle name="쉼표 [0] 2 3 6 3 2" xfId="4802"/>
    <cellStyle name="쉼표 [0] 2 3 6 3 2 2" xfId="10370"/>
    <cellStyle name="쉼표 [0] 2 3 6 3 2 2 2" xfId="27074"/>
    <cellStyle name="쉼표 [0] 2 3 6 3 2 3" xfId="15938"/>
    <cellStyle name="쉼표 [0] 2 3 6 3 2 3 2" xfId="32642"/>
    <cellStyle name="쉼표 [0] 2 3 6 3 2 4" xfId="21506"/>
    <cellStyle name="쉼표 [0] 2 3 6 3 3" xfId="7586"/>
    <cellStyle name="쉼표 [0] 2 3 6 3 3 2" xfId="24290"/>
    <cellStyle name="쉼표 [0] 2 3 6 3 4" xfId="13154"/>
    <cellStyle name="쉼표 [0] 2 3 6 3 4 2" xfId="29858"/>
    <cellStyle name="쉼표 [0] 2 3 6 3 5" xfId="18722"/>
    <cellStyle name="쉼표 [0] 2 3 6 4" xfId="3410"/>
    <cellStyle name="쉼표 [0] 2 3 6 4 2" xfId="8978"/>
    <cellStyle name="쉼표 [0] 2 3 6 4 2 2" xfId="25682"/>
    <cellStyle name="쉼표 [0] 2 3 6 4 3" xfId="14546"/>
    <cellStyle name="쉼표 [0] 2 3 6 4 3 2" xfId="31250"/>
    <cellStyle name="쉼표 [0] 2 3 6 4 4" xfId="20114"/>
    <cellStyle name="쉼표 [0] 2 3 6 5" xfId="6194"/>
    <cellStyle name="쉼표 [0] 2 3 6 5 2" xfId="22898"/>
    <cellStyle name="쉼표 [0] 2 3 6 6" xfId="11762"/>
    <cellStyle name="쉼표 [0] 2 3 6 6 2" xfId="28466"/>
    <cellStyle name="쉼표 [0] 2 3 6 7" xfId="17330"/>
    <cellStyle name="쉼표 [0] 2 3 7" xfId="858"/>
    <cellStyle name="쉼표 [0] 2 3 7 2" xfId="2250"/>
    <cellStyle name="쉼표 [0] 2 3 7 2 2" xfId="5034"/>
    <cellStyle name="쉼표 [0] 2 3 7 2 2 2" xfId="10602"/>
    <cellStyle name="쉼표 [0] 2 3 7 2 2 2 2" xfId="27306"/>
    <cellStyle name="쉼표 [0] 2 3 7 2 2 3" xfId="16170"/>
    <cellStyle name="쉼표 [0] 2 3 7 2 2 3 2" xfId="32874"/>
    <cellStyle name="쉼표 [0] 2 3 7 2 2 4" xfId="21738"/>
    <cellStyle name="쉼표 [0] 2 3 7 2 3" xfId="7818"/>
    <cellStyle name="쉼표 [0] 2 3 7 2 3 2" xfId="24522"/>
    <cellStyle name="쉼표 [0] 2 3 7 2 4" xfId="13386"/>
    <cellStyle name="쉼표 [0] 2 3 7 2 4 2" xfId="30090"/>
    <cellStyle name="쉼표 [0] 2 3 7 2 5" xfId="18954"/>
    <cellStyle name="쉼표 [0] 2 3 7 3" xfId="3642"/>
    <cellStyle name="쉼표 [0] 2 3 7 3 2" xfId="9210"/>
    <cellStyle name="쉼표 [0] 2 3 7 3 2 2" xfId="25914"/>
    <cellStyle name="쉼표 [0] 2 3 7 3 3" xfId="14778"/>
    <cellStyle name="쉼표 [0] 2 3 7 3 3 2" xfId="31482"/>
    <cellStyle name="쉼표 [0] 2 3 7 3 4" xfId="20346"/>
    <cellStyle name="쉼표 [0] 2 3 7 4" xfId="6426"/>
    <cellStyle name="쉼표 [0] 2 3 7 4 2" xfId="23130"/>
    <cellStyle name="쉼표 [0] 2 3 7 5" xfId="11994"/>
    <cellStyle name="쉼표 [0] 2 3 7 5 2" xfId="28698"/>
    <cellStyle name="쉼표 [0] 2 3 7 6" xfId="17562"/>
    <cellStyle name="쉼표 [0] 2 3 8" xfId="1554"/>
    <cellStyle name="쉼표 [0] 2 3 8 2" xfId="4338"/>
    <cellStyle name="쉼표 [0] 2 3 8 2 2" xfId="9906"/>
    <cellStyle name="쉼표 [0] 2 3 8 2 2 2" xfId="26610"/>
    <cellStyle name="쉼표 [0] 2 3 8 2 3" xfId="15474"/>
    <cellStyle name="쉼표 [0] 2 3 8 2 3 2" xfId="32178"/>
    <cellStyle name="쉼표 [0] 2 3 8 2 4" xfId="21042"/>
    <cellStyle name="쉼표 [0] 2 3 8 3" xfId="7122"/>
    <cellStyle name="쉼표 [0] 2 3 8 3 2" xfId="23826"/>
    <cellStyle name="쉼표 [0] 2 3 8 4" xfId="12690"/>
    <cellStyle name="쉼표 [0] 2 3 8 4 2" xfId="29394"/>
    <cellStyle name="쉼표 [0] 2 3 8 5" xfId="18258"/>
    <cellStyle name="쉼표 [0] 2 3 9" xfId="2946"/>
    <cellStyle name="쉼표 [0] 2 3 9 2" xfId="8514"/>
    <cellStyle name="쉼표 [0] 2 3 9 2 2" xfId="25218"/>
    <cellStyle name="쉼표 [0] 2 3 9 3" xfId="14082"/>
    <cellStyle name="쉼표 [0] 2 3 9 3 2" xfId="30786"/>
    <cellStyle name="쉼표 [0] 2 3 9 4" xfId="19650"/>
    <cellStyle name="쉼표 [0] 2 30" xfId="110"/>
    <cellStyle name="쉼표 [0] 2 30 10" xfId="5719"/>
    <cellStyle name="쉼표 [0] 2 30 10 2" xfId="22423"/>
    <cellStyle name="쉼표 [0] 2 30 11" xfId="11287"/>
    <cellStyle name="쉼표 [0] 2 30 11 2" xfId="27991"/>
    <cellStyle name="쉼표 [0] 2 30 12" xfId="16855"/>
    <cellStyle name="쉼표 [0] 2 30 2" xfId="180"/>
    <cellStyle name="쉼표 [0] 2 30 2 10" xfId="11316"/>
    <cellStyle name="쉼표 [0] 2 30 2 10 2" xfId="28020"/>
    <cellStyle name="쉼표 [0] 2 30 2 11" xfId="16884"/>
    <cellStyle name="쉼표 [0] 2 30 2 2" xfId="238"/>
    <cellStyle name="쉼표 [0] 2 30 2 2 10" xfId="16942"/>
    <cellStyle name="쉼표 [0] 2 30 2 2 2" xfId="354"/>
    <cellStyle name="쉼표 [0] 2 30 2 2 2 2" xfId="586"/>
    <cellStyle name="쉼표 [0] 2 30 2 2 2 2 2" xfId="1282"/>
    <cellStyle name="쉼표 [0] 2 30 2 2 2 2 2 2" xfId="2674"/>
    <cellStyle name="쉼표 [0] 2 30 2 2 2 2 2 2 2" xfId="5458"/>
    <cellStyle name="쉼표 [0] 2 30 2 2 2 2 2 2 2 2" xfId="11026"/>
    <cellStyle name="쉼표 [0] 2 30 2 2 2 2 2 2 2 2 2" xfId="27730"/>
    <cellStyle name="쉼표 [0] 2 30 2 2 2 2 2 2 2 3" xfId="16594"/>
    <cellStyle name="쉼표 [0] 2 30 2 2 2 2 2 2 2 3 2" xfId="33298"/>
    <cellStyle name="쉼표 [0] 2 30 2 2 2 2 2 2 2 4" xfId="22162"/>
    <cellStyle name="쉼표 [0] 2 30 2 2 2 2 2 2 3" xfId="8242"/>
    <cellStyle name="쉼표 [0] 2 30 2 2 2 2 2 2 3 2" xfId="24946"/>
    <cellStyle name="쉼표 [0] 2 30 2 2 2 2 2 2 4" xfId="13810"/>
    <cellStyle name="쉼표 [0] 2 30 2 2 2 2 2 2 4 2" xfId="30514"/>
    <cellStyle name="쉼표 [0] 2 30 2 2 2 2 2 2 5" xfId="19378"/>
    <cellStyle name="쉼표 [0] 2 30 2 2 2 2 2 3" xfId="4066"/>
    <cellStyle name="쉼표 [0] 2 30 2 2 2 2 2 3 2" xfId="9634"/>
    <cellStyle name="쉼표 [0] 2 30 2 2 2 2 2 3 2 2" xfId="26338"/>
    <cellStyle name="쉼표 [0] 2 30 2 2 2 2 2 3 3" xfId="15202"/>
    <cellStyle name="쉼표 [0] 2 30 2 2 2 2 2 3 3 2" xfId="31906"/>
    <cellStyle name="쉼표 [0] 2 30 2 2 2 2 2 3 4" xfId="20770"/>
    <cellStyle name="쉼표 [0] 2 30 2 2 2 2 2 4" xfId="6850"/>
    <cellStyle name="쉼표 [0] 2 30 2 2 2 2 2 4 2" xfId="23554"/>
    <cellStyle name="쉼표 [0] 2 30 2 2 2 2 2 5" xfId="12418"/>
    <cellStyle name="쉼표 [0] 2 30 2 2 2 2 2 5 2" xfId="29122"/>
    <cellStyle name="쉼표 [0] 2 30 2 2 2 2 2 6" xfId="17986"/>
    <cellStyle name="쉼표 [0] 2 30 2 2 2 2 3" xfId="1978"/>
    <cellStyle name="쉼표 [0] 2 30 2 2 2 2 3 2" xfId="4762"/>
    <cellStyle name="쉼표 [0] 2 30 2 2 2 2 3 2 2" xfId="10330"/>
    <cellStyle name="쉼표 [0] 2 30 2 2 2 2 3 2 2 2" xfId="27034"/>
    <cellStyle name="쉼표 [0] 2 30 2 2 2 2 3 2 3" xfId="15898"/>
    <cellStyle name="쉼표 [0] 2 30 2 2 2 2 3 2 3 2" xfId="32602"/>
    <cellStyle name="쉼표 [0] 2 30 2 2 2 2 3 2 4" xfId="21466"/>
    <cellStyle name="쉼표 [0] 2 30 2 2 2 2 3 3" xfId="7546"/>
    <cellStyle name="쉼표 [0] 2 30 2 2 2 2 3 3 2" xfId="24250"/>
    <cellStyle name="쉼표 [0] 2 30 2 2 2 2 3 4" xfId="13114"/>
    <cellStyle name="쉼표 [0] 2 30 2 2 2 2 3 4 2" xfId="29818"/>
    <cellStyle name="쉼표 [0] 2 30 2 2 2 2 3 5" xfId="18682"/>
    <cellStyle name="쉼표 [0] 2 30 2 2 2 2 4" xfId="3370"/>
    <cellStyle name="쉼표 [0] 2 30 2 2 2 2 4 2" xfId="8938"/>
    <cellStyle name="쉼표 [0] 2 30 2 2 2 2 4 2 2" xfId="25642"/>
    <cellStyle name="쉼표 [0] 2 30 2 2 2 2 4 3" xfId="14506"/>
    <cellStyle name="쉼표 [0] 2 30 2 2 2 2 4 3 2" xfId="31210"/>
    <cellStyle name="쉼표 [0] 2 30 2 2 2 2 4 4" xfId="20074"/>
    <cellStyle name="쉼표 [0] 2 30 2 2 2 2 5" xfId="6154"/>
    <cellStyle name="쉼표 [0] 2 30 2 2 2 2 5 2" xfId="22858"/>
    <cellStyle name="쉼표 [0] 2 30 2 2 2 2 6" xfId="11722"/>
    <cellStyle name="쉼표 [0] 2 30 2 2 2 2 6 2" xfId="28426"/>
    <cellStyle name="쉼표 [0] 2 30 2 2 2 2 7" xfId="17290"/>
    <cellStyle name="쉼표 [0] 2 30 2 2 2 3" xfId="818"/>
    <cellStyle name="쉼표 [0] 2 30 2 2 2 3 2" xfId="1514"/>
    <cellStyle name="쉼표 [0] 2 30 2 2 2 3 2 2" xfId="2906"/>
    <cellStyle name="쉼표 [0] 2 30 2 2 2 3 2 2 2" xfId="5690"/>
    <cellStyle name="쉼표 [0] 2 30 2 2 2 3 2 2 2 2" xfId="11258"/>
    <cellStyle name="쉼표 [0] 2 30 2 2 2 3 2 2 2 2 2" xfId="27962"/>
    <cellStyle name="쉼표 [0] 2 30 2 2 2 3 2 2 2 3" xfId="16826"/>
    <cellStyle name="쉼표 [0] 2 30 2 2 2 3 2 2 2 3 2" xfId="33530"/>
    <cellStyle name="쉼표 [0] 2 30 2 2 2 3 2 2 2 4" xfId="22394"/>
    <cellStyle name="쉼표 [0] 2 30 2 2 2 3 2 2 3" xfId="8474"/>
    <cellStyle name="쉼표 [0] 2 30 2 2 2 3 2 2 3 2" xfId="25178"/>
    <cellStyle name="쉼표 [0] 2 30 2 2 2 3 2 2 4" xfId="14042"/>
    <cellStyle name="쉼표 [0] 2 30 2 2 2 3 2 2 4 2" xfId="30746"/>
    <cellStyle name="쉼표 [0] 2 30 2 2 2 3 2 2 5" xfId="19610"/>
    <cellStyle name="쉼표 [0] 2 30 2 2 2 3 2 3" xfId="4298"/>
    <cellStyle name="쉼표 [0] 2 30 2 2 2 3 2 3 2" xfId="9866"/>
    <cellStyle name="쉼표 [0] 2 30 2 2 2 3 2 3 2 2" xfId="26570"/>
    <cellStyle name="쉼표 [0] 2 30 2 2 2 3 2 3 3" xfId="15434"/>
    <cellStyle name="쉼표 [0] 2 30 2 2 2 3 2 3 3 2" xfId="32138"/>
    <cellStyle name="쉼표 [0] 2 30 2 2 2 3 2 3 4" xfId="21002"/>
    <cellStyle name="쉼표 [0] 2 30 2 2 2 3 2 4" xfId="7082"/>
    <cellStyle name="쉼표 [0] 2 30 2 2 2 3 2 4 2" xfId="23786"/>
    <cellStyle name="쉼표 [0] 2 30 2 2 2 3 2 5" xfId="12650"/>
    <cellStyle name="쉼표 [0] 2 30 2 2 2 3 2 5 2" xfId="29354"/>
    <cellStyle name="쉼표 [0] 2 30 2 2 2 3 2 6" xfId="18218"/>
    <cellStyle name="쉼표 [0] 2 30 2 2 2 3 3" xfId="2210"/>
    <cellStyle name="쉼표 [0] 2 30 2 2 2 3 3 2" xfId="4994"/>
    <cellStyle name="쉼표 [0] 2 30 2 2 2 3 3 2 2" xfId="10562"/>
    <cellStyle name="쉼표 [0] 2 30 2 2 2 3 3 2 2 2" xfId="27266"/>
    <cellStyle name="쉼표 [0] 2 30 2 2 2 3 3 2 3" xfId="16130"/>
    <cellStyle name="쉼표 [0] 2 30 2 2 2 3 3 2 3 2" xfId="32834"/>
    <cellStyle name="쉼표 [0] 2 30 2 2 2 3 3 2 4" xfId="21698"/>
    <cellStyle name="쉼표 [0] 2 30 2 2 2 3 3 3" xfId="7778"/>
    <cellStyle name="쉼표 [0] 2 30 2 2 2 3 3 3 2" xfId="24482"/>
    <cellStyle name="쉼표 [0] 2 30 2 2 2 3 3 4" xfId="13346"/>
    <cellStyle name="쉼표 [0] 2 30 2 2 2 3 3 4 2" xfId="30050"/>
    <cellStyle name="쉼표 [0] 2 30 2 2 2 3 3 5" xfId="18914"/>
    <cellStyle name="쉼표 [0] 2 30 2 2 2 3 4" xfId="3602"/>
    <cellStyle name="쉼표 [0] 2 30 2 2 2 3 4 2" xfId="9170"/>
    <cellStyle name="쉼표 [0] 2 30 2 2 2 3 4 2 2" xfId="25874"/>
    <cellStyle name="쉼표 [0] 2 30 2 2 2 3 4 3" xfId="14738"/>
    <cellStyle name="쉼표 [0] 2 30 2 2 2 3 4 3 2" xfId="31442"/>
    <cellStyle name="쉼표 [0] 2 30 2 2 2 3 4 4" xfId="20306"/>
    <cellStyle name="쉼표 [0] 2 30 2 2 2 3 5" xfId="6386"/>
    <cellStyle name="쉼표 [0] 2 30 2 2 2 3 5 2" xfId="23090"/>
    <cellStyle name="쉼표 [0] 2 30 2 2 2 3 6" xfId="11954"/>
    <cellStyle name="쉼표 [0] 2 30 2 2 2 3 6 2" xfId="28658"/>
    <cellStyle name="쉼표 [0] 2 30 2 2 2 3 7" xfId="17522"/>
    <cellStyle name="쉼표 [0] 2 30 2 2 2 4" xfId="1050"/>
    <cellStyle name="쉼표 [0] 2 30 2 2 2 4 2" xfId="2442"/>
    <cellStyle name="쉼표 [0] 2 30 2 2 2 4 2 2" xfId="5226"/>
    <cellStyle name="쉼표 [0] 2 30 2 2 2 4 2 2 2" xfId="10794"/>
    <cellStyle name="쉼표 [0] 2 30 2 2 2 4 2 2 2 2" xfId="27498"/>
    <cellStyle name="쉼표 [0] 2 30 2 2 2 4 2 2 3" xfId="16362"/>
    <cellStyle name="쉼표 [0] 2 30 2 2 2 4 2 2 3 2" xfId="33066"/>
    <cellStyle name="쉼표 [0] 2 30 2 2 2 4 2 2 4" xfId="21930"/>
    <cellStyle name="쉼표 [0] 2 30 2 2 2 4 2 3" xfId="8010"/>
    <cellStyle name="쉼표 [0] 2 30 2 2 2 4 2 3 2" xfId="24714"/>
    <cellStyle name="쉼표 [0] 2 30 2 2 2 4 2 4" xfId="13578"/>
    <cellStyle name="쉼표 [0] 2 30 2 2 2 4 2 4 2" xfId="30282"/>
    <cellStyle name="쉼표 [0] 2 30 2 2 2 4 2 5" xfId="19146"/>
    <cellStyle name="쉼표 [0] 2 30 2 2 2 4 3" xfId="3834"/>
    <cellStyle name="쉼표 [0] 2 30 2 2 2 4 3 2" xfId="9402"/>
    <cellStyle name="쉼표 [0] 2 30 2 2 2 4 3 2 2" xfId="26106"/>
    <cellStyle name="쉼표 [0] 2 30 2 2 2 4 3 3" xfId="14970"/>
    <cellStyle name="쉼표 [0] 2 30 2 2 2 4 3 3 2" xfId="31674"/>
    <cellStyle name="쉼표 [0] 2 30 2 2 2 4 3 4" xfId="20538"/>
    <cellStyle name="쉼표 [0] 2 30 2 2 2 4 4" xfId="6618"/>
    <cellStyle name="쉼표 [0] 2 30 2 2 2 4 4 2" xfId="23322"/>
    <cellStyle name="쉼표 [0] 2 30 2 2 2 4 5" xfId="12186"/>
    <cellStyle name="쉼표 [0] 2 30 2 2 2 4 5 2" xfId="28890"/>
    <cellStyle name="쉼표 [0] 2 30 2 2 2 4 6" xfId="17754"/>
    <cellStyle name="쉼표 [0] 2 30 2 2 2 5" xfId="1746"/>
    <cellStyle name="쉼표 [0] 2 30 2 2 2 5 2" xfId="4530"/>
    <cellStyle name="쉼표 [0] 2 30 2 2 2 5 2 2" xfId="10098"/>
    <cellStyle name="쉼표 [0] 2 30 2 2 2 5 2 2 2" xfId="26802"/>
    <cellStyle name="쉼표 [0] 2 30 2 2 2 5 2 3" xfId="15666"/>
    <cellStyle name="쉼표 [0] 2 30 2 2 2 5 2 3 2" xfId="32370"/>
    <cellStyle name="쉼표 [0] 2 30 2 2 2 5 2 4" xfId="21234"/>
    <cellStyle name="쉼표 [0] 2 30 2 2 2 5 3" xfId="7314"/>
    <cellStyle name="쉼표 [0] 2 30 2 2 2 5 3 2" xfId="24018"/>
    <cellStyle name="쉼표 [0] 2 30 2 2 2 5 4" xfId="12882"/>
    <cellStyle name="쉼표 [0] 2 30 2 2 2 5 4 2" xfId="29586"/>
    <cellStyle name="쉼표 [0] 2 30 2 2 2 5 5" xfId="18450"/>
    <cellStyle name="쉼표 [0] 2 30 2 2 2 6" xfId="3138"/>
    <cellStyle name="쉼표 [0] 2 30 2 2 2 6 2" xfId="8706"/>
    <cellStyle name="쉼표 [0] 2 30 2 2 2 6 2 2" xfId="25410"/>
    <cellStyle name="쉼표 [0] 2 30 2 2 2 6 3" xfId="14274"/>
    <cellStyle name="쉼표 [0] 2 30 2 2 2 6 3 2" xfId="30978"/>
    <cellStyle name="쉼표 [0] 2 30 2 2 2 6 4" xfId="19842"/>
    <cellStyle name="쉼표 [0] 2 30 2 2 2 7" xfId="5922"/>
    <cellStyle name="쉼표 [0] 2 30 2 2 2 7 2" xfId="22626"/>
    <cellStyle name="쉼표 [0] 2 30 2 2 2 8" xfId="11490"/>
    <cellStyle name="쉼표 [0] 2 30 2 2 2 8 2" xfId="28194"/>
    <cellStyle name="쉼표 [0] 2 30 2 2 2 9" xfId="17058"/>
    <cellStyle name="쉼표 [0] 2 30 2 2 3" xfId="470"/>
    <cellStyle name="쉼표 [0] 2 30 2 2 3 2" xfId="1166"/>
    <cellStyle name="쉼표 [0] 2 30 2 2 3 2 2" xfId="2558"/>
    <cellStyle name="쉼표 [0] 2 30 2 2 3 2 2 2" xfId="5342"/>
    <cellStyle name="쉼표 [0] 2 30 2 2 3 2 2 2 2" xfId="10910"/>
    <cellStyle name="쉼표 [0] 2 30 2 2 3 2 2 2 2 2" xfId="27614"/>
    <cellStyle name="쉼표 [0] 2 30 2 2 3 2 2 2 3" xfId="16478"/>
    <cellStyle name="쉼표 [0] 2 30 2 2 3 2 2 2 3 2" xfId="33182"/>
    <cellStyle name="쉼표 [0] 2 30 2 2 3 2 2 2 4" xfId="22046"/>
    <cellStyle name="쉼표 [0] 2 30 2 2 3 2 2 3" xfId="8126"/>
    <cellStyle name="쉼표 [0] 2 30 2 2 3 2 2 3 2" xfId="24830"/>
    <cellStyle name="쉼표 [0] 2 30 2 2 3 2 2 4" xfId="13694"/>
    <cellStyle name="쉼표 [0] 2 30 2 2 3 2 2 4 2" xfId="30398"/>
    <cellStyle name="쉼표 [0] 2 30 2 2 3 2 2 5" xfId="19262"/>
    <cellStyle name="쉼표 [0] 2 30 2 2 3 2 3" xfId="3950"/>
    <cellStyle name="쉼표 [0] 2 30 2 2 3 2 3 2" xfId="9518"/>
    <cellStyle name="쉼표 [0] 2 30 2 2 3 2 3 2 2" xfId="26222"/>
    <cellStyle name="쉼표 [0] 2 30 2 2 3 2 3 3" xfId="15086"/>
    <cellStyle name="쉼표 [0] 2 30 2 2 3 2 3 3 2" xfId="31790"/>
    <cellStyle name="쉼표 [0] 2 30 2 2 3 2 3 4" xfId="20654"/>
    <cellStyle name="쉼표 [0] 2 30 2 2 3 2 4" xfId="6734"/>
    <cellStyle name="쉼표 [0] 2 30 2 2 3 2 4 2" xfId="23438"/>
    <cellStyle name="쉼표 [0] 2 30 2 2 3 2 5" xfId="12302"/>
    <cellStyle name="쉼표 [0] 2 30 2 2 3 2 5 2" xfId="29006"/>
    <cellStyle name="쉼표 [0] 2 30 2 2 3 2 6" xfId="17870"/>
    <cellStyle name="쉼표 [0] 2 30 2 2 3 3" xfId="1862"/>
    <cellStyle name="쉼표 [0] 2 30 2 2 3 3 2" xfId="4646"/>
    <cellStyle name="쉼표 [0] 2 30 2 2 3 3 2 2" xfId="10214"/>
    <cellStyle name="쉼표 [0] 2 30 2 2 3 3 2 2 2" xfId="26918"/>
    <cellStyle name="쉼표 [0] 2 30 2 2 3 3 2 3" xfId="15782"/>
    <cellStyle name="쉼표 [0] 2 30 2 2 3 3 2 3 2" xfId="32486"/>
    <cellStyle name="쉼표 [0] 2 30 2 2 3 3 2 4" xfId="21350"/>
    <cellStyle name="쉼표 [0] 2 30 2 2 3 3 3" xfId="7430"/>
    <cellStyle name="쉼표 [0] 2 30 2 2 3 3 3 2" xfId="24134"/>
    <cellStyle name="쉼표 [0] 2 30 2 2 3 3 4" xfId="12998"/>
    <cellStyle name="쉼표 [0] 2 30 2 2 3 3 4 2" xfId="29702"/>
    <cellStyle name="쉼표 [0] 2 30 2 2 3 3 5" xfId="18566"/>
    <cellStyle name="쉼표 [0] 2 30 2 2 3 4" xfId="3254"/>
    <cellStyle name="쉼표 [0] 2 30 2 2 3 4 2" xfId="8822"/>
    <cellStyle name="쉼표 [0] 2 30 2 2 3 4 2 2" xfId="25526"/>
    <cellStyle name="쉼표 [0] 2 30 2 2 3 4 3" xfId="14390"/>
    <cellStyle name="쉼표 [0] 2 30 2 2 3 4 3 2" xfId="31094"/>
    <cellStyle name="쉼표 [0] 2 30 2 2 3 4 4" xfId="19958"/>
    <cellStyle name="쉼표 [0] 2 30 2 2 3 5" xfId="6038"/>
    <cellStyle name="쉼표 [0] 2 30 2 2 3 5 2" xfId="22742"/>
    <cellStyle name="쉼표 [0] 2 30 2 2 3 6" xfId="11606"/>
    <cellStyle name="쉼표 [0] 2 30 2 2 3 6 2" xfId="28310"/>
    <cellStyle name="쉼표 [0] 2 30 2 2 3 7" xfId="17174"/>
    <cellStyle name="쉼표 [0] 2 30 2 2 4" xfId="702"/>
    <cellStyle name="쉼표 [0] 2 30 2 2 4 2" xfId="1398"/>
    <cellStyle name="쉼표 [0] 2 30 2 2 4 2 2" xfId="2790"/>
    <cellStyle name="쉼표 [0] 2 30 2 2 4 2 2 2" xfId="5574"/>
    <cellStyle name="쉼표 [0] 2 30 2 2 4 2 2 2 2" xfId="11142"/>
    <cellStyle name="쉼표 [0] 2 30 2 2 4 2 2 2 2 2" xfId="27846"/>
    <cellStyle name="쉼표 [0] 2 30 2 2 4 2 2 2 3" xfId="16710"/>
    <cellStyle name="쉼표 [0] 2 30 2 2 4 2 2 2 3 2" xfId="33414"/>
    <cellStyle name="쉼표 [0] 2 30 2 2 4 2 2 2 4" xfId="22278"/>
    <cellStyle name="쉼표 [0] 2 30 2 2 4 2 2 3" xfId="8358"/>
    <cellStyle name="쉼표 [0] 2 30 2 2 4 2 2 3 2" xfId="25062"/>
    <cellStyle name="쉼표 [0] 2 30 2 2 4 2 2 4" xfId="13926"/>
    <cellStyle name="쉼표 [0] 2 30 2 2 4 2 2 4 2" xfId="30630"/>
    <cellStyle name="쉼표 [0] 2 30 2 2 4 2 2 5" xfId="19494"/>
    <cellStyle name="쉼표 [0] 2 30 2 2 4 2 3" xfId="4182"/>
    <cellStyle name="쉼표 [0] 2 30 2 2 4 2 3 2" xfId="9750"/>
    <cellStyle name="쉼표 [0] 2 30 2 2 4 2 3 2 2" xfId="26454"/>
    <cellStyle name="쉼표 [0] 2 30 2 2 4 2 3 3" xfId="15318"/>
    <cellStyle name="쉼표 [0] 2 30 2 2 4 2 3 3 2" xfId="32022"/>
    <cellStyle name="쉼표 [0] 2 30 2 2 4 2 3 4" xfId="20886"/>
    <cellStyle name="쉼표 [0] 2 30 2 2 4 2 4" xfId="6966"/>
    <cellStyle name="쉼표 [0] 2 30 2 2 4 2 4 2" xfId="23670"/>
    <cellStyle name="쉼표 [0] 2 30 2 2 4 2 5" xfId="12534"/>
    <cellStyle name="쉼표 [0] 2 30 2 2 4 2 5 2" xfId="29238"/>
    <cellStyle name="쉼표 [0] 2 30 2 2 4 2 6" xfId="18102"/>
    <cellStyle name="쉼표 [0] 2 30 2 2 4 3" xfId="2094"/>
    <cellStyle name="쉼표 [0] 2 30 2 2 4 3 2" xfId="4878"/>
    <cellStyle name="쉼표 [0] 2 30 2 2 4 3 2 2" xfId="10446"/>
    <cellStyle name="쉼표 [0] 2 30 2 2 4 3 2 2 2" xfId="27150"/>
    <cellStyle name="쉼표 [0] 2 30 2 2 4 3 2 3" xfId="16014"/>
    <cellStyle name="쉼표 [0] 2 30 2 2 4 3 2 3 2" xfId="32718"/>
    <cellStyle name="쉼표 [0] 2 30 2 2 4 3 2 4" xfId="21582"/>
    <cellStyle name="쉼표 [0] 2 30 2 2 4 3 3" xfId="7662"/>
    <cellStyle name="쉼표 [0] 2 30 2 2 4 3 3 2" xfId="24366"/>
    <cellStyle name="쉼표 [0] 2 30 2 2 4 3 4" xfId="13230"/>
    <cellStyle name="쉼표 [0] 2 30 2 2 4 3 4 2" xfId="29934"/>
    <cellStyle name="쉼표 [0] 2 30 2 2 4 3 5" xfId="18798"/>
    <cellStyle name="쉼표 [0] 2 30 2 2 4 4" xfId="3486"/>
    <cellStyle name="쉼표 [0] 2 30 2 2 4 4 2" xfId="9054"/>
    <cellStyle name="쉼표 [0] 2 30 2 2 4 4 2 2" xfId="25758"/>
    <cellStyle name="쉼표 [0] 2 30 2 2 4 4 3" xfId="14622"/>
    <cellStyle name="쉼표 [0] 2 30 2 2 4 4 3 2" xfId="31326"/>
    <cellStyle name="쉼표 [0] 2 30 2 2 4 4 4" xfId="20190"/>
    <cellStyle name="쉼표 [0] 2 30 2 2 4 5" xfId="6270"/>
    <cellStyle name="쉼표 [0] 2 30 2 2 4 5 2" xfId="22974"/>
    <cellStyle name="쉼표 [0] 2 30 2 2 4 6" xfId="11838"/>
    <cellStyle name="쉼표 [0] 2 30 2 2 4 6 2" xfId="28542"/>
    <cellStyle name="쉼표 [0] 2 30 2 2 4 7" xfId="17406"/>
    <cellStyle name="쉼표 [0] 2 30 2 2 5" xfId="934"/>
    <cellStyle name="쉼표 [0] 2 30 2 2 5 2" xfId="2326"/>
    <cellStyle name="쉼표 [0] 2 30 2 2 5 2 2" xfId="5110"/>
    <cellStyle name="쉼표 [0] 2 30 2 2 5 2 2 2" xfId="10678"/>
    <cellStyle name="쉼표 [0] 2 30 2 2 5 2 2 2 2" xfId="27382"/>
    <cellStyle name="쉼표 [0] 2 30 2 2 5 2 2 3" xfId="16246"/>
    <cellStyle name="쉼표 [0] 2 30 2 2 5 2 2 3 2" xfId="32950"/>
    <cellStyle name="쉼표 [0] 2 30 2 2 5 2 2 4" xfId="21814"/>
    <cellStyle name="쉼표 [0] 2 30 2 2 5 2 3" xfId="7894"/>
    <cellStyle name="쉼표 [0] 2 30 2 2 5 2 3 2" xfId="24598"/>
    <cellStyle name="쉼표 [0] 2 30 2 2 5 2 4" xfId="13462"/>
    <cellStyle name="쉼표 [0] 2 30 2 2 5 2 4 2" xfId="30166"/>
    <cellStyle name="쉼표 [0] 2 30 2 2 5 2 5" xfId="19030"/>
    <cellStyle name="쉼표 [0] 2 30 2 2 5 3" xfId="3718"/>
    <cellStyle name="쉼표 [0] 2 30 2 2 5 3 2" xfId="9286"/>
    <cellStyle name="쉼표 [0] 2 30 2 2 5 3 2 2" xfId="25990"/>
    <cellStyle name="쉼표 [0] 2 30 2 2 5 3 3" xfId="14854"/>
    <cellStyle name="쉼표 [0] 2 30 2 2 5 3 3 2" xfId="31558"/>
    <cellStyle name="쉼표 [0] 2 30 2 2 5 3 4" xfId="20422"/>
    <cellStyle name="쉼표 [0] 2 30 2 2 5 4" xfId="6502"/>
    <cellStyle name="쉼표 [0] 2 30 2 2 5 4 2" xfId="23206"/>
    <cellStyle name="쉼표 [0] 2 30 2 2 5 5" xfId="12070"/>
    <cellStyle name="쉼표 [0] 2 30 2 2 5 5 2" xfId="28774"/>
    <cellStyle name="쉼표 [0] 2 30 2 2 5 6" xfId="17638"/>
    <cellStyle name="쉼표 [0] 2 30 2 2 6" xfId="1630"/>
    <cellStyle name="쉼표 [0] 2 30 2 2 6 2" xfId="4414"/>
    <cellStyle name="쉼표 [0] 2 30 2 2 6 2 2" xfId="9982"/>
    <cellStyle name="쉼표 [0] 2 30 2 2 6 2 2 2" xfId="26686"/>
    <cellStyle name="쉼표 [0] 2 30 2 2 6 2 3" xfId="15550"/>
    <cellStyle name="쉼표 [0] 2 30 2 2 6 2 3 2" xfId="32254"/>
    <cellStyle name="쉼표 [0] 2 30 2 2 6 2 4" xfId="21118"/>
    <cellStyle name="쉼표 [0] 2 30 2 2 6 3" xfId="7198"/>
    <cellStyle name="쉼표 [0] 2 30 2 2 6 3 2" xfId="23902"/>
    <cellStyle name="쉼표 [0] 2 30 2 2 6 4" xfId="12766"/>
    <cellStyle name="쉼표 [0] 2 30 2 2 6 4 2" xfId="29470"/>
    <cellStyle name="쉼표 [0] 2 30 2 2 6 5" xfId="18334"/>
    <cellStyle name="쉼표 [0] 2 30 2 2 7" xfId="3022"/>
    <cellStyle name="쉼표 [0] 2 30 2 2 7 2" xfId="8590"/>
    <cellStyle name="쉼표 [0] 2 30 2 2 7 2 2" xfId="25294"/>
    <cellStyle name="쉼표 [0] 2 30 2 2 7 3" xfId="14158"/>
    <cellStyle name="쉼표 [0] 2 30 2 2 7 3 2" xfId="30862"/>
    <cellStyle name="쉼표 [0] 2 30 2 2 7 4" xfId="19726"/>
    <cellStyle name="쉼표 [0] 2 30 2 2 8" xfId="5806"/>
    <cellStyle name="쉼표 [0] 2 30 2 2 8 2" xfId="22510"/>
    <cellStyle name="쉼표 [0] 2 30 2 2 9" xfId="11374"/>
    <cellStyle name="쉼표 [0] 2 30 2 2 9 2" xfId="28078"/>
    <cellStyle name="쉼표 [0] 2 30 2 3" xfId="296"/>
    <cellStyle name="쉼표 [0] 2 30 2 3 2" xfId="528"/>
    <cellStyle name="쉼표 [0] 2 30 2 3 2 2" xfId="1224"/>
    <cellStyle name="쉼표 [0] 2 30 2 3 2 2 2" xfId="2616"/>
    <cellStyle name="쉼표 [0] 2 30 2 3 2 2 2 2" xfId="5400"/>
    <cellStyle name="쉼표 [0] 2 30 2 3 2 2 2 2 2" xfId="10968"/>
    <cellStyle name="쉼표 [0] 2 30 2 3 2 2 2 2 2 2" xfId="27672"/>
    <cellStyle name="쉼표 [0] 2 30 2 3 2 2 2 2 3" xfId="16536"/>
    <cellStyle name="쉼표 [0] 2 30 2 3 2 2 2 2 3 2" xfId="33240"/>
    <cellStyle name="쉼표 [0] 2 30 2 3 2 2 2 2 4" xfId="22104"/>
    <cellStyle name="쉼표 [0] 2 30 2 3 2 2 2 3" xfId="8184"/>
    <cellStyle name="쉼표 [0] 2 30 2 3 2 2 2 3 2" xfId="24888"/>
    <cellStyle name="쉼표 [0] 2 30 2 3 2 2 2 4" xfId="13752"/>
    <cellStyle name="쉼표 [0] 2 30 2 3 2 2 2 4 2" xfId="30456"/>
    <cellStyle name="쉼표 [0] 2 30 2 3 2 2 2 5" xfId="19320"/>
    <cellStyle name="쉼표 [0] 2 30 2 3 2 2 3" xfId="4008"/>
    <cellStyle name="쉼표 [0] 2 30 2 3 2 2 3 2" xfId="9576"/>
    <cellStyle name="쉼표 [0] 2 30 2 3 2 2 3 2 2" xfId="26280"/>
    <cellStyle name="쉼표 [0] 2 30 2 3 2 2 3 3" xfId="15144"/>
    <cellStyle name="쉼표 [0] 2 30 2 3 2 2 3 3 2" xfId="31848"/>
    <cellStyle name="쉼표 [0] 2 30 2 3 2 2 3 4" xfId="20712"/>
    <cellStyle name="쉼표 [0] 2 30 2 3 2 2 4" xfId="6792"/>
    <cellStyle name="쉼표 [0] 2 30 2 3 2 2 4 2" xfId="23496"/>
    <cellStyle name="쉼표 [0] 2 30 2 3 2 2 5" xfId="12360"/>
    <cellStyle name="쉼표 [0] 2 30 2 3 2 2 5 2" xfId="29064"/>
    <cellStyle name="쉼표 [0] 2 30 2 3 2 2 6" xfId="17928"/>
    <cellStyle name="쉼표 [0] 2 30 2 3 2 3" xfId="1920"/>
    <cellStyle name="쉼표 [0] 2 30 2 3 2 3 2" xfId="4704"/>
    <cellStyle name="쉼표 [0] 2 30 2 3 2 3 2 2" xfId="10272"/>
    <cellStyle name="쉼표 [0] 2 30 2 3 2 3 2 2 2" xfId="26976"/>
    <cellStyle name="쉼표 [0] 2 30 2 3 2 3 2 3" xfId="15840"/>
    <cellStyle name="쉼표 [0] 2 30 2 3 2 3 2 3 2" xfId="32544"/>
    <cellStyle name="쉼표 [0] 2 30 2 3 2 3 2 4" xfId="21408"/>
    <cellStyle name="쉼표 [0] 2 30 2 3 2 3 3" xfId="7488"/>
    <cellStyle name="쉼표 [0] 2 30 2 3 2 3 3 2" xfId="24192"/>
    <cellStyle name="쉼표 [0] 2 30 2 3 2 3 4" xfId="13056"/>
    <cellStyle name="쉼표 [0] 2 30 2 3 2 3 4 2" xfId="29760"/>
    <cellStyle name="쉼표 [0] 2 30 2 3 2 3 5" xfId="18624"/>
    <cellStyle name="쉼표 [0] 2 30 2 3 2 4" xfId="3312"/>
    <cellStyle name="쉼표 [0] 2 30 2 3 2 4 2" xfId="8880"/>
    <cellStyle name="쉼표 [0] 2 30 2 3 2 4 2 2" xfId="25584"/>
    <cellStyle name="쉼표 [0] 2 30 2 3 2 4 3" xfId="14448"/>
    <cellStyle name="쉼표 [0] 2 30 2 3 2 4 3 2" xfId="31152"/>
    <cellStyle name="쉼표 [0] 2 30 2 3 2 4 4" xfId="20016"/>
    <cellStyle name="쉼표 [0] 2 30 2 3 2 5" xfId="6096"/>
    <cellStyle name="쉼표 [0] 2 30 2 3 2 5 2" xfId="22800"/>
    <cellStyle name="쉼표 [0] 2 30 2 3 2 6" xfId="11664"/>
    <cellStyle name="쉼표 [0] 2 30 2 3 2 6 2" xfId="28368"/>
    <cellStyle name="쉼표 [0] 2 30 2 3 2 7" xfId="17232"/>
    <cellStyle name="쉼표 [0] 2 30 2 3 3" xfId="760"/>
    <cellStyle name="쉼표 [0] 2 30 2 3 3 2" xfId="1456"/>
    <cellStyle name="쉼표 [0] 2 30 2 3 3 2 2" xfId="2848"/>
    <cellStyle name="쉼표 [0] 2 30 2 3 3 2 2 2" xfId="5632"/>
    <cellStyle name="쉼표 [0] 2 30 2 3 3 2 2 2 2" xfId="11200"/>
    <cellStyle name="쉼표 [0] 2 30 2 3 3 2 2 2 2 2" xfId="27904"/>
    <cellStyle name="쉼표 [0] 2 30 2 3 3 2 2 2 3" xfId="16768"/>
    <cellStyle name="쉼표 [0] 2 30 2 3 3 2 2 2 3 2" xfId="33472"/>
    <cellStyle name="쉼표 [0] 2 30 2 3 3 2 2 2 4" xfId="22336"/>
    <cellStyle name="쉼표 [0] 2 30 2 3 3 2 2 3" xfId="8416"/>
    <cellStyle name="쉼표 [0] 2 30 2 3 3 2 2 3 2" xfId="25120"/>
    <cellStyle name="쉼표 [0] 2 30 2 3 3 2 2 4" xfId="13984"/>
    <cellStyle name="쉼표 [0] 2 30 2 3 3 2 2 4 2" xfId="30688"/>
    <cellStyle name="쉼표 [0] 2 30 2 3 3 2 2 5" xfId="19552"/>
    <cellStyle name="쉼표 [0] 2 30 2 3 3 2 3" xfId="4240"/>
    <cellStyle name="쉼표 [0] 2 30 2 3 3 2 3 2" xfId="9808"/>
    <cellStyle name="쉼표 [0] 2 30 2 3 3 2 3 2 2" xfId="26512"/>
    <cellStyle name="쉼표 [0] 2 30 2 3 3 2 3 3" xfId="15376"/>
    <cellStyle name="쉼표 [0] 2 30 2 3 3 2 3 3 2" xfId="32080"/>
    <cellStyle name="쉼표 [0] 2 30 2 3 3 2 3 4" xfId="20944"/>
    <cellStyle name="쉼표 [0] 2 30 2 3 3 2 4" xfId="7024"/>
    <cellStyle name="쉼표 [0] 2 30 2 3 3 2 4 2" xfId="23728"/>
    <cellStyle name="쉼표 [0] 2 30 2 3 3 2 5" xfId="12592"/>
    <cellStyle name="쉼표 [0] 2 30 2 3 3 2 5 2" xfId="29296"/>
    <cellStyle name="쉼표 [0] 2 30 2 3 3 2 6" xfId="18160"/>
    <cellStyle name="쉼표 [0] 2 30 2 3 3 3" xfId="2152"/>
    <cellStyle name="쉼표 [0] 2 30 2 3 3 3 2" xfId="4936"/>
    <cellStyle name="쉼표 [0] 2 30 2 3 3 3 2 2" xfId="10504"/>
    <cellStyle name="쉼표 [0] 2 30 2 3 3 3 2 2 2" xfId="27208"/>
    <cellStyle name="쉼표 [0] 2 30 2 3 3 3 2 3" xfId="16072"/>
    <cellStyle name="쉼표 [0] 2 30 2 3 3 3 2 3 2" xfId="32776"/>
    <cellStyle name="쉼표 [0] 2 30 2 3 3 3 2 4" xfId="21640"/>
    <cellStyle name="쉼표 [0] 2 30 2 3 3 3 3" xfId="7720"/>
    <cellStyle name="쉼표 [0] 2 30 2 3 3 3 3 2" xfId="24424"/>
    <cellStyle name="쉼표 [0] 2 30 2 3 3 3 4" xfId="13288"/>
    <cellStyle name="쉼표 [0] 2 30 2 3 3 3 4 2" xfId="29992"/>
    <cellStyle name="쉼표 [0] 2 30 2 3 3 3 5" xfId="18856"/>
    <cellStyle name="쉼표 [0] 2 30 2 3 3 4" xfId="3544"/>
    <cellStyle name="쉼표 [0] 2 30 2 3 3 4 2" xfId="9112"/>
    <cellStyle name="쉼표 [0] 2 30 2 3 3 4 2 2" xfId="25816"/>
    <cellStyle name="쉼표 [0] 2 30 2 3 3 4 3" xfId="14680"/>
    <cellStyle name="쉼표 [0] 2 30 2 3 3 4 3 2" xfId="31384"/>
    <cellStyle name="쉼표 [0] 2 30 2 3 3 4 4" xfId="20248"/>
    <cellStyle name="쉼표 [0] 2 30 2 3 3 5" xfId="6328"/>
    <cellStyle name="쉼표 [0] 2 30 2 3 3 5 2" xfId="23032"/>
    <cellStyle name="쉼표 [0] 2 30 2 3 3 6" xfId="11896"/>
    <cellStyle name="쉼표 [0] 2 30 2 3 3 6 2" xfId="28600"/>
    <cellStyle name="쉼표 [0] 2 30 2 3 3 7" xfId="17464"/>
    <cellStyle name="쉼표 [0] 2 30 2 3 4" xfId="992"/>
    <cellStyle name="쉼표 [0] 2 30 2 3 4 2" xfId="2384"/>
    <cellStyle name="쉼표 [0] 2 30 2 3 4 2 2" xfId="5168"/>
    <cellStyle name="쉼표 [0] 2 30 2 3 4 2 2 2" xfId="10736"/>
    <cellStyle name="쉼표 [0] 2 30 2 3 4 2 2 2 2" xfId="27440"/>
    <cellStyle name="쉼표 [0] 2 30 2 3 4 2 2 3" xfId="16304"/>
    <cellStyle name="쉼표 [0] 2 30 2 3 4 2 2 3 2" xfId="33008"/>
    <cellStyle name="쉼표 [0] 2 30 2 3 4 2 2 4" xfId="21872"/>
    <cellStyle name="쉼표 [0] 2 30 2 3 4 2 3" xfId="7952"/>
    <cellStyle name="쉼표 [0] 2 30 2 3 4 2 3 2" xfId="24656"/>
    <cellStyle name="쉼표 [0] 2 30 2 3 4 2 4" xfId="13520"/>
    <cellStyle name="쉼표 [0] 2 30 2 3 4 2 4 2" xfId="30224"/>
    <cellStyle name="쉼표 [0] 2 30 2 3 4 2 5" xfId="19088"/>
    <cellStyle name="쉼표 [0] 2 30 2 3 4 3" xfId="3776"/>
    <cellStyle name="쉼표 [0] 2 30 2 3 4 3 2" xfId="9344"/>
    <cellStyle name="쉼표 [0] 2 30 2 3 4 3 2 2" xfId="26048"/>
    <cellStyle name="쉼표 [0] 2 30 2 3 4 3 3" xfId="14912"/>
    <cellStyle name="쉼표 [0] 2 30 2 3 4 3 3 2" xfId="31616"/>
    <cellStyle name="쉼표 [0] 2 30 2 3 4 3 4" xfId="20480"/>
    <cellStyle name="쉼표 [0] 2 30 2 3 4 4" xfId="6560"/>
    <cellStyle name="쉼표 [0] 2 30 2 3 4 4 2" xfId="23264"/>
    <cellStyle name="쉼표 [0] 2 30 2 3 4 5" xfId="12128"/>
    <cellStyle name="쉼표 [0] 2 30 2 3 4 5 2" xfId="28832"/>
    <cellStyle name="쉼표 [0] 2 30 2 3 4 6" xfId="17696"/>
    <cellStyle name="쉼표 [0] 2 30 2 3 5" xfId="1688"/>
    <cellStyle name="쉼표 [0] 2 30 2 3 5 2" xfId="4472"/>
    <cellStyle name="쉼표 [0] 2 30 2 3 5 2 2" xfId="10040"/>
    <cellStyle name="쉼표 [0] 2 30 2 3 5 2 2 2" xfId="26744"/>
    <cellStyle name="쉼표 [0] 2 30 2 3 5 2 3" xfId="15608"/>
    <cellStyle name="쉼표 [0] 2 30 2 3 5 2 3 2" xfId="32312"/>
    <cellStyle name="쉼표 [0] 2 30 2 3 5 2 4" xfId="21176"/>
    <cellStyle name="쉼표 [0] 2 30 2 3 5 3" xfId="7256"/>
    <cellStyle name="쉼표 [0] 2 30 2 3 5 3 2" xfId="23960"/>
    <cellStyle name="쉼표 [0] 2 30 2 3 5 4" xfId="12824"/>
    <cellStyle name="쉼표 [0] 2 30 2 3 5 4 2" xfId="29528"/>
    <cellStyle name="쉼표 [0] 2 30 2 3 5 5" xfId="18392"/>
    <cellStyle name="쉼표 [0] 2 30 2 3 6" xfId="3080"/>
    <cellStyle name="쉼표 [0] 2 30 2 3 6 2" xfId="8648"/>
    <cellStyle name="쉼표 [0] 2 30 2 3 6 2 2" xfId="25352"/>
    <cellStyle name="쉼표 [0] 2 30 2 3 6 3" xfId="14216"/>
    <cellStyle name="쉼표 [0] 2 30 2 3 6 3 2" xfId="30920"/>
    <cellStyle name="쉼표 [0] 2 30 2 3 6 4" xfId="19784"/>
    <cellStyle name="쉼표 [0] 2 30 2 3 7" xfId="5864"/>
    <cellStyle name="쉼표 [0] 2 30 2 3 7 2" xfId="22568"/>
    <cellStyle name="쉼표 [0] 2 30 2 3 8" xfId="11432"/>
    <cellStyle name="쉼표 [0] 2 30 2 3 8 2" xfId="28136"/>
    <cellStyle name="쉼표 [0] 2 30 2 3 9" xfId="17000"/>
    <cellStyle name="쉼표 [0] 2 30 2 4" xfId="412"/>
    <cellStyle name="쉼표 [0] 2 30 2 4 2" xfId="1108"/>
    <cellStyle name="쉼표 [0] 2 30 2 4 2 2" xfId="2500"/>
    <cellStyle name="쉼표 [0] 2 30 2 4 2 2 2" xfId="5284"/>
    <cellStyle name="쉼표 [0] 2 30 2 4 2 2 2 2" xfId="10852"/>
    <cellStyle name="쉼표 [0] 2 30 2 4 2 2 2 2 2" xfId="27556"/>
    <cellStyle name="쉼표 [0] 2 30 2 4 2 2 2 3" xfId="16420"/>
    <cellStyle name="쉼표 [0] 2 30 2 4 2 2 2 3 2" xfId="33124"/>
    <cellStyle name="쉼표 [0] 2 30 2 4 2 2 2 4" xfId="21988"/>
    <cellStyle name="쉼표 [0] 2 30 2 4 2 2 3" xfId="8068"/>
    <cellStyle name="쉼표 [0] 2 30 2 4 2 2 3 2" xfId="24772"/>
    <cellStyle name="쉼표 [0] 2 30 2 4 2 2 4" xfId="13636"/>
    <cellStyle name="쉼표 [0] 2 30 2 4 2 2 4 2" xfId="30340"/>
    <cellStyle name="쉼표 [0] 2 30 2 4 2 2 5" xfId="19204"/>
    <cellStyle name="쉼표 [0] 2 30 2 4 2 3" xfId="3892"/>
    <cellStyle name="쉼표 [0] 2 30 2 4 2 3 2" xfId="9460"/>
    <cellStyle name="쉼표 [0] 2 30 2 4 2 3 2 2" xfId="26164"/>
    <cellStyle name="쉼표 [0] 2 30 2 4 2 3 3" xfId="15028"/>
    <cellStyle name="쉼표 [0] 2 30 2 4 2 3 3 2" xfId="31732"/>
    <cellStyle name="쉼표 [0] 2 30 2 4 2 3 4" xfId="20596"/>
    <cellStyle name="쉼표 [0] 2 30 2 4 2 4" xfId="6676"/>
    <cellStyle name="쉼표 [0] 2 30 2 4 2 4 2" xfId="23380"/>
    <cellStyle name="쉼표 [0] 2 30 2 4 2 5" xfId="12244"/>
    <cellStyle name="쉼표 [0] 2 30 2 4 2 5 2" xfId="28948"/>
    <cellStyle name="쉼표 [0] 2 30 2 4 2 6" xfId="17812"/>
    <cellStyle name="쉼표 [0] 2 30 2 4 3" xfId="1804"/>
    <cellStyle name="쉼표 [0] 2 30 2 4 3 2" xfId="4588"/>
    <cellStyle name="쉼표 [0] 2 30 2 4 3 2 2" xfId="10156"/>
    <cellStyle name="쉼표 [0] 2 30 2 4 3 2 2 2" xfId="26860"/>
    <cellStyle name="쉼표 [0] 2 30 2 4 3 2 3" xfId="15724"/>
    <cellStyle name="쉼표 [0] 2 30 2 4 3 2 3 2" xfId="32428"/>
    <cellStyle name="쉼표 [0] 2 30 2 4 3 2 4" xfId="21292"/>
    <cellStyle name="쉼표 [0] 2 30 2 4 3 3" xfId="7372"/>
    <cellStyle name="쉼표 [0] 2 30 2 4 3 3 2" xfId="24076"/>
    <cellStyle name="쉼표 [0] 2 30 2 4 3 4" xfId="12940"/>
    <cellStyle name="쉼표 [0] 2 30 2 4 3 4 2" xfId="29644"/>
    <cellStyle name="쉼표 [0] 2 30 2 4 3 5" xfId="18508"/>
    <cellStyle name="쉼표 [0] 2 30 2 4 4" xfId="3196"/>
    <cellStyle name="쉼표 [0] 2 30 2 4 4 2" xfId="8764"/>
    <cellStyle name="쉼표 [0] 2 30 2 4 4 2 2" xfId="25468"/>
    <cellStyle name="쉼표 [0] 2 30 2 4 4 3" xfId="14332"/>
    <cellStyle name="쉼표 [0] 2 30 2 4 4 3 2" xfId="31036"/>
    <cellStyle name="쉼표 [0] 2 30 2 4 4 4" xfId="19900"/>
    <cellStyle name="쉼표 [0] 2 30 2 4 5" xfId="5980"/>
    <cellStyle name="쉼표 [0] 2 30 2 4 5 2" xfId="22684"/>
    <cellStyle name="쉼표 [0] 2 30 2 4 6" xfId="11548"/>
    <cellStyle name="쉼표 [0] 2 30 2 4 6 2" xfId="28252"/>
    <cellStyle name="쉼표 [0] 2 30 2 4 7" xfId="17116"/>
    <cellStyle name="쉼표 [0] 2 30 2 5" xfId="644"/>
    <cellStyle name="쉼표 [0] 2 30 2 5 2" xfId="1340"/>
    <cellStyle name="쉼표 [0] 2 30 2 5 2 2" xfId="2732"/>
    <cellStyle name="쉼표 [0] 2 30 2 5 2 2 2" xfId="5516"/>
    <cellStyle name="쉼표 [0] 2 30 2 5 2 2 2 2" xfId="11084"/>
    <cellStyle name="쉼표 [0] 2 30 2 5 2 2 2 2 2" xfId="27788"/>
    <cellStyle name="쉼표 [0] 2 30 2 5 2 2 2 3" xfId="16652"/>
    <cellStyle name="쉼표 [0] 2 30 2 5 2 2 2 3 2" xfId="33356"/>
    <cellStyle name="쉼표 [0] 2 30 2 5 2 2 2 4" xfId="22220"/>
    <cellStyle name="쉼표 [0] 2 30 2 5 2 2 3" xfId="8300"/>
    <cellStyle name="쉼표 [0] 2 30 2 5 2 2 3 2" xfId="25004"/>
    <cellStyle name="쉼표 [0] 2 30 2 5 2 2 4" xfId="13868"/>
    <cellStyle name="쉼표 [0] 2 30 2 5 2 2 4 2" xfId="30572"/>
    <cellStyle name="쉼표 [0] 2 30 2 5 2 2 5" xfId="19436"/>
    <cellStyle name="쉼표 [0] 2 30 2 5 2 3" xfId="4124"/>
    <cellStyle name="쉼표 [0] 2 30 2 5 2 3 2" xfId="9692"/>
    <cellStyle name="쉼표 [0] 2 30 2 5 2 3 2 2" xfId="26396"/>
    <cellStyle name="쉼표 [0] 2 30 2 5 2 3 3" xfId="15260"/>
    <cellStyle name="쉼표 [0] 2 30 2 5 2 3 3 2" xfId="31964"/>
    <cellStyle name="쉼표 [0] 2 30 2 5 2 3 4" xfId="20828"/>
    <cellStyle name="쉼표 [0] 2 30 2 5 2 4" xfId="6908"/>
    <cellStyle name="쉼표 [0] 2 30 2 5 2 4 2" xfId="23612"/>
    <cellStyle name="쉼표 [0] 2 30 2 5 2 5" xfId="12476"/>
    <cellStyle name="쉼표 [0] 2 30 2 5 2 5 2" xfId="29180"/>
    <cellStyle name="쉼표 [0] 2 30 2 5 2 6" xfId="18044"/>
    <cellStyle name="쉼표 [0] 2 30 2 5 3" xfId="2036"/>
    <cellStyle name="쉼표 [0] 2 30 2 5 3 2" xfId="4820"/>
    <cellStyle name="쉼표 [0] 2 30 2 5 3 2 2" xfId="10388"/>
    <cellStyle name="쉼표 [0] 2 30 2 5 3 2 2 2" xfId="27092"/>
    <cellStyle name="쉼표 [0] 2 30 2 5 3 2 3" xfId="15956"/>
    <cellStyle name="쉼표 [0] 2 30 2 5 3 2 3 2" xfId="32660"/>
    <cellStyle name="쉼표 [0] 2 30 2 5 3 2 4" xfId="21524"/>
    <cellStyle name="쉼표 [0] 2 30 2 5 3 3" xfId="7604"/>
    <cellStyle name="쉼표 [0] 2 30 2 5 3 3 2" xfId="24308"/>
    <cellStyle name="쉼표 [0] 2 30 2 5 3 4" xfId="13172"/>
    <cellStyle name="쉼표 [0] 2 30 2 5 3 4 2" xfId="29876"/>
    <cellStyle name="쉼표 [0] 2 30 2 5 3 5" xfId="18740"/>
    <cellStyle name="쉼표 [0] 2 30 2 5 4" xfId="3428"/>
    <cellStyle name="쉼표 [0] 2 30 2 5 4 2" xfId="8996"/>
    <cellStyle name="쉼표 [0] 2 30 2 5 4 2 2" xfId="25700"/>
    <cellStyle name="쉼표 [0] 2 30 2 5 4 3" xfId="14564"/>
    <cellStyle name="쉼표 [0] 2 30 2 5 4 3 2" xfId="31268"/>
    <cellStyle name="쉼표 [0] 2 30 2 5 4 4" xfId="20132"/>
    <cellStyle name="쉼표 [0] 2 30 2 5 5" xfId="6212"/>
    <cellStyle name="쉼표 [0] 2 30 2 5 5 2" xfId="22916"/>
    <cellStyle name="쉼표 [0] 2 30 2 5 6" xfId="11780"/>
    <cellStyle name="쉼표 [0] 2 30 2 5 6 2" xfId="28484"/>
    <cellStyle name="쉼표 [0] 2 30 2 5 7" xfId="17348"/>
    <cellStyle name="쉼표 [0] 2 30 2 6" xfId="876"/>
    <cellStyle name="쉼표 [0] 2 30 2 6 2" xfId="2268"/>
    <cellStyle name="쉼표 [0] 2 30 2 6 2 2" xfId="5052"/>
    <cellStyle name="쉼표 [0] 2 30 2 6 2 2 2" xfId="10620"/>
    <cellStyle name="쉼표 [0] 2 30 2 6 2 2 2 2" xfId="27324"/>
    <cellStyle name="쉼표 [0] 2 30 2 6 2 2 3" xfId="16188"/>
    <cellStyle name="쉼표 [0] 2 30 2 6 2 2 3 2" xfId="32892"/>
    <cellStyle name="쉼표 [0] 2 30 2 6 2 2 4" xfId="21756"/>
    <cellStyle name="쉼표 [0] 2 30 2 6 2 3" xfId="7836"/>
    <cellStyle name="쉼표 [0] 2 30 2 6 2 3 2" xfId="24540"/>
    <cellStyle name="쉼표 [0] 2 30 2 6 2 4" xfId="13404"/>
    <cellStyle name="쉼표 [0] 2 30 2 6 2 4 2" xfId="30108"/>
    <cellStyle name="쉼표 [0] 2 30 2 6 2 5" xfId="18972"/>
    <cellStyle name="쉼표 [0] 2 30 2 6 3" xfId="3660"/>
    <cellStyle name="쉼표 [0] 2 30 2 6 3 2" xfId="9228"/>
    <cellStyle name="쉼표 [0] 2 30 2 6 3 2 2" xfId="25932"/>
    <cellStyle name="쉼표 [0] 2 30 2 6 3 3" xfId="14796"/>
    <cellStyle name="쉼표 [0] 2 30 2 6 3 3 2" xfId="31500"/>
    <cellStyle name="쉼표 [0] 2 30 2 6 3 4" xfId="20364"/>
    <cellStyle name="쉼표 [0] 2 30 2 6 4" xfId="6444"/>
    <cellStyle name="쉼표 [0] 2 30 2 6 4 2" xfId="23148"/>
    <cellStyle name="쉼표 [0] 2 30 2 6 5" xfId="12012"/>
    <cellStyle name="쉼표 [0] 2 30 2 6 5 2" xfId="28716"/>
    <cellStyle name="쉼표 [0] 2 30 2 6 6" xfId="17580"/>
    <cellStyle name="쉼표 [0] 2 30 2 7" xfId="1572"/>
    <cellStyle name="쉼표 [0] 2 30 2 7 2" xfId="4356"/>
    <cellStyle name="쉼표 [0] 2 30 2 7 2 2" xfId="9924"/>
    <cellStyle name="쉼표 [0] 2 30 2 7 2 2 2" xfId="26628"/>
    <cellStyle name="쉼표 [0] 2 30 2 7 2 3" xfId="15492"/>
    <cellStyle name="쉼표 [0] 2 30 2 7 2 3 2" xfId="32196"/>
    <cellStyle name="쉼표 [0] 2 30 2 7 2 4" xfId="21060"/>
    <cellStyle name="쉼표 [0] 2 30 2 7 3" xfId="7140"/>
    <cellStyle name="쉼표 [0] 2 30 2 7 3 2" xfId="23844"/>
    <cellStyle name="쉼표 [0] 2 30 2 7 4" xfId="12708"/>
    <cellStyle name="쉼표 [0] 2 30 2 7 4 2" xfId="29412"/>
    <cellStyle name="쉼표 [0] 2 30 2 7 5" xfId="18276"/>
    <cellStyle name="쉼표 [0] 2 30 2 8" xfId="2964"/>
    <cellStyle name="쉼표 [0] 2 30 2 8 2" xfId="8532"/>
    <cellStyle name="쉼표 [0] 2 30 2 8 2 2" xfId="25236"/>
    <cellStyle name="쉼표 [0] 2 30 2 8 3" xfId="14100"/>
    <cellStyle name="쉼표 [0] 2 30 2 8 3 2" xfId="30804"/>
    <cellStyle name="쉼표 [0] 2 30 2 8 4" xfId="19668"/>
    <cellStyle name="쉼표 [0] 2 30 2 9" xfId="5748"/>
    <cellStyle name="쉼표 [0] 2 30 2 9 2" xfId="22452"/>
    <cellStyle name="쉼표 [0] 2 30 3" xfId="209"/>
    <cellStyle name="쉼표 [0] 2 30 3 10" xfId="16913"/>
    <cellStyle name="쉼표 [0] 2 30 3 2" xfId="325"/>
    <cellStyle name="쉼표 [0] 2 30 3 2 2" xfId="557"/>
    <cellStyle name="쉼표 [0] 2 30 3 2 2 2" xfId="1253"/>
    <cellStyle name="쉼표 [0] 2 30 3 2 2 2 2" xfId="2645"/>
    <cellStyle name="쉼표 [0] 2 30 3 2 2 2 2 2" xfId="5429"/>
    <cellStyle name="쉼표 [0] 2 30 3 2 2 2 2 2 2" xfId="10997"/>
    <cellStyle name="쉼표 [0] 2 30 3 2 2 2 2 2 2 2" xfId="27701"/>
    <cellStyle name="쉼표 [0] 2 30 3 2 2 2 2 2 3" xfId="16565"/>
    <cellStyle name="쉼표 [0] 2 30 3 2 2 2 2 2 3 2" xfId="33269"/>
    <cellStyle name="쉼표 [0] 2 30 3 2 2 2 2 2 4" xfId="22133"/>
    <cellStyle name="쉼표 [0] 2 30 3 2 2 2 2 3" xfId="8213"/>
    <cellStyle name="쉼표 [0] 2 30 3 2 2 2 2 3 2" xfId="24917"/>
    <cellStyle name="쉼표 [0] 2 30 3 2 2 2 2 4" xfId="13781"/>
    <cellStyle name="쉼표 [0] 2 30 3 2 2 2 2 4 2" xfId="30485"/>
    <cellStyle name="쉼표 [0] 2 30 3 2 2 2 2 5" xfId="19349"/>
    <cellStyle name="쉼표 [0] 2 30 3 2 2 2 3" xfId="4037"/>
    <cellStyle name="쉼표 [0] 2 30 3 2 2 2 3 2" xfId="9605"/>
    <cellStyle name="쉼표 [0] 2 30 3 2 2 2 3 2 2" xfId="26309"/>
    <cellStyle name="쉼표 [0] 2 30 3 2 2 2 3 3" xfId="15173"/>
    <cellStyle name="쉼표 [0] 2 30 3 2 2 2 3 3 2" xfId="31877"/>
    <cellStyle name="쉼표 [0] 2 30 3 2 2 2 3 4" xfId="20741"/>
    <cellStyle name="쉼표 [0] 2 30 3 2 2 2 4" xfId="6821"/>
    <cellStyle name="쉼표 [0] 2 30 3 2 2 2 4 2" xfId="23525"/>
    <cellStyle name="쉼표 [0] 2 30 3 2 2 2 5" xfId="12389"/>
    <cellStyle name="쉼표 [0] 2 30 3 2 2 2 5 2" xfId="29093"/>
    <cellStyle name="쉼표 [0] 2 30 3 2 2 2 6" xfId="17957"/>
    <cellStyle name="쉼표 [0] 2 30 3 2 2 3" xfId="1949"/>
    <cellStyle name="쉼표 [0] 2 30 3 2 2 3 2" xfId="4733"/>
    <cellStyle name="쉼표 [0] 2 30 3 2 2 3 2 2" xfId="10301"/>
    <cellStyle name="쉼표 [0] 2 30 3 2 2 3 2 2 2" xfId="27005"/>
    <cellStyle name="쉼표 [0] 2 30 3 2 2 3 2 3" xfId="15869"/>
    <cellStyle name="쉼표 [0] 2 30 3 2 2 3 2 3 2" xfId="32573"/>
    <cellStyle name="쉼표 [0] 2 30 3 2 2 3 2 4" xfId="21437"/>
    <cellStyle name="쉼표 [0] 2 30 3 2 2 3 3" xfId="7517"/>
    <cellStyle name="쉼표 [0] 2 30 3 2 2 3 3 2" xfId="24221"/>
    <cellStyle name="쉼표 [0] 2 30 3 2 2 3 4" xfId="13085"/>
    <cellStyle name="쉼표 [0] 2 30 3 2 2 3 4 2" xfId="29789"/>
    <cellStyle name="쉼표 [0] 2 30 3 2 2 3 5" xfId="18653"/>
    <cellStyle name="쉼표 [0] 2 30 3 2 2 4" xfId="3341"/>
    <cellStyle name="쉼표 [0] 2 30 3 2 2 4 2" xfId="8909"/>
    <cellStyle name="쉼표 [0] 2 30 3 2 2 4 2 2" xfId="25613"/>
    <cellStyle name="쉼표 [0] 2 30 3 2 2 4 3" xfId="14477"/>
    <cellStyle name="쉼표 [0] 2 30 3 2 2 4 3 2" xfId="31181"/>
    <cellStyle name="쉼표 [0] 2 30 3 2 2 4 4" xfId="20045"/>
    <cellStyle name="쉼표 [0] 2 30 3 2 2 5" xfId="6125"/>
    <cellStyle name="쉼표 [0] 2 30 3 2 2 5 2" xfId="22829"/>
    <cellStyle name="쉼표 [0] 2 30 3 2 2 6" xfId="11693"/>
    <cellStyle name="쉼표 [0] 2 30 3 2 2 6 2" xfId="28397"/>
    <cellStyle name="쉼표 [0] 2 30 3 2 2 7" xfId="17261"/>
    <cellStyle name="쉼표 [0] 2 30 3 2 3" xfId="789"/>
    <cellStyle name="쉼표 [0] 2 30 3 2 3 2" xfId="1485"/>
    <cellStyle name="쉼표 [0] 2 30 3 2 3 2 2" xfId="2877"/>
    <cellStyle name="쉼표 [0] 2 30 3 2 3 2 2 2" xfId="5661"/>
    <cellStyle name="쉼표 [0] 2 30 3 2 3 2 2 2 2" xfId="11229"/>
    <cellStyle name="쉼표 [0] 2 30 3 2 3 2 2 2 2 2" xfId="27933"/>
    <cellStyle name="쉼표 [0] 2 30 3 2 3 2 2 2 3" xfId="16797"/>
    <cellStyle name="쉼표 [0] 2 30 3 2 3 2 2 2 3 2" xfId="33501"/>
    <cellStyle name="쉼표 [0] 2 30 3 2 3 2 2 2 4" xfId="22365"/>
    <cellStyle name="쉼표 [0] 2 30 3 2 3 2 2 3" xfId="8445"/>
    <cellStyle name="쉼표 [0] 2 30 3 2 3 2 2 3 2" xfId="25149"/>
    <cellStyle name="쉼표 [0] 2 30 3 2 3 2 2 4" xfId="14013"/>
    <cellStyle name="쉼표 [0] 2 30 3 2 3 2 2 4 2" xfId="30717"/>
    <cellStyle name="쉼표 [0] 2 30 3 2 3 2 2 5" xfId="19581"/>
    <cellStyle name="쉼표 [0] 2 30 3 2 3 2 3" xfId="4269"/>
    <cellStyle name="쉼표 [0] 2 30 3 2 3 2 3 2" xfId="9837"/>
    <cellStyle name="쉼표 [0] 2 30 3 2 3 2 3 2 2" xfId="26541"/>
    <cellStyle name="쉼표 [0] 2 30 3 2 3 2 3 3" xfId="15405"/>
    <cellStyle name="쉼표 [0] 2 30 3 2 3 2 3 3 2" xfId="32109"/>
    <cellStyle name="쉼표 [0] 2 30 3 2 3 2 3 4" xfId="20973"/>
    <cellStyle name="쉼표 [0] 2 30 3 2 3 2 4" xfId="7053"/>
    <cellStyle name="쉼표 [0] 2 30 3 2 3 2 4 2" xfId="23757"/>
    <cellStyle name="쉼표 [0] 2 30 3 2 3 2 5" xfId="12621"/>
    <cellStyle name="쉼표 [0] 2 30 3 2 3 2 5 2" xfId="29325"/>
    <cellStyle name="쉼표 [0] 2 30 3 2 3 2 6" xfId="18189"/>
    <cellStyle name="쉼표 [0] 2 30 3 2 3 3" xfId="2181"/>
    <cellStyle name="쉼표 [0] 2 30 3 2 3 3 2" xfId="4965"/>
    <cellStyle name="쉼표 [0] 2 30 3 2 3 3 2 2" xfId="10533"/>
    <cellStyle name="쉼표 [0] 2 30 3 2 3 3 2 2 2" xfId="27237"/>
    <cellStyle name="쉼표 [0] 2 30 3 2 3 3 2 3" xfId="16101"/>
    <cellStyle name="쉼표 [0] 2 30 3 2 3 3 2 3 2" xfId="32805"/>
    <cellStyle name="쉼표 [0] 2 30 3 2 3 3 2 4" xfId="21669"/>
    <cellStyle name="쉼표 [0] 2 30 3 2 3 3 3" xfId="7749"/>
    <cellStyle name="쉼표 [0] 2 30 3 2 3 3 3 2" xfId="24453"/>
    <cellStyle name="쉼표 [0] 2 30 3 2 3 3 4" xfId="13317"/>
    <cellStyle name="쉼표 [0] 2 30 3 2 3 3 4 2" xfId="30021"/>
    <cellStyle name="쉼표 [0] 2 30 3 2 3 3 5" xfId="18885"/>
    <cellStyle name="쉼표 [0] 2 30 3 2 3 4" xfId="3573"/>
    <cellStyle name="쉼표 [0] 2 30 3 2 3 4 2" xfId="9141"/>
    <cellStyle name="쉼표 [0] 2 30 3 2 3 4 2 2" xfId="25845"/>
    <cellStyle name="쉼표 [0] 2 30 3 2 3 4 3" xfId="14709"/>
    <cellStyle name="쉼표 [0] 2 30 3 2 3 4 3 2" xfId="31413"/>
    <cellStyle name="쉼표 [0] 2 30 3 2 3 4 4" xfId="20277"/>
    <cellStyle name="쉼표 [0] 2 30 3 2 3 5" xfId="6357"/>
    <cellStyle name="쉼표 [0] 2 30 3 2 3 5 2" xfId="23061"/>
    <cellStyle name="쉼표 [0] 2 30 3 2 3 6" xfId="11925"/>
    <cellStyle name="쉼표 [0] 2 30 3 2 3 6 2" xfId="28629"/>
    <cellStyle name="쉼표 [0] 2 30 3 2 3 7" xfId="17493"/>
    <cellStyle name="쉼표 [0] 2 30 3 2 4" xfId="1021"/>
    <cellStyle name="쉼표 [0] 2 30 3 2 4 2" xfId="2413"/>
    <cellStyle name="쉼표 [0] 2 30 3 2 4 2 2" xfId="5197"/>
    <cellStyle name="쉼표 [0] 2 30 3 2 4 2 2 2" xfId="10765"/>
    <cellStyle name="쉼표 [0] 2 30 3 2 4 2 2 2 2" xfId="27469"/>
    <cellStyle name="쉼표 [0] 2 30 3 2 4 2 2 3" xfId="16333"/>
    <cellStyle name="쉼표 [0] 2 30 3 2 4 2 2 3 2" xfId="33037"/>
    <cellStyle name="쉼표 [0] 2 30 3 2 4 2 2 4" xfId="21901"/>
    <cellStyle name="쉼표 [0] 2 30 3 2 4 2 3" xfId="7981"/>
    <cellStyle name="쉼표 [0] 2 30 3 2 4 2 3 2" xfId="24685"/>
    <cellStyle name="쉼표 [0] 2 30 3 2 4 2 4" xfId="13549"/>
    <cellStyle name="쉼표 [0] 2 30 3 2 4 2 4 2" xfId="30253"/>
    <cellStyle name="쉼표 [0] 2 30 3 2 4 2 5" xfId="19117"/>
    <cellStyle name="쉼표 [0] 2 30 3 2 4 3" xfId="3805"/>
    <cellStyle name="쉼표 [0] 2 30 3 2 4 3 2" xfId="9373"/>
    <cellStyle name="쉼표 [0] 2 30 3 2 4 3 2 2" xfId="26077"/>
    <cellStyle name="쉼표 [0] 2 30 3 2 4 3 3" xfId="14941"/>
    <cellStyle name="쉼표 [0] 2 30 3 2 4 3 3 2" xfId="31645"/>
    <cellStyle name="쉼표 [0] 2 30 3 2 4 3 4" xfId="20509"/>
    <cellStyle name="쉼표 [0] 2 30 3 2 4 4" xfId="6589"/>
    <cellStyle name="쉼표 [0] 2 30 3 2 4 4 2" xfId="23293"/>
    <cellStyle name="쉼표 [0] 2 30 3 2 4 5" xfId="12157"/>
    <cellStyle name="쉼표 [0] 2 30 3 2 4 5 2" xfId="28861"/>
    <cellStyle name="쉼표 [0] 2 30 3 2 4 6" xfId="17725"/>
    <cellStyle name="쉼표 [0] 2 30 3 2 5" xfId="1717"/>
    <cellStyle name="쉼표 [0] 2 30 3 2 5 2" xfId="4501"/>
    <cellStyle name="쉼표 [0] 2 30 3 2 5 2 2" xfId="10069"/>
    <cellStyle name="쉼표 [0] 2 30 3 2 5 2 2 2" xfId="26773"/>
    <cellStyle name="쉼표 [0] 2 30 3 2 5 2 3" xfId="15637"/>
    <cellStyle name="쉼표 [0] 2 30 3 2 5 2 3 2" xfId="32341"/>
    <cellStyle name="쉼표 [0] 2 30 3 2 5 2 4" xfId="21205"/>
    <cellStyle name="쉼표 [0] 2 30 3 2 5 3" xfId="7285"/>
    <cellStyle name="쉼표 [0] 2 30 3 2 5 3 2" xfId="23989"/>
    <cellStyle name="쉼표 [0] 2 30 3 2 5 4" xfId="12853"/>
    <cellStyle name="쉼표 [0] 2 30 3 2 5 4 2" xfId="29557"/>
    <cellStyle name="쉼표 [0] 2 30 3 2 5 5" xfId="18421"/>
    <cellStyle name="쉼표 [0] 2 30 3 2 6" xfId="3109"/>
    <cellStyle name="쉼표 [0] 2 30 3 2 6 2" xfId="8677"/>
    <cellStyle name="쉼표 [0] 2 30 3 2 6 2 2" xfId="25381"/>
    <cellStyle name="쉼표 [0] 2 30 3 2 6 3" xfId="14245"/>
    <cellStyle name="쉼표 [0] 2 30 3 2 6 3 2" xfId="30949"/>
    <cellStyle name="쉼표 [0] 2 30 3 2 6 4" xfId="19813"/>
    <cellStyle name="쉼표 [0] 2 30 3 2 7" xfId="5893"/>
    <cellStyle name="쉼표 [0] 2 30 3 2 7 2" xfId="22597"/>
    <cellStyle name="쉼표 [0] 2 30 3 2 8" xfId="11461"/>
    <cellStyle name="쉼표 [0] 2 30 3 2 8 2" xfId="28165"/>
    <cellStyle name="쉼표 [0] 2 30 3 2 9" xfId="17029"/>
    <cellStyle name="쉼표 [0] 2 30 3 3" xfId="441"/>
    <cellStyle name="쉼표 [0] 2 30 3 3 2" xfId="1137"/>
    <cellStyle name="쉼표 [0] 2 30 3 3 2 2" xfId="2529"/>
    <cellStyle name="쉼표 [0] 2 30 3 3 2 2 2" xfId="5313"/>
    <cellStyle name="쉼표 [0] 2 30 3 3 2 2 2 2" xfId="10881"/>
    <cellStyle name="쉼표 [0] 2 30 3 3 2 2 2 2 2" xfId="27585"/>
    <cellStyle name="쉼표 [0] 2 30 3 3 2 2 2 3" xfId="16449"/>
    <cellStyle name="쉼표 [0] 2 30 3 3 2 2 2 3 2" xfId="33153"/>
    <cellStyle name="쉼표 [0] 2 30 3 3 2 2 2 4" xfId="22017"/>
    <cellStyle name="쉼표 [0] 2 30 3 3 2 2 3" xfId="8097"/>
    <cellStyle name="쉼표 [0] 2 30 3 3 2 2 3 2" xfId="24801"/>
    <cellStyle name="쉼표 [0] 2 30 3 3 2 2 4" xfId="13665"/>
    <cellStyle name="쉼표 [0] 2 30 3 3 2 2 4 2" xfId="30369"/>
    <cellStyle name="쉼표 [0] 2 30 3 3 2 2 5" xfId="19233"/>
    <cellStyle name="쉼표 [0] 2 30 3 3 2 3" xfId="3921"/>
    <cellStyle name="쉼표 [0] 2 30 3 3 2 3 2" xfId="9489"/>
    <cellStyle name="쉼표 [0] 2 30 3 3 2 3 2 2" xfId="26193"/>
    <cellStyle name="쉼표 [0] 2 30 3 3 2 3 3" xfId="15057"/>
    <cellStyle name="쉼표 [0] 2 30 3 3 2 3 3 2" xfId="31761"/>
    <cellStyle name="쉼표 [0] 2 30 3 3 2 3 4" xfId="20625"/>
    <cellStyle name="쉼표 [0] 2 30 3 3 2 4" xfId="6705"/>
    <cellStyle name="쉼표 [0] 2 30 3 3 2 4 2" xfId="23409"/>
    <cellStyle name="쉼표 [0] 2 30 3 3 2 5" xfId="12273"/>
    <cellStyle name="쉼표 [0] 2 30 3 3 2 5 2" xfId="28977"/>
    <cellStyle name="쉼표 [0] 2 30 3 3 2 6" xfId="17841"/>
    <cellStyle name="쉼표 [0] 2 30 3 3 3" xfId="1833"/>
    <cellStyle name="쉼표 [0] 2 30 3 3 3 2" xfId="4617"/>
    <cellStyle name="쉼표 [0] 2 30 3 3 3 2 2" xfId="10185"/>
    <cellStyle name="쉼표 [0] 2 30 3 3 3 2 2 2" xfId="26889"/>
    <cellStyle name="쉼표 [0] 2 30 3 3 3 2 3" xfId="15753"/>
    <cellStyle name="쉼표 [0] 2 30 3 3 3 2 3 2" xfId="32457"/>
    <cellStyle name="쉼표 [0] 2 30 3 3 3 2 4" xfId="21321"/>
    <cellStyle name="쉼표 [0] 2 30 3 3 3 3" xfId="7401"/>
    <cellStyle name="쉼표 [0] 2 30 3 3 3 3 2" xfId="24105"/>
    <cellStyle name="쉼표 [0] 2 30 3 3 3 4" xfId="12969"/>
    <cellStyle name="쉼표 [0] 2 30 3 3 3 4 2" xfId="29673"/>
    <cellStyle name="쉼표 [0] 2 30 3 3 3 5" xfId="18537"/>
    <cellStyle name="쉼표 [0] 2 30 3 3 4" xfId="3225"/>
    <cellStyle name="쉼표 [0] 2 30 3 3 4 2" xfId="8793"/>
    <cellStyle name="쉼표 [0] 2 30 3 3 4 2 2" xfId="25497"/>
    <cellStyle name="쉼표 [0] 2 30 3 3 4 3" xfId="14361"/>
    <cellStyle name="쉼표 [0] 2 30 3 3 4 3 2" xfId="31065"/>
    <cellStyle name="쉼표 [0] 2 30 3 3 4 4" xfId="19929"/>
    <cellStyle name="쉼표 [0] 2 30 3 3 5" xfId="6009"/>
    <cellStyle name="쉼표 [0] 2 30 3 3 5 2" xfId="22713"/>
    <cellStyle name="쉼표 [0] 2 30 3 3 6" xfId="11577"/>
    <cellStyle name="쉼표 [0] 2 30 3 3 6 2" xfId="28281"/>
    <cellStyle name="쉼표 [0] 2 30 3 3 7" xfId="17145"/>
    <cellStyle name="쉼표 [0] 2 30 3 4" xfId="673"/>
    <cellStyle name="쉼표 [0] 2 30 3 4 2" xfId="1369"/>
    <cellStyle name="쉼표 [0] 2 30 3 4 2 2" xfId="2761"/>
    <cellStyle name="쉼표 [0] 2 30 3 4 2 2 2" xfId="5545"/>
    <cellStyle name="쉼표 [0] 2 30 3 4 2 2 2 2" xfId="11113"/>
    <cellStyle name="쉼표 [0] 2 30 3 4 2 2 2 2 2" xfId="27817"/>
    <cellStyle name="쉼표 [0] 2 30 3 4 2 2 2 3" xfId="16681"/>
    <cellStyle name="쉼표 [0] 2 30 3 4 2 2 2 3 2" xfId="33385"/>
    <cellStyle name="쉼표 [0] 2 30 3 4 2 2 2 4" xfId="22249"/>
    <cellStyle name="쉼표 [0] 2 30 3 4 2 2 3" xfId="8329"/>
    <cellStyle name="쉼표 [0] 2 30 3 4 2 2 3 2" xfId="25033"/>
    <cellStyle name="쉼표 [0] 2 30 3 4 2 2 4" xfId="13897"/>
    <cellStyle name="쉼표 [0] 2 30 3 4 2 2 4 2" xfId="30601"/>
    <cellStyle name="쉼표 [0] 2 30 3 4 2 2 5" xfId="19465"/>
    <cellStyle name="쉼표 [0] 2 30 3 4 2 3" xfId="4153"/>
    <cellStyle name="쉼표 [0] 2 30 3 4 2 3 2" xfId="9721"/>
    <cellStyle name="쉼표 [0] 2 30 3 4 2 3 2 2" xfId="26425"/>
    <cellStyle name="쉼표 [0] 2 30 3 4 2 3 3" xfId="15289"/>
    <cellStyle name="쉼표 [0] 2 30 3 4 2 3 3 2" xfId="31993"/>
    <cellStyle name="쉼표 [0] 2 30 3 4 2 3 4" xfId="20857"/>
    <cellStyle name="쉼표 [0] 2 30 3 4 2 4" xfId="6937"/>
    <cellStyle name="쉼표 [0] 2 30 3 4 2 4 2" xfId="23641"/>
    <cellStyle name="쉼표 [0] 2 30 3 4 2 5" xfId="12505"/>
    <cellStyle name="쉼표 [0] 2 30 3 4 2 5 2" xfId="29209"/>
    <cellStyle name="쉼표 [0] 2 30 3 4 2 6" xfId="18073"/>
    <cellStyle name="쉼표 [0] 2 30 3 4 3" xfId="2065"/>
    <cellStyle name="쉼표 [0] 2 30 3 4 3 2" xfId="4849"/>
    <cellStyle name="쉼표 [0] 2 30 3 4 3 2 2" xfId="10417"/>
    <cellStyle name="쉼표 [0] 2 30 3 4 3 2 2 2" xfId="27121"/>
    <cellStyle name="쉼표 [0] 2 30 3 4 3 2 3" xfId="15985"/>
    <cellStyle name="쉼표 [0] 2 30 3 4 3 2 3 2" xfId="32689"/>
    <cellStyle name="쉼표 [0] 2 30 3 4 3 2 4" xfId="21553"/>
    <cellStyle name="쉼표 [0] 2 30 3 4 3 3" xfId="7633"/>
    <cellStyle name="쉼표 [0] 2 30 3 4 3 3 2" xfId="24337"/>
    <cellStyle name="쉼표 [0] 2 30 3 4 3 4" xfId="13201"/>
    <cellStyle name="쉼표 [0] 2 30 3 4 3 4 2" xfId="29905"/>
    <cellStyle name="쉼표 [0] 2 30 3 4 3 5" xfId="18769"/>
    <cellStyle name="쉼표 [0] 2 30 3 4 4" xfId="3457"/>
    <cellStyle name="쉼표 [0] 2 30 3 4 4 2" xfId="9025"/>
    <cellStyle name="쉼표 [0] 2 30 3 4 4 2 2" xfId="25729"/>
    <cellStyle name="쉼표 [0] 2 30 3 4 4 3" xfId="14593"/>
    <cellStyle name="쉼표 [0] 2 30 3 4 4 3 2" xfId="31297"/>
    <cellStyle name="쉼표 [0] 2 30 3 4 4 4" xfId="20161"/>
    <cellStyle name="쉼표 [0] 2 30 3 4 5" xfId="6241"/>
    <cellStyle name="쉼표 [0] 2 30 3 4 5 2" xfId="22945"/>
    <cellStyle name="쉼표 [0] 2 30 3 4 6" xfId="11809"/>
    <cellStyle name="쉼표 [0] 2 30 3 4 6 2" xfId="28513"/>
    <cellStyle name="쉼표 [0] 2 30 3 4 7" xfId="17377"/>
    <cellStyle name="쉼표 [0] 2 30 3 5" xfId="905"/>
    <cellStyle name="쉼표 [0] 2 30 3 5 2" xfId="2297"/>
    <cellStyle name="쉼표 [0] 2 30 3 5 2 2" xfId="5081"/>
    <cellStyle name="쉼표 [0] 2 30 3 5 2 2 2" xfId="10649"/>
    <cellStyle name="쉼표 [0] 2 30 3 5 2 2 2 2" xfId="27353"/>
    <cellStyle name="쉼표 [0] 2 30 3 5 2 2 3" xfId="16217"/>
    <cellStyle name="쉼표 [0] 2 30 3 5 2 2 3 2" xfId="32921"/>
    <cellStyle name="쉼표 [0] 2 30 3 5 2 2 4" xfId="21785"/>
    <cellStyle name="쉼표 [0] 2 30 3 5 2 3" xfId="7865"/>
    <cellStyle name="쉼표 [0] 2 30 3 5 2 3 2" xfId="24569"/>
    <cellStyle name="쉼표 [0] 2 30 3 5 2 4" xfId="13433"/>
    <cellStyle name="쉼표 [0] 2 30 3 5 2 4 2" xfId="30137"/>
    <cellStyle name="쉼표 [0] 2 30 3 5 2 5" xfId="19001"/>
    <cellStyle name="쉼표 [0] 2 30 3 5 3" xfId="3689"/>
    <cellStyle name="쉼표 [0] 2 30 3 5 3 2" xfId="9257"/>
    <cellStyle name="쉼표 [0] 2 30 3 5 3 2 2" xfId="25961"/>
    <cellStyle name="쉼표 [0] 2 30 3 5 3 3" xfId="14825"/>
    <cellStyle name="쉼표 [0] 2 30 3 5 3 3 2" xfId="31529"/>
    <cellStyle name="쉼표 [0] 2 30 3 5 3 4" xfId="20393"/>
    <cellStyle name="쉼표 [0] 2 30 3 5 4" xfId="6473"/>
    <cellStyle name="쉼표 [0] 2 30 3 5 4 2" xfId="23177"/>
    <cellStyle name="쉼표 [0] 2 30 3 5 5" xfId="12041"/>
    <cellStyle name="쉼표 [0] 2 30 3 5 5 2" xfId="28745"/>
    <cellStyle name="쉼표 [0] 2 30 3 5 6" xfId="17609"/>
    <cellStyle name="쉼표 [0] 2 30 3 6" xfId="1601"/>
    <cellStyle name="쉼표 [0] 2 30 3 6 2" xfId="4385"/>
    <cellStyle name="쉼표 [0] 2 30 3 6 2 2" xfId="9953"/>
    <cellStyle name="쉼표 [0] 2 30 3 6 2 2 2" xfId="26657"/>
    <cellStyle name="쉼표 [0] 2 30 3 6 2 3" xfId="15521"/>
    <cellStyle name="쉼표 [0] 2 30 3 6 2 3 2" xfId="32225"/>
    <cellStyle name="쉼표 [0] 2 30 3 6 2 4" xfId="21089"/>
    <cellStyle name="쉼표 [0] 2 30 3 6 3" xfId="7169"/>
    <cellStyle name="쉼표 [0] 2 30 3 6 3 2" xfId="23873"/>
    <cellStyle name="쉼표 [0] 2 30 3 6 4" xfId="12737"/>
    <cellStyle name="쉼표 [0] 2 30 3 6 4 2" xfId="29441"/>
    <cellStyle name="쉼표 [0] 2 30 3 6 5" xfId="18305"/>
    <cellStyle name="쉼표 [0] 2 30 3 7" xfId="2993"/>
    <cellStyle name="쉼표 [0] 2 30 3 7 2" xfId="8561"/>
    <cellStyle name="쉼표 [0] 2 30 3 7 2 2" xfId="25265"/>
    <cellStyle name="쉼표 [0] 2 30 3 7 3" xfId="14129"/>
    <cellStyle name="쉼표 [0] 2 30 3 7 3 2" xfId="30833"/>
    <cellStyle name="쉼표 [0] 2 30 3 7 4" xfId="19697"/>
    <cellStyle name="쉼표 [0] 2 30 3 8" xfId="5777"/>
    <cellStyle name="쉼표 [0] 2 30 3 8 2" xfId="22481"/>
    <cellStyle name="쉼표 [0] 2 30 3 9" xfId="11345"/>
    <cellStyle name="쉼표 [0] 2 30 3 9 2" xfId="28049"/>
    <cellStyle name="쉼표 [0] 2 30 4" xfId="267"/>
    <cellStyle name="쉼표 [0] 2 30 4 2" xfId="499"/>
    <cellStyle name="쉼표 [0] 2 30 4 2 2" xfId="1195"/>
    <cellStyle name="쉼표 [0] 2 30 4 2 2 2" xfId="2587"/>
    <cellStyle name="쉼표 [0] 2 30 4 2 2 2 2" xfId="5371"/>
    <cellStyle name="쉼표 [0] 2 30 4 2 2 2 2 2" xfId="10939"/>
    <cellStyle name="쉼표 [0] 2 30 4 2 2 2 2 2 2" xfId="27643"/>
    <cellStyle name="쉼표 [0] 2 30 4 2 2 2 2 3" xfId="16507"/>
    <cellStyle name="쉼표 [0] 2 30 4 2 2 2 2 3 2" xfId="33211"/>
    <cellStyle name="쉼표 [0] 2 30 4 2 2 2 2 4" xfId="22075"/>
    <cellStyle name="쉼표 [0] 2 30 4 2 2 2 3" xfId="8155"/>
    <cellStyle name="쉼표 [0] 2 30 4 2 2 2 3 2" xfId="24859"/>
    <cellStyle name="쉼표 [0] 2 30 4 2 2 2 4" xfId="13723"/>
    <cellStyle name="쉼표 [0] 2 30 4 2 2 2 4 2" xfId="30427"/>
    <cellStyle name="쉼표 [0] 2 30 4 2 2 2 5" xfId="19291"/>
    <cellStyle name="쉼표 [0] 2 30 4 2 2 3" xfId="3979"/>
    <cellStyle name="쉼표 [0] 2 30 4 2 2 3 2" xfId="9547"/>
    <cellStyle name="쉼표 [0] 2 30 4 2 2 3 2 2" xfId="26251"/>
    <cellStyle name="쉼표 [0] 2 30 4 2 2 3 3" xfId="15115"/>
    <cellStyle name="쉼표 [0] 2 30 4 2 2 3 3 2" xfId="31819"/>
    <cellStyle name="쉼표 [0] 2 30 4 2 2 3 4" xfId="20683"/>
    <cellStyle name="쉼표 [0] 2 30 4 2 2 4" xfId="6763"/>
    <cellStyle name="쉼표 [0] 2 30 4 2 2 4 2" xfId="23467"/>
    <cellStyle name="쉼표 [0] 2 30 4 2 2 5" xfId="12331"/>
    <cellStyle name="쉼표 [0] 2 30 4 2 2 5 2" xfId="29035"/>
    <cellStyle name="쉼표 [0] 2 30 4 2 2 6" xfId="17899"/>
    <cellStyle name="쉼표 [0] 2 30 4 2 3" xfId="1891"/>
    <cellStyle name="쉼표 [0] 2 30 4 2 3 2" xfId="4675"/>
    <cellStyle name="쉼표 [0] 2 30 4 2 3 2 2" xfId="10243"/>
    <cellStyle name="쉼표 [0] 2 30 4 2 3 2 2 2" xfId="26947"/>
    <cellStyle name="쉼표 [0] 2 30 4 2 3 2 3" xfId="15811"/>
    <cellStyle name="쉼표 [0] 2 30 4 2 3 2 3 2" xfId="32515"/>
    <cellStyle name="쉼표 [0] 2 30 4 2 3 2 4" xfId="21379"/>
    <cellStyle name="쉼표 [0] 2 30 4 2 3 3" xfId="7459"/>
    <cellStyle name="쉼표 [0] 2 30 4 2 3 3 2" xfId="24163"/>
    <cellStyle name="쉼표 [0] 2 30 4 2 3 4" xfId="13027"/>
    <cellStyle name="쉼표 [0] 2 30 4 2 3 4 2" xfId="29731"/>
    <cellStyle name="쉼표 [0] 2 30 4 2 3 5" xfId="18595"/>
    <cellStyle name="쉼표 [0] 2 30 4 2 4" xfId="3283"/>
    <cellStyle name="쉼표 [0] 2 30 4 2 4 2" xfId="8851"/>
    <cellStyle name="쉼표 [0] 2 30 4 2 4 2 2" xfId="25555"/>
    <cellStyle name="쉼표 [0] 2 30 4 2 4 3" xfId="14419"/>
    <cellStyle name="쉼표 [0] 2 30 4 2 4 3 2" xfId="31123"/>
    <cellStyle name="쉼표 [0] 2 30 4 2 4 4" xfId="19987"/>
    <cellStyle name="쉼표 [0] 2 30 4 2 5" xfId="6067"/>
    <cellStyle name="쉼표 [0] 2 30 4 2 5 2" xfId="22771"/>
    <cellStyle name="쉼표 [0] 2 30 4 2 6" xfId="11635"/>
    <cellStyle name="쉼표 [0] 2 30 4 2 6 2" xfId="28339"/>
    <cellStyle name="쉼표 [0] 2 30 4 2 7" xfId="17203"/>
    <cellStyle name="쉼표 [0] 2 30 4 3" xfId="731"/>
    <cellStyle name="쉼표 [0] 2 30 4 3 2" xfId="1427"/>
    <cellStyle name="쉼표 [0] 2 30 4 3 2 2" xfId="2819"/>
    <cellStyle name="쉼표 [0] 2 30 4 3 2 2 2" xfId="5603"/>
    <cellStyle name="쉼표 [0] 2 30 4 3 2 2 2 2" xfId="11171"/>
    <cellStyle name="쉼표 [0] 2 30 4 3 2 2 2 2 2" xfId="27875"/>
    <cellStyle name="쉼표 [0] 2 30 4 3 2 2 2 3" xfId="16739"/>
    <cellStyle name="쉼표 [0] 2 30 4 3 2 2 2 3 2" xfId="33443"/>
    <cellStyle name="쉼표 [0] 2 30 4 3 2 2 2 4" xfId="22307"/>
    <cellStyle name="쉼표 [0] 2 30 4 3 2 2 3" xfId="8387"/>
    <cellStyle name="쉼표 [0] 2 30 4 3 2 2 3 2" xfId="25091"/>
    <cellStyle name="쉼표 [0] 2 30 4 3 2 2 4" xfId="13955"/>
    <cellStyle name="쉼표 [0] 2 30 4 3 2 2 4 2" xfId="30659"/>
    <cellStyle name="쉼표 [0] 2 30 4 3 2 2 5" xfId="19523"/>
    <cellStyle name="쉼표 [0] 2 30 4 3 2 3" xfId="4211"/>
    <cellStyle name="쉼표 [0] 2 30 4 3 2 3 2" xfId="9779"/>
    <cellStyle name="쉼표 [0] 2 30 4 3 2 3 2 2" xfId="26483"/>
    <cellStyle name="쉼표 [0] 2 30 4 3 2 3 3" xfId="15347"/>
    <cellStyle name="쉼표 [0] 2 30 4 3 2 3 3 2" xfId="32051"/>
    <cellStyle name="쉼표 [0] 2 30 4 3 2 3 4" xfId="20915"/>
    <cellStyle name="쉼표 [0] 2 30 4 3 2 4" xfId="6995"/>
    <cellStyle name="쉼표 [0] 2 30 4 3 2 4 2" xfId="23699"/>
    <cellStyle name="쉼표 [0] 2 30 4 3 2 5" xfId="12563"/>
    <cellStyle name="쉼표 [0] 2 30 4 3 2 5 2" xfId="29267"/>
    <cellStyle name="쉼표 [0] 2 30 4 3 2 6" xfId="18131"/>
    <cellStyle name="쉼표 [0] 2 30 4 3 3" xfId="2123"/>
    <cellStyle name="쉼표 [0] 2 30 4 3 3 2" xfId="4907"/>
    <cellStyle name="쉼표 [0] 2 30 4 3 3 2 2" xfId="10475"/>
    <cellStyle name="쉼표 [0] 2 30 4 3 3 2 2 2" xfId="27179"/>
    <cellStyle name="쉼표 [0] 2 30 4 3 3 2 3" xfId="16043"/>
    <cellStyle name="쉼표 [0] 2 30 4 3 3 2 3 2" xfId="32747"/>
    <cellStyle name="쉼표 [0] 2 30 4 3 3 2 4" xfId="21611"/>
    <cellStyle name="쉼표 [0] 2 30 4 3 3 3" xfId="7691"/>
    <cellStyle name="쉼표 [0] 2 30 4 3 3 3 2" xfId="24395"/>
    <cellStyle name="쉼표 [0] 2 30 4 3 3 4" xfId="13259"/>
    <cellStyle name="쉼표 [0] 2 30 4 3 3 4 2" xfId="29963"/>
    <cellStyle name="쉼표 [0] 2 30 4 3 3 5" xfId="18827"/>
    <cellStyle name="쉼표 [0] 2 30 4 3 4" xfId="3515"/>
    <cellStyle name="쉼표 [0] 2 30 4 3 4 2" xfId="9083"/>
    <cellStyle name="쉼표 [0] 2 30 4 3 4 2 2" xfId="25787"/>
    <cellStyle name="쉼표 [0] 2 30 4 3 4 3" xfId="14651"/>
    <cellStyle name="쉼표 [0] 2 30 4 3 4 3 2" xfId="31355"/>
    <cellStyle name="쉼표 [0] 2 30 4 3 4 4" xfId="20219"/>
    <cellStyle name="쉼표 [0] 2 30 4 3 5" xfId="6299"/>
    <cellStyle name="쉼표 [0] 2 30 4 3 5 2" xfId="23003"/>
    <cellStyle name="쉼표 [0] 2 30 4 3 6" xfId="11867"/>
    <cellStyle name="쉼표 [0] 2 30 4 3 6 2" xfId="28571"/>
    <cellStyle name="쉼표 [0] 2 30 4 3 7" xfId="17435"/>
    <cellStyle name="쉼표 [0] 2 30 4 4" xfId="963"/>
    <cellStyle name="쉼표 [0] 2 30 4 4 2" xfId="2355"/>
    <cellStyle name="쉼표 [0] 2 30 4 4 2 2" xfId="5139"/>
    <cellStyle name="쉼표 [0] 2 30 4 4 2 2 2" xfId="10707"/>
    <cellStyle name="쉼표 [0] 2 30 4 4 2 2 2 2" xfId="27411"/>
    <cellStyle name="쉼표 [0] 2 30 4 4 2 2 3" xfId="16275"/>
    <cellStyle name="쉼표 [0] 2 30 4 4 2 2 3 2" xfId="32979"/>
    <cellStyle name="쉼표 [0] 2 30 4 4 2 2 4" xfId="21843"/>
    <cellStyle name="쉼표 [0] 2 30 4 4 2 3" xfId="7923"/>
    <cellStyle name="쉼표 [0] 2 30 4 4 2 3 2" xfId="24627"/>
    <cellStyle name="쉼표 [0] 2 30 4 4 2 4" xfId="13491"/>
    <cellStyle name="쉼표 [0] 2 30 4 4 2 4 2" xfId="30195"/>
    <cellStyle name="쉼표 [0] 2 30 4 4 2 5" xfId="19059"/>
    <cellStyle name="쉼표 [0] 2 30 4 4 3" xfId="3747"/>
    <cellStyle name="쉼표 [0] 2 30 4 4 3 2" xfId="9315"/>
    <cellStyle name="쉼표 [0] 2 30 4 4 3 2 2" xfId="26019"/>
    <cellStyle name="쉼표 [0] 2 30 4 4 3 3" xfId="14883"/>
    <cellStyle name="쉼표 [0] 2 30 4 4 3 3 2" xfId="31587"/>
    <cellStyle name="쉼표 [0] 2 30 4 4 3 4" xfId="20451"/>
    <cellStyle name="쉼표 [0] 2 30 4 4 4" xfId="6531"/>
    <cellStyle name="쉼표 [0] 2 30 4 4 4 2" xfId="23235"/>
    <cellStyle name="쉼표 [0] 2 30 4 4 5" xfId="12099"/>
    <cellStyle name="쉼표 [0] 2 30 4 4 5 2" xfId="28803"/>
    <cellStyle name="쉼표 [0] 2 30 4 4 6" xfId="17667"/>
    <cellStyle name="쉼표 [0] 2 30 4 5" xfId="1659"/>
    <cellStyle name="쉼표 [0] 2 30 4 5 2" xfId="4443"/>
    <cellStyle name="쉼표 [0] 2 30 4 5 2 2" xfId="10011"/>
    <cellStyle name="쉼표 [0] 2 30 4 5 2 2 2" xfId="26715"/>
    <cellStyle name="쉼표 [0] 2 30 4 5 2 3" xfId="15579"/>
    <cellStyle name="쉼표 [0] 2 30 4 5 2 3 2" xfId="32283"/>
    <cellStyle name="쉼표 [0] 2 30 4 5 2 4" xfId="21147"/>
    <cellStyle name="쉼표 [0] 2 30 4 5 3" xfId="7227"/>
    <cellStyle name="쉼표 [0] 2 30 4 5 3 2" xfId="23931"/>
    <cellStyle name="쉼표 [0] 2 30 4 5 4" xfId="12795"/>
    <cellStyle name="쉼표 [0] 2 30 4 5 4 2" xfId="29499"/>
    <cellStyle name="쉼표 [0] 2 30 4 5 5" xfId="18363"/>
    <cellStyle name="쉼표 [0] 2 30 4 6" xfId="3051"/>
    <cellStyle name="쉼표 [0] 2 30 4 6 2" xfId="8619"/>
    <cellStyle name="쉼표 [0] 2 30 4 6 2 2" xfId="25323"/>
    <cellStyle name="쉼표 [0] 2 30 4 6 3" xfId="14187"/>
    <cellStyle name="쉼표 [0] 2 30 4 6 3 2" xfId="30891"/>
    <cellStyle name="쉼표 [0] 2 30 4 6 4" xfId="19755"/>
    <cellStyle name="쉼표 [0] 2 30 4 7" xfId="5835"/>
    <cellStyle name="쉼표 [0] 2 30 4 7 2" xfId="22539"/>
    <cellStyle name="쉼표 [0] 2 30 4 8" xfId="11403"/>
    <cellStyle name="쉼표 [0] 2 30 4 8 2" xfId="28107"/>
    <cellStyle name="쉼표 [0] 2 30 4 9" xfId="16971"/>
    <cellStyle name="쉼표 [0] 2 30 5" xfId="383"/>
    <cellStyle name="쉼표 [0] 2 30 5 2" xfId="1079"/>
    <cellStyle name="쉼표 [0] 2 30 5 2 2" xfId="2471"/>
    <cellStyle name="쉼표 [0] 2 30 5 2 2 2" xfId="5255"/>
    <cellStyle name="쉼표 [0] 2 30 5 2 2 2 2" xfId="10823"/>
    <cellStyle name="쉼표 [0] 2 30 5 2 2 2 2 2" xfId="27527"/>
    <cellStyle name="쉼표 [0] 2 30 5 2 2 2 3" xfId="16391"/>
    <cellStyle name="쉼표 [0] 2 30 5 2 2 2 3 2" xfId="33095"/>
    <cellStyle name="쉼표 [0] 2 30 5 2 2 2 4" xfId="21959"/>
    <cellStyle name="쉼표 [0] 2 30 5 2 2 3" xfId="8039"/>
    <cellStyle name="쉼표 [0] 2 30 5 2 2 3 2" xfId="24743"/>
    <cellStyle name="쉼표 [0] 2 30 5 2 2 4" xfId="13607"/>
    <cellStyle name="쉼표 [0] 2 30 5 2 2 4 2" xfId="30311"/>
    <cellStyle name="쉼표 [0] 2 30 5 2 2 5" xfId="19175"/>
    <cellStyle name="쉼표 [0] 2 30 5 2 3" xfId="3863"/>
    <cellStyle name="쉼표 [0] 2 30 5 2 3 2" xfId="9431"/>
    <cellStyle name="쉼표 [0] 2 30 5 2 3 2 2" xfId="26135"/>
    <cellStyle name="쉼표 [0] 2 30 5 2 3 3" xfId="14999"/>
    <cellStyle name="쉼표 [0] 2 30 5 2 3 3 2" xfId="31703"/>
    <cellStyle name="쉼표 [0] 2 30 5 2 3 4" xfId="20567"/>
    <cellStyle name="쉼표 [0] 2 30 5 2 4" xfId="6647"/>
    <cellStyle name="쉼표 [0] 2 30 5 2 4 2" xfId="23351"/>
    <cellStyle name="쉼표 [0] 2 30 5 2 5" xfId="12215"/>
    <cellStyle name="쉼표 [0] 2 30 5 2 5 2" xfId="28919"/>
    <cellStyle name="쉼표 [0] 2 30 5 2 6" xfId="17783"/>
    <cellStyle name="쉼표 [0] 2 30 5 3" xfId="1775"/>
    <cellStyle name="쉼표 [0] 2 30 5 3 2" xfId="4559"/>
    <cellStyle name="쉼표 [0] 2 30 5 3 2 2" xfId="10127"/>
    <cellStyle name="쉼표 [0] 2 30 5 3 2 2 2" xfId="26831"/>
    <cellStyle name="쉼표 [0] 2 30 5 3 2 3" xfId="15695"/>
    <cellStyle name="쉼표 [0] 2 30 5 3 2 3 2" xfId="32399"/>
    <cellStyle name="쉼표 [0] 2 30 5 3 2 4" xfId="21263"/>
    <cellStyle name="쉼표 [0] 2 30 5 3 3" xfId="7343"/>
    <cellStyle name="쉼표 [0] 2 30 5 3 3 2" xfId="24047"/>
    <cellStyle name="쉼표 [0] 2 30 5 3 4" xfId="12911"/>
    <cellStyle name="쉼표 [0] 2 30 5 3 4 2" xfId="29615"/>
    <cellStyle name="쉼표 [0] 2 30 5 3 5" xfId="18479"/>
    <cellStyle name="쉼표 [0] 2 30 5 4" xfId="3167"/>
    <cellStyle name="쉼표 [0] 2 30 5 4 2" xfId="8735"/>
    <cellStyle name="쉼표 [0] 2 30 5 4 2 2" xfId="25439"/>
    <cellStyle name="쉼표 [0] 2 30 5 4 3" xfId="14303"/>
    <cellStyle name="쉼표 [0] 2 30 5 4 3 2" xfId="31007"/>
    <cellStyle name="쉼표 [0] 2 30 5 4 4" xfId="19871"/>
    <cellStyle name="쉼표 [0] 2 30 5 5" xfId="5951"/>
    <cellStyle name="쉼표 [0] 2 30 5 5 2" xfId="22655"/>
    <cellStyle name="쉼표 [0] 2 30 5 6" xfId="11519"/>
    <cellStyle name="쉼표 [0] 2 30 5 6 2" xfId="28223"/>
    <cellStyle name="쉼표 [0] 2 30 5 7" xfId="17087"/>
    <cellStyle name="쉼표 [0] 2 30 6" xfId="615"/>
    <cellStyle name="쉼표 [0] 2 30 6 2" xfId="1311"/>
    <cellStyle name="쉼표 [0] 2 30 6 2 2" xfId="2703"/>
    <cellStyle name="쉼표 [0] 2 30 6 2 2 2" xfId="5487"/>
    <cellStyle name="쉼표 [0] 2 30 6 2 2 2 2" xfId="11055"/>
    <cellStyle name="쉼표 [0] 2 30 6 2 2 2 2 2" xfId="27759"/>
    <cellStyle name="쉼표 [0] 2 30 6 2 2 2 3" xfId="16623"/>
    <cellStyle name="쉼표 [0] 2 30 6 2 2 2 3 2" xfId="33327"/>
    <cellStyle name="쉼표 [0] 2 30 6 2 2 2 4" xfId="22191"/>
    <cellStyle name="쉼표 [0] 2 30 6 2 2 3" xfId="8271"/>
    <cellStyle name="쉼표 [0] 2 30 6 2 2 3 2" xfId="24975"/>
    <cellStyle name="쉼표 [0] 2 30 6 2 2 4" xfId="13839"/>
    <cellStyle name="쉼표 [0] 2 30 6 2 2 4 2" xfId="30543"/>
    <cellStyle name="쉼표 [0] 2 30 6 2 2 5" xfId="19407"/>
    <cellStyle name="쉼표 [0] 2 30 6 2 3" xfId="4095"/>
    <cellStyle name="쉼표 [0] 2 30 6 2 3 2" xfId="9663"/>
    <cellStyle name="쉼표 [0] 2 30 6 2 3 2 2" xfId="26367"/>
    <cellStyle name="쉼표 [0] 2 30 6 2 3 3" xfId="15231"/>
    <cellStyle name="쉼표 [0] 2 30 6 2 3 3 2" xfId="31935"/>
    <cellStyle name="쉼표 [0] 2 30 6 2 3 4" xfId="20799"/>
    <cellStyle name="쉼표 [0] 2 30 6 2 4" xfId="6879"/>
    <cellStyle name="쉼표 [0] 2 30 6 2 4 2" xfId="23583"/>
    <cellStyle name="쉼표 [0] 2 30 6 2 5" xfId="12447"/>
    <cellStyle name="쉼표 [0] 2 30 6 2 5 2" xfId="29151"/>
    <cellStyle name="쉼표 [0] 2 30 6 2 6" xfId="18015"/>
    <cellStyle name="쉼표 [0] 2 30 6 3" xfId="2007"/>
    <cellStyle name="쉼표 [0] 2 30 6 3 2" xfId="4791"/>
    <cellStyle name="쉼표 [0] 2 30 6 3 2 2" xfId="10359"/>
    <cellStyle name="쉼표 [0] 2 30 6 3 2 2 2" xfId="27063"/>
    <cellStyle name="쉼표 [0] 2 30 6 3 2 3" xfId="15927"/>
    <cellStyle name="쉼표 [0] 2 30 6 3 2 3 2" xfId="32631"/>
    <cellStyle name="쉼표 [0] 2 30 6 3 2 4" xfId="21495"/>
    <cellStyle name="쉼표 [0] 2 30 6 3 3" xfId="7575"/>
    <cellStyle name="쉼표 [0] 2 30 6 3 3 2" xfId="24279"/>
    <cellStyle name="쉼표 [0] 2 30 6 3 4" xfId="13143"/>
    <cellStyle name="쉼표 [0] 2 30 6 3 4 2" xfId="29847"/>
    <cellStyle name="쉼표 [0] 2 30 6 3 5" xfId="18711"/>
    <cellStyle name="쉼표 [0] 2 30 6 4" xfId="3399"/>
    <cellStyle name="쉼표 [0] 2 30 6 4 2" xfId="8967"/>
    <cellStyle name="쉼표 [0] 2 30 6 4 2 2" xfId="25671"/>
    <cellStyle name="쉼표 [0] 2 30 6 4 3" xfId="14535"/>
    <cellStyle name="쉼표 [0] 2 30 6 4 3 2" xfId="31239"/>
    <cellStyle name="쉼표 [0] 2 30 6 4 4" xfId="20103"/>
    <cellStyle name="쉼표 [0] 2 30 6 5" xfId="6183"/>
    <cellStyle name="쉼표 [0] 2 30 6 5 2" xfId="22887"/>
    <cellStyle name="쉼표 [0] 2 30 6 6" xfId="11751"/>
    <cellStyle name="쉼표 [0] 2 30 6 6 2" xfId="28455"/>
    <cellStyle name="쉼표 [0] 2 30 6 7" xfId="17319"/>
    <cellStyle name="쉼표 [0] 2 30 7" xfId="847"/>
    <cellStyle name="쉼표 [0] 2 30 7 2" xfId="2239"/>
    <cellStyle name="쉼표 [0] 2 30 7 2 2" xfId="5023"/>
    <cellStyle name="쉼표 [0] 2 30 7 2 2 2" xfId="10591"/>
    <cellStyle name="쉼표 [0] 2 30 7 2 2 2 2" xfId="27295"/>
    <cellStyle name="쉼표 [0] 2 30 7 2 2 3" xfId="16159"/>
    <cellStyle name="쉼표 [0] 2 30 7 2 2 3 2" xfId="32863"/>
    <cellStyle name="쉼표 [0] 2 30 7 2 2 4" xfId="21727"/>
    <cellStyle name="쉼표 [0] 2 30 7 2 3" xfId="7807"/>
    <cellStyle name="쉼표 [0] 2 30 7 2 3 2" xfId="24511"/>
    <cellStyle name="쉼표 [0] 2 30 7 2 4" xfId="13375"/>
    <cellStyle name="쉼표 [0] 2 30 7 2 4 2" xfId="30079"/>
    <cellStyle name="쉼표 [0] 2 30 7 2 5" xfId="18943"/>
    <cellStyle name="쉼표 [0] 2 30 7 3" xfId="3631"/>
    <cellStyle name="쉼표 [0] 2 30 7 3 2" xfId="9199"/>
    <cellStyle name="쉼표 [0] 2 30 7 3 2 2" xfId="25903"/>
    <cellStyle name="쉼표 [0] 2 30 7 3 3" xfId="14767"/>
    <cellStyle name="쉼표 [0] 2 30 7 3 3 2" xfId="31471"/>
    <cellStyle name="쉼표 [0] 2 30 7 3 4" xfId="20335"/>
    <cellStyle name="쉼표 [0] 2 30 7 4" xfId="6415"/>
    <cellStyle name="쉼표 [0] 2 30 7 4 2" xfId="23119"/>
    <cellStyle name="쉼표 [0] 2 30 7 5" xfId="11983"/>
    <cellStyle name="쉼표 [0] 2 30 7 5 2" xfId="28687"/>
    <cellStyle name="쉼표 [0] 2 30 7 6" xfId="17551"/>
    <cellStyle name="쉼표 [0] 2 30 8" xfId="1543"/>
    <cellStyle name="쉼표 [0] 2 30 8 2" xfId="4327"/>
    <cellStyle name="쉼표 [0] 2 30 8 2 2" xfId="9895"/>
    <cellStyle name="쉼표 [0] 2 30 8 2 2 2" xfId="26599"/>
    <cellStyle name="쉼표 [0] 2 30 8 2 3" xfId="15463"/>
    <cellStyle name="쉼표 [0] 2 30 8 2 3 2" xfId="32167"/>
    <cellStyle name="쉼표 [0] 2 30 8 2 4" xfId="21031"/>
    <cellStyle name="쉼표 [0] 2 30 8 3" xfId="7111"/>
    <cellStyle name="쉼표 [0] 2 30 8 3 2" xfId="23815"/>
    <cellStyle name="쉼표 [0] 2 30 8 4" xfId="12679"/>
    <cellStyle name="쉼표 [0] 2 30 8 4 2" xfId="29383"/>
    <cellStyle name="쉼표 [0] 2 30 8 5" xfId="18247"/>
    <cellStyle name="쉼표 [0] 2 30 9" xfId="2935"/>
    <cellStyle name="쉼표 [0] 2 30 9 2" xfId="8503"/>
    <cellStyle name="쉼표 [0] 2 30 9 2 2" xfId="25207"/>
    <cellStyle name="쉼표 [0] 2 30 9 3" xfId="14071"/>
    <cellStyle name="쉼표 [0] 2 30 9 3 2" xfId="30775"/>
    <cellStyle name="쉼표 [0] 2 30 9 4" xfId="19639"/>
    <cellStyle name="쉼표 [0] 2 4" xfId="111"/>
    <cellStyle name="쉼표 [0] 2 4 10" xfId="5720"/>
    <cellStyle name="쉼표 [0] 2 4 10 2" xfId="22424"/>
    <cellStyle name="쉼표 [0] 2 4 11" xfId="11288"/>
    <cellStyle name="쉼표 [0] 2 4 11 2" xfId="27992"/>
    <cellStyle name="쉼표 [0] 2 4 12" xfId="16856"/>
    <cellStyle name="쉼표 [0] 2 4 2" xfId="181"/>
    <cellStyle name="쉼표 [0] 2 4 2 10" xfId="11317"/>
    <cellStyle name="쉼표 [0] 2 4 2 10 2" xfId="28021"/>
    <cellStyle name="쉼표 [0] 2 4 2 11" xfId="16885"/>
    <cellStyle name="쉼표 [0] 2 4 2 2" xfId="239"/>
    <cellStyle name="쉼표 [0] 2 4 2 2 10" xfId="16943"/>
    <cellStyle name="쉼표 [0] 2 4 2 2 2" xfId="355"/>
    <cellStyle name="쉼표 [0] 2 4 2 2 2 2" xfId="587"/>
    <cellStyle name="쉼표 [0] 2 4 2 2 2 2 2" xfId="1283"/>
    <cellStyle name="쉼표 [0] 2 4 2 2 2 2 2 2" xfId="2675"/>
    <cellStyle name="쉼표 [0] 2 4 2 2 2 2 2 2 2" xfId="5459"/>
    <cellStyle name="쉼표 [0] 2 4 2 2 2 2 2 2 2 2" xfId="11027"/>
    <cellStyle name="쉼표 [0] 2 4 2 2 2 2 2 2 2 2 2" xfId="27731"/>
    <cellStyle name="쉼표 [0] 2 4 2 2 2 2 2 2 2 3" xfId="16595"/>
    <cellStyle name="쉼표 [0] 2 4 2 2 2 2 2 2 2 3 2" xfId="33299"/>
    <cellStyle name="쉼표 [0] 2 4 2 2 2 2 2 2 2 4" xfId="22163"/>
    <cellStyle name="쉼표 [0] 2 4 2 2 2 2 2 2 3" xfId="8243"/>
    <cellStyle name="쉼표 [0] 2 4 2 2 2 2 2 2 3 2" xfId="24947"/>
    <cellStyle name="쉼표 [0] 2 4 2 2 2 2 2 2 4" xfId="13811"/>
    <cellStyle name="쉼표 [0] 2 4 2 2 2 2 2 2 4 2" xfId="30515"/>
    <cellStyle name="쉼표 [0] 2 4 2 2 2 2 2 2 5" xfId="19379"/>
    <cellStyle name="쉼표 [0] 2 4 2 2 2 2 2 3" xfId="4067"/>
    <cellStyle name="쉼표 [0] 2 4 2 2 2 2 2 3 2" xfId="9635"/>
    <cellStyle name="쉼표 [0] 2 4 2 2 2 2 2 3 2 2" xfId="26339"/>
    <cellStyle name="쉼표 [0] 2 4 2 2 2 2 2 3 3" xfId="15203"/>
    <cellStyle name="쉼표 [0] 2 4 2 2 2 2 2 3 3 2" xfId="31907"/>
    <cellStyle name="쉼표 [0] 2 4 2 2 2 2 2 3 4" xfId="20771"/>
    <cellStyle name="쉼표 [0] 2 4 2 2 2 2 2 4" xfId="6851"/>
    <cellStyle name="쉼표 [0] 2 4 2 2 2 2 2 4 2" xfId="23555"/>
    <cellStyle name="쉼표 [0] 2 4 2 2 2 2 2 5" xfId="12419"/>
    <cellStyle name="쉼표 [0] 2 4 2 2 2 2 2 5 2" xfId="29123"/>
    <cellStyle name="쉼표 [0] 2 4 2 2 2 2 2 6" xfId="17987"/>
    <cellStyle name="쉼표 [0] 2 4 2 2 2 2 3" xfId="1979"/>
    <cellStyle name="쉼표 [0] 2 4 2 2 2 2 3 2" xfId="4763"/>
    <cellStyle name="쉼표 [0] 2 4 2 2 2 2 3 2 2" xfId="10331"/>
    <cellStyle name="쉼표 [0] 2 4 2 2 2 2 3 2 2 2" xfId="27035"/>
    <cellStyle name="쉼표 [0] 2 4 2 2 2 2 3 2 3" xfId="15899"/>
    <cellStyle name="쉼표 [0] 2 4 2 2 2 2 3 2 3 2" xfId="32603"/>
    <cellStyle name="쉼표 [0] 2 4 2 2 2 2 3 2 4" xfId="21467"/>
    <cellStyle name="쉼표 [0] 2 4 2 2 2 2 3 3" xfId="7547"/>
    <cellStyle name="쉼표 [0] 2 4 2 2 2 2 3 3 2" xfId="24251"/>
    <cellStyle name="쉼표 [0] 2 4 2 2 2 2 3 4" xfId="13115"/>
    <cellStyle name="쉼표 [0] 2 4 2 2 2 2 3 4 2" xfId="29819"/>
    <cellStyle name="쉼표 [0] 2 4 2 2 2 2 3 5" xfId="18683"/>
    <cellStyle name="쉼표 [0] 2 4 2 2 2 2 4" xfId="3371"/>
    <cellStyle name="쉼표 [0] 2 4 2 2 2 2 4 2" xfId="8939"/>
    <cellStyle name="쉼표 [0] 2 4 2 2 2 2 4 2 2" xfId="25643"/>
    <cellStyle name="쉼표 [0] 2 4 2 2 2 2 4 3" xfId="14507"/>
    <cellStyle name="쉼표 [0] 2 4 2 2 2 2 4 3 2" xfId="31211"/>
    <cellStyle name="쉼표 [0] 2 4 2 2 2 2 4 4" xfId="20075"/>
    <cellStyle name="쉼표 [0] 2 4 2 2 2 2 5" xfId="6155"/>
    <cellStyle name="쉼표 [0] 2 4 2 2 2 2 5 2" xfId="22859"/>
    <cellStyle name="쉼표 [0] 2 4 2 2 2 2 6" xfId="11723"/>
    <cellStyle name="쉼표 [0] 2 4 2 2 2 2 6 2" xfId="28427"/>
    <cellStyle name="쉼표 [0] 2 4 2 2 2 2 7" xfId="17291"/>
    <cellStyle name="쉼표 [0] 2 4 2 2 2 3" xfId="819"/>
    <cellStyle name="쉼표 [0] 2 4 2 2 2 3 2" xfId="1515"/>
    <cellStyle name="쉼표 [0] 2 4 2 2 2 3 2 2" xfId="2907"/>
    <cellStyle name="쉼표 [0] 2 4 2 2 2 3 2 2 2" xfId="5691"/>
    <cellStyle name="쉼표 [0] 2 4 2 2 2 3 2 2 2 2" xfId="11259"/>
    <cellStyle name="쉼표 [0] 2 4 2 2 2 3 2 2 2 2 2" xfId="27963"/>
    <cellStyle name="쉼표 [0] 2 4 2 2 2 3 2 2 2 3" xfId="16827"/>
    <cellStyle name="쉼표 [0] 2 4 2 2 2 3 2 2 2 3 2" xfId="33531"/>
    <cellStyle name="쉼표 [0] 2 4 2 2 2 3 2 2 2 4" xfId="22395"/>
    <cellStyle name="쉼표 [0] 2 4 2 2 2 3 2 2 3" xfId="8475"/>
    <cellStyle name="쉼표 [0] 2 4 2 2 2 3 2 2 3 2" xfId="25179"/>
    <cellStyle name="쉼표 [0] 2 4 2 2 2 3 2 2 4" xfId="14043"/>
    <cellStyle name="쉼표 [0] 2 4 2 2 2 3 2 2 4 2" xfId="30747"/>
    <cellStyle name="쉼표 [0] 2 4 2 2 2 3 2 2 5" xfId="19611"/>
    <cellStyle name="쉼표 [0] 2 4 2 2 2 3 2 3" xfId="4299"/>
    <cellStyle name="쉼표 [0] 2 4 2 2 2 3 2 3 2" xfId="9867"/>
    <cellStyle name="쉼표 [0] 2 4 2 2 2 3 2 3 2 2" xfId="26571"/>
    <cellStyle name="쉼표 [0] 2 4 2 2 2 3 2 3 3" xfId="15435"/>
    <cellStyle name="쉼표 [0] 2 4 2 2 2 3 2 3 3 2" xfId="32139"/>
    <cellStyle name="쉼표 [0] 2 4 2 2 2 3 2 3 4" xfId="21003"/>
    <cellStyle name="쉼표 [0] 2 4 2 2 2 3 2 4" xfId="7083"/>
    <cellStyle name="쉼표 [0] 2 4 2 2 2 3 2 4 2" xfId="23787"/>
    <cellStyle name="쉼표 [0] 2 4 2 2 2 3 2 5" xfId="12651"/>
    <cellStyle name="쉼표 [0] 2 4 2 2 2 3 2 5 2" xfId="29355"/>
    <cellStyle name="쉼표 [0] 2 4 2 2 2 3 2 6" xfId="18219"/>
    <cellStyle name="쉼표 [0] 2 4 2 2 2 3 3" xfId="2211"/>
    <cellStyle name="쉼표 [0] 2 4 2 2 2 3 3 2" xfId="4995"/>
    <cellStyle name="쉼표 [0] 2 4 2 2 2 3 3 2 2" xfId="10563"/>
    <cellStyle name="쉼표 [0] 2 4 2 2 2 3 3 2 2 2" xfId="27267"/>
    <cellStyle name="쉼표 [0] 2 4 2 2 2 3 3 2 3" xfId="16131"/>
    <cellStyle name="쉼표 [0] 2 4 2 2 2 3 3 2 3 2" xfId="32835"/>
    <cellStyle name="쉼표 [0] 2 4 2 2 2 3 3 2 4" xfId="21699"/>
    <cellStyle name="쉼표 [0] 2 4 2 2 2 3 3 3" xfId="7779"/>
    <cellStyle name="쉼표 [0] 2 4 2 2 2 3 3 3 2" xfId="24483"/>
    <cellStyle name="쉼표 [0] 2 4 2 2 2 3 3 4" xfId="13347"/>
    <cellStyle name="쉼표 [0] 2 4 2 2 2 3 3 4 2" xfId="30051"/>
    <cellStyle name="쉼표 [0] 2 4 2 2 2 3 3 5" xfId="18915"/>
    <cellStyle name="쉼표 [0] 2 4 2 2 2 3 4" xfId="3603"/>
    <cellStyle name="쉼표 [0] 2 4 2 2 2 3 4 2" xfId="9171"/>
    <cellStyle name="쉼표 [0] 2 4 2 2 2 3 4 2 2" xfId="25875"/>
    <cellStyle name="쉼표 [0] 2 4 2 2 2 3 4 3" xfId="14739"/>
    <cellStyle name="쉼표 [0] 2 4 2 2 2 3 4 3 2" xfId="31443"/>
    <cellStyle name="쉼표 [0] 2 4 2 2 2 3 4 4" xfId="20307"/>
    <cellStyle name="쉼표 [0] 2 4 2 2 2 3 5" xfId="6387"/>
    <cellStyle name="쉼표 [0] 2 4 2 2 2 3 5 2" xfId="23091"/>
    <cellStyle name="쉼표 [0] 2 4 2 2 2 3 6" xfId="11955"/>
    <cellStyle name="쉼표 [0] 2 4 2 2 2 3 6 2" xfId="28659"/>
    <cellStyle name="쉼표 [0] 2 4 2 2 2 3 7" xfId="17523"/>
    <cellStyle name="쉼표 [0] 2 4 2 2 2 4" xfId="1051"/>
    <cellStyle name="쉼표 [0] 2 4 2 2 2 4 2" xfId="2443"/>
    <cellStyle name="쉼표 [0] 2 4 2 2 2 4 2 2" xfId="5227"/>
    <cellStyle name="쉼표 [0] 2 4 2 2 2 4 2 2 2" xfId="10795"/>
    <cellStyle name="쉼표 [0] 2 4 2 2 2 4 2 2 2 2" xfId="27499"/>
    <cellStyle name="쉼표 [0] 2 4 2 2 2 4 2 2 3" xfId="16363"/>
    <cellStyle name="쉼표 [0] 2 4 2 2 2 4 2 2 3 2" xfId="33067"/>
    <cellStyle name="쉼표 [0] 2 4 2 2 2 4 2 2 4" xfId="21931"/>
    <cellStyle name="쉼표 [0] 2 4 2 2 2 4 2 3" xfId="8011"/>
    <cellStyle name="쉼표 [0] 2 4 2 2 2 4 2 3 2" xfId="24715"/>
    <cellStyle name="쉼표 [0] 2 4 2 2 2 4 2 4" xfId="13579"/>
    <cellStyle name="쉼표 [0] 2 4 2 2 2 4 2 4 2" xfId="30283"/>
    <cellStyle name="쉼표 [0] 2 4 2 2 2 4 2 5" xfId="19147"/>
    <cellStyle name="쉼표 [0] 2 4 2 2 2 4 3" xfId="3835"/>
    <cellStyle name="쉼표 [0] 2 4 2 2 2 4 3 2" xfId="9403"/>
    <cellStyle name="쉼표 [0] 2 4 2 2 2 4 3 2 2" xfId="26107"/>
    <cellStyle name="쉼표 [0] 2 4 2 2 2 4 3 3" xfId="14971"/>
    <cellStyle name="쉼표 [0] 2 4 2 2 2 4 3 3 2" xfId="31675"/>
    <cellStyle name="쉼표 [0] 2 4 2 2 2 4 3 4" xfId="20539"/>
    <cellStyle name="쉼표 [0] 2 4 2 2 2 4 4" xfId="6619"/>
    <cellStyle name="쉼표 [0] 2 4 2 2 2 4 4 2" xfId="23323"/>
    <cellStyle name="쉼표 [0] 2 4 2 2 2 4 5" xfId="12187"/>
    <cellStyle name="쉼표 [0] 2 4 2 2 2 4 5 2" xfId="28891"/>
    <cellStyle name="쉼표 [0] 2 4 2 2 2 4 6" xfId="17755"/>
    <cellStyle name="쉼표 [0] 2 4 2 2 2 5" xfId="1747"/>
    <cellStyle name="쉼표 [0] 2 4 2 2 2 5 2" xfId="4531"/>
    <cellStyle name="쉼표 [0] 2 4 2 2 2 5 2 2" xfId="10099"/>
    <cellStyle name="쉼표 [0] 2 4 2 2 2 5 2 2 2" xfId="26803"/>
    <cellStyle name="쉼표 [0] 2 4 2 2 2 5 2 3" xfId="15667"/>
    <cellStyle name="쉼표 [0] 2 4 2 2 2 5 2 3 2" xfId="32371"/>
    <cellStyle name="쉼표 [0] 2 4 2 2 2 5 2 4" xfId="21235"/>
    <cellStyle name="쉼표 [0] 2 4 2 2 2 5 3" xfId="7315"/>
    <cellStyle name="쉼표 [0] 2 4 2 2 2 5 3 2" xfId="24019"/>
    <cellStyle name="쉼표 [0] 2 4 2 2 2 5 4" xfId="12883"/>
    <cellStyle name="쉼표 [0] 2 4 2 2 2 5 4 2" xfId="29587"/>
    <cellStyle name="쉼표 [0] 2 4 2 2 2 5 5" xfId="18451"/>
    <cellStyle name="쉼표 [0] 2 4 2 2 2 6" xfId="3139"/>
    <cellStyle name="쉼표 [0] 2 4 2 2 2 6 2" xfId="8707"/>
    <cellStyle name="쉼표 [0] 2 4 2 2 2 6 2 2" xfId="25411"/>
    <cellStyle name="쉼표 [0] 2 4 2 2 2 6 3" xfId="14275"/>
    <cellStyle name="쉼표 [0] 2 4 2 2 2 6 3 2" xfId="30979"/>
    <cellStyle name="쉼표 [0] 2 4 2 2 2 6 4" xfId="19843"/>
    <cellStyle name="쉼표 [0] 2 4 2 2 2 7" xfId="5923"/>
    <cellStyle name="쉼표 [0] 2 4 2 2 2 7 2" xfId="22627"/>
    <cellStyle name="쉼표 [0] 2 4 2 2 2 8" xfId="11491"/>
    <cellStyle name="쉼표 [0] 2 4 2 2 2 8 2" xfId="28195"/>
    <cellStyle name="쉼표 [0] 2 4 2 2 2 9" xfId="17059"/>
    <cellStyle name="쉼표 [0] 2 4 2 2 3" xfId="471"/>
    <cellStyle name="쉼표 [0] 2 4 2 2 3 2" xfId="1167"/>
    <cellStyle name="쉼표 [0] 2 4 2 2 3 2 2" xfId="2559"/>
    <cellStyle name="쉼표 [0] 2 4 2 2 3 2 2 2" xfId="5343"/>
    <cellStyle name="쉼표 [0] 2 4 2 2 3 2 2 2 2" xfId="10911"/>
    <cellStyle name="쉼표 [0] 2 4 2 2 3 2 2 2 2 2" xfId="27615"/>
    <cellStyle name="쉼표 [0] 2 4 2 2 3 2 2 2 3" xfId="16479"/>
    <cellStyle name="쉼표 [0] 2 4 2 2 3 2 2 2 3 2" xfId="33183"/>
    <cellStyle name="쉼표 [0] 2 4 2 2 3 2 2 2 4" xfId="22047"/>
    <cellStyle name="쉼표 [0] 2 4 2 2 3 2 2 3" xfId="8127"/>
    <cellStyle name="쉼표 [0] 2 4 2 2 3 2 2 3 2" xfId="24831"/>
    <cellStyle name="쉼표 [0] 2 4 2 2 3 2 2 4" xfId="13695"/>
    <cellStyle name="쉼표 [0] 2 4 2 2 3 2 2 4 2" xfId="30399"/>
    <cellStyle name="쉼표 [0] 2 4 2 2 3 2 2 5" xfId="19263"/>
    <cellStyle name="쉼표 [0] 2 4 2 2 3 2 3" xfId="3951"/>
    <cellStyle name="쉼표 [0] 2 4 2 2 3 2 3 2" xfId="9519"/>
    <cellStyle name="쉼표 [0] 2 4 2 2 3 2 3 2 2" xfId="26223"/>
    <cellStyle name="쉼표 [0] 2 4 2 2 3 2 3 3" xfId="15087"/>
    <cellStyle name="쉼표 [0] 2 4 2 2 3 2 3 3 2" xfId="31791"/>
    <cellStyle name="쉼표 [0] 2 4 2 2 3 2 3 4" xfId="20655"/>
    <cellStyle name="쉼표 [0] 2 4 2 2 3 2 4" xfId="6735"/>
    <cellStyle name="쉼표 [0] 2 4 2 2 3 2 4 2" xfId="23439"/>
    <cellStyle name="쉼표 [0] 2 4 2 2 3 2 5" xfId="12303"/>
    <cellStyle name="쉼표 [0] 2 4 2 2 3 2 5 2" xfId="29007"/>
    <cellStyle name="쉼표 [0] 2 4 2 2 3 2 6" xfId="17871"/>
    <cellStyle name="쉼표 [0] 2 4 2 2 3 3" xfId="1863"/>
    <cellStyle name="쉼표 [0] 2 4 2 2 3 3 2" xfId="4647"/>
    <cellStyle name="쉼표 [0] 2 4 2 2 3 3 2 2" xfId="10215"/>
    <cellStyle name="쉼표 [0] 2 4 2 2 3 3 2 2 2" xfId="26919"/>
    <cellStyle name="쉼표 [0] 2 4 2 2 3 3 2 3" xfId="15783"/>
    <cellStyle name="쉼표 [0] 2 4 2 2 3 3 2 3 2" xfId="32487"/>
    <cellStyle name="쉼표 [0] 2 4 2 2 3 3 2 4" xfId="21351"/>
    <cellStyle name="쉼표 [0] 2 4 2 2 3 3 3" xfId="7431"/>
    <cellStyle name="쉼표 [0] 2 4 2 2 3 3 3 2" xfId="24135"/>
    <cellStyle name="쉼표 [0] 2 4 2 2 3 3 4" xfId="12999"/>
    <cellStyle name="쉼표 [0] 2 4 2 2 3 3 4 2" xfId="29703"/>
    <cellStyle name="쉼표 [0] 2 4 2 2 3 3 5" xfId="18567"/>
    <cellStyle name="쉼표 [0] 2 4 2 2 3 4" xfId="3255"/>
    <cellStyle name="쉼표 [0] 2 4 2 2 3 4 2" xfId="8823"/>
    <cellStyle name="쉼표 [0] 2 4 2 2 3 4 2 2" xfId="25527"/>
    <cellStyle name="쉼표 [0] 2 4 2 2 3 4 3" xfId="14391"/>
    <cellStyle name="쉼표 [0] 2 4 2 2 3 4 3 2" xfId="31095"/>
    <cellStyle name="쉼표 [0] 2 4 2 2 3 4 4" xfId="19959"/>
    <cellStyle name="쉼표 [0] 2 4 2 2 3 5" xfId="6039"/>
    <cellStyle name="쉼표 [0] 2 4 2 2 3 5 2" xfId="22743"/>
    <cellStyle name="쉼표 [0] 2 4 2 2 3 6" xfId="11607"/>
    <cellStyle name="쉼표 [0] 2 4 2 2 3 6 2" xfId="28311"/>
    <cellStyle name="쉼표 [0] 2 4 2 2 3 7" xfId="17175"/>
    <cellStyle name="쉼표 [0] 2 4 2 2 4" xfId="703"/>
    <cellStyle name="쉼표 [0] 2 4 2 2 4 2" xfId="1399"/>
    <cellStyle name="쉼표 [0] 2 4 2 2 4 2 2" xfId="2791"/>
    <cellStyle name="쉼표 [0] 2 4 2 2 4 2 2 2" xfId="5575"/>
    <cellStyle name="쉼표 [0] 2 4 2 2 4 2 2 2 2" xfId="11143"/>
    <cellStyle name="쉼표 [0] 2 4 2 2 4 2 2 2 2 2" xfId="27847"/>
    <cellStyle name="쉼표 [0] 2 4 2 2 4 2 2 2 3" xfId="16711"/>
    <cellStyle name="쉼표 [0] 2 4 2 2 4 2 2 2 3 2" xfId="33415"/>
    <cellStyle name="쉼표 [0] 2 4 2 2 4 2 2 2 4" xfId="22279"/>
    <cellStyle name="쉼표 [0] 2 4 2 2 4 2 2 3" xfId="8359"/>
    <cellStyle name="쉼표 [0] 2 4 2 2 4 2 2 3 2" xfId="25063"/>
    <cellStyle name="쉼표 [0] 2 4 2 2 4 2 2 4" xfId="13927"/>
    <cellStyle name="쉼표 [0] 2 4 2 2 4 2 2 4 2" xfId="30631"/>
    <cellStyle name="쉼표 [0] 2 4 2 2 4 2 2 5" xfId="19495"/>
    <cellStyle name="쉼표 [0] 2 4 2 2 4 2 3" xfId="4183"/>
    <cellStyle name="쉼표 [0] 2 4 2 2 4 2 3 2" xfId="9751"/>
    <cellStyle name="쉼표 [0] 2 4 2 2 4 2 3 2 2" xfId="26455"/>
    <cellStyle name="쉼표 [0] 2 4 2 2 4 2 3 3" xfId="15319"/>
    <cellStyle name="쉼표 [0] 2 4 2 2 4 2 3 3 2" xfId="32023"/>
    <cellStyle name="쉼표 [0] 2 4 2 2 4 2 3 4" xfId="20887"/>
    <cellStyle name="쉼표 [0] 2 4 2 2 4 2 4" xfId="6967"/>
    <cellStyle name="쉼표 [0] 2 4 2 2 4 2 4 2" xfId="23671"/>
    <cellStyle name="쉼표 [0] 2 4 2 2 4 2 5" xfId="12535"/>
    <cellStyle name="쉼표 [0] 2 4 2 2 4 2 5 2" xfId="29239"/>
    <cellStyle name="쉼표 [0] 2 4 2 2 4 2 6" xfId="18103"/>
    <cellStyle name="쉼표 [0] 2 4 2 2 4 3" xfId="2095"/>
    <cellStyle name="쉼표 [0] 2 4 2 2 4 3 2" xfId="4879"/>
    <cellStyle name="쉼표 [0] 2 4 2 2 4 3 2 2" xfId="10447"/>
    <cellStyle name="쉼표 [0] 2 4 2 2 4 3 2 2 2" xfId="27151"/>
    <cellStyle name="쉼표 [0] 2 4 2 2 4 3 2 3" xfId="16015"/>
    <cellStyle name="쉼표 [0] 2 4 2 2 4 3 2 3 2" xfId="32719"/>
    <cellStyle name="쉼표 [0] 2 4 2 2 4 3 2 4" xfId="21583"/>
    <cellStyle name="쉼표 [0] 2 4 2 2 4 3 3" xfId="7663"/>
    <cellStyle name="쉼표 [0] 2 4 2 2 4 3 3 2" xfId="24367"/>
    <cellStyle name="쉼표 [0] 2 4 2 2 4 3 4" xfId="13231"/>
    <cellStyle name="쉼표 [0] 2 4 2 2 4 3 4 2" xfId="29935"/>
    <cellStyle name="쉼표 [0] 2 4 2 2 4 3 5" xfId="18799"/>
    <cellStyle name="쉼표 [0] 2 4 2 2 4 4" xfId="3487"/>
    <cellStyle name="쉼표 [0] 2 4 2 2 4 4 2" xfId="9055"/>
    <cellStyle name="쉼표 [0] 2 4 2 2 4 4 2 2" xfId="25759"/>
    <cellStyle name="쉼표 [0] 2 4 2 2 4 4 3" xfId="14623"/>
    <cellStyle name="쉼표 [0] 2 4 2 2 4 4 3 2" xfId="31327"/>
    <cellStyle name="쉼표 [0] 2 4 2 2 4 4 4" xfId="20191"/>
    <cellStyle name="쉼표 [0] 2 4 2 2 4 5" xfId="6271"/>
    <cellStyle name="쉼표 [0] 2 4 2 2 4 5 2" xfId="22975"/>
    <cellStyle name="쉼표 [0] 2 4 2 2 4 6" xfId="11839"/>
    <cellStyle name="쉼표 [0] 2 4 2 2 4 6 2" xfId="28543"/>
    <cellStyle name="쉼표 [0] 2 4 2 2 4 7" xfId="17407"/>
    <cellStyle name="쉼표 [0] 2 4 2 2 5" xfId="935"/>
    <cellStyle name="쉼표 [0] 2 4 2 2 5 2" xfId="2327"/>
    <cellStyle name="쉼표 [0] 2 4 2 2 5 2 2" xfId="5111"/>
    <cellStyle name="쉼표 [0] 2 4 2 2 5 2 2 2" xfId="10679"/>
    <cellStyle name="쉼표 [0] 2 4 2 2 5 2 2 2 2" xfId="27383"/>
    <cellStyle name="쉼표 [0] 2 4 2 2 5 2 2 3" xfId="16247"/>
    <cellStyle name="쉼표 [0] 2 4 2 2 5 2 2 3 2" xfId="32951"/>
    <cellStyle name="쉼표 [0] 2 4 2 2 5 2 2 4" xfId="21815"/>
    <cellStyle name="쉼표 [0] 2 4 2 2 5 2 3" xfId="7895"/>
    <cellStyle name="쉼표 [0] 2 4 2 2 5 2 3 2" xfId="24599"/>
    <cellStyle name="쉼표 [0] 2 4 2 2 5 2 4" xfId="13463"/>
    <cellStyle name="쉼표 [0] 2 4 2 2 5 2 4 2" xfId="30167"/>
    <cellStyle name="쉼표 [0] 2 4 2 2 5 2 5" xfId="19031"/>
    <cellStyle name="쉼표 [0] 2 4 2 2 5 3" xfId="3719"/>
    <cellStyle name="쉼표 [0] 2 4 2 2 5 3 2" xfId="9287"/>
    <cellStyle name="쉼표 [0] 2 4 2 2 5 3 2 2" xfId="25991"/>
    <cellStyle name="쉼표 [0] 2 4 2 2 5 3 3" xfId="14855"/>
    <cellStyle name="쉼표 [0] 2 4 2 2 5 3 3 2" xfId="31559"/>
    <cellStyle name="쉼표 [0] 2 4 2 2 5 3 4" xfId="20423"/>
    <cellStyle name="쉼표 [0] 2 4 2 2 5 4" xfId="6503"/>
    <cellStyle name="쉼표 [0] 2 4 2 2 5 4 2" xfId="23207"/>
    <cellStyle name="쉼표 [0] 2 4 2 2 5 5" xfId="12071"/>
    <cellStyle name="쉼표 [0] 2 4 2 2 5 5 2" xfId="28775"/>
    <cellStyle name="쉼표 [0] 2 4 2 2 5 6" xfId="17639"/>
    <cellStyle name="쉼표 [0] 2 4 2 2 6" xfId="1631"/>
    <cellStyle name="쉼표 [0] 2 4 2 2 6 2" xfId="4415"/>
    <cellStyle name="쉼표 [0] 2 4 2 2 6 2 2" xfId="9983"/>
    <cellStyle name="쉼표 [0] 2 4 2 2 6 2 2 2" xfId="26687"/>
    <cellStyle name="쉼표 [0] 2 4 2 2 6 2 3" xfId="15551"/>
    <cellStyle name="쉼표 [0] 2 4 2 2 6 2 3 2" xfId="32255"/>
    <cellStyle name="쉼표 [0] 2 4 2 2 6 2 4" xfId="21119"/>
    <cellStyle name="쉼표 [0] 2 4 2 2 6 3" xfId="7199"/>
    <cellStyle name="쉼표 [0] 2 4 2 2 6 3 2" xfId="23903"/>
    <cellStyle name="쉼표 [0] 2 4 2 2 6 4" xfId="12767"/>
    <cellStyle name="쉼표 [0] 2 4 2 2 6 4 2" xfId="29471"/>
    <cellStyle name="쉼표 [0] 2 4 2 2 6 5" xfId="18335"/>
    <cellStyle name="쉼표 [0] 2 4 2 2 7" xfId="3023"/>
    <cellStyle name="쉼표 [0] 2 4 2 2 7 2" xfId="8591"/>
    <cellStyle name="쉼표 [0] 2 4 2 2 7 2 2" xfId="25295"/>
    <cellStyle name="쉼표 [0] 2 4 2 2 7 3" xfId="14159"/>
    <cellStyle name="쉼표 [0] 2 4 2 2 7 3 2" xfId="30863"/>
    <cellStyle name="쉼표 [0] 2 4 2 2 7 4" xfId="19727"/>
    <cellStyle name="쉼표 [0] 2 4 2 2 8" xfId="5807"/>
    <cellStyle name="쉼표 [0] 2 4 2 2 8 2" xfId="22511"/>
    <cellStyle name="쉼표 [0] 2 4 2 2 9" xfId="11375"/>
    <cellStyle name="쉼표 [0] 2 4 2 2 9 2" xfId="28079"/>
    <cellStyle name="쉼표 [0] 2 4 2 3" xfId="297"/>
    <cellStyle name="쉼표 [0] 2 4 2 3 2" xfId="529"/>
    <cellStyle name="쉼표 [0] 2 4 2 3 2 2" xfId="1225"/>
    <cellStyle name="쉼표 [0] 2 4 2 3 2 2 2" xfId="2617"/>
    <cellStyle name="쉼표 [0] 2 4 2 3 2 2 2 2" xfId="5401"/>
    <cellStyle name="쉼표 [0] 2 4 2 3 2 2 2 2 2" xfId="10969"/>
    <cellStyle name="쉼표 [0] 2 4 2 3 2 2 2 2 2 2" xfId="27673"/>
    <cellStyle name="쉼표 [0] 2 4 2 3 2 2 2 2 3" xfId="16537"/>
    <cellStyle name="쉼표 [0] 2 4 2 3 2 2 2 2 3 2" xfId="33241"/>
    <cellStyle name="쉼표 [0] 2 4 2 3 2 2 2 2 4" xfId="22105"/>
    <cellStyle name="쉼표 [0] 2 4 2 3 2 2 2 3" xfId="8185"/>
    <cellStyle name="쉼표 [0] 2 4 2 3 2 2 2 3 2" xfId="24889"/>
    <cellStyle name="쉼표 [0] 2 4 2 3 2 2 2 4" xfId="13753"/>
    <cellStyle name="쉼표 [0] 2 4 2 3 2 2 2 4 2" xfId="30457"/>
    <cellStyle name="쉼표 [0] 2 4 2 3 2 2 2 5" xfId="19321"/>
    <cellStyle name="쉼표 [0] 2 4 2 3 2 2 3" xfId="4009"/>
    <cellStyle name="쉼표 [0] 2 4 2 3 2 2 3 2" xfId="9577"/>
    <cellStyle name="쉼표 [0] 2 4 2 3 2 2 3 2 2" xfId="26281"/>
    <cellStyle name="쉼표 [0] 2 4 2 3 2 2 3 3" xfId="15145"/>
    <cellStyle name="쉼표 [0] 2 4 2 3 2 2 3 3 2" xfId="31849"/>
    <cellStyle name="쉼표 [0] 2 4 2 3 2 2 3 4" xfId="20713"/>
    <cellStyle name="쉼표 [0] 2 4 2 3 2 2 4" xfId="6793"/>
    <cellStyle name="쉼표 [0] 2 4 2 3 2 2 4 2" xfId="23497"/>
    <cellStyle name="쉼표 [0] 2 4 2 3 2 2 5" xfId="12361"/>
    <cellStyle name="쉼표 [0] 2 4 2 3 2 2 5 2" xfId="29065"/>
    <cellStyle name="쉼표 [0] 2 4 2 3 2 2 6" xfId="17929"/>
    <cellStyle name="쉼표 [0] 2 4 2 3 2 3" xfId="1921"/>
    <cellStyle name="쉼표 [0] 2 4 2 3 2 3 2" xfId="4705"/>
    <cellStyle name="쉼표 [0] 2 4 2 3 2 3 2 2" xfId="10273"/>
    <cellStyle name="쉼표 [0] 2 4 2 3 2 3 2 2 2" xfId="26977"/>
    <cellStyle name="쉼표 [0] 2 4 2 3 2 3 2 3" xfId="15841"/>
    <cellStyle name="쉼표 [0] 2 4 2 3 2 3 2 3 2" xfId="32545"/>
    <cellStyle name="쉼표 [0] 2 4 2 3 2 3 2 4" xfId="21409"/>
    <cellStyle name="쉼표 [0] 2 4 2 3 2 3 3" xfId="7489"/>
    <cellStyle name="쉼표 [0] 2 4 2 3 2 3 3 2" xfId="24193"/>
    <cellStyle name="쉼표 [0] 2 4 2 3 2 3 4" xfId="13057"/>
    <cellStyle name="쉼표 [0] 2 4 2 3 2 3 4 2" xfId="29761"/>
    <cellStyle name="쉼표 [0] 2 4 2 3 2 3 5" xfId="18625"/>
    <cellStyle name="쉼표 [0] 2 4 2 3 2 4" xfId="3313"/>
    <cellStyle name="쉼표 [0] 2 4 2 3 2 4 2" xfId="8881"/>
    <cellStyle name="쉼표 [0] 2 4 2 3 2 4 2 2" xfId="25585"/>
    <cellStyle name="쉼표 [0] 2 4 2 3 2 4 3" xfId="14449"/>
    <cellStyle name="쉼표 [0] 2 4 2 3 2 4 3 2" xfId="31153"/>
    <cellStyle name="쉼표 [0] 2 4 2 3 2 4 4" xfId="20017"/>
    <cellStyle name="쉼표 [0] 2 4 2 3 2 5" xfId="6097"/>
    <cellStyle name="쉼표 [0] 2 4 2 3 2 5 2" xfId="22801"/>
    <cellStyle name="쉼표 [0] 2 4 2 3 2 6" xfId="11665"/>
    <cellStyle name="쉼표 [0] 2 4 2 3 2 6 2" xfId="28369"/>
    <cellStyle name="쉼표 [0] 2 4 2 3 2 7" xfId="17233"/>
    <cellStyle name="쉼표 [0] 2 4 2 3 3" xfId="761"/>
    <cellStyle name="쉼표 [0] 2 4 2 3 3 2" xfId="1457"/>
    <cellStyle name="쉼표 [0] 2 4 2 3 3 2 2" xfId="2849"/>
    <cellStyle name="쉼표 [0] 2 4 2 3 3 2 2 2" xfId="5633"/>
    <cellStyle name="쉼표 [0] 2 4 2 3 3 2 2 2 2" xfId="11201"/>
    <cellStyle name="쉼표 [0] 2 4 2 3 3 2 2 2 2 2" xfId="27905"/>
    <cellStyle name="쉼표 [0] 2 4 2 3 3 2 2 2 3" xfId="16769"/>
    <cellStyle name="쉼표 [0] 2 4 2 3 3 2 2 2 3 2" xfId="33473"/>
    <cellStyle name="쉼표 [0] 2 4 2 3 3 2 2 2 4" xfId="22337"/>
    <cellStyle name="쉼표 [0] 2 4 2 3 3 2 2 3" xfId="8417"/>
    <cellStyle name="쉼표 [0] 2 4 2 3 3 2 2 3 2" xfId="25121"/>
    <cellStyle name="쉼표 [0] 2 4 2 3 3 2 2 4" xfId="13985"/>
    <cellStyle name="쉼표 [0] 2 4 2 3 3 2 2 4 2" xfId="30689"/>
    <cellStyle name="쉼표 [0] 2 4 2 3 3 2 2 5" xfId="19553"/>
    <cellStyle name="쉼표 [0] 2 4 2 3 3 2 3" xfId="4241"/>
    <cellStyle name="쉼표 [0] 2 4 2 3 3 2 3 2" xfId="9809"/>
    <cellStyle name="쉼표 [0] 2 4 2 3 3 2 3 2 2" xfId="26513"/>
    <cellStyle name="쉼표 [0] 2 4 2 3 3 2 3 3" xfId="15377"/>
    <cellStyle name="쉼표 [0] 2 4 2 3 3 2 3 3 2" xfId="32081"/>
    <cellStyle name="쉼표 [0] 2 4 2 3 3 2 3 4" xfId="20945"/>
    <cellStyle name="쉼표 [0] 2 4 2 3 3 2 4" xfId="7025"/>
    <cellStyle name="쉼표 [0] 2 4 2 3 3 2 4 2" xfId="23729"/>
    <cellStyle name="쉼표 [0] 2 4 2 3 3 2 5" xfId="12593"/>
    <cellStyle name="쉼표 [0] 2 4 2 3 3 2 5 2" xfId="29297"/>
    <cellStyle name="쉼표 [0] 2 4 2 3 3 2 6" xfId="18161"/>
    <cellStyle name="쉼표 [0] 2 4 2 3 3 3" xfId="2153"/>
    <cellStyle name="쉼표 [0] 2 4 2 3 3 3 2" xfId="4937"/>
    <cellStyle name="쉼표 [0] 2 4 2 3 3 3 2 2" xfId="10505"/>
    <cellStyle name="쉼표 [0] 2 4 2 3 3 3 2 2 2" xfId="27209"/>
    <cellStyle name="쉼표 [0] 2 4 2 3 3 3 2 3" xfId="16073"/>
    <cellStyle name="쉼표 [0] 2 4 2 3 3 3 2 3 2" xfId="32777"/>
    <cellStyle name="쉼표 [0] 2 4 2 3 3 3 2 4" xfId="21641"/>
    <cellStyle name="쉼표 [0] 2 4 2 3 3 3 3" xfId="7721"/>
    <cellStyle name="쉼표 [0] 2 4 2 3 3 3 3 2" xfId="24425"/>
    <cellStyle name="쉼표 [0] 2 4 2 3 3 3 4" xfId="13289"/>
    <cellStyle name="쉼표 [0] 2 4 2 3 3 3 4 2" xfId="29993"/>
    <cellStyle name="쉼표 [0] 2 4 2 3 3 3 5" xfId="18857"/>
    <cellStyle name="쉼표 [0] 2 4 2 3 3 4" xfId="3545"/>
    <cellStyle name="쉼표 [0] 2 4 2 3 3 4 2" xfId="9113"/>
    <cellStyle name="쉼표 [0] 2 4 2 3 3 4 2 2" xfId="25817"/>
    <cellStyle name="쉼표 [0] 2 4 2 3 3 4 3" xfId="14681"/>
    <cellStyle name="쉼표 [0] 2 4 2 3 3 4 3 2" xfId="31385"/>
    <cellStyle name="쉼표 [0] 2 4 2 3 3 4 4" xfId="20249"/>
    <cellStyle name="쉼표 [0] 2 4 2 3 3 5" xfId="6329"/>
    <cellStyle name="쉼표 [0] 2 4 2 3 3 5 2" xfId="23033"/>
    <cellStyle name="쉼표 [0] 2 4 2 3 3 6" xfId="11897"/>
    <cellStyle name="쉼표 [0] 2 4 2 3 3 6 2" xfId="28601"/>
    <cellStyle name="쉼표 [0] 2 4 2 3 3 7" xfId="17465"/>
    <cellStyle name="쉼표 [0] 2 4 2 3 4" xfId="993"/>
    <cellStyle name="쉼표 [0] 2 4 2 3 4 2" xfId="2385"/>
    <cellStyle name="쉼표 [0] 2 4 2 3 4 2 2" xfId="5169"/>
    <cellStyle name="쉼표 [0] 2 4 2 3 4 2 2 2" xfId="10737"/>
    <cellStyle name="쉼표 [0] 2 4 2 3 4 2 2 2 2" xfId="27441"/>
    <cellStyle name="쉼표 [0] 2 4 2 3 4 2 2 3" xfId="16305"/>
    <cellStyle name="쉼표 [0] 2 4 2 3 4 2 2 3 2" xfId="33009"/>
    <cellStyle name="쉼표 [0] 2 4 2 3 4 2 2 4" xfId="21873"/>
    <cellStyle name="쉼표 [0] 2 4 2 3 4 2 3" xfId="7953"/>
    <cellStyle name="쉼표 [0] 2 4 2 3 4 2 3 2" xfId="24657"/>
    <cellStyle name="쉼표 [0] 2 4 2 3 4 2 4" xfId="13521"/>
    <cellStyle name="쉼표 [0] 2 4 2 3 4 2 4 2" xfId="30225"/>
    <cellStyle name="쉼표 [0] 2 4 2 3 4 2 5" xfId="19089"/>
    <cellStyle name="쉼표 [0] 2 4 2 3 4 3" xfId="3777"/>
    <cellStyle name="쉼표 [0] 2 4 2 3 4 3 2" xfId="9345"/>
    <cellStyle name="쉼표 [0] 2 4 2 3 4 3 2 2" xfId="26049"/>
    <cellStyle name="쉼표 [0] 2 4 2 3 4 3 3" xfId="14913"/>
    <cellStyle name="쉼표 [0] 2 4 2 3 4 3 3 2" xfId="31617"/>
    <cellStyle name="쉼표 [0] 2 4 2 3 4 3 4" xfId="20481"/>
    <cellStyle name="쉼표 [0] 2 4 2 3 4 4" xfId="6561"/>
    <cellStyle name="쉼표 [0] 2 4 2 3 4 4 2" xfId="23265"/>
    <cellStyle name="쉼표 [0] 2 4 2 3 4 5" xfId="12129"/>
    <cellStyle name="쉼표 [0] 2 4 2 3 4 5 2" xfId="28833"/>
    <cellStyle name="쉼표 [0] 2 4 2 3 4 6" xfId="17697"/>
    <cellStyle name="쉼표 [0] 2 4 2 3 5" xfId="1689"/>
    <cellStyle name="쉼표 [0] 2 4 2 3 5 2" xfId="4473"/>
    <cellStyle name="쉼표 [0] 2 4 2 3 5 2 2" xfId="10041"/>
    <cellStyle name="쉼표 [0] 2 4 2 3 5 2 2 2" xfId="26745"/>
    <cellStyle name="쉼표 [0] 2 4 2 3 5 2 3" xfId="15609"/>
    <cellStyle name="쉼표 [0] 2 4 2 3 5 2 3 2" xfId="32313"/>
    <cellStyle name="쉼표 [0] 2 4 2 3 5 2 4" xfId="21177"/>
    <cellStyle name="쉼표 [0] 2 4 2 3 5 3" xfId="7257"/>
    <cellStyle name="쉼표 [0] 2 4 2 3 5 3 2" xfId="23961"/>
    <cellStyle name="쉼표 [0] 2 4 2 3 5 4" xfId="12825"/>
    <cellStyle name="쉼표 [0] 2 4 2 3 5 4 2" xfId="29529"/>
    <cellStyle name="쉼표 [0] 2 4 2 3 5 5" xfId="18393"/>
    <cellStyle name="쉼표 [0] 2 4 2 3 6" xfId="3081"/>
    <cellStyle name="쉼표 [0] 2 4 2 3 6 2" xfId="8649"/>
    <cellStyle name="쉼표 [0] 2 4 2 3 6 2 2" xfId="25353"/>
    <cellStyle name="쉼표 [0] 2 4 2 3 6 3" xfId="14217"/>
    <cellStyle name="쉼표 [0] 2 4 2 3 6 3 2" xfId="30921"/>
    <cellStyle name="쉼표 [0] 2 4 2 3 6 4" xfId="19785"/>
    <cellStyle name="쉼표 [0] 2 4 2 3 7" xfId="5865"/>
    <cellStyle name="쉼표 [0] 2 4 2 3 7 2" xfId="22569"/>
    <cellStyle name="쉼표 [0] 2 4 2 3 8" xfId="11433"/>
    <cellStyle name="쉼표 [0] 2 4 2 3 8 2" xfId="28137"/>
    <cellStyle name="쉼표 [0] 2 4 2 3 9" xfId="17001"/>
    <cellStyle name="쉼표 [0] 2 4 2 4" xfId="413"/>
    <cellStyle name="쉼표 [0] 2 4 2 4 2" xfId="1109"/>
    <cellStyle name="쉼표 [0] 2 4 2 4 2 2" xfId="2501"/>
    <cellStyle name="쉼표 [0] 2 4 2 4 2 2 2" xfId="5285"/>
    <cellStyle name="쉼표 [0] 2 4 2 4 2 2 2 2" xfId="10853"/>
    <cellStyle name="쉼표 [0] 2 4 2 4 2 2 2 2 2" xfId="27557"/>
    <cellStyle name="쉼표 [0] 2 4 2 4 2 2 2 3" xfId="16421"/>
    <cellStyle name="쉼표 [0] 2 4 2 4 2 2 2 3 2" xfId="33125"/>
    <cellStyle name="쉼표 [0] 2 4 2 4 2 2 2 4" xfId="21989"/>
    <cellStyle name="쉼표 [0] 2 4 2 4 2 2 3" xfId="8069"/>
    <cellStyle name="쉼표 [0] 2 4 2 4 2 2 3 2" xfId="24773"/>
    <cellStyle name="쉼표 [0] 2 4 2 4 2 2 4" xfId="13637"/>
    <cellStyle name="쉼표 [0] 2 4 2 4 2 2 4 2" xfId="30341"/>
    <cellStyle name="쉼표 [0] 2 4 2 4 2 2 5" xfId="19205"/>
    <cellStyle name="쉼표 [0] 2 4 2 4 2 3" xfId="3893"/>
    <cellStyle name="쉼표 [0] 2 4 2 4 2 3 2" xfId="9461"/>
    <cellStyle name="쉼표 [0] 2 4 2 4 2 3 2 2" xfId="26165"/>
    <cellStyle name="쉼표 [0] 2 4 2 4 2 3 3" xfId="15029"/>
    <cellStyle name="쉼표 [0] 2 4 2 4 2 3 3 2" xfId="31733"/>
    <cellStyle name="쉼표 [0] 2 4 2 4 2 3 4" xfId="20597"/>
    <cellStyle name="쉼표 [0] 2 4 2 4 2 4" xfId="6677"/>
    <cellStyle name="쉼표 [0] 2 4 2 4 2 4 2" xfId="23381"/>
    <cellStyle name="쉼표 [0] 2 4 2 4 2 5" xfId="12245"/>
    <cellStyle name="쉼표 [0] 2 4 2 4 2 5 2" xfId="28949"/>
    <cellStyle name="쉼표 [0] 2 4 2 4 2 6" xfId="17813"/>
    <cellStyle name="쉼표 [0] 2 4 2 4 3" xfId="1805"/>
    <cellStyle name="쉼표 [0] 2 4 2 4 3 2" xfId="4589"/>
    <cellStyle name="쉼표 [0] 2 4 2 4 3 2 2" xfId="10157"/>
    <cellStyle name="쉼표 [0] 2 4 2 4 3 2 2 2" xfId="26861"/>
    <cellStyle name="쉼표 [0] 2 4 2 4 3 2 3" xfId="15725"/>
    <cellStyle name="쉼표 [0] 2 4 2 4 3 2 3 2" xfId="32429"/>
    <cellStyle name="쉼표 [0] 2 4 2 4 3 2 4" xfId="21293"/>
    <cellStyle name="쉼표 [0] 2 4 2 4 3 3" xfId="7373"/>
    <cellStyle name="쉼표 [0] 2 4 2 4 3 3 2" xfId="24077"/>
    <cellStyle name="쉼표 [0] 2 4 2 4 3 4" xfId="12941"/>
    <cellStyle name="쉼표 [0] 2 4 2 4 3 4 2" xfId="29645"/>
    <cellStyle name="쉼표 [0] 2 4 2 4 3 5" xfId="18509"/>
    <cellStyle name="쉼표 [0] 2 4 2 4 4" xfId="3197"/>
    <cellStyle name="쉼표 [0] 2 4 2 4 4 2" xfId="8765"/>
    <cellStyle name="쉼표 [0] 2 4 2 4 4 2 2" xfId="25469"/>
    <cellStyle name="쉼표 [0] 2 4 2 4 4 3" xfId="14333"/>
    <cellStyle name="쉼표 [0] 2 4 2 4 4 3 2" xfId="31037"/>
    <cellStyle name="쉼표 [0] 2 4 2 4 4 4" xfId="19901"/>
    <cellStyle name="쉼표 [0] 2 4 2 4 5" xfId="5981"/>
    <cellStyle name="쉼표 [0] 2 4 2 4 5 2" xfId="22685"/>
    <cellStyle name="쉼표 [0] 2 4 2 4 6" xfId="11549"/>
    <cellStyle name="쉼표 [0] 2 4 2 4 6 2" xfId="28253"/>
    <cellStyle name="쉼표 [0] 2 4 2 4 7" xfId="17117"/>
    <cellStyle name="쉼표 [0] 2 4 2 5" xfId="645"/>
    <cellStyle name="쉼표 [0] 2 4 2 5 2" xfId="1341"/>
    <cellStyle name="쉼표 [0] 2 4 2 5 2 2" xfId="2733"/>
    <cellStyle name="쉼표 [0] 2 4 2 5 2 2 2" xfId="5517"/>
    <cellStyle name="쉼표 [0] 2 4 2 5 2 2 2 2" xfId="11085"/>
    <cellStyle name="쉼표 [0] 2 4 2 5 2 2 2 2 2" xfId="27789"/>
    <cellStyle name="쉼표 [0] 2 4 2 5 2 2 2 3" xfId="16653"/>
    <cellStyle name="쉼표 [0] 2 4 2 5 2 2 2 3 2" xfId="33357"/>
    <cellStyle name="쉼표 [0] 2 4 2 5 2 2 2 4" xfId="22221"/>
    <cellStyle name="쉼표 [0] 2 4 2 5 2 2 3" xfId="8301"/>
    <cellStyle name="쉼표 [0] 2 4 2 5 2 2 3 2" xfId="25005"/>
    <cellStyle name="쉼표 [0] 2 4 2 5 2 2 4" xfId="13869"/>
    <cellStyle name="쉼표 [0] 2 4 2 5 2 2 4 2" xfId="30573"/>
    <cellStyle name="쉼표 [0] 2 4 2 5 2 2 5" xfId="19437"/>
    <cellStyle name="쉼표 [0] 2 4 2 5 2 3" xfId="4125"/>
    <cellStyle name="쉼표 [0] 2 4 2 5 2 3 2" xfId="9693"/>
    <cellStyle name="쉼표 [0] 2 4 2 5 2 3 2 2" xfId="26397"/>
    <cellStyle name="쉼표 [0] 2 4 2 5 2 3 3" xfId="15261"/>
    <cellStyle name="쉼표 [0] 2 4 2 5 2 3 3 2" xfId="31965"/>
    <cellStyle name="쉼표 [0] 2 4 2 5 2 3 4" xfId="20829"/>
    <cellStyle name="쉼표 [0] 2 4 2 5 2 4" xfId="6909"/>
    <cellStyle name="쉼표 [0] 2 4 2 5 2 4 2" xfId="23613"/>
    <cellStyle name="쉼표 [0] 2 4 2 5 2 5" xfId="12477"/>
    <cellStyle name="쉼표 [0] 2 4 2 5 2 5 2" xfId="29181"/>
    <cellStyle name="쉼표 [0] 2 4 2 5 2 6" xfId="18045"/>
    <cellStyle name="쉼표 [0] 2 4 2 5 3" xfId="2037"/>
    <cellStyle name="쉼표 [0] 2 4 2 5 3 2" xfId="4821"/>
    <cellStyle name="쉼표 [0] 2 4 2 5 3 2 2" xfId="10389"/>
    <cellStyle name="쉼표 [0] 2 4 2 5 3 2 2 2" xfId="27093"/>
    <cellStyle name="쉼표 [0] 2 4 2 5 3 2 3" xfId="15957"/>
    <cellStyle name="쉼표 [0] 2 4 2 5 3 2 3 2" xfId="32661"/>
    <cellStyle name="쉼표 [0] 2 4 2 5 3 2 4" xfId="21525"/>
    <cellStyle name="쉼표 [0] 2 4 2 5 3 3" xfId="7605"/>
    <cellStyle name="쉼표 [0] 2 4 2 5 3 3 2" xfId="24309"/>
    <cellStyle name="쉼표 [0] 2 4 2 5 3 4" xfId="13173"/>
    <cellStyle name="쉼표 [0] 2 4 2 5 3 4 2" xfId="29877"/>
    <cellStyle name="쉼표 [0] 2 4 2 5 3 5" xfId="18741"/>
    <cellStyle name="쉼표 [0] 2 4 2 5 4" xfId="3429"/>
    <cellStyle name="쉼표 [0] 2 4 2 5 4 2" xfId="8997"/>
    <cellStyle name="쉼표 [0] 2 4 2 5 4 2 2" xfId="25701"/>
    <cellStyle name="쉼표 [0] 2 4 2 5 4 3" xfId="14565"/>
    <cellStyle name="쉼표 [0] 2 4 2 5 4 3 2" xfId="31269"/>
    <cellStyle name="쉼표 [0] 2 4 2 5 4 4" xfId="20133"/>
    <cellStyle name="쉼표 [0] 2 4 2 5 5" xfId="6213"/>
    <cellStyle name="쉼표 [0] 2 4 2 5 5 2" xfId="22917"/>
    <cellStyle name="쉼표 [0] 2 4 2 5 6" xfId="11781"/>
    <cellStyle name="쉼표 [0] 2 4 2 5 6 2" xfId="28485"/>
    <cellStyle name="쉼표 [0] 2 4 2 5 7" xfId="17349"/>
    <cellStyle name="쉼표 [0] 2 4 2 6" xfId="877"/>
    <cellStyle name="쉼표 [0] 2 4 2 6 2" xfId="2269"/>
    <cellStyle name="쉼표 [0] 2 4 2 6 2 2" xfId="5053"/>
    <cellStyle name="쉼표 [0] 2 4 2 6 2 2 2" xfId="10621"/>
    <cellStyle name="쉼표 [0] 2 4 2 6 2 2 2 2" xfId="27325"/>
    <cellStyle name="쉼표 [0] 2 4 2 6 2 2 3" xfId="16189"/>
    <cellStyle name="쉼표 [0] 2 4 2 6 2 2 3 2" xfId="32893"/>
    <cellStyle name="쉼표 [0] 2 4 2 6 2 2 4" xfId="21757"/>
    <cellStyle name="쉼표 [0] 2 4 2 6 2 3" xfId="7837"/>
    <cellStyle name="쉼표 [0] 2 4 2 6 2 3 2" xfId="24541"/>
    <cellStyle name="쉼표 [0] 2 4 2 6 2 4" xfId="13405"/>
    <cellStyle name="쉼표 [0] 2 4 2 6 2 4 2" xfId="30109"/>
    <cellStyle name="쉼표 [0] 2 4 2 6 2 5" xfId="18973"/>
    <cellStyle name="쉼표 [0] 2 4 2 6 3" xfId="3661"/>
    <cellStyle name="쉼표 [0] 2 4 2 6 3 2" xfId="9229"/>
    <cellStyle name="쉼표 [0] 2 4 2 6 3 2 2" xfId="25933"/>
    <cellStyle name="쉼표 [0] 2 4 2 6 3 3" xfId="14797"/>
    <cellStyle name="쉼표 [0] 2 4 2 6 3 3 2" xfId="31501"/>
    <cellStyle name="쉼표 [0] 2 4 2 6 3 4" xfId="20365"/>
    <cellStyle name="쉼표 [0] 2 4 2 6 4" xfId="6445"/>
    <cellStyle name="쉼표 [0] 2 4 2 6 4 2" xfId="23149"/>
    <cellStyle name="쉼표 [0] 2 4 2 6 5" xfId="12013"/>
    <cellStyle name="쉼표 [0] 2 4 2 6 5 2" xfId="28717"/>
    <cellStyle name="쉼표 [0] 2 4 2 6 6" xfId="17581"/>
    <cellStyle name="쉼표 [0] 2 4 2 7" xfId="1573"/>
    <cellStyle name="쉼표 [0] 2 4 2 7 2" xfId="4357"/>
    <cellStyle name="쉼표 [0] 2 4 2 7 2 2" xfId="9925"/>
    <cellStyle name="쉼표 [0] 2 4 2 7 2 2 2" xfId="26629"/>
    <cellStyle name="쉼표 [0] 2 4 2 7 2 3" xfId="15493"/>
    <cellStyle name="쉼표 [0] 2 4 2 7 2 3 2" xfId="32197"/>
    <cellStyle name="쉼표 [0] 2 4 2 7 2 4" xfId="21061"/>
    <cellStyle name="쉼표 [0] 2 4 2 7 3" xfId="7141"/>
    <cellStyle name="쉼표 [0] 2 4 2 7 3 2" xfId="23845"/>
    <cellStyle name="쉼표 [0] 2 4 2 7 4" xfId="12709"/>
    <cellStyle name="쉼표 [0] 2 4 2 7 4 2" xfId="29413"/>
    <cellStyle name="쉼표 [0] 2 4 2 7 5" xfId="18277"/>
    <cellStyle name="쉼표 [0] 2 4 2 8" xfId="2965"/>
    <cellStyle name="쉼표 [0] 2 4 2 8 2" xfId="8533"/>
    <cellStyle name="쉼표 [0] 2 4 2 8 2 2" xfId="25237"/>
    <cellStyle name="쉼표 [0] 2 4 2 8 3" xfId="14101"/>
    <cellStyle name="쉼표 [0] 2 4 2 8 3 2" xfId="30805"/>
    <cellStyle name="쉼표 [0] 2 4 2 8 4" xfId="19669"/>
    <cellStyle name="쉼표 [0] 2 4 2 9" xfId="5749"/>
    <cellStyle name="쉼표 [0] 2 4 2 9 2" xfId="22453"/>
    <cellStyle name="쉼표 [0] 2 4 3" xfId="210"/>
    <cellStyle name="쉼표 [0] 2 4 3 10" xfId="16914"/>
    <cellStyle name="쉼표 [0] 2 4 3 2" xfId="326"/>
    <cellStyle name="쉼표 [0] 2 4 3 2 2" xfId="558"/>
    <cellStyle name="쉼표 [0] 2 4 3 2 2 2" xfId="1254"/>
    <cellStyle name="쉼표 [0] 2 4 3 2 2 2 2" xfId="2646"/>
    <cellStyle name="쉼표 [0] 2 4 3 2 2 2 2 2" xfId="5430"/>
    <cellStyle name="쉼표 [0] 2 4 3 2 2 2 2 2 2" xfId="10998"/>
    <cellStyle name="쉼표 [0] 2 4 3 2 2 2 2 2 2 2" xfId="27702"/>
    <cellStyle name="쉼표 [0] 2 4 3 2 2 2 2 2 3" xfId="16566"/>
    <cellStyle name="쉼표 [0] 2 4 3 2 2 2 2 2 3 2" xfId="33270"/>
    <cellStyle name="쉼표 [0] 2 4 3 2 2 2 2 2 4" xfId="22134"/>
    <cellStyle name="쉼표 [0] 2 4 3 2 2 2 2 3" xfId="8214"/>
    <cellStyle name="쉼표 [0] 2 4 3 2 2 2 2 3 2" xfId="24918"/>
    <cellStyle name="쉼표 [0] 2 4 3 2 2 2 2 4" xfId="13782"/>
    <cellStyle name="쉼표 [0] 2 4 3 2 2 2 2 4 2" xfId="30486"/>
    <cellStyle name="쉼표 [0] 2 4 3 2 2 2 2 5" xfId="19350"/>
    <cellStyle name="쉼표 [0] 2 4 3 2 2 2 3" xfId="4038"/>
    <cellStyle name="쉼표 [0] 2 4 3 2 2 2 3 2" xfId="9606"/>
    <cellStyle name="쉼표 [0] 2 4 3 2 2 2 3 2 2" xfId="26310"/>
    <cellStyle name="쉼표 [0] 2 4 3 2 2 2 3 3" xfId="15174"/>
    <cellStyle name="쉼표 [0] 2 4 3 2 2 2 3 3 2" xfId="31878"/>
    <cellStyle name="쉼표 [0] 2 4 3 2 2 2 3 4" xfId="20742"/>
    <cellStyle name="쉼표 [0] 2 4 3 2 2 2 4" xfId="6822"/>
    <cellStyle name="쉼표 [0] 2 4 3 2 2 2 4 2" xfId="23526"/>
    <cellStyle name="쉼표 [0] 2 4 3 2 2 2 5" xfId="12390"/>
    <cellStyle name="쉼표 [0] 2 4 3 2 2 2 5 2" xfId="29094"/>
    <cellStyle name="쉼표 [0] 2 4 3 2 2 2 6" xfId="17958"/>
    <cellStyle name="쉼표 [0] 2 4 3 2 2 3" xfId="1950"/>
    <cellStyle name="쉼표 [0] 2 4 3 2 2 3 2" xfId="4734"/>
    <cellStyle name="쉼표 [0] 2 4 3 2 2 3 2 2" xfId="10302"/>
    <cellStyle name="쉼표 [0] 2 4 3 2 2 3 2 2 2" xfId="27006"/>
    <cellStyle name="쉼표 [0] 2 4 3 2 2 3 2 3" xfId="15870"/>
    <cellStyle name="쉼표 [0] 2 4 3 2 2 3 2 3 2" xfId="32574"/>
    <cellStyle name="쉼표 [0] 2 4 3 2 2 3 2 4" xfId="21438"/>
    <cellStyle name="쉼표 [0] 2 4 3 2 2 3 3" xfId="7518"/>
    <cellStyle name="쉼표 [0] 2 4 3 2 2 3 3 2" xfId="24222"/>
    <cellStyle name="쉼표 [0] 2 4 3 2 2 3 4" xfId="13086"/>
    <cellStyle name="쉼표 [0] 2 4 3 2 2 3 4 2" xfId="29790"/>
    <cellStyle name="쉼표 [0] 2 4 3 2 2 3 5" xfId="18654"/>
    <cellStyle name="쉼표 [0] 2 4 3 2 2 4" xfId="3342"/>
    <cellStyle name="쉼표 [0] 2 4 3 2 2 4 2" xfId="8910"/>
    <cellStyle name="쉼표 [0] 2 4 3 2 2 4 2 2" xfId="25614"/>
    <cellStyle name="쉼표 [0] 2 4 3 2 2 4 3" xfId="14478"/>
    <cellStyle name="쉼표 [0] 2 4 3 2 2 4 3 2" xfId="31182"/>
    <cellStyle name="쉼표 [0] 2 4 3 2 2 4 4" xfId="20046"/>
    <cellStyle name="쉼표 [0] 2 4 3 2 2 5" xfId="6126"/>
    <cellStyle name="쉼표 [0] 2 4 3 2 2 5 2" xfId="22830"/>
    <cellStyle name="쉼표 [0] 2 4 3 2 2 6" xfId="11694"/>
    <cellStyle name="쉼표 [0] 2 4 3 2 2 6 2" xfId="28398"/>
    <cellStyle name="쉼표 [0] 2 4 3 2 2 7" xfId="17262"/>
    <cellStyle name="쉼표 [0] 2 4 3 2 3" xfId="790"/>
    <cellStyle name="쉼표 [0] 2 4 3 2 3 2" xfId="1486"/>
    <cellStyle name="쉼표 [0] 2 4 3 2 3 2 2" xfId="2878"/>
    <cellStyle name="쉼표 [0] 2 4 3 2 3 2 2 2" xfId="5662"/>
    <cellStyle name="쉼표 [0] 2 4 3 2 3 2 2 2 2" xfId="11230"/>
    <cellStyle name="쉼표 [0] 2 4 3 2 3 2 2 2 2 2" xfId="27934"/>
    <cellStyle name="쉼표 [0] 2 4 3 2 3 2 2 2 3" xfId="16798"/>
    <cellStyle name="쉼표 [0] 2 4 3 2 3 2 2 2 3 2" xfId="33502"/>
    <cellStyle name="쉼표 [0] 2 4 3 2 3 2 2 2 4" xfId="22366"/>
    <cellStyle name="쉼표 [0] 2 4 3 2 3 2 2 3" xfId="8446"/>
    <cellStyle name="쉼표 [0] 2 4 3 2 3 2 2 3 2" xfId="25150"/>
    <cellStyle name="쉼표 [0] 2 4 3 2 3 2 2 4" xfId="14014"/>
    <cellStyle name="쉼표 [0] 2 4 3 2 3 2 2 4 2" xfId="30718"/>
    <cellStyle name="쉼표 [0] 2 4 3 2 3 2 2 5" xfId="19582"/>
    <cellStyle name="쉼표 [0] 2 4 3 2 3 2 3" xfId="4270"/>
    <cellStyle name="쉼표 [0] 2 4 3 2 3 2 3 2" xfId="9838"/>
    <cellStyle name="쉼표 [0] 2 4 3 2 3 2 3 2 2" xfId="26542"/>
    <cellStyle name="쉼표 [0] 2 4 3 2 3 2 3 3" xfId="15406"/>
    <cellStyle name="쉼표 [0] 2 4 3 2 3 2 3 3 2" xfId="32110"/>
    <cellStyle name="쉼표 [0] 2 4 3 2 3 2 3 4" xfId="20974"/>
    <cellStyle name="쉼표 [0] 2 4 3 2 3 2 4" xfId="7054"/>
    <cellStyle name="쉼표 [0] 2 4 3 2 3 2 4 2" xfId="23758"/>
    <cellStyle name="쉼표 [0] 2 4 3 2 3 2 5" xfId="12622"/>
    <cellStyle name="쉼표 [0] 2 4 3 2 3 2 5 2" xfId="29326"/>
    <cellStyle name="쉼표 [0] 2 4 3 2 3 2 6" xfId="18190"/>
    <cellStyle name="쉼표 [0] 2 4 3 2 3 3" xfId="2182"/>
    <cellStyle name="쉼표 [0] 2 4 3 2 3 3 2" xfId="4966"/>
    <cellStyle name="쉼표 [0] 2 4 3 2 3 3 2 2" xfId="10534"/>
    <cellStyle name="쉼표 [0] 2 4 3 2 3 3 2 2 2" xfId="27238"/>
    <cellStyle name="쉼표 [0] 2 4 3 2 3 3 2 3" xfId="16102"/>
    <cellStyle name="쉼표 [0] 2 4 3 2 3 3 2 3 2" xfId="32806"/>
    <cellStyle name="쉼표 [0] 2 4 3 2 3 3 2 4" xfId="21670"/>
    <cellStyle name="쉼표 [0] 2 4 3 2 3 3 3" xfId="7750"/>
    <cellStyle name="쉼표 [0] 2 4 3 2 3 3 3 2" xfId="24454"/>
    <cellStyle name="쉼표 [0] 2 4 3 2 3 3 4" xfId="13318"/>
    <cellStyle name="쉼표 [0] 2 4 3 2 3 3 4 2" xfId="30022"/>
    <cellStyle name="쉼표 [0] 2 4 3 2 3 3 5" xfId="18886"/>
    <cellStyle name="쉼표 [0] 2 4 3 2 3 4" xfId="3574"/>
    <cellStyle name="쉼표 [0] 2 4 3 2 3 4 2" xfId="9142"/>
    <cellStyle name="쉼표 [0] 2 4 3 2 3 4 2 2" xfId="25846"/>
    <cellStyle name="쉼표 [0] 2 4 3 2 3 4 3" xfId="14710"/>
    <cellStyle name="쉼표 [0] 2 4 3 2 3 4 3 2" xfId="31414"/>
    <cellStyle name="쉼표 [0] 2 4 3 2 3 4 4" xfId="20278"/>
    <cellStyle name="쉼표 [0] 2 4 3 2 3 5" xfId="6358"/>
    <cellStyle name="쉼표 [0] 2 4 3 2 3 5 2" xfId="23062"/>
    <cellStyle name="쉼표 [0] 2 4 3 2 3 6" xfId="11926"/>
    <cellStyle name="쉼표 [0] 2 4 3 2 3 6 2" xfId="28630"/>
    <cellStyle name="쉼표 [0] 2 4 3 2 3 7" xfId="17494"/>
    <cellStyle name="쉼표 [0] 2 4 3 2 4" xfId="1022"/>
    <cellStyle name="쉼표 [0] 2 4 3 2 4 2" xfId="2414"/>
    <cellStyle name="쉼표 [0] 2 4 3 2 4 2 2" xfId="5198"/>
    <cellStyle name="쉼표 [0] 2 4 3 2 4 2 2 2" xfId="10766"/>
    <cellStyle name="쉼표 [0] 2 4 3 2 4 2 2 2 2" xfId="27470"/>
    <cellStyle name="쉼표 [0] 2 4 3 2 4 2 2 3" xfId="16334"/>
    <cellStyle name="쉼표 [0] 2 4 3 2 4 2 2 3 2" xfId="33038"/>
    <cellStyle name="쉼표 [0] 2 4 3 2 4 2 2 4" xfId="21902"/>
    <cellStyle name="쉼표 [0] 2 4 3 2 4 2 3" xfId="7982"/>
    <cellStyle name="쉼표 [0] 2 4 3 2 4 2 3 2" xfId="24686"/>
    <cellStyle name="쉼표 [0] 2 4 3 2 4 2 4" xfId="13550"/>
    <cellStyle name="쉼표 [0] 2 4 3 2 4 2 4 2" xfId="30254"/>
    <cellStyle name="쉼표 [0] 2 4 3 2 4 2 5" xfId="19118"/>
    <cellStyle name="쉼표 [0] 2 4 3 2 4 3" xfId="3806"/>
    <cellStyle name="쉼표 [0] 2 4 3 2 4 3 2" xfId="9374"/>
    <cellStyle name="쉼표 [0] 2 4 3 2 4 3 2 2" xfId="26078"/>
    <cellStyle name="쉼표 [0] 2 4 3 2 4 3 3" xfId="14942"/>
    <cellStyle name="쉼표 [0] 2 4 3 2 4 3 3 2" xfId="31646"/>
    <cellStyle name="쉼표 [0] 2 4 3 2 4 3 4" xfId="20510"/>
    <cellStyle name="쉼표 [0] 2 4 3 2 4 4" xfId="6590"/>
    <cellStyle name="쉼표 [0] 2 4 3 2 4 4 2" xfId="23294"/>
    <cellStyle name="쉼표 [0] 2 4 3 2 4 5" xfId="12158"/>
    <cellStyle name="쉼표 [0] 2 4 3 2 4 5 2" xfId="28862"/>
    <cellStyle name="쉼표 [0] 2 4 3 2 4 6" xfId="17726"/>
    <cellStyle name="쉼표 [0] 2 4 3 2 5" xfId="1718"/>
    <cellStyle name="쉼표 [0] 2 4 3 2 5 2" xfId="4502"/>
    <cellStyle name="쉼표 [0] 2 4 3 2 5 2 2" xfId="10070"/>
    <cellStyle name="쉼표 [0] 2 4 3 2 5 2 2 2" xfId="26774"/>
    <cellStyle name="쉼표 [0] 2 4 3 2 5 2 3" xfId="15638"/>
    <cellStyle name="쉼표 [0] 2 4 3 2 5 2 3 2" xfId="32342"/>
    <cellStyle name="쉼표 [0] 2 4 3 2 5 2 4" xfId="21206"/>
    <cellStyle name="쉼표 [0] 2 4 3 2 5 3" xfId="7286"/>
    <cellStyle name="쉼표 [0] 2 4 3 2 5 3 2" xfId="23990"/>
    <cellStyle name="쉼표 [0] 2 4 3 2 5 4" xfId="12854"/>
    <cellStyle name="쉼표 [0] 2 4 3 2 5 4 2" xfId="29558"/>
    <cellStyle name="쉼표 [0] 2 4 3 2 5 5" xfId="18422"/>
    <cellStyle name="쉼표 [0] 2 4 3 2 6" xfId="3110"/>
    <cellStyle name="쉼표 [0] 2 4 3 2 6 2" xfId="8678"/>
    <cellStyle name="쉼표 [0] 2 4 3 2 6 2 2" xfId="25382"/>
    <cellStyle name="쉼표 [0] 2 4 3 2 6 3" xfId="14246"/>
    <cellStyle name="쉼표 [0] 2 4 3 2 6 3 2" xfId="30950"/>
    <cellStyle name="쉼표 [0] 2 4 3 2 6 4" xfId="19814"/>
    <cellStyle name="쉼표 [0] 2 4 3 2 7" xfId="5894"/>
    <cellStyle name="쉼표 [0] 2 4 3 2 7 2" xfId="22598"/>
    <cellStyle name="쉼표 [0] 2 4 3 2 8" xfId="11462"/>
    <cellStyle name="쉼표 [0] 2 4 3 2 8 2" xfId="28166"/>
    <cellStyle name="쉼표 [0] 2 4 3 2 9" xfId="17030"/>
    <cellStyle name="쉼표 [0] 2 4 3 3" xfId="442"/>
    <cellStyle name="쉼표 [0] 2 4 3 3 2" xfId="1138"/>
    <cellStyle name="쉼표 [0] 2 4 3 3 2 2" xfId="2530"/>
    <cellStyle name="쉼표 [0] 2 4 3 3 2 2 2" xfId="5314"/>
    <cellStyle name="쉼표 [0] 2 4 3 3 2 2 2 2" xfId="10882"/>
    <cellStyle name="쉼표 [0] 2 4 3 3 2 2 2 2 2" xfId="27586"/>
    <cellStyle name="쉼표 [0] 2 4 3 3 2 2 2 3" xfId="16450"/>
    <cellStyle name="쉼표 [0] 2 4 3 3 2 2 2 3 2" xfId="33154"/>
    <cellStyle name="쉼표 [0] 2 4 3 3 2 2 2 4" xfId="22018"/>
    <cellStyle name="쉼표 [0] 2 4 3 3 2 2 3" xfId="8098"/>
    <cellStyle name="쉼표 [0] 2 4 3 3 2 2 3 2" xfId="24802"/>
    <cellStyle name="쉼표 [0] 2 4 3 3 2 2 4" xfId="13666"/>
    <cellStyle name="쉼표 [0] 2 4 3 3 2 2 4 2" xfId="30370"/>
    <cellStyle name="쉼표 [0] 2 4 3 3 2 2 5" xfId="19234"/>
    <cellStyle name="쉼표 [0] 2 4 3 3 2 3" xfId="3922"/>
    <cellStyle name="쉼표 [0] 2 4 3 3 2 3 2" xfId="9490"/>
    <cellStyle name="쉼표 [0] 2 4 3 3 2 3 2 2" xfId="26194"/>
    <cellStyle name="쉼표 [0] 2 4 3 3 2 3 3" xfId="15058"/>
    <cellStyle name="쉼표 [0] 2 4 3 3 2 3 3 2" xfId="31762"/>
    <cellStyle name="쉼표 [0] 2 4 3 3 2 3 4" xfId="20626"/>
    <cellStyle name="쉼표 [0] 2 4 3 3 2 4" xfId="6706"/>
    <cellStyle name="쉼표 [0] 2 4 3 3 2 4 2" xfId="23410"/>
    <cellStyle name="쉼표 [0] 2 4 3 3 2 5" xfId="12274"/>
    <cellStyle name="쉼표 [0] 2 4 3 3 2 5 2" xfId="28978"/>
    <cellStyle name="쉼표 [0] 2 4 3 3 2 6" xfId="17842"/>
    <cellStyle name="쉼표 [0] 2 4 3 3 3" xfId="1834"/>
    <cellStyle name="쉼표 [0] 2 4 3 3 3 2" xfId="4618"/>
    <cellStyle name="쉼표 [0] 2 4 3 3 3 2 2" xfId="10186"/>
    <cellStyle name="쉼표 [0] 2 4 3 3 3 2 2 2" xfId="26890"/>
    <cellStyle name="쉼표 [0] 2 4 3 3 3 2 3" xfId="15754"/>
    <cellStyle name="쉼표 [0] 2 4 3 3 3 2 3 2" xfId="32458"/>
    <cellStyle name="쉼표 [0] 2 4 3 3 3 2 4" xfId="21322"/>
    <cellStyle name="쉼표 [0] 2 4 3 3 3 3" xfId="7402"/>
    <cellStyle name="쉼표 [0] 2 4 3 3 3 3 2" xfId="24106"/>
    <cellStyle name="쉼표 [0] 2 4 3 3 3 4" xfId="12970"/>
    <cellStyle name="쉼표 [0] 2 4 3 3 3 4 2" xfId="29674"/>
    <cellStyle name="쉼표 [0] 2 4 3 3 3 5" xfId="18538"/>
    <cellStyle name="쉼표 [0] 2 4 3 3 4" xfId="3226"/>
    <cellStyle name="쉼표 [0] 2 4 3 3 4 2" xfId="8794"/>
    <cellStyle name="쉼표 [0] 2 4 3 3 4 2 2" xfId="25498"/>
    <cellStyle name="쉼표 [0] 2 4 3 3 4 3" xfId="14362"/>
    <cellStyle name="쉼표 [0] 2 4 3 3 4 3 2" xfId="31066"/>
    <cellStyle name="쉼표 [0] 2 4 3 3 4 4" xfId="19930"/>
    <cellStyle name="쉼표 [0] 2 4 3 3 5" xfId="6010"/>
    <cellStyle name="쉼표 [0] 2 4 3 3 5 2" xfId="22714"/>
    <cellStyle name="쉼표 [0] 2 4 3 3 6" xfId="11578"/>
    <cellStyle name="쉼표 [0] 2 4 3 3 6 2" xfId="28282"/>
    <cellStyle name="쉼표 [0] 2 4 3 3 7" xfId="17146"/>
    <cellStyle name="쉼표 [0] 2 4 3 4" xfId="674"/>
    <cellStyle name="쉼표 [0] 2 4 3 4 2" xfId="1370"/>
    <cellStyle name="쉼표 [0] 2 4 3 4 2 2" xfId="2762"/>
    <cellStyle name="쉼표 [0] 2 4 3 4 2 2 2" xfId="5546"/>
    <cellStyle name="쉼표 [0] 2 4 3 4 2 2 2 2" xfId="11114"/>
    <cellStyle name="쉼표 [0] 2 4 3 4 2 2 2 2 2" xfId="27818"/>
    <cellStyle name="쉼표 [0] 2 4 3 4 2 2 2 3" xfId="16682"/>
    <cellStyle name="쉼표 [0] 2 4 3 4 2 2 2 3 2" xfId="33386"/>
    <cellStyle name="쉼표 [0] 2 4 3 4 2 2 2 4" xfId="22250"/>
    <cellStyle name="쉼표 [0] 2 4 3 4 2 2 3" xfId="8330"/>
    <cellStyle name="쉼표 [0] 2 4 3 4 2 2 3 2" xfId="25034"/>
    <cellStyle name="쉼표 [0] 2 4 3 4 2 2 4" xfId="13898"/>
    <cellStyle name="쉼표 [0] 2 4 3 4 2 2 4 2" xfId="30602"/>
    <cellStyle name="쉼표 [0] 2 4 3 4 2 2 5" xfId="19466"/>
    <cellStyle name="쉼표 [0] 2 4 3 4 2 3" xfId="4154"/>
    <cellStyle name="쉼표 [0] 2 4 3 4 2 3 2" xfId="9722"/>
    <cellStyle name="쉼표 [0] 2 4 3 4 2 3 2 2" xfId="26426"/>
    <cellStyle name="쉼표 [0] 2 4 3 4 2 3 3" xfId="15290"/>
    <cellStyle name="쉼표 [0] 2 4 3 4 2 3 3 2" xfId="31994"/>
    <cellStyle name="쉼표 [0] 2 4 3 4 2 3 4" xfId="20858"/>
    <cellStyle name="쉼표 [0] 2 4 3 4 2 4" xfId="6938"/>
    <cellStyle name="쉼표 [0] 2 4 3 4 2 4 2" xfId="23642"/>
    <cellStyle name="쉼표 [0] 2 4 3 4 2 5" xfId="12506"/>
    <cellStyle name="쉼표 [0] 2 4 3 4 2 5 2" xfId="29210"/>
    <cellStyle name="쉼표 [0] 2 4 3 4 2 6" xfId="18074"/>
    <cellStyle name="쉼표 [0] 2 4 3 4 3" xfId="2066"/>
    <cellStyle name="쉼표 [0] 2 4 3 4 3 2" xfId="4850"/>
    <cellStyle name="쉼표 [0] 2 4 3 4 3 2 2" xfId="10418"/>
    <cellStyle name="쉼표 [0] 2 4 3 4 3 2 2 2" xfId="27122"/>
    <cellStyle name="쉼표 [0] 2 4 3 4 3 2 3" xfId="15986"/>
    <cellStyle name="쉼표 [0] 2 4 3 4 3 2 3 2" xfId="32690"/>
    <cellStyle name="쉼표 [0] 2 4 3 4 3 2 4" xfId="21554"/>
    <cellStyle name="쉼표 [0] 2 4 3 4 3 3" xfId="7634"/>
    <cellStyle name="쉼표 [0] 2 4 3 4 3 3 2" xfId="24338"/>
    <cellStyle name="쉼표 [0] 2 4 3 4 3 4" xfId="13202"/>
    <cellStyle name="쉼표 [0] 2 4 3 4 3 4 2" xfId="29906"/>
    <cellStyle name="쉼표 [0] 2 4 3 4 3 5" xfId="18770"/>
    <cellStyle name="쉼표 [0] 2 4 3 4 4" xfId="3458"/>
    <cellStyle name="쉼표 [0] 2 4 3 4 4 2" xfId="9026"/>
    <cellStyle name="쉼표 [0] 2 4 3 4 4 2 2" xfId="25730"/>
    <cellStyle name="쉼표 [0] 2 4 3 4 4 3" xfId="14594"/>
    <cellStyle name="쉼표 [0] 2 4 3 4 4 3 2" xfId="31298"/>
    <cellStyle name="쉼표 [0] 2 4 3 4 4 4" xfId="20162"/>
    <cellStyle name="쉼표 [0] 2 4 3 4 5" xfId="6242"/>
    <cellStyle name="쉼표 [0] 2 4 3 4 5 2" xfId="22946"/>
    <cellStyle name="쉼표 [0] 2 4 3 4 6" xfId="11810"/>
    <cellStyle name="쉼표 [0] 2 4 3 4 6 2" xfId="28514"/>
    <cellStyle name="쉼표 [0] 2 4 3 4 7" xfId="17378"/>
    <cellStyle name="쉼표 [0] 2 4 3 5" xfId="906"/>
    <cellStyle name="쉼표 [0] 2 4 3 5 2" xfId="2298"/>
    <cellStyle name="쉼표 [0] 2 4 3 5 2 2" xfId="5082"/>
    <cellStyle name="쉼표 [0] 2 4 3 5 2 2 2" xfId="10650"/>
    <cellStyle name="쉼표 [0] 2 4 3 5 2 2 2 2" xfId="27354"/>
    <cellStyle name="쉼표 [0] 2 4 3 5 2 2 3" xfId="16218"/>
    <cellStyle name="쉼표 [0] 2 4 3 5 2 2 3 2" xfId="32922"/>
    <cellStyle name="쉼표 [0] 2 4 3 5 2 2 4" xfId="21786"/>
    <cellStyle name="쉼표 [0] 2 4 3 5 2 3" xfId="7866"/>
    <cellStyle name="쉼표 [0] 2 4 3 5 2 3 2" xfId="24570"/>
    <cellStyle name="쉼표 [0] 2 4 3 5 2 4" xfId="13434"/>
    <cellStyle name="쉼표 [0] 2 4 3 5 2 4 2" xfId="30138"/>
    <cellStyle name="쉼표 [0] 2 4 3 5 2 5" xfId="19002"/>
    <cellStyle name="쉼표 [0] 2 4 3 5 3" xfId="3690"/>
    <cellStyle name="쉼표 [0] 2 4 3 5 3 2" xfId="9258"/>
    <cellStyle name="쉼표 [0] 2 4 3 5 3 2 2" xfId="25962"/>
    <cellStyle name="쉼표 [0] 2 4 3 5 3 3" xfId="14826"/>
    <cellStyle name="쉼표 [0] 2 4 3 5 3 3 2" xfId="31530"/>
    <cellStyle name="쉼표 [0] 2 4 3 5 3 4" xfId="20394"/>
    <cellStyle name="쉼표 [0] 2 4 3 5 4" xfId="6474"/>
    <cellStyle name="쉼표 [0] 2 4 3 5 4 2" xfId="23178"/>
    <cellStyle name="쉼표 [0] 2 4 3 5 5" xfId="12042"/>
    <cellStyle name="쉼표 [0] 2 4 3 5 5 2" xfId="28746"/>
    <cellStyle name="쉼표 [0] 2 4 3 5 6" xfId="17610"/>
    <cellStyle name="쉼표 [0] 2 4 3 6" xfId="1602"/>
    <cellStyle name="쉼표 [0] 2 4 3 6 2" xfId="4386"/>
    <cellStyle name="쉼표 [0] 2 4 3 6 2 2" xfId="9954"/>
    <cellStyle name="쉼표 [0] 2 4 3 6 2 2 2" xfId="26658"/>
    <cellStyle name="쉼표 [0] 2 4 3 6 2 3" xfId="15522"/>
    <cellStyle name="쉼표 [0] 2 4 3 6 2 3 2" xfId="32226"/>
    <cellStyle name="쉼표 [0] 2 4 3 6 2 4" xfId="21090"/>
    <cellStyle name="쉼표 [0] 2 4 3 6 3" xfId="7170"/>
    <cellStyle name="쉼표 [0] 2 4 3 6 3 2" xfId="23874"/>
    <cellStyle name="쉼표 [0] 2 4 3 6 4" xfId="12738"/>
    <cellStyle name="쉼표 [0] 2 4 3 6 4 2" xfId="29442"/>
    <cellStyle name="쉼표 [0] 2 4 3 6 5" xfId="18306"/>
    <cellStyle name="쉼표 [0] 2 4 3 7" xfId="2994"/>
    <cellStyle name="쉼표 [0] 2 4 3 7 2" xfId="8562"/>
    <cellStyle name="쉼표 [0] 2 4 3 7 2 2" xfId="25266"/>
    <cellStyle name="쉼표 [0] 2 4 3 7 3" xfId="14130"/>
    <cellStyle name="쉼표 [0] 2 4 3 7 3 2" xfId="30834"/>
    <cellStyle name="쉼표 [0] 2 4 3 7 4" xfId="19698"/>
    <cellStyle name="쉼표 [0] 2 4 3 8" xfId="5778"/>
    <cellStyle name="쉼표 [0] 2 4 3 8 2" xfId="22482"/>
    <cellStyle name="쉼표 [0] 2 4 3 9" xfId="11346"/>
    <cellStyle name="쉼표 [0] 2 4 3 9 2" xfId="28050"/>
    <cellStyle name="쉼표 [0] 2 4 4" xfId="268"/>
    <cellStyle name="쉼표 [0] 2 4 4 2" xfId="500"/>
    <cellStyle name="쉼표 [0] 2 4 4 2 2" xfId="1196"/>
    <cellStyle name="쉼표 [0] 2 4 4 2 2 2" xfId="2588"/>
    <cellStyle name="쉼표 [0] 2 4 4 2 2 2 2" xfId="5372"/>
    <cellStyle name="쉼표 [0] 2 4 4 2 2 2 2 2" xfId="10940"/>
    <cellStyle name="쉼표 [0] 2 4 4 2 2 2 2 2 2" xfId="27644"/>
    <cellStyle name="쉼표 [0] 2 4 4 2 2 2 2 3" xfId="16508"/>
    <cellStyle name="쉼표 [0] 2 4 4 2 2 2 2 3 2" xfId="33212"/>
    <cellStyle name="쉼표 [0] 2 4 4 2 2 2 2 4" xfId="22076"/>
    <cellStyle name="쉼표 [0] 2 4 4 2 2 2 3" xfId="8156"/>
    <cellStyle name="쉼표 [0] 2 4 4 2 2 2 3 2" xfId="24860"/>
    <cellStyle name="쉼표 [0] 2 4 4 2 2 2 4" xfId="13724"/>
    <cellStyle name="쉼표 [0] 2 4 4 2 2 2 4 2" xfId="30428"/>
    <cellStyle name="쉼표 [0] 2 4 4 2 2 2 5" xfId="19292"/>
    <cellStyle name="쉼표 [0] 2 4 4 2 2 3" xfId="3980"/>
    <cellStyle name="쉼표 [0] 2 4 4 2 2 3 2" xfId="9548"/>
    <cellStyle name="쉼표 [0] 2 4 4 2 2 3 2 2" xfId="26252"/>
    <cellStyle name="쉼표 [0] 2 4 4 2 2 3 3" xfId="15116"/>
    <cellStyle name="쉼표 [0] 2 4 4 2 2 3 3 2" xfId="31820"/>
    <cellStyle name="쉼표 [0] 2 4 4 2 2 3 4" xfId="20684"/>
    <cellStyle name="쉼표 [0] 2 4 4 2 2 4" xfId="6764"/>
    <cellStyle name="쉼표 [0] 2 4 4 2 2 4 2" xfId="23468"/>
    <cellStyle name="쉼표 [0] 2 4 4 2 2 5" xfId="12332"/>
    <cellStyle name="쉼표 [0] 2 4 4 2 2 5 2" xfId="29036"/>
    <cellStyle name="쉼표 [0] 2 4 4 2 2 6" xfId="17900"/>
    <cellStyle name="쉼표 [0] 2 4 4 2 3" xfId="1892"/>
    <cellStyle name="쉼표 [0] 2 4 4 2 3 2" xfId="4676"/>
    <cellStyle name="쉼표 [0] 2 4 4 2 3 2 2" xfId="10244"/>
    <cellStyle name="쉼표 [0] 2 4 4 2 3 2 2 2" xfId="26948"/>
    <cellStyle name="쉼표 [0] 2 4 4 2 3 2 3" xfId="15812"/>
    <cellStyle name="쉼표 [0] 2 4 4 2 3 2 3 2" xfId="32516"/>
    <cellStyle name="쉼표 [0] 2 4 4 2 3 2 4" xfId="21380"/>
    <cellStyle name="쉼표 [0] 2 4 4 2 3 3" xfId="7460"/>
    <cellStyle name="쉼표 [0] 2 4 4 2 3 3 2" xfId="24164"/>
    <cellStyle name="쉼표 [0] 2 4 4 2 3 4" xfId="13028"/>
    <cellStyle name="쉼표 [0] 2 4 4 2 3 4 2" xfId="29732"/>
    <cellStyle name="쉼표 [0] 2 4 4 2 3 5" xfId="18596"/>
    <cellStyle name="쉼표 [0] 2 4 4 2 4" xfId="3284"/>
    <cellStyle name="쉼표 [0] 2 4 4 2 4 2" xfId="8852"/>
    <cellStyle name="쉼표 [0] 2 4 4 2 4 2 2" xfId="25556"/>
    <cellStyle name="쉼표 [0] 2 4 4 2 4 3" xfId="14420"/>
    <cellStyle name="쉼표 [0] 2 4 4 2 4 3 2" xfId="31124"/>
    <cellStyle name="쉼표 [0] 2 4 4 2 4 4" xfId="19988"/>
    <cellStyle name="쉼표 [0] 2 4 4 2 5" xfId="6068"/>
    <cellStyle name="쉼표 [0] 2 4 4 2 5 2" xfId="22772"/>
    <cellStyle name="쉼표 [0] 2 4 4 2 6" xfId="11636"/>
    <cellStyle name="쉼표 [0] 2 4 4 2 6 2" xfId="28340"/>
    <cellStyle name="쉼표 [0] 2 4 4 2 7" xfId="17204"/>
    <cellStyle name="쉼표 [0] 2 4 4 3" xfId="732"/>
    <cellStyle name="쉼표 [0] 2 4 4 3 2" xfId="1428"/>
    <cellStyle name="쉼표 [0] 2 4 4 3 2 2" xfId="2820"/>
    <cellStyle name="쉼표 [0] 2 4 4 3 2 2 2" xfId="5604"/>
    <cellStyle name="쉼표 [0] 2 4 4 3 2 2 2 2" xfId="11172"/>
    <cellStyle name="쉼표 [0] 2 4 4 3 2 2 2 2 2" xfId="27876"/>
    <cellStyle name="쉼표 [0] 2 4 4 3 2 2 2 3" xfId="16740"/>
    <cellStyle name="쉼표 [0] 2 4 4 3 2 2 2 3 2" xfId="33444"/>
    <cellStyle name="쉼표 [0] 2 4 4 3 2 2 2 4" xfId="22308"/>
    <cellStyle name="쉼표 [0] 2 4 4 3 2 2 3" xfId="8388"/>
    <cellStyle name="쉼표 [0] 2 4 4 3 2 2 3 2" xfId="25092"/>
    <cellStyle name="쉼표 [0] 2 4 4 3 2 2 4" xfId="13956"/>
    <cellStyle name="쉼표 [0] 2 4 4 3 2 2 4 2" xfId="30660"/>
    <cellStyle name="쉼표 [0] 2 4 4 3 2 2 5" xfId="19524"/>
    <cellStyle name="쉼표 [0] 2 4 4 3 2 3" xfId="4212"/>
    <cellStyle name="쉼표 [0] 2 4 4 3 2 3 2" xfId="9780"/>
    <cellStyle name="쉼표 [0] 2 4 4 3 2 3 2 2" xfId="26484"/>
    <cellStyle name="쉼표 [0] 2 4 4 3 2 3 3" xfId="15348"/>
    <cellStyle name="쉼표 [0] 2 4 4 3 2 3 3 2" xfId="32052"/>
    <cellStyle name="쉼표 [0] 2 4 4 3 2 3 4" xfId="20916"/>
    <cellStyle name="쉼표 [0] 2 4 4 3 2 4" xfId="6996"/>
    <cellStyle name="쉼표 [0] 2 4 4 3 2 4 2" xfId="23700"/>
    <cellStyle name="쉼표 [0] 2 4 4 3 2 5" xfId="12564"/>
    <cellStyle name="쉼표 [0] 2 4 4 3 2 5 2" xfId="29268"/>
    <cellStyle name="쉼표 [0] 2 4 4 3 2 6" xfId="18132"/>
    <cellStyle name="쉼표 [0] 2 4 4 3 3" xfId="2124"/>
    <cellStyle name="쉼표 [0] 2 4 4 3 3 2" xfId="4908"/>
    <cellStyle name="쉼표 [0] 2 4 4 3 3 2 2" xfId="10476"/>
    <cellStyle name="쉼표 [0] 2 4 4 3 3 2 2 2" xfId="27180"/>
    <cellStyle name="쉼표 [0] 2 4 4 3 3 2 3" xfId="16044"/>
    <cellStyle name="쉼표 [0] 2 4 4 3 3 2 3 2" xfId="32748"/>
    <cellStyle name="쉼표 [0] 2 4 4 3 3 2 4" xfId="21612"/>
    <cellStyle name="쉼표 [0] 2 4 4 3 3 3" xfId="7692"/>
    <cellStyle name="쉼표 [0] 2 4 4 3 3 3 2" xfId="24396"/>
    <cellStyle name="쉼표 [0] 2 4 4 3 3 4" xfId="13260"/>
    <cellStyle name="쉼표 [0] 2 4 4 3 3 4 2" xfId="29964"/>
    <cellStyle name="쉼표 [0] 2 4 4 3 3 5" xfId="18828"/>
    <cellStyle name="쉼표 [0] 2 4 4 3 4" xfId="3516"/>
    <cellStyle name="쉼표 [0] 2 4 4 3 4 2" xfId="9084"/>
    <cellStyle name="쉼표 [0] 2 4 4 3 4 2 2" xfId="25788"/>
    <cellStyle name="쉼표 [0] 2 4 4 3 4 3" xfId="14652"/>
    <cellStyle name="쉼표 [0] 2 4 4 3 4 3 2" xfId="31356"/>
    <cellStyle name="쉼표 [0] 2 4 4 3 4 4" xfId="20220"/>
    <cellStyle name="쉼표 [0] 2 4 4 3 5" xfId="6300"/>
    <cellStyle name="쉼표 [0] 2 4 4 3 5 2" xfId="23004"/>
    <cellStyle name="쉼표 [0] 2 4 4 3 6" xfId="11868"/>
    <cellStyle name="쉼표 [0] 2 4 4 3 6 2" xfId="28572"/>
    <cellStyle name="쉼표 [0] 2 4 4 3 7" xfId="17436"/>
    <cellStyle name="쉼표 [0] 2 4 4 4" xfId="964"/>
    <cellStyle name="쉼표 [0] 2 4 4 4 2" xfId="2356"/>
    <cellStyle name="쉼표 [0] 2 4 4 4 2 2" xfId="5140"/>
    <cellStyle name="쉼표 [0] 2 4 4 4 2 2 2" xfId="10708"/>
    <cellStyle name="쉼표 [0] 2 4 4 4 2 2 2 2" xfId="27412"/>
    <cellStyle name="쉼표 [0] 2 4 4 4 2 2 3" xfId="16276"/>
    <cellStyle name="쉼표 [0] 2 4 4 4 2 2 3 2" xfId="32980"/>
    <cellStyle name="쉼표 [0] 2 4 4 4 2 2 4" xfId="21844"/>
    <cellStyle name="쉼표 [0] 2 4 4 4 2 3" xfId="7924"/>
    <cellStyle name="쉼표 [0] 2 4 4 4 2 3 2" xfId="24628"/>
    <cellStyle name="쉼표 [0] 2 4 4 4 2 4" xfId="13492"/>
    <cellStyle name="쉼표 [0] 2 4 4 4 2 4 2" xfId="30196"/>
    <cellStyle name="쉼표 [0] 2 4 4 4 2 5" xfId="19060"/>
    <cellStyle name="쉼표 [0] 2 4 4 4 3" xfId="3748"/>
    <cellStyle name="쉼표 [0] 2 4 4 4 3 2" xfId="9316"/>
    <cellStyle name="쉼표 [0] 2 4 4 4 3 2 2" xfId="26020"/>
    <cellStyle name="쉼표 [0] 2 4 4 4 3 3" xfId="14884"/>
    <cellStyle name="쉼표 [0] 2 4 4 4 3 3 2" xfId="31588"/>
    <cellStyle name="쉼표 [0] 2 4 4 4 3 4" xfId="20452"/>
    <cellStyle name="쉼표 [0] 2 4 4 4 4" xfId="6532"/>
    <cellStyle name="쉼표 [0] 2 4 4 4 4 2" xfId="23236"/>
    <cellStyle name="쉼표 [0] 2 4 4 4 5" xfId="12100"/>
    <cellStyle name="쉼표 [0] 2 4 4 4 5 2" xfId="28804"/>
    <cellStyle name="쉼표 [0] 2 4 4 4 6" xfId="17668"/>
    <cellStyle name="쉼표 [0] 2 4 4 5" xfId="1660"/>
    <cellStyle name="쉼표 [0] 2 4 4 5 2" xfId="4444"/>
    <cellStyle name="쉼표 [0] 2 4 4 5 2 2" xfId="10012"/>
    <cellStyle name="쉼표 [0] 2 4 4 5 2 2 2" xfId="26716"/>
    <cellStyle name="쉼표 [0] 2 4 4 5 2 3" xfId="15580"/>
    <cellStyle name="쉼표 [0] 2 4 4 5 2 3 2" xfId="32284"/>
    <cellStyle name="쉼표 [0] 2 4 4 5 2 4" xfId="21148"/>
    <cellStyle name="쉼표 [0] 2 4 4 5 3" xfId="7228"/>
    <cellStyle name="쉼표 [0] 2 4 4 5 3 2" xfId="23932"/>
    <cellStyle name="쉼표 [0] 2 4 4 5 4" xfId="12796"/>
    <cellStyle name="쉼표 [0] 2 4 4 5 4 2" xfId="29500"/>
    <cellStyle name="쉼표 [0] 2 4 4 5 5" xfId="18364"/>
    <cellStyle name="쉼표 [0] 2 4 4 6" xfId="3052"/>
    <cellStyle name="쉼표 [0] 2 4 4 6 2" xfId="8620"/>
    <cellStyle name="쉼표 [0] 2 4 4 6 2 2" xfId="25324"/>
    <cellStyle name="쉼표 [0] 2 4 4 6 3" xfId="14188"/>
    <cellStyle name="쉼표 [0] 2 4 4 6 3 2" xfId="30892"/>
    <cellStyle name="쉼표 [0] 2 4 4 6 4" xfId="19756"/>
    <cellStyle name="쉼표 [0] 2 4 4 7" xfId="5836"/>
    <cellStyle name="쉼표 [0] 2 4 4 7 2" xfId="22540"/>
    <cellStyle name="쉼표 [0] 2 4 4 8" xfId="11404"/>
    <cellStyle name="쉼표 [0] 2 4 4 8 2" xfId="28108"/>
    <cellStyle name="쉼표 [0] 2 4 4 9" xfId="16972"/>
    <cellStyle name="쉼표 [0] 2 4 5" xfId="384"/>
    <cellStyle name="쉼표 [0] 2 4 5 2" xfId="1080"/>
    <cellStyle name="쉼표 [0] 2 4 5 2 2" xfId="2472"/>
    <cellStyle name="쉼표 [0] 2 4 5 2 2 2" xfId="5256"/>
    <cellStyle name="쉼표 [0] 2 4 5 2 2 2 2" xfId="10824"/>
    <cellStyle name="쉼표 [0] 2 4 5 2 2 2 2 2" xfId="27528"/>
    <cellStyle name="쉼표 [0] 2 4 5 2 2 2 3" xfId="16392"/>
    <cellStyle name="쉼표 [0] 2 4 5 2 2 2 3 2" xfId="33096"/>
    <cellStyle name="쉼표 [0] 2 4 5 2 2 2 4" xfId="21960"/>
    <cellStyle name="쉼표 [0] 2 4 5 2 2 3" xfId="8040"/>
    <cellStyle name="쉼표 [0] 2 4 5 2 2 3 2" xfId="24744"/>
    <cellStyle name="쉼표 [0] 2 4 5 2 2 4" xfId="13608"/>
    <cellStyle name="쉼표 [0] 2 4 5 2 2 4 2" xfId="30312"/>
    <cellStyle name="쉼표 [0] 2 4 5 2 2 5" xfId="19176"/>
    <cellStyle name="쉼표 [0] 2 4 5 2 3" xfId="3864"/>
    <cellStyle name="쉼표 [0] 2 4 5 2 3 2" xfId="9432"/>
    <cellStyle name="쉼표 [0] 2 4 5 2 3 2 2" xfId="26136"/>
    <cellStyle name="쉼표 [0] 2 4 5 2 3 3" xfId="15000"/>
    <cellStyle name="쉼표 [0] 2 4 5 2 3 3 2" xfId="31704"/>
    <cellStyle name="쉼표 [0] 2 4 5 2 3 4" xfId="20568"/>
    <cellStyle name="쉼표 [0] 2 4 5 2 4" xfId="6648"/>
    <cellStyle name="쉼표 [0] 2 4 5 2 4 2" xfId="23352"/>
    <cellStyle name="쉼표 [0] 2 4 5 2 5" xfId="12216"/>
    <cellStyle name="쉼표 [0] 2 4 5 2 5 2" xfId="28920"/>
    <cellStyle name="쉼표 [0] 2 4 5 2 6" xfId="17784"/>
    <cellStyle name="쉼표 [0] 2 4 5 3" xfId="1776"/>
    <cellStyle name="쉼표 [0] 2 4 5 3 2" xfId="4560"/>
    <cellStyle name="쉼표 [0] 2 4 5 3 2 2" xfId="10128"/>
    <cellStyle name="쉼표 [0] 2 4 5 3 2 2 2" xfId="26832"/>
    <cellStyle name="쉼표 [0] 2 4 5 3 2 3" xfId="15696"/>
    <cellStyle name="쉼표 [0] 2 4 5 3 2 3 2" xfId="32400"/>
    <cellStyle name="쉼표 [0] 2 4 5 3 2 4" xfId="21264"/>
    <cellStyle name="쉼표 [0] 2 4 5 3 3" xfId="7344"/>
    <cellStyle name="쉼표 [0] 2 4 5 3 3 2" xfId="24048"/>
    <cellStyle name="쉼표 [0] 2 4 5 3 4" xfId="12912"/>
    <cellStyle name="쉼표 [0] 2 4 5 3 4 2" xfId="29616"/>
    <cellStyle name="쉼표 [0] 2 4 5 3 5" xfId="18480"/>
    <cellStyle name="쉼표 [0] 2 4 5 4" xfId="3168"/>
    <cellStyle name="쉼표 [0] 2 4 5 4 2" xfId="8736"/>
    <cellStyle name="쉼표 [0] 2 4 5 4 2 2" xfId="25440"/>
    <cellStyle name="쉼표 [0] 2 4 5 4 3" xfId="14304"/>
    <cellStyle name="쉼표 [0] 2 4 5 4 3 2" xfId="31008"/>
    <cellStyle name="쉼표 [0] 2 4 5 4 4" xfId="19872"/>
    <cellStyle name="쉼표 [0] 2 4 5 5" xfId="5952"/>
    <cellStyle name="쉼표 [0] 2 4 5 5 2" xfId="22656"/>
    <cellStyle name="쉼표 [0] 2 4 5 6" xfId="11520"/>
    <cellStyle name="쉼표 [0] 2 4 5 6 2" xfId="28224"/>
    <cellStyle name="쉼표 [0] 2 4 5 7" xfId="17088"/>
    <cellStyle name="쉼표 [0] 2 4 6" xfId="616"/>
    <cellStyle name="쉼표 [0] 2 4 6 2" xfId="1312"/>
    <cellStyle name="쉼표 [0] 2 4 6 2 2" xfId="2704"/>
    <cellStyle name="쉼표 [0] 2 4 6 2 2 2" xfId="5488"/>
    <cellStyle name="쉼표 [0] 2 4 6 2 2 2 2" xfId="11056"/>
    <cellStyle name="쉼표 [0] 2 4 6 2 2 2 2 2" xfId="27760"/>
    <cellStyle name="쉼표 [0] 2 4 6 2 2 2 3" xfId="16624"/>
    <cellStyle name="쉼표 [0] 2 4 6 2 2 2 3 2" xfId="33328"/>
    <cellStyle name="쉼표 [0] 2 4 6 2 2 2 4" xfId="22192"/>
    <cellStyle name="쉼표 [0] 2 4 6 2 2 3" xfId="8272"/>
    <cellStyle name="쉼표 [0] 2 4 6 2 2 3 2" xfId="24976"/>
    <cellStyle name="쉼표 [0] 2 4 6 2 2 4" xfId="13840"/>
    <cellStyle name="쉼표 [0] 2 4 6 2 2 4 2" xfId="30544"/>
    <cellStyle name="쉼표 [0] 2 4 6 2 2 5" xfId="19408"/>
    <cellStyle name="쉼표 [0] 2 4 6 2 3" xfId="4096"/>
    <cellStyle name="쉼표 [0] 2 4 6 2 3 2" xfId="9664"/>
    <cellStyle name="쉼표 [0] 2 4 6 2 3 2 2" xfId="26368"/>
    <cellStyle name="쉼표 [0] 2 4 6 2 3 3" xfId="15232"/>
    <cellStyle name="쉼표 [0] 2 4 6 2 3 3 2" xfId="31936"/>
    <cellStyle name="쉼표 [0] 2 4 6 2 3 4" xfId="20800"/>
    <cellStyle name="쉼표 [0] 2 4 6 2 4" xfId="6880"/>
    <cellStyle name="쉼표 [0] 2 4 6 2 4 2" xfId="23584"/>
    <cellStyle name="쉼표 [0] 2 4 6 2 5" xfId="12448"/>
    <cellStyle name="쉼표 [0] 2 4 6 2 5 2" xfId="29152"/>
    <cellStyle name="쉼표 [0] 2 4 6 2 6" xfId="18016"/>
    <cellStyle name="쉼표 [0] 2 4 6 3" xfId="2008"/>
    <cellStyle name="쉼표 [0] 2 4 6 3 2" xfId="4792"/>
    <cellStyle name="쉼표 [0] 2 4 6 3 2 2" xfId="10360"/>
    <cellStyle name="쉼표 [0] 2 4 6 3 2 2 2" xfId="27064"/>
    <cellStyle name="쉼표 [0] 2 4 6 3 2 3" xfId="15928"/>
    <cellStyle name="쉼표 [0] 2 4 6 3 2 3 2" xfId="32632"/>
    <cellStyle name="쉼표 [0] 2 4 6 3 2 4" xfId="21496"/>
    <cellStyle name="쉼표 [0] 2 4 6 3 3" xfId="7576"/>
    <cellStyle name="쉼표 [0] 2 4 6 3 3 2" xfId="24280"/>
    <cellStyle name="쉼표 [0] 2 4 6 3 4" xfId="13144"/>
    <cellStyle name="쉼표 [0] 2 4 6 3 4 2" xfId="29848"/>
    <cellStyle name="쉼표 [0] 2 4 6 3 5" xfId="18712"/>
    <cellStyle name="쉼표 [0] 2 4 6 4" xfId="3400"/>
    <cellStyle name="쉼표 [0] 2 4 6 4 2" xfId="8968"/>
    <cellStyle name="쉼표 [0] 2 4 6 4 2 2" xfId="25672"/>
    <cellStyle name="쉼표 [0] 2 4 6 4 3" xfId="14536"/>
    <cellStyle name="쉼표 [0] 2 4 6 4 3 2" xfId="31240"/>
    <cellStyle name="쉼표 [0] 2 4 6 4 4" xfId="20104"/>
    <cellStyle name="쉼표 [0] 2 4 6 5" xfId="6184"/>
    <cellStyle name="쉼표 [0] 2 4 6 5 2" xfId="22888"/>
    <cellStyle name="쉼표 [0] 2 4 6 6" xfId="11752"/>
    <cellStyle name="쉼표 [0] 2 4 6 6 2" xfId="28456"/>
    <cellStyle name="쉼표 [0] 2 4 6 7" xfId="17320"/>
    <cellStyle name="쉼표 [0] 2 4 7" xfId="848"/>
    <cellStyle name="쉼표 [0] 2 4 7 2" xfId="2240"/>
    <cellStyle name="쉼표 [0] 2 4 7 2 2" xfId="5024"/>
    <cellStyle name="쉼표 [0] 2 4 7 2 2 2" xfId="10592"/>
    <cellStyle name="쉼표 [0] 2 4 7 2 2 2 2" xfId="27296"/>
    <cellStyle name="쉼표 [0] 2 4 7 2 2 3" xfId="16160"/>
    <cellStyle name="쉼표 [0] 2 4 7 2 2 3 2" xfId="32864"/>
    <cellStyle name="쉼표 [0] 2 4 7 2 2 4" xfId="21728"/>
    <cellStyle name="쉼표 [0] 2 4 7 2 3" xfId="7808"/>
    <cellStyle name="쉼표 [0] 2 4 7 2 3 2" xfId="24512"/>
    <cellStyle name="쉼표 [0] 2 4 7 2 4" xfId="13376"/>
    <cellStyle name="쉼표 [0] 2 4 7 2 4 2" xfId="30080"/>
    <cellStyle name="쉼표 [0] 2 4 7 2 5" xfId="18944"/>
    <cellStyle name="쉼표 [0] 2 4 7 3" xfId="3632"/>
    <cellStyle name="쉼표 [0] 2 4 7 3 2" xfId="9200"/>
    <cellStyle name="쉼표 [0] 2 4 7 3 2 2" xfId="25904"/>
    <cellStyle name="쉼표 [0] 2 4 7 3 3" xfId="14768"/>
    <cellStyle name="쉼표 [0] 2 4 7 3 3 2" xfId="31472"/>
    <cellStyle name="쉼표 [0] 2 4 7 3 4" xfId="20336"/>
    <cellStyle name="쉼표 [0] 2 4 7 4" xfId="6416"/>
    <cellStyle name="쉼표 [0] 2 4 7 4 2" xfId="23120"/>
    <cellStyle name="쉼표 [0] 2 4 7 5" xfId="11984"/>
    <cellStyle name="쉼표 [0] 2 4 7 5 2" xfId="28688"/>
    <cellStyle name="쉼표 [0] 2 4 7 6" xfId="17552"/>
    <cellStyle name="쉼표 [0] 2 4 8" xfId="1544"/>
    <cellStyle name="쉼표 [0] 2 4 8 2" xfId="4328"/>
    <cellStyle name="쉼표 [0] 2 4 8 2 2" xfId="9896"/>
    <cellStyle name="쉼표 [0] 2 4 8 2 2 2" xfId="26600"/>
    <cellStyle name="쉼표 [0] 2 4 8 2 3" xfId="15464"/>
    <cellStyle name="쉼표 [0] 2 4 8 2 3 2" xfId="32168"/>
    <cellStyle name="쉼표 [0] 2 4 8 2 4" xfId="21032"/>
    <cellStyle name="쉼표 [0] 2 4 8 3" xfId="7112"/>
    <cellStyle name="쉼표 [0] 2 4 8 3 2" xfId="23816"/>
    <cellStyle name="쉼표 [0] 2 4 8 4" xfId="12680"/>
    <cellStyle name="쉼표 [0] 2 4 8 4 2" xfId="29384"/>
    <cellStyle name="쉼표 [0] 2 4 8 5" xfId="18248"/>
    <cellStyle name="쉼표 [0] 2 4 9" xfId="2936"/>
    <cellStyle name="쉼표 [0] 2 4 9 2" xfId="8504"/>
    <cellStyle name="쉼표 [0] 2 4 9 2 2" xfId="25208"/>
    <cellStyle name="쉼표 [0] 2 4 9 3" xfId="14072"/>
    <cellStyle name="쉼표 [0] 2 4 9 3 2" xfId="30776"/>
    <cellStyle name="쉼표 [0] 2 4 9 4" xfId="19640"/>
    <cellStyle name="쉼표 [0] 2 5" xfId="108"/>
    <cellStyle name="쉼표 [0] 2 5 10" xfId="5717"/>
    <cellStyle name="쉼표 [0] 2 5 10 2" xfId="22421"/>
    <cellStyle name="쉼표 [0] 2 5 11" xfId="11285"/>
    <cellStyle name="쉼표 [0] 2 5 11 2" xfId="27989"/>
    <cellStyle name="쉼표 [0] 2 5 12" xfId="16853"/>
    <cellStyle name="쉼표 [0] 2 5 2" xfId="178"/>
    <cellStyle name="쉼표 [0] 2 5 2 10" xfId="11314"/>
    <cellStyle name="쉼표 [0] 2 5 2 10 2" xfId="28018"/>
    <cellStyle name="쉼표 [0] 2 5 2 11" xfId="16882"/>
    <cellStyle name="쉼표 [0] 2 5 2 2" xfId="236"/>
    <cellStyle name="쉼표 [0] 2 5 2 2 10" xfId="16940"/>
    <cellStyle name="쉼표 [0] 2 5 2 2 2" xfId="352"/>
    <cellStyle name="쉼표 [0] 2 5 2 2 2 2" xfId="584"/>
    <cellStyle name="쉼표 [0] 2 5 2 2 2 2 2" xfId="1280"/>
    <cellStyle name="쉼표 [0] 2 5 2 2 2 2 2 2" xfId="2672"/>
    <cellStyle name="쉼표 [0] 2 5 2 2 2 2 2 2 2" xfId="5456"/>
    <cellStyle name="쉼표 [0] 2 5 2 2 2 2 2 2 2 2" xfId="11024"/>
    <cellStyle name="쉼표 [0] 2 5 2 2 2 2 2 2 2 2 2" xfId="27728"/>
    <cellStyle name="쉼표 [0] 2 5 2 2 2 2 2 2 2 3" xfId="16592"/>
    <cellStyle name="쉼표 [0] 2 5 2 2 2 2 2 2 2 3 2" xfId="33296"/>
    <cellStyle name="쉼표 [0] 2 5 2 2 2 2 2 2 2 4" xfId="22160"/>
    <cellStyle name="쉼표 [0] 2 5 2 2 2 2 2 2 3" xfId="8240"/>
    <cellStyle name="쉼표 [0] 2 5 2 2 2 2 2 2 3 2" xfId="24944"/>
    <cellStyle name="쉼표 [0] 2 5 2 2 2 2 2 2 4" xfId="13808"/>
    <cellStyle name="쉼표 [0] 2 5 2 2 2 2 2 2 4 2" xfId="30512"/>
    <cellStyle name="쉼표 [0] 2 5 2 2 2 2 2 2 5" xfId="19376"/>
    <cellStyle name="쉼표 [0] 2 5 2 2 2 2 2 3" xfId="4064"/>
    <cellStyle name="쉼표 [0] 2 5 2 2 2 2 2 3 2" xfId="9632"/>
    <cellStyle name="쉼표 [0] 2 5 2 2 2 2 2 3 2 2" xfId="26336"/>
    <cellStyle name="쉼표 [0] 2 5 2 2 2 2 2 3 3" xfId="15200"/>
    <cellStyle name="쉼표 [0] 2 5 2 2 2 2 2 3 3 2" xfId="31904"/>
    <cellStyle name="쉼표 [0] 2 5 2 2 2 2 2 3 4" xfId="20768"/>
    <cellStyle name="쉼표 [0] 2 5 2 2 2 2 2 4" xfId="6848"/>
    <cellStyle name="쉼표 [0] 2 5 2 2 2 2 2 4 2" xfId="23552"/>
    <cellStyle name="쉼표 [0] 2 5 2 2 2 2 2 5" xfId="12416"/>
    <cellStyle name="쉼표 [0] 2 5 2 2 2 2 2 5 2" xfId="29120"/>
    <cellStyle name="쉼표 [0] 2 5 2 2 2 2 2 6" xfId="17984"/>
    <cellStyle name="쉼표 [0] 2 5 2 2 2 2 3" xfId="1976"/>
    <cellStyle name="쉼표 [0] 2 5 2 2 2 2 3 2" xfId="4760"/>
    <cellStyle name="쉼표 [0] 2 5 2 2 2 2 3 2 2" xfId="10328"/>
    <cellStyle name="쉼표 [0] 2 5 2 2 2 2 3 2 2 2" xfId="27032"/>
    <cellStyle name="쉼표 [0] 2 5 2 2 2 2 3 2 3" xfId="15896"/>
    <cellStyle name="쉼표 [0] 2 5 2 2 2 2 3 2 3 2" xfId="32600"/>
    <cellStyle name="쉼표 [0] 2 5 2 2 2 2 3 2 4" xfId="21464"/>
    <cellStyle name="쉼표 [0] 2 5 2 2 2 2 3 3" xfId="7544"/>
    <cellStyle name="쉼표 [0] 2 5 2 2 2 2 3 3 2" xfId="24248"/>
    <cellStyle name="쉼표 [0] 2 5 2 2 2 2 3 4" xfId="13112"/>
    <cellStyle name="쉼표 [0] 2 5 2 2 2 2 3 4 2" xfId="29816"/>
    <cellStyle name="쉼표 [0] 2 5 2 2 2 2 3 5" xfId="18680"/>
    <cellStyle name="쉼표 [0] 2 5 2 2 2 2 4" xfId="3368"/>
    <cellStyle name="쉼표 [0] 2 5 2 2 2 2 4 2" xfId="8936"/>
    <cellStyle name="쉼표 [0] 2 5 2 2 2 2 4 2 2" xfId="25640"/>
    <cellStyle name="쉼표 [0] 2 5 2 2 2 2 4 3" xfId="14504"/>
    <cellStyle name="쉼표 [0] 2 5 2 2 2 2 4 3 2" xfId="31208"/>
    <cellStyle name="쉼표 [0] 2 5 2 2 2 2 4 4" xfId="20072"/>
    <cellStyle name="쉼표 [0] 2 5 2 2 2 2 5" xfId="6152"/>
    <cellStyle name="쉼표 [0] 2 5 2 2 2 2 5 2" xfId="22856"/>
    <cellStyle name="쉼표 [0] 2 5 2 2 2 2 6" xfId="11720"/>
    <cellStyle name="쉼표 [0] 2 5 2 2 2 2 6 2" xfId="28424"/>
    <cellStyle name="쉼표 [0] 2 5 2 2 2 2 7" xfId="17288"/>
    <cellStyle name="쉼표 [0] 2 5 2 2 2 3" xfId="816"/>
    <cellStyle name="쉼표 [0] 2 5 2 2 2 3 2" xfId="1512"/>
    <cellStyle name="쉼표 [0] 2 5 2 2 2 3 2 2" xfId="2904"/>
    <cellStyle name="쉼표 [0] 2 5 2 2 2 3 2 2 2" xfId="5688"/>
    <cellStyle name="쉼표 [0] 2 5 2 2 2 3 2 2 2 2" xfId="11256"/>
    <cellStyle name="쉼표 [0] 2 5 2 2 2 3 2 2 2 2 2" xfId="27960"/>
    <cellStyle name="쉼표 [0] 2 5 2 2 2 3 2 2 2 3" xfId="16824"/>
    <cellStyle name="쉼표 [0] 2 5 2 2 2 3 2 2 2 3 2" xfId="33528"/>
    <cellStyle name="쉼표 [0] 2 5 2 2 2 3 2 2 2 4" xfId="22392"/>
    <cellStyle name="쉼표 [0] 2 5 2 2 2 3 2 2 3" xfId="8472"/>
    <cellStyle name="쉼표 [0] 2 5 2 2 2 3 2 2 3 2" xfId="25176"/>
    <cellStyle name="쉼표 [0] 2 5 2 2 2 3 2 2 4" xfId="14040"/>
    <cellStyle name="쉼표 [0] 2 5 2 2 2 3 2 2 4 2" xfId="30744"/>
    <cellStyle name="쉼표 [0] 2 5 2 2 2 3 2 2 5" xfId="19608"/>
    <cellStyle name="쉼표 [0] 2 5 2 2 2 3 2 3" xfId="4296"/>
    <cellStyle name="쉼표 [0] 2 5 2 2 2 3 2 3 2" xfId="9864"/>
    <cellStyle name="쉼표 [0] 2 5 2 2 2 3 2 3 2 2" xfId="26568"/>
    <cellStyle name="쉼표 [0] 2 5 2 2 2 3 2 3 3" xfId="15432"/>
    <cellStyle name="쉼표 [0] 2 5 2 2 2 3 2 3 3 2" xfId="32136"/>
    <cellStyle name="쉼표 [0] 2 5 2 2 2 3 2 3 4" xfId="21000"/>
    <cellStyle name="쉼표 [0] 2 5 2 2 2 3 2 4" xfId="7080"/>
    <cellStyle name="쉼표 [0] 2 5 2 2 2 3 2 4 2" xfId="23784"/>
    <cellStyle name="쉼표 [0] 2 5 2 2 2 3 2 5" xfId="12648"/>
    <cellStyle name="쉼표 [0] 2 5 2 2 2 3 2 5 2" xfId="29352"/>
    <cellStyle name="쉼표 [0] 2 5 2 2 2 3 2 6" xfId="18216"/>
    <cellStyle name="쉼표 [0] 2 5 2 2 2 3 3" xfId="2208"/>
    <cellStyle name="쉼표 [0] 2 5 2 2 2 3 3 2" xfId="4992"/>
    <cellStyle name="쉼표 [0] 2 5 2 2 2 3 3 2 2" xfId="10560"/>
    <cellStyle name="쉼표 [0] 2 5 2 2 2 3 3 2 2 2" xfId="27264"/>
    <cellStyle name="쉼표 [0] 2 5 2 2 2 3 3 2 3" xfId="16128"/>
    <cellStyle name="쉼표 [0] 2 5 2 2 2 3 3 2 3 2" xfId="32832"/>
    <cellStyle name="쉼표 [0] 2 5 2 2 2 3 3 2 4" xfId="21696"/>
    <cellStyle name="쉼표 [0] 2 5 2 2 2 3 3 3" xfId="7776"/>
    <cellStyle name="쉼표 [0] 2 5 2 2 2 3 3 3 2" xfId="24480"/>
    <cellStyle name="쉼표 [0] 2 5 2 2 2 3 3 4" xfId="13344"/>
    <cellStyle name="쉼표 [0] 2 5 2 2 2 3 3 4 2" xfId="30048"/>
    <cellStyle name="쉼표 [0] 2 5 2 2 2 3 3 5" xfId="18912"/>
    <cellStyle name="쉼표 [0] 2 5 2 2 2 3 4" xfId="3600"/>
    <cellStyle name="쉼표 [0] 2 5 2 2 2 3 4 2" xfId="9168"/>
    <cellStyle name="쉼표 [0] 2 5 2 2 2 3 4 2 2" xfId="25872"/>
    <cellStyle name="쉼표 [0] 2 5 2 2 2 3 4 3" xfId="14736"/>
    <cellStyle name="쉼표 [0] 2 5 2 2 2 3 4 3 2" xfId="31440"/>
    <cellStyle name="쉼표 [0] 2 5 2 2 2 3 4 4" xfId="20304"/>
    <cellStyle name="쉼표 [0] 2 5 2 2 2 3 5" xfId="6384"/>
    <cellStyle name="쉼표 [0] 2 5 2 2 2 3 5 2" xfId="23088"/>
    <cellStyle name="쉼표 [0] 2 5 2 2 2 3 6" xfId="11952"/>
    <cellStyle name="쉼표 [0] 2 5 2 2 2 3 6 2" xfId="28656"/>
    <cellStyle name="쉼표 [0] 2 5 2 2 2 3 7" xfId="17520"/>
    <cellStyle name="쉼표 [0] 2 5 2 2 2 4" xfId="1048"/>
    <cellStyle name="쉼표 [0] 2 5 2 2 2 4 2" xfId="2440"/>
    <cellStyle name="쉼표 [0] 2 5 2 2 2 4 2 2" xfId="5224"/>
    <cellStyle name="쉼표 [0] 2 5 2 2 2 4 2 2 2" xfId="10792"/>
    <cellStyle name="쉼표 [0] 2 5 2 2 2 4 2 2 2 2" xfId="27496"/>
    <cellStyle name="쉼표 [0] 2 5 2 2 2 4 2 2 3" xfId="16360"/>
    <cellStyle name="쉼표 [0] 2 5 2 2 2 4 2 2 3 2" xfId="33064"/>
    <cellStyle name="쉼표 [0] 2 5 2 2 2 4 2 2 4" xfId="21928"/>
    <cellStyle name="쉼표 [0] 2 5 2 2 2 4 2 3" xfId="8008"/>
    <cellStyle name="쉼표 [0] 2 5 2 2 2 4 2 3 2" xfId="24712"/>
    <cellStyle name="쉼표 [0] 2 5 2 2 2 4 2 4" xfId="13576"/>
    <cellStyle name="쉼표 [0] 2 5 2 2 2 4 2 4 2" xfId="30280"/>
    <cellStyle name="쉼표 [0] 2 5 2 2 2 4 2 5" xfId="19144"/>
    <cellStyle name="쉼표 [0] 2 5 2 2 2 4 3" xfId="3832"/>
    <cellStyle name="쉼표 [0] 2 5 2 2 2 4 3 2" xfId="9400"/>
    <cellStyle name="쉼표 [0] 2 5 2 2 2 4 3 2 2" xfId="26104"/>
    <cellStyle name="쉼표 [0] 2 5 2 2 2 4 3 3" xfId="14968"/>
    <cellStyle name="쉼표 [0] 2 5 2 2 2 4 3 3 2" xfId="31672"/>
    <cellStyle name="쉼표 [0] 2 5 2 2 2 4 3 4" xfId="20536"/>
    <cellStyle name="쉼표 [0] 2 5 2 2 2 4 4" xfId="6616"/>
    <cellStyle name="쉼표 [0] 2 5 2 2 2 4 4 2" xfId="23320"/>
    <cellStyle name="쉼표 [0] 2 5 2 2 2 4 5" xfId="12184"/>
    <cellStyle name="쉼표 [0] 2 5 2 2 2 4 5 2" xfId="28888"/>
    <cellStyle name="쉼표 [0] 2 5 2 2 2 4 6" xfId="17752"/>
    <cellStyle name="쉼표 [0] 2 5 2 2 2 5" xfId="1744"/>
    <cellStyle name="쉼표 [0] 2 5 2 2 2 5 2" xfId="4528"/>
    <cellStyle name="쉼표 [0] 2 5 2 2 2 5 2 2" xfId="10096"/>
    <cellStyle name="쉼표 [0] 2 5 2 2 2 5 2 2 2" xfId="26800"/>
    <cellStyle name="쉼표 [0] 2 5 2 2 2 5 2 3" xfId="15664"/>
    <cellStyle name="쉼표 [0] 2 5 2 2 2 5 2 3 2" xfId="32368"/>
    <cellStyle name="쉼표 [0] 2 5 2 2 2 5 2 4" xfId="21232"/>
    <cellStyle name="쉼표 [0] 2 5 2 2 2 5 3" xfId="7312"/>
    <cellStyle name="쉼표 [0] 2 5 2 2 2 5 3 2" xfId="24016"/>
    <cellStyle name="쉼표 [0] 2 5 2 2 2 5 4" xfId="12880"/>
    <cellStyle name="쉼표 [0] 2 5 2 2 2 5 4 2" xfId="29584"/>
    <cellStyle name="쉼표 [0] 2 5 2 2 2 5 5" xfId="18448"/>
    <cellStyle name="쉼표 [0] 2 5 2 2 2 6" xfId="3136"/>
    <cellStyle name="쉼표 [0] 2 5 2 2 2 6 2" xfId="8704"/>
    <cellStyle name="쉼표 [0] 2 5 2 2 2 6 2 2" xfId="25408"/>
    <cellStyle name="쉼표 [0] 2 5 2 2 2 6 3" xfId="14272"/>
    <cellStyle name="쉼표 [0] 2 5 2 2 2 6 3 2" xfId="30976"/>
    <cellStyle name="쉼표 [0] 2 5 2 2 2 6 4" xfId="19840"/>
    <cellStyle name="쉼표 [0] 2 5 2 2 2 7" xfId="5920"/>
    <cellStyle name="쉼표 [0] 2 5 2 2 2 7 2" xfId="22624"/>
    <cellStyle name="쉼표 [0] 2 5 2 2 2 8" xfId="11488"/>
    <cellStyle name="쉼표 [0] 2 5 2 2 2 8 2" xfId="28192"/>
    <cellStyle name="쉼표 [0] 2 5 2 2 2 9" xfId="17056"/>
    <cellStyle name="쉼표 [0] 2 5 2 2 3" xfId="468"/>
    <cellStyle name="쉼표 [0] 2 5 2 2 3 2" xfId="1164"/>
    <cellStyle name="쉼표 [0] 2 5 2 2 3 2 2" xfId="2556"/>
    <cellStyle name="쉼표 [0] 2 5 2 2 3 2 2 2" xfId="5340"/>
    <cellStyle name="쉼표 [0] 2 5 2 2 3 2 2 2 2" xfId="10908"/>
    <cellStyle name="쉼표 [0] 2 5 2 2 3 2 2 2 2 2" xfId="27612"/>
    <cellStyle name="쉼표 [0] 2 5 2 2 3 2 2 2 3" xfId="16476"/>
    <cellStyle name="쉼표 [0] 2 5 2 2 3 2 2 2 3 2" xfId="33180"/>
    <cellStyle name="쉼표 [0] 2 5 2 2 3 2 2 2 4" xfId="22044"/>
    <cellStyle name="쉼표 [0] 2 5 2 2 3 2 2 3" xfId="8124"/>
    <cellStyle name="쉼표 [0] 2 5 2 2 3 2 2 3 2" xfId="24828"/>
    <cellStyle name="쉼표 [0] 2 5 2 2 3 2 2 4" xfId="13692"/>
    <cellStyle name="쉼표 [0] 2 5 2 2 3 2 2 4 2" xfId="30396"/>
    <cellStyle name="쉼표 [0] 2 5 2 2 3 2 2 5" xfId="19260"/>
    <cellStyle name="쉼표 [0] 2 5 2 2 3 2 3" xfId="3948"/>
    <cellStyle name="쉼표 [0] 2 5 2 2 3 2 3 2" xfId="9516"/>
    <cellStyle name="쉼표 [0] 2 5 2 2 3 2 3 2 2" xfId="26220"/>
    <cellStyle name="쉼표 [0] 2 5 2 2 3 2 3 3" xfId="15084"/>
    <cellStyle name="쉼표 [0] 2 5 2 2 3 2 3 3 2" xfId="31788"/>
    <cellStyle name="쉼표 [0] 2 5 2 2 3 2 3 4" xfId="20652"/>
    <cellStyle name="쉼표 [0] 2 5 2 2 3 2 4" xfId="6732"/>
    <cellStyle name="쉼표 [0] 2 5 2 2 3 2 4 2" xfId="23436"/>
    <cellStyle name="쉼표 [0] 2 5 2 2 3 2 5" xfId="12300"/>
    <cellStyle name="쉼표 [0] 2 5 2 2 3 2 5 2" xfId="29004"/>
    <cellStyle name="쉼표 [0] 2 5 2 2 3 2 6" xfId="17868"/>
    <cellStyle name="쉼표 [0] 2 5 2 2 3 3" xfId="1860"/>
    <cellStyle name="쉼표 [0] 2 5 2 2 3 3 2" xfId="4644"/>
    <cellStyle name="쉼표 [0] 2 5 2 2 3 3 2 2" xfId="10212"/>
    <cellStyle name="쉼표 [0] 2 5 2 2 3 3 2 2 2" xfId="26916"/>
    <cellStyle name="쉼표 [0] 2 5 2 2 3 3 2 3" xfId="15780"/>
    <cellStyle name="쉼표 [0] 2 5 2 2 3 3 2 3 2" xfId="32484"/>
    <cellStyle name="쉼표 [0] 2 5 2 2 3 3 2 4" xfId="21348"/>
    <cellStyle name="쉼표 [0] 2 5 2 2 3 3 3" xfId="7428"/>
    <cellStyle name="쉼표 [0] 2 5 2 2 3 3 3 2" xfId="24132"/>
    <cellStyle name="쉼표 [0] 2 5 2 2 3 3 4" xfId="12996"/>
    <cellStyle name="쉼표 [0] 2 5 2 2 3 3 4 2" xfId="29700"/>
    <cellStyle name="쉼표 [0] 2 5 2 2 3 3 5" xfId="18564"/>
    <cellStyle name="쉼표 [0] 2 5 2 2 3 4" xfId="3252"/>
    <cellStyle name="쉼표 [0] 2 5 2 2 3 4 2" xfId="8820"/>
    <cellStyle name="쉼표 [0] 2 5 2 2 3 4 2 2" xfId="25524"/>
    <cellStyle name="쉼표 [0] 2 5 2 2 3 4 3" xfId="14388"/>
    <cellStyle name="쉼표 [0] 2 5 2 2 3 4 3 2" xfId="31092"/>
    <cellStyle name="쉼표 [0] 2 5 2 2 3 4 4" xfId="19956"/>
    <cellStyle name="쉼표 [0] 2 5 2 2 3 5" xfId="6036"/>
    <cellStyle name="쉼표 [0] 2 5 2 2 3 5 2" xfId="22740"/>
    <cellStyle name="쉼표 [0] 2 5 2 2 3 6" xfId="11604"/>
    <cellStyle name="쉼표 [0] 2 5 2 2 3 6 2" xfId="28308"/>
    <cellStyle name="쉼표 [0] 2 5 2 2 3 7" xfId="17172"/>
    <cellStyle name="쉼표 [0] 2 5 2 2 4" xfId="700"/>
    <cellStyle name="쉼표 [0] 2 5 2 2 4 2" xfId="1396"/>
    <cellStyle name="쉼표 [0] 2 5 2 2 4 2 2" xfId="2788"/>
    <cellStyle name="쉼표 [0] 2 5 2 2 4 2 2 2" xfId="5572"/>
    <cellStyle name="쉼표 [0] 2 5 2 2 4 2 2 2 2" xfId="11140"/>
    <cellStyle name="쉼표 [0] 2 5 2 2 4 2 2 2 2 2" xfId="27844"/>
    <cellStyle name="쉼표 [0] 2 5 2 2 4 2 2 2 3" xfId="16708"/>
    <cellStyle name="쉼표 [0] 2 5 2 2 4 2 2 2 3 2" xfId="33412"/>
    <cellStyle name="쉼표 [0] 2 5 2 2 4 2 2 2 4" xfId="22276"/>
    <cellStyle name="쉼표 [0] 2 5 2 2 4 2 2 3" xfId="8356"/>
    <cellStyle name="쉼표 [0] 2 5 2 2 4 2 2 3 2" xfId="25060"/>
    <cellStyle name="쉼표 [0] 2 5 2 2 4 2 2 4" xfId="13924"/>
    <cellStyle name="쉼표 [0] 2 5 2 2 4 2 2 4 2" xfId="30628"/>
    <cellStyle name="쉼표 [0] 2 5 2 2 4 2 2 5" xfId="19492"/>
    <cellStyle name="쉼표 [0] 2 5 2 2 4 2 3" xfId="4180"/>
    <cellStyle name="쉼표 [0] 2 5 2 2 4 2 3 2" xfId="9748"/>
    <cellStyle name="쉼표 [0] 2 5 2 2 4 2 3 2 2" xfId="26452"/>
    <cellStyle name="쉼표 [0] 2 5 2 2 4 2 3 3" xfId="15316"/>
    <cellStyle name="쉼표 [0] 2 5 2 2 4 2 3 3 2" xfId="32020"/>
    <cellStyle name="쉼표 [0] 2 5 2 2 4 2 3 4" xfId="20884"/>
    <cellStyle name="쉼표 [0] 2 5 2 2 4 2 4" xfId="6964"/>
    <cellStyle name="쉼표 [0] 2 5 2 2 4 2 4 2" xfId="23668"/>
    <cellStyle name="쉼표 [0] 2 5 2 2 4 2 5" xfId="12532"/>
    <cellStyle name="쉼표 [0] 2 5 2 2 4 2 5 2" xfId="29236"/>
    <cellStyle name="쉼표 [0] 2 5 2 2 4 2 6" xfId="18100"/>
    <cellStyle name="쉼표 [0] 2 5 2 2 4 3" xfId="2092"/>
    <cellStyle name="쉼표 [0] 2 5 2 2 4 3 2" xfId="4876"/>
    <cellStyle name="쉼표 [0] 2 5 2 2 4 3 2 2" xfId="10444"/>
    <cellStyle name="쉼표 [0] 2 5 2 2 4 3 2 2 2" xfId="27148"/>
    <cellStyle name="쉼표 [0] 2 5 2 2 4 3 2 3" xfId="16012"/>
    <cellStyle name="쉼표 [0] 2 5 2 2 4 3 2 3 2" xfId="32716"/>
    <cellStyle name="쉼표 [0] 2 5 2 2 4 3 2 4" xfId="21580"/>
    <cellStyle name="쉼표 [0] 2 5 2 2 4 3 3" xfId="7660"/>
    <cellStyle name="쉼표 [0] 2 5 2 2 4 3 3 2" xfId="24364"/>
    <cellStyle name="쉼표 [0] 2 5 2 2 4 3 4" xfId="13228"/>
    <cellStyle name="쉼표 [0] 2 5 2 2 4 3 4 2" xfId="29932"/>
    <cellStyle name="쉼표 [0] 2 5 2 2 4 3 5" xfId="18796"/>
    <cellStyle name="쉼표 [0] 2 5 2 2 4 4" xfId="3484"/>
    <cellStyle name="쉼표 [0] 2 5 2 2 4 4 2" xfId="9052"/>
    <cellStyle name="쉼표 [0] 2 5 2 2 4 4 2 2" xfId="25756"/>
    <cellStyle name="쉼표 [0] 2 5 2 2 4 4 3" xfId="14620"/>
    <cellStyle name="쉼표 [0] 2 5 2 2 4 4 3 2" xfId="31324"/>
    <cellStyle name="쉼표 [0] 2 5 2 2 4 4 4" xfId="20188"/>
    <cellStyle name="쉼표 [0] 2 5 2 2 4 5" xfId="6268"/>
    <cellStyle name="쉼표 [0] 2 5 2 2 4 5 2" xfId="22972"/>
    <cellStyle name="쉼표 [0] 2 5 2 2 4 6" xfId="11836"/>
    <cellStyle name="쉼표 [0] 2 5 2 2 4 6 2" xfId="28540"/>
    <cellStyle name="쉼표 [0] 2 5 2 2 4 7" xfId="17404"/>
    <cellStyle name="쉼표 [0] 2 5 2 2 5" xfId="932"/>
    <cellStyle name="쉼표 [0] 2 5 2 2 5 2" xfId="2324"/>
    <cellStyle name="쉼표 [0] 2 5 2 2 5 2 2" xfId="5108"/>
    <cellStyle name="쉼표 [0] 2 5 2 2 5 2 2 2" xfId="10676"/>
    <cellStyle name="쉼표 [0] 2 5 2 2 5 2 2 2 2" xfId="27380"/>
    <cellStyle name="쉼표 [0] 2 5 2 2 5 2 2 3" xfId="16244"/>
    <cellStyle name="쉼표 [0] 2 5 2 2 5 2 2 3 2" xfId="32948"/>
    <cellStyle name="쉼표 [0] 2 5 2 2 5 2 2 4" xfId="21812"/>
    <cellStyle name="쉼표 [0] 2 5 2 2 5 2 3" xfId="7892"/>
    <cellStyle name="쉼표 [0] 2 5 2 2 5 2 3 2" xfId="24596"/>
    <cellStyle name="쉼표 [0] 2 5 2 2 5 2 4" xfId="13460"/>
    <cellStyle name="쉼표 [0] 2 5 2 2 5 2 4 2" xfId="30164"/>
    <cellStyle name="쉼표 [0] 2 5 2 2 5 2 5" xfId="19028"/>
    <cellStyle name="쉼표 [0] 2 5 2 2 5 3" xfId="3716"/>
    <cellStyle name="쉼표 [0] 2 5 2 2 5 3 2" xfId="9284"/>
    <cellStyle name="쉼표 [0] 2 5 2 2 5 3 2 2" xfId="25988"/>
    <cellStyle name="쉼표 [0] 2 5 2 2 5 3 3" xfId="14852"/>
    <cellStyle name="쉼표 [0] 2 5 2 2 5 3 3 2" xfId="31556"/>
    <cellStyle name="쉼표 [0] 2 5 2 2 5 3 4" xfId="20420"/>
    <cellStyle name="쉼표 [0] 2 5 2 2 5 4" xfId="6500"/>
    <cellStyle name="쉼표 [0] 2 5 2 2 5 4 2" xfId="23204"/>
    <cellStyle name="쉼표 [0] 2 5 2 2 5 5" xfId="12068"/>
    <cellStyle name="쉼표 [0] 2 5 2 2 5 5 2" xfId="28772"/>
    <cellStyle name="쉼표 [0] 2 5 2 2 5 6" xfId="17636"/>
    <cellStyle name="쉼표 [0] 2 5 2 2 6" xfId="1628"/>
    <cellStyle name="쉼표 [0] 2 5 2 2 6 2" xfId="4412"/>
    <cellStyle name="쉼표 [0] 2 5 2 2 6 2 2" xfId="9980"/>
    <cellStyle name="쉼표 [0] 2 5 2 2 6 2 2 2" xfId="26684"/>
    <cellStyle name="쉼표 [0] 2 5 2 2 6 2 3" xfId="15548"/>
    <cellStyle name="쉼표 [0] 2 5 2 2 6 2 3 2" xfId="32252"/>
    <cellStyle name="쉼표 [0] 2 5 2 2 6 2 4" xfId="21116"/>
    <cellStyle name="쉼표 [0] 2 5 2 2 6 3" xfId="7196"/>
    <cellStyle name="쉼표 [0] 2 5 2 2 6 3 2" xfId="23900"/>
    <cellStyle name="쉼표 [0] 2 5 2 2 6 4" xfId="12764"/>
    <cellStyle name="쉼표 [0] 2 5 2 2 6 4 2" xfId="29468"/>
    <cellStyle name="쉼표 [0] 2 5 2 2 6 5" xfId="18332"/>
    <cellStyle name="쉼표 [0] 2 5 2 2 7" xfId="3020"/>
    <cellStyle name="쉼표 [0] 2 5 2 2 7 2" xfId="8588"/>
    <cellStyle name="쉼표 [0] 2 5 2 2 7 2 2" xfId="25292"/>
    <cellStyle name="쉼표 [0] 2 5 2 2 7 3" xfId="14156"/>
    <cellStyle name="쉼표 [0] 2 5 2 2 7 3 2" xfId="30860"/>
    <cellStyle name="쉼표 [0] 2 5 2 2 7 4" xfId="19724"/>
    <cellStyle name="쉼표 [0] 2 5 2 2 8" xfId="5804"/>
    <cellStyle name="쉼표 [0] 2 5 2 2 8 2" xfId="22508"/>
    <cellStyle name="쉼표 [0] 2 5 2 2 9" xfId="11372"/>
    <cellStyle name="쉼표 [0] 2 5 2 2 9 2" xfId="28076"/>
    <cellStyle name="쉼표 [0] 2 5 2 3" xfId="294"/>
    <cellStyle name="쉼표 [0] 2 5 2 3 2" xfId="526"/>
    <cellStyle name="쉼표 [0] 2 5 2 3 2 2" xfId="1222"/>
    <cellStyle name="쉼표 [0] 2 5 2 3 2 2 2" xfId="2614"/>
    <cellStyle name="쉼표 [0] 2 5 2 3 2 2 2 2" xfId="5398"/>
    <cellStyle name="쉼표 [0] 2 5 2 3 2 2 2 2 2" xfId="10966"/>
    <cellStyle name="쉼표 [0] 2 5 2 3 2 2 2 2 2 2" xfId="27670"/>
    <cellStyle name="쉼표 [0] 2 5 2 3 2 2 2 2 3" xfId="16534"/>
    <cellStyle name="쉼표 [0] 2 5 2 3 2 2 2 2 3 2" xfId="33238"/>
    <cellStyle name="쉼표 [0] 2 5 2 3 2 2 2 2 4" xfId="22102"/>
    <cellStyle name="쉼표 [0] 2 5 2 3 2 2 2 3" xfId="8182"/>
    <cellStyle name="쉼표 [0] 2 5 2 3 2 2 2 3 2" xfId="24886"/>
    <cellStyle name="쉼표 [0] 2 5 2 3 2 2 2 4" xfId="13750"/>
    <cellStyle name="쉼표 [0] 2 5 2 3 2 2 2 4 2" xfId="30454"/>
    <cellStyle name="쉼표 [0] 2 5 2 3 2 2 2 5" xfId="19318"/>
    <cellStyle name="쉼표 [0] 2 5 2 3 2 2 3" xfId="4006"/>
    <cellStyle name="쉼표 [0] 2 5 2 3 2 2 3 2" xfId="9574"/>
    <cellStyle name="쉼표 [0] 2 5 2 3 2 2 3 2 2" xfId="26278"/>
    <cellStyle name="쉼표 [0] 2 5 2 3 2 2 3 3" xfId="15142"/>
    <cellStyle name="쉼표 [0] 2 5 2 3 2 2 3 3 2" xfId="31846"/>
    <cellStyle name="쉼표 [0] 2 5 2 3 2 2 3 4" xfId="20710"/>
    <cellStyle name="쉼표 [0] 2 5 2 3 2 2 4" xfId="6790"/>
    <cellStyle name="쉼표 [0] 2 5 2 3 2 2 4 2" xfId="23494"/>
    <cellStyle name="쉼표 [0] 2 5 2 3 2 2 5" xfId="12358"/>
    <cellStyle name="쉼표 [0] 2 5 2 3 2 2 5 2" xfId="29062"/>
    <cellStyle name="쉼표 [0] 2 5 2 3 2 2 6" xfId="17926"/>
    <cellStyle name="쉼표 [0] 2 5 2 3 2 3" xfId="1918"/>
    <cellStyle name="쉼표 [0] 2 5 2 3 2 3 2" xfId="4702"/>
    <cellStyle name="쉼표 [0] 2 5 2 3 2 3 2 2" xfId="10270"/>
    <cellStyle name="쉼표 [0] 2 5 2 3 2 3 2 2 2" xfId="26974"/>
    <cellStyle name="쉼표 [0] 2 5 2 3 2 3 2 3" xfId="15838"/>
    <cellStyle name="쉼표 [0] 2 5 2 3 2 3 2 3 2" xfId="32542"/>
    <cellStyle name="쉼표 [0] 2 5 2 3 2 3 2 4" xfId="21406"/>
    <cellStyle name="쉼표 [0] 2 5 2 3 2 3 3" xfId="7486"/>
    <cellStyle name="쉼표 [0] 2 5 2 3 2 3 3 2" xfId="24190"/>
    <cellStyle name="쉼표 [0] 2 5 2 3 2 3 4" xfId="13054"/>
    <cellStyle name="쉼표 [0] 2 5 2 3 2 3 4 2" xfId="29758"/>
    <cellStyle name="쉼표 [0] 2 5 2 3 2 3 5" xfId="18622"/>
    <cellStyle name="쉼표 [0] 2 5 2 3 2 4" xfId="3310"/>
    <cellStyle name="쉼표 [0] 2 5 2 3 2 4 2" xfId="8878"/>
    <cellStyle name="쉼표 [0] 2 5 2 3 2 4 2 2" xfId="25582"/>
    <cellStyle name="쉼표 [0] 2 5 2 3 2 4 3" xfId="14446"/>
    <cellStyle name="쉼표 [0] 2 5 2 3 2 4 3 2" xfId="31150"/>
    <cellStyle name="쉼표 [0] 2 5 2 3 2 4 4" xfId="20014"/>
    <cellStyle name="쉼표 [0] 2 5 2 3 2 5" xfId="6094"/>
    <cellStyle name="쉼표 [0] 2 5 2 3 2 5 2" xfId="22798"/>
    <cellStyle name="쉼표 [0] 2 5 2 3 2 6" xfId="11662"/>
    <cellStyle name="쉼표 [0] 2 5 2 3 2 6 2" xfId="28366"/>
    <cellStyle name="쉼표 [0] 2 5 2 3 2 7" xfId="17230"/>
    <cellStyle name="쉼표 [0] 2 5 2 3 3" xfId="758"/>
    <cellStyle name="쉼표 [0] 2 5 2 3 3 2" xfId="1454"/>
    <cellStyle name="쉼표 [0] 2 5 2 3 3 2 2" xfId="2846"/>
    <cellStyle name="쉼표 [0] 2 5 2 3 3 2 2 2" xfId="5630"/>
    <cellStyle name="쉼표 [0] 2 5 2 3 3 2 2 2 2" xfId="11198"/>
    <cellStyle name="쉼표 [0] 2 5 2 3 3 2 2 2 2 2" xfId="27902"/>
    <cellStyle name="쉼표 [0] 2 5 2 3 3 2 2 2 3" xfId="16766"/>
    <cellStyle name="쉼표 [0] 2 5 2 3 3 2 2 2 3 2" xfId="33470"/>
    <cellStyle name="쉼표 [0] 2 5 2 3 3 2 2 2 4" xfId="22334"/>
    <cellStyle name="쉼표 [0] 2 5 2 3 3 2 2 3" xfId="8414"/>
    <cellStyle name="쉼표 [0] 2 5 2 3 3 2 2 3 2" xfId="25118"/>
    <cellStyle name="쉼표 [0] 2 5 2 3 3 2 2 4" xfId="13982"/>
    <cellStyle name="쉼표 [0] 2 5 2 3 3 2 2 4 2" xfId="30686"/>
    <cellStyle name="쉼표 [0] 2 5 2 3 3 2 2 5" xfId="19550"/>
    <cellStyle name="쉼표 [0] 2 5 2 3 3 2 3" xfId="4238"/>
    <cellStyle name="쉼표 [0] 2 5 2 3 3 2 3 2" xfId="9806"/>
    <cellStyle name="쉼표 [0] 2 5 2 3 3 2 3 2 2" xfId="26510"/>
    <cellStyle name="쉼표 [0] 2 5 2 3 3 2 3 3" xfId="15374"/>
    <cellStyle name="쉼표 [0] 2 5 2 3 3 2 3 3 2" xfId="32078"/>
    <cellStyle name="쉼표 [0] 2 5 2 3 3 2 3 4" xfId="20942"/>
    <cellStyle name="쉼표 [0] 2 5 2 3 3 2 4" xfId="7022"/>
    <cellStyle name="쉼표 [0] 2 5 2 3 3 2 4 2" xfId="23726"/>
    <cellStyle name="쉼표 [0] 2 5 2 3 3 2 5" xfId="12590"/>
    <cellStyle name="쉼표 [0] 2 5 2 3 3 2 5 2" xfId="29294"/>
    <cellStyle name="쉼표 [0] 2 5 2 3 3 2 6" xfId="18158"/>
    <cellStyle name="쉼표 [0] 2 5 2 3 3 3" xfId="2150"/>
    <cellStyle name="쉼표 [0] 2 5 2 3 3 3 2" xfId="4934"/>
    <cellStyle name="쉼표 [0] 2 5 2 3 3 3 2 2" xfId="10502"/>
    <cellStyle name="쉼표 [0] 2 5 2 3 3 3 2 2 2" xfId="27206"/>
    <cellStyle name="쉼표 [0] 2 5 2 3 3 3 2 3" xfId="16070"/>
    <cellStyle name="쉼표 [0] 2 5 2 3 3 3 2 3 2" xfId="32774"/>
    <cellStyle name="쉼표 [0] 2 5 2 3 3 3 2 4" xfId="21638"/>
    <cellStyle name="쉼표 [0] 2 5 2 3 3 3 3" xfId="7718"/>
    <cellStyle name="쉼표 [0] 2 5 2 3 3 3 3 2" xfId="24422"/>
    <cellStyle name="쉼표 [0] 2 5 2 3 3 3 4" xfId="13286"/>
    <cellStyle name="쉼표 [0] 2 5 2 3 3 3 4 2" xfId="29990"/>
    <cellStyle name="쉼표 [0] 2 5 2 3 3 3 5" xfId="18854"/>
    <cellStyle name="쉼표 [0] 2 5 2 3 3 4" xfId="3542"/>
    <cellStyle name="쉼표 [0] 2 5 2 3 3 4 2" xfId="9110"/>
    <cellStyle name="쉼표 [0] 2 5 2 3 3 4 2 2" xfId="25814"/>
    <cellStyle name="쉼표 [0] 2 5 2 3 3 4 3" xfId="14678"/>
    <cellStyle name="쉼표 [0] 2 5 2 3 3 4 3 2" xfId="31382"/>
    <cellStyle name="쉼표 [0] 2 5 2 3 3 4 4" xfId="20246"/>
    <cellStyle name="쉼표 [0] 2 5 2 3 3 5" xfId="6326"/>
    <cellStyle name="쉼표 [0] 2 5 2 3 3 5 2" xfId="23030"/>
    <cellStyle name="쉼표 [0] 2 5 2 3 3 6" xfId="11894"/>
    <cellStyle name="쉼표 [0] 2 5 2 3 3 6 2" xfId="28598"/>
    <cellStyle name="쉼표 [0] 2 5 2 3 3 7" xfId="17462"/>
    <cellStyle name="쉼표 [0] 2 5 2 3 4" xfId="990"/>
    <cellStyle name="쉼표 [0] 2 5 2 3 4 2" xfId="2382"/>
    <cellStyle name="쉼표 [0] 2 5 2 3 4 2 2" xfId="5166"/>
    <cellStyle name="쉼표 [0] 2 5 2 3 4 2 2 2" xfId="10734"/>
    <cellStyle name="쉼표 [0] 2 5 2 3 4 2 2 2 2" xfId="27438"/>
    <cellStyle name="쉼표 [0] 2 5 2 3 4 2 2 3" xfId="16302"/>
    <cellStyle name="쉼표 [0] 2 5 2 3 4 2 2 3 2" xfId="33006"/>
    <cellStyle name="쉼표 [0] 2 5 2 3 4 2 2 4" xfId="21870"/>
    <cellStyle name="쉼표 [0] 2 5 2 3 4 2 3" xfId="7950"/>
    <cellStyle name="쉼표 [0] 2 5 2 3 4 2 3 2" xfId="24654"/>
    <cellStyle name="쉼표 [0] 2 5 2 3 4 2 4" xfId="13518"/>
    <cellStyle name="쉼표 [0] 2 5 2 3 4 2 4 2" xfId="30222"/>
    <cellStyle name="쉼표 [0] 2 5 2 3 4 2 5" xfId="19086"/>
    <cellStyle name="쉼표 [0] 2 5 2 3 4 3" xfId="3774"/>
    <cellStyle name="쉼표 [0] 2 5 2 3 4 3 2" xfId="9342"/>
    <cellStyle name="쉼표 [0] 2 5 2 3 4 3 2 2" xfId="26046"/>
    <cellStyle name="쉼표 [0] 2 5 2 3 4 3 3" xfId="14910"/>
    <cellStyle name="쉼표 [0] 2 5 2 3 4 3 3 2" xfId="31614"/>
    <cellStyle name="쉼표 [0] 2 5 2 3 4 3 4" xfId="20478"/>
    <cellStyle name="쉼표 [0] 2 5 2 3 4 4" xfId="6558"/>
    <cellStyle name="쉼표 [0] 2 5 2 3 4 4 2" xfId="23262"/>
    <cellStyle name="쉼표 [0] 2 5 2 3 4 5" xfId="12126"/>
    <cellStyle name="쉼표 [0] 2 5 2 3 4 5 2" xfId="28830"/>
    <cellStyle name="쉼표 [0] 2 5 2 3 4 6" xfId="17694"/>
    <cellStyle name="쉼표 [0] 2 5 2 3 5" xfId="1686"/>
    <cellStyle name="쉼표 [0] 2 5 2 3 5 2" xfId="4470"/>
    <cellStyle name="쉼표 [0] 2 5 2 3 5 2 2" xfId="10038"/>
    <cellStyle name="쉼표 [0] 2 5 2 3 5 2 2 2" xfId="26742"/>
    <cellStyle name="쉼표 [0] 2 5 2 3 5 2 3" xfId="15606"/>
    <cellStyle name="쉼표 [0] 2 5 2 3 5 2 3 2" xfId="32310"/>
    <cellStyle name="쉼표 [0] 2 5 2 3 5 2 4" xfId="21174"/>
    <cellStyle name="쉼표 [0] 2 5 2 3 5 3" xfId="7254"/>
    <cellStyle name="쉼표 [0] 2 5 2 3 5 3 2" xfId="23958"/>
    <cellStyle name="쉼표 [0] 2 5 2 3 5 4" xfId="12822"/>
    <cellStyle name="쉼표 [0] 2 5 2 3 5 4 2" xfId="29526"/>
    <cellStyle name="쉼표 [0] 2 5 2 3 5 5" xfId="18390"/>
    <cellStyle name="쉼표 [0] 2 5 2 3 6" xfId="3078"/>
    <cellStyle name="쉼표 [0] 2 5 2 3 6 2" xfId="8646"/>
    <cellStyle name="쉼표 [0] 2 5 2 3 6 2 2" xfId="25350"/>
    <cellStyle name="쉼표 [0] 2 5 2 3 6 3" xfId="14214"/>
    <cellStyle name="쉼표 [0] 2 5 2 3 6 3 2" xfId="30918"/>
    <cellStyle name="쉼표 [0] 2 5 2 3 6 4" xfId="19782"/>
    <cellStyle name="쉼표 [0] 2 5 2 3 7" xfId="5862"/>
    <cellStyle name="쉼표 [0] 2 5 2 3 7 2" xfId="22566"/>
    <cellStyle name="쉼표 [0] 2 5 2 3 8" xfId="11430"/>
    <cellStyle name="쉼표 [0] 2 5 2 3 8 2" xfId="28134"/>
    <cellStyle name="쉼표 [0] 2 5 2 3 9" xfId="16998"/>
    <cellStyle name="쉼표 [0] 2 5 2 4" xfId="410"/>
    <cellStyle name="쉼표 [0] 2 5 2 4 2" xfId="1106"/>
    <cellStyle name="쉼표 [0] 2 5 2 4 2 2" xfId="2498"/>
    <cellStyle name="쉼표 [0] 2 5 2 4 2 2 2" xfId="5282"/>
    <cellStyle name="쉼표 [0] 2 5 2 4 2 2 2 2" xfId="10850"/>
    <cellStyle name="쉼표 [0] 2 5 2 4 2 2 2 2 2" xfId="27554"/>
    <cellStyle name="쉼표 [0] 2 5 2 4 2 2 2 3" xfId="16418"/>
    <cellStyle name="쉼표 [0] 2 5 2 4 2 2 2 3 2" xfId="33122"/>
    <cellStyle name="쉼표 [0] 2 5 2 4 2 2 2 4" xfId="21986"/>
    <cellStyle name="쉼표 [0] 2 5 2 4 2 2 3" xfId="8066"/>
    <cellStyle name="쉼표 [0] 2 5 2 4 2 2 3 2" xfId="24770"/>
    <cellStyle name="쉼표 [0] 2 5 2 4 2 2 4" xfId="13634"/>
    <cellStyle name="쉼표 [0] 2 5 2 4 2 2 4 2" xfId="30338"/>
    <cellStyle name="쉼표 [0] 2 5 2 4 2 2 5" xfId="19202"/>
    <cellStyle name="쉼표 [0] 2 5 2 4 2 3" xfId="3890"/>
    <cellStyle name="쉼표 [0] 2 5 2 4 2 3 2" xfId="9458"/>
    <cellStyle name="쉼표 [0] 2 5 2 4 2 3 2 2" xfId="26162"/>
    <cellStyle name="쉼표 [0] 2 5 2 4 2 3 3" xfId="15026"/>
    <cellStyle name="쉼표 [0] 2 5 2 4 2 3 3 2" xfId="31730"/>
    <cellStyle name="쉼표 [0] 2 5 2 4 2 3 4" xfId="20594"/>
    <cellStyle name="쉼표 [0] 2 5 2 4 2 4" xfId="6674"/>
    <cellStyle name="쉼표 [0] 2 5 2 4 2 4 2" xfId="23378"/>
    <cellStyle name="쉼표 [0] 2 5 2 4 2 5" xfId="12242"/>
    <cellStyle name="쉼표 [0] 2 5 2 4 2 5 2" xfId="28946"/>
    <cellStyle name="쉼표 [0] 2 5 2 4 2 6" xfId="17810"/>
    <cellStyle name="쉼표 [0] 2 5 2 4 3" xfId="1802"/>
    <cellStyle name="쉼표 [0] 2 5 2 4 3 2" xfId="4586"/>
    <cellStyle name="쉼표 [0] 2 5 2 4 3 2 2" xfId="10154"/>
    <cellStyle name="쉼표 [0] 2 5 2 4 3 2 2 2" xfId="26858"/>
    <cellStyle name="쉼표 [0] 2 5 2 4 3 2 3" xfId="15722"/>
    <cellStyle name="쉼표 [0] 2 5 2 4 3 2 3 2" xfId="32426"/>
    <cellStyle name="쉼표 [0] 2 5 2 4 3 2 4" xfId="21290"/>
    <cellStyle name="쉼표 [0] 2 5 2 4 3 3" xfId="7370"/>
    <cellStyle name="쉼표 [0] 2 5 2 4 3 3 2" xfId="24074"/>
    <cellStyle name="쉼표 [0] 2 5 2 4 3 4" xfId="12938"/>
    <cellStyle name="쉼표 [0] 2 5 2 4 3 4 2" xfId="29642"/>
    <cellStyle name="쉼표 [0] 2 5 2 4 3 5" xfId="18506"/>
    <cellStyle name="쉼표 [0] 2 5 2 4 4" xfId="3194"/>
    <cellStyle name="쉼표 [0] 2 5 2 4 4 2" xfId="8762"/>
    <cellStyle name="쉼표 [0] 2 5 2 4 4 2 2" xfId="25466"/>
    <cellStyle name="쉼표 [0] 2 5 2 4 4 3" xfId="14330"/>
    <cellStyle name="쉼표 [0] 2 5 2 4 4 3 2" xfId="31034"/>
    <cellStyle name="쉼표 [0] 2 5 2 4 4 4" xfId="19898"/>
    <cellStyle name="쉼표 [0] 2 5 2 4 5" xfId="5978"/>
    <cellStyle name="쉼표 [0] 2 5 2 4 5 2" xfId="22682"/>
    <cellStyle name="쉼표 [0] 2 5 2 4 6" xfId="11546"/>
    <cellStyle name="쉼표 [0] 2 5 2 4 6 2" xfId="28250"/>
    <cellStyle name="쉼표 [0] 2 5 2 4 7" xfId="17114"/>
    <cellStyle name="쉼표 [0] 2 5 2 5" xfId="642"/>
    <cellStyle name="쉼표 [0] 2 5 2 5 2" xfId="1338"/>
    <cellStyle name="쉼표 [0] 2 5 2 5 2 2" xfId="2730"/>
    <cellStyle name="쉼표 [0] 2 5 2 5 2 2 2" xfId="5514"/>
    <cellStyle name="쉼표 [0] 2 5 2 5 2 2 2 2" xfId="11082"/>
    <cellStyle name="쉼표 [0] 2 5 2 5 2 2 2 2 2" xfId="27786"/>
    <cellStyle name="쉼표 [0] 2 5 2 5 2 2 2 3" xfId="16650"/>
    <cellStyle name="쉼표 [0] 2 5 2 5 2 2 2 3 2" xfId="33354"/>
    <cellStyle name="쉼표 [0] 2 5 2 5 2 2 2 4" xfId="22218"/>
    <cellStyle name="쉼표 [0] 2 5 2 5 2 2 3" xfId="8298"/>
    <cellStyle name="쉼표 [0] 2 5 2 5 2 2 3 2" xfId="25002"/>
    <cellStyle name="쉼표 [0] 2 5 2 5 2 2 4" xfId="13866"/>
    <cellStyle name="쉼표 [0] 2 5 2 5 2 2 4 2" xfId="30570"/>
    <cellStyle name="쉼표 [0] 2 5 2 5 2 2 5" xfId="19434"/>
    <cellStyle name="쉼표 [0] 2 5 2 5 2 3" xfId="4122"/>
    <cellStyle name="쉼표 [0] 2 5 2 5 2 3 2" xfId="9690"/>
    <cellStyle name="쉼표 [0] 2 5 2 5 2 3 2 2" xfId="26394"/>
    <cellStyle name="쉼표 [0] 2 5 2 5 2 3 3" xfId="15258"/>
    <cellStyle name="쉼표 [0] 2 5 2 5 2 3 3 2" xfId="31962"/>
    <cellStyle name="쉼표 [0] 2 5 2 5 2 3 4" xfId="20826"/>
    <cellStyle name="쉼표 [0] 2 5 2 5 2 4" xfId="6906"/>
    <cellStyle name="쉼표 [0] 2 5 2 5 2 4 2" xfId="23610"/>
    <cellStyle name="쉼표 [0] 2 5 2 5 2 5" xfId="12474"/>
    <cellStyle name="쉼표 [0] 2 5 2 5 2 5 2" xfId="29178"/>
    <cellStyle name="쉼표 [0] 2 5 2 5 2 6" xfId="18042"/>
    <cellStyle name="쉼표 [0] 2 5 2 5 3" xfId="2034"/>
    <cellStyle name="쉼표 [0] 2 5 2 5 3 2" xfId="4818"/>
    <cellStyle name="쉼표 [0] 2 5 2 5 3 2 2" xfId="10386"/>
    <cellStyle name="쉼표 [0] 2 5 2 5 3 2 2 2" xfId="27090"/>
    <cellStyle name="쉼표 [0] 2 5 2 5 3 2 3" xfId="15954"/>
    <cellStyle name="쉼표 [0] 2 5 2 5 3 2 3 2" xfId="32658"/>
    <cellStyle name="쉼표 [0] 2 5 2 5 3 2 4" xfId="21522"/>
    <cellStyle name="쉼표 [0] 2 5 2 5 3 3" xfId="7602"/>
    <cellStyle name="쉼표 [0] 2 5 2 5 3 3 2" xfId="24306"/>
    <cellStyle name="쉼표 [0] 2 5 2 5 3 4" xfId="13170"/>
    <cellStyle name="쉼표 [0] 2 5 2 5 3 4 2" xfId="29874"/>
    <cellStyle name="쉼표 [0] 2 5 2 5 3 5" xfId="18738"/>
    <cellStyle name="쉼표 [0] 2 5 2 5 4" xfId="3426"/>
    <cellStyle name="쉼표 [0] 2 5 2 5 4 2" xfId="8994"/>
    <cellStyle name="쉼표 [0] 2 5 2 5 4 2 2" xfId="25698"/>
    <cellStyle name="쉼표 [0] 2 5 2 5 4 3" xfId="14562"/>
    <cellStyle name="쉼표 [0] 2 5 2 5 4 3 2" xfId="31266"/>
    <cellStyle name="쉼표 [0] 2 5 2 5 4 4" xfId="20130"/>
    <cellStyle name="쉼표 [0] 2 5 2 5 5" xfId="6210"/>
    <cellStyle name="쉼표 [0] 2 5 2 5 5 2" xfId="22914"/>
    <cellStyle name="쉼표 [0] 2 5 2 5 6" xfId="11778"/>
    <cellStyle name="쉼표 [0] 2 5 2 5 6 2" xfId="28482"/>
    <cellStyle name="쉼표 [0] 2 5 2 5 7" xfId="17346"/>
    <cellStyle name="쉼표 [0] 2 5 2 6" xfId="874"/>
    <cellStyle name="쉼표 [0] 2 5 2 6 2" xfId="2266"/>
    <cellStyle name="쉼표 [0] 2 5 2 6 2 2" xfId="5050"/>
    <cellStyle name="쉼표 [0] 2 5 2 6 2 2 2" xfId="10618"/>
    <cellStyle name="쉼표 [0] 2 5 2 6 2 2 2 2" xfId="27322"/>
    <cellStyle name="쉼표 [0] 2 5 2 6 2 2 3" xfId="16186"/>
    <cellStyle name="쉼표 [0] 2 5 2 6 2 2 3 2" xfId="32890"/>
    <cellStyle name="쉼표 [0] 2 5 2 6 2 2 4" xfId="21754"/>
    <cellStyle name="쉼표 [0] 2 5 2 6 2 3" xfId="7834"/>
    <cellStyle name="쉼표 [0] 2 5 2 6 2 3 2" xfId="24538"/>
    <cellStyle name="쉼표 [0] 2 5 2 6 2 4" xfId="13402"/>
    <cellStyle name="쉼표 [0] 2 5 2 6 2 4 2" xfId="30106"/>
    <cellStyle name="쉼표 [0] 2 5 2 6 2 5" xfId="18970"/>
    <cellStyle name="쉼표 [0] 2 5 2 6 3" xfId="3658"/>
    <cellStyle name="쉼표 [0] 2 5 2 6 3 2" xfId="9226"/>
    <cellStyle name="쉼표 [0] 2 5 2 6 3 2 2" xfId="25930"/>
    <cellStyle name="쉼표 [0] 2 5 2 6 3 3" xfId="14794"/>
    <cellStyle name="쉼표 [0] 2 5 2 6 3 3 2" xfId="31498"/>
    <cellStyle name="쉼표 [0] 2 5 2 6 3 4" xfId="20362"/>
    <cellStyle name="쉼표 [0] 2 5 2 6 4" xfId="6442"/>
    <cellStyle name="쉼표 [0] 2 5 2 6 4 2" xfId="23146"/>
    <cellStyle name="쉼표 [0] 2 5 2 6 5" xfId="12010"/>
    <cellStyle name="쉼표 [0] 2 5 2 6 5 2" xfId="28714"/>
    <cellStyle name="쉼표 [0] 2 5 2 6 6" xfId="17578"/>
    <cellStyle name="쉼표 [0] 2 5 2 7" xfId="1570"/>
    <cellStyle name="쉼표 [0] 2 5 2 7 2" xfId="4354"/>
    <cellStyle name="쉼표 [0] 2 5 2 7 2 2" xfId="9922"/>
    <cellStyle name="쉼표 [0] 2 5 2 7 2 2 2" xfId="26626"/>
    <cellStyle name="쉼표 [0] 2 5 2 7 2 3" xfId="15490"/>
    <cellStyle name="쉼표 [0] 2 5 2 7 2 3 2" xfId="32194"/>
    <cellStyle name="쉼표 [0] 2 5 2 7 2 4" xfId="21058"/>
    <cellStyle name="쉼표 [0] 2 5 2 7 3" xfId="7138"/>
    <cellStyle name="쉼표 [0] 2 5 2 7 3 2" xfId="23842"/>
    <cellStyle name="쉼표 [0] 2 5 2 7 4" xfId="12706"/>
    <cellStyle name="쉼표 [0] 2 5 2 7 4 2" xfId="29410"/>
    <cellStyle name="쉼표 [0] 2 5 2 7 5" xfId="18274"/>
    <cellStyle name="쉼표 [0] 2 5 2 8" xfId="2962"/>
    <cellStyle name="쉼표 [0] 2 5 2 8 2" xfId="8530"/>
    <cellStyle name="쉼표 [0] 2 5 2 8 2 2" xfId="25234"/>
    <cellStyle name="쉼표 [0] 2 5 2 8 3" xfId="14098"/>
    <cellStyle name="쉼표 [0] 2 5 2 8 3 2" xfId="30802"/>
    <cellStyle name="쉼표 [0] 2 5 2 8 4" xfId="19666"/>
    <cellStyle name="쉼표 [0] 2 5 2 9" xfId="5746"/>
    <cellStyle name="쉼표 [0] 2 5 2 9 2" xfId="22450"/>
    <cellStyle name="쉼표 [0] 2 5 3" xfId="207"/>
    <cellStyle name="쉼표 [0] 2 5 3 10" xfId="16911"/>
    <cellStyle name="쉼표 [0] 2 5 3 2" xfId="323"/>
    <cellStyle name="쉼표 [0] 2 5 3 2 2" xfId="555"/>
    <cellStyle name="쉼표 [0] 2 5 3 2 2 2" xfId="1251"/>
    <cellStyle name="쉼표 [0] 2 5 3 2 2 2 2" xfId="2643"/>
    <cellStyle name="쉼표 [0] 2 5 3 2 2 2 2 2" xfId="5427"/>
    <cellStyle name="쉼표 [0] 2 5 3 2 2 2 2 2 2" xfId="10995"/>
    <cellStyle name="쉼표 [0] 2 5 3 2 2 2 2 2 2 2" xfId="27699"/>
    <cellStyle name="쉼표 [0] 2 5 3 2 2 2 2 2 3" xfId="16563"/>
    <cellStyle name="쉼표 [0] 2 5 3 2 2 2 2 2 3 2" xfId="33267"/>
    <cellStyle name="쉼표 [0] 2 5 3 2 2 2 2 2 4" xfId="22131"/>
    <cellStyle name="쉼표 [0] 2 5 3 2 2 2 2 3" xfId="8211"/>
    <cellStyle name="쉼표 [0] 2 5 3 2 2 2 2 3 2" xfId="24915"/>
    <cellStyle name="쉼표 [0] 2 5 3 2 2 2 2 4" xfId="13779"/>
    <cellStyle name="쉼표 [0] 2 5 3 2 2 2 2 4 2" xfId="30483"/>
    <cellStyle name="쉼표 [0] 2 5 3 2 2 2 2 5" xfId="19347"/>
    <cellStyle name="쉼표 [0] 2 5 3 2 2 2 3" xfId="4035"/>
    <cellStyle name="쉼표 [0] 2 5 3 2 2 2 3 2" xfId="9603"/>
    <cellStyle name="쉼표 [0] 2 5 3 2 2 2 3 2 2" xfId="26307"/>
    <cellStyle name="쉼표 [0] 2 5 3 2 2 2 3 3" xfId="15171"/>
    <cellStyle name="쉼표 [0] 2 5 3 2 2 2 3 3 2" xfId="31875"/>
    <cellStyle name="쉼표 [0] 2 5 3 2 2 2 3 4" xfId="20739"/>
    <cellStyle name="쉼표 [0] 2 5 3 2 2 2 4" xfId="6819"/>
    <cellStyle name="쉼표 [0] 2 5 3 2 2 2 4 2" xfId="23523"/>
    <cellStyle name="쉼표 [0] 2 5 3 2 2 2 5" xfId="12387"/>
    <cellStyle name="쉼표 [0] 2 5 3 2 2 2 5 2" xfId="29091"/>
    <cellStyle name="쉼표 [0] 2 5 3 2 2 2 6" xfId="17955"/>
    <cellStyle name="쉼표 [0] 2 5 3 2 2 3" xfId="1947"/>
    <cellStyle name="쉼표 [0] 2 5 3 2 2 3 2" xfId="4731"/>
    <cellStyle name="쉼표 [0] 2 5 3 2 2 3 2 2" xfId="10299"/>
    <cellStyle name="쉼표 [0] 2 5 3 2 2 3 2 2 2" xfId="27003"/>
    <cellStyle name="쉼표 [0] 2 5 3 2 2 3 2 3" xfId="15867"/>
    <cellStyle name="쉼표 [0] 2 5 3 2 2 3 2 3 2" xfId="32571"/>
    <cellStyle name="쉼표 [0] 2 5 3 2 2 3 2 4" xfId="21435"/>
    <cellStyle name="쉼표 [0] 2 5 3 2 2 3 3" xfId="7515"/>
    <cellStyle name="쉼표 [0] 2 5 3 2 2 3 3 2" xfId="24219"/>
    <cellStyle name="쉼표 [0] 2 5 3 2 2 3 4" xfId="13083"/>
    <cellStyle name="쉼표 [0] 2 5 3 2 2 3 4 2" xfId="29787"/>
    <cellStyle name="쉼표 [0] 2 5 3 2 2 3 5" xfId="18651"/>
    <cellStyle name="쉼표 [0] 2 5 3 2 2 4" xfId="3339"/>
    <cellStyle name="쉼표 [0] 2 5 3 2 2 4 2" xfId="8907"/>
    <cellStyle name="쉼표 [0] 2 5 3 2 2 4 2 2" xfId="25611"/>
    <cellStyle name="쉼표 [0] 2 5 3 2 2 4 3" xfId="14475"/>
    <cellStyle name="쉼표 [0] 2 5 3 2 2 4 3 2" xfId="31179"/>
    <cellStyle name="쉼표 [0] 2 5 3 2 2 4 4" xfId="20043"/>
    <cellStyle name="쉼표 [0] 2 5 3 2 2 5" xfId="6123"/>
    <cellStyle name="쉼표 [0] 2 5 3 2 2 5 2" xfId="22827"/>
    <cellStyle name="쉼표 [0] 2 5 3 2 2 6" xfId="11691"/>
    <cellStyle name="쉼표 [0] 2 5 3 2 2 6 2" xfId="28395"/>
    <cellStyle name="쉼표 [0] 2 5 3 2 2 7" xfId="17259"/>
    <cellStyle name="쉼표 [0] 2 5 3 2 3" xfId="787"/>
    <cellStyle name="쉼표 [0] 2 5 3 2 3 2" xfId="1483"/>
    <cellStyle name="쉼표 [0] 2 5 3 2 3 2 2" xfId="2875"/>
    <cellStyle name="쉼표 [0] 2 5 3 2 3 2 2 2" xfId="5659"/>
    <cellStyle name="쉼표 [0] 2 5 3 2 3 2 2 2 2" xfId="11227"/>
    <cellStyle name="쉼표 [0] 2 5 3 2 3 2 2 2 2 2" xfId="27931"/>
    <cellStyle name="쉼표 [0] 2 5 3 2 3 2 2 2 3" xfId="16795"/>
    <cellStyle name="쉼표 [0] 2 5 3 2 3 2 2 2 3 2" xfId="33499"/>
    <cellStyle name="쉼표 [0] 2 5 3 2 3 2 2 2 4" xfId="22363"/>
    <cellStyle name="쉼표 [0] 2 5 3 2 3 2 2 3" xfId="8443"/>
    <cellStyle name="쉼표 [0] 2 5 3 2 3 2 2 3 2" xfId="25147"/>
    <cellStyle name="쉼표 [0] 2 5 3 2 3 2 2 4" xfId="14011"/>
    <cellStyle name="쉼표 [0] 2 5 3 2 3 2 2 4 2" xfId="30715"/>
    <cellStyle name="쉼표 [0] 2 5 3 2 3 2 2 5" xfId="19579"/>
    <cellStyle name="쉼표 [0] 2 5 3 2 3 2 3" xfId="4267"/>
    <cellStyle name="쉼표 [0] 2 5 3 2 3 2 3 2" xfId="9835"/>
    <cellStyle name="쉼표 [0] 2 5 3 2 3 2 3 2 2" xfId="26539"/>
    <cellStyle name="쉼표 [0] 2 5 3 2 3 2 3 3" xfId="15403"/>
    <cellStyle name="쉼표 [0] 2 5 3 2 3 2 3 3 2" xfId="32107"/>
    <cellStyle name="쉼표 [0] 2 5 3 2 3 2 3 4" xfId="20971"/>
    <cellStyle name="쉼표 [0] 2 5 3 2 3 2 4" xfId="7051"/>
    <cellStyle name="쉼표 [0] 2 5 3 2 3 2 4 2" xfId="23755"/>
    <cellStyle name="쉼표 [0] 2 5 3 2 3 2 5" xfId="12619"/>
    <cellStyle name="쉼표 [0] 2 5 3 2 3 2 5 2" xfId="29323"/>
    <cellStyle name="쉼표 [0] 2 5 3 2 3 2 6" xfId="18187"/>
    <cellStyle name="쉼표 [0] 2 5 3 2 3 3" xfId="2179"/>
    <cellStyle name="쉼표 [0] 2 5 3 2 3 3 2" xfId="4963"/>
    <cellStyle name="쉼표 [0] 2 5 3 2 3 3 2 2" xfId="10531"/>
    <cellStyle name="쉼표 [0] 2 5 3 2 3 3 2 2 2" xfId="27235"/>
    <cellStyle name="쉼표 [0] 2 5 3 2 3 3 2 3" xfId="16099"/>
    <cellStyle name="쉼표 [0] 2 5 3 2 3 3 2 3 2" xfId="32803"/>
    <cellStyle name="쉼표 [0] 2 5 3 2 3 3 2 4" xfId="21667"/>
    <cellStyle name="쉼표 [0] 2 5 3 2 3 3 3" xfId="7747"/>
    <cellStyle name="쉼표 [0] 2 5 3 2 3 3 3 2" xfId="24451"/>
    <cellStyle name="쉼표 [0] 2 5 3 2 3 3 4" xfId="13315"/>
    <cellStyle name="쉼표 [0] 2 5 3 2 3 3 4 2" xfId="30019"/>
    <cellStyle name="쉼표 [0] 2 5 3 2 3 3 5" xfId="18883"/>
    <cellStyle name="쉼표 [0] 2 5 3 2 3 4" xfId="3571"/>
    <cellStyle name="쉼표 [0] 2 5 3 2 3 4 2" xfId="9139"/>
    <cellStyle name="쉼표 [0] 2 5 3 2 3 4 2 2" xfId="25843"/>
    <cellStyle name="쉼표 [0] 2 5 3 2 3 4 3" xfId="14707"/>
    <cellStyle name="쉼표 [0] 2 5 3 2 3 4 3 2" xfId="31411"/>
    <cellStyle name="쉼표 [0] 2 5 3 2 3 4 4" xfId="20275"/>
    <cellStyle name="쉼표 [0] 2 5 3 2 3 5" xfId="6355"/>
    <cellStyle name="쉼표 [0] 2 5 3 2 3 5 2" xfId="23059"/>
    <cellStyle name="쉼표 [0] 2 5 3 2 3 6" xfId="11923"/>
    <cellStyle name="쉼표 [0] 2 5 3 2 3 6 2" xfId="28627"/>
    <cellStyle name="쉼표 [0] 2 5 3 2 3 7" xfId="17491"/>
    <cellStyle name="쉼표 [0] 2 5 3 2 4" xfId="1019"/>
    <cellStyle name="쉼표 [0] 2 5 3 2 4 2" xfId="2411"/>
    <cellStyle name="쉼표 [0] 2 5 3 2 4 2 2" xfId="5195"/>
    <cellStyle name="쉼표 [0] 2 5 3 2 4 2 2 2" xfId="10763"/>
    <cellStyle name="쉼표 [0] 2 5 3 2 4 2 2 2 2" xfId="27467"/>
    <cellStyle name="쉼표 [0] 2 5 3 2 4 2 2 3" xfId="16331"/>
    <cellStyle name="쉼표 [0] 2 5 3 2 4 2 2 3 2" xfId="33035"/>
    <cellStyle name="쉼표 [0] 2 5 3 2 4 2 2 4" xfId="21899"/>
    <cellStyle name="쉼표 [0] 2 5 3 2 4 2 3" xfId="7979"/>
    <cellStyle name="쉼표 [0] 2 5 3 2 4 2 3 2" xfId="24683"/>
    <cellStyle name="쉼표 [0] 2 5 3 2 4 2 4" xfId="13547"/>
    <cellStyle name="쉼표 [0] 2 5 3 2 4 2 4 2" xfId="30251"/>
    <cellStyle name="쉼표 [0] 2 5 3 2 4 2 5" xfId="19115"/>
    <cellStyle name="쉼표 [0] 2 5 3 2 4 3" xfId="3803"/>
    <cellStyle name="쉼표 [0] 2 5 3 2 4 3 2" xfId="9371"/>
    <cellStyle name="쉼표 [0] 2 5 3 2 4 3 2 2" xfId="26075"/>
    <cellStyle name="쉼표 [0] 2 5 3 2 4 3 3" xfId="14939"/>
    <cellStyle name="쉼표 [0] 2 5 3 2 4 3 3 2" xfId="31643"/>
    <cellStyle name="쉼표 [0] 2 5 3 2 4 3 4" xfId="20507"/>
    <cellStyle name="쉼표 [0] 2 5 3 2 4 4" xfId="6587"/>
    <cellStyle name="쉼표 [0] 2 5 3 2 4 4 2" xfId="23291"/>
    <cellStyle name="쉼표 [0] 2 5 3 2 4 5" xfId="12155"/>
    <cellStyle name="쉼표 [0] 2 5 3 2 4 5 2" xfId="28859"/>
    <cellStyle name="쉼표 [0] 2 5 3 2 4 6" xfId="17723"/>
    <cellStyle name="쉼표 [0] 2 5 3 2 5" xfId="1715"/>
    <cellStyle name="쉼표 [0] 2 5 3 2 5 2" xfId="4499"/>
    <cellStyle name="쉼표 [0] 2 5 3 2 5 2 2" xfId="10067"/>
    <cellStyle name="쉼표 [0] 2 5 3 2 5 2 2 2" xfId="26771"/>
    <cellStyle name="쉼표 [0] 2 5 3 2 5 2 3" xfId="15635"/>
    <cellStyle name="쉼표 [0] 2 5 3 2 5 2 3 2" xfId="32339"/>
    <cellStyle name="쉼표 [0] 2 5 3 2 5 2 4" xfId="21203"/>
    <cellStyle name="쉼표 [0] 2 5 3 2 5 3" xfId="7283"/>
    <cellStyle name="쉼표 [0] 2 5 3 2 5 3 2" xfId="23987"/>
    <cellStyle name="쉼표 [0] 2 5 3 2 5 4" xfId="12851"/>
    <cellStyle name="쉼표 [0] 2 5 3 2 5 4 2" xfId="29555"/>
    <cellStyle name="쉼표 [0] 2 5 3 2 5 5" xfId="18419"/>
    <cellStyle name="쉼표 [0] 2 5 3 2 6" xfId="3107"/>
    <cellStyle name="쉼표 [0] 2 5 3 2 6 2" xfId="8675"/>
    <cellStyle name="쉼표 [0] 2 5 3 2 6 2 2" xfId="25379"/>
    <cellStyle name="쉼표 [0] 2 5 3 2 6 3" xfId="14243"/>
    <cellStyle name="쉼표 [0] 2 5 3 2 6 3 2" xfId="30947"/>
    <cellStyle name="쉼표 [0] 2 5 3 2 6 4" xfId="19811"/>
    <cellStyle name="쉼표 [0] 2 5 3 2 7" xfId="5891"/>
    <cellStyle name="쉼표 [0] 2 5 3 2 7 2" xfId="22595"/>
    <cellStyle name="쉼표 [0] 2 5 3 2 8" xfId="11459"/>
    <cellStyle name="쉼표 [0] 2 5 3 2 8 2" xfId="28163"/>
    <cellStyle name="쉼표 [0] 2 5 3 2 9" xfId="17027"/>
    <cellStyle name="쉼표 [0] 2 5 3 3" xfId="439"/>
    <cellStyle name="쉼표 [0] 2 5 3 3 2" xfId="1135"/>
    <cellStyle name="쉼표 [0] 2 5 3 3 2 2" xfId="2527"/>
    <cellStyle name="쉼표 [0] 2 5 3 3 2 2 2" xfId="5311"/>
    <cellStyle name="쉼표 [0] 2 5 3 3 2 2 2 2" xfId="10879"/>
    <cellStyle name="쉼표 [0] 2 5 3 3 2 2 2 2 2" xfId="27583"/>
    <cellStyle name="쉼표 [0] 2 5 3 3 2 2 2 3" xfId="16447"/>
    <cellStyle name="쉼표 [0] 2 5 3 3 2 2 2 3 2" xfId="33151"/>
    <cellStyle name="쉼표 [0] 2 5 3 3 2 2 2 4" xfId="22015"/>
    <cellStyle name="쉼표 [0] 2 5 3 3 2 2 3" xfId="8095"/>
    <cellStyle name="쉼표 [0] 2 5 3 3 2 2 3 2" xfId="24799"/>
    <cellStyle name="쉼표 [0] 2 5 3 3 2 2 4" xfId="13663"/>
    <cellStyle name="쉼표 [0] 2 5 3 3 2 2 4 2" xfId="30367"/>
    <cellStyle name="쉼표 [0] 2 5 3 3 2 2 5" xfId="19231"/>
    <cellStyle name="쉼표 [0] 2 5 3 3 2 3" xfId="3919"/>
    <cellStyle name="쉼표 [0] 2 5 3 3 2 3 2" xfId="9487"/>
    <cellStyle name="쉼표 [0] 2 5 3 3 2 3 2 2" xfId="26191"/>
    <cellStyle name="쉼표 [0] 2 5 3 3 2 3 3" xfId="15055"/>
    <cellStyle name="쉼표 [0] 2 5 3 3 2 3 3 2" xfId="31759"/>
    <cellStyle name="쉼표 [0] 2 5 3 3 2 3 4" xfId="20623"/>
    <cellStyle name="쉼표 [0] 2 5 3 3 2 4" xfId="6703"/>
    <cellStyle name="쉼표 [0] 2 5 3 3 2 4 2" xfId="23407"/>
    <cellStyle name="쉼표 [0] 2 5 3 3 2 5" xfId="12271"/>
    <cellStyle name="쉼표 [0] 2 5 3 3 2 5 2" xfId="28975"/>
    <cellStyle name="쉼표 [0] 2 5 3 3 2 6" xfId="17839"/>
    <cellStyle name="쉼표 [0] 2 5 3 3 3" xfId="1831"/>
    <cellStyle name="쉼표 [0] 2 5 3 3 3 2" xfId="4615"/>
    <cellStyle name="쉼표 [0] 2 5 3 3 3 2 2" xfId="10183"/>
    <cellStyle name="쉼표 [0] 2 5 3 3 3 2 2 2" xfId="26887"/>
    <cellStyle name="쉼표 [0] 2 5 3 3 3 2 3" xfId="15751"/>
    <cellStyle name="쉼표 [0] 2 5 3 3 3 2 3 2" xfId="32455"/>
    <cellStyle name="쉼표 [0] 2 5 3 3 3 2 4" xfId="21319"/>
    <cellStyle name="쉼표 [0] 2 5 3 3 3 3" xfId="7399"/>
    <cellStyle name="쉼표 [0] 2 5 3 3 3 3 2" xfId="24103"/>
    <cellStyle name="쉼표 [0] 2 5 3 3 3 4" xfId="12967"/>
    <cellStyle name="쉼표 [0] 2 5 3 3 3 4 2" xfId="29671"/>
    <cellStyle name="쉼표 [0] 2 5 3 3 3 5" xfId="18535"/>
    <cellStyle name="쉼표 [0] 2 5 3 3 4" xfId="3223"/>
    <cellStyle name="쉼표 [0] 2 5 3 3 4 2" xfId="8791"/>
    <cellStyle name="쉼표 [0] 2 5 3 3 4 2 2" xfId="25495"/>
    <cellStyle name="쉼표 [0] 2 5 3 3 4 3" xfId="14359"/>
    <cellStyle name="쉼표 [0] 2 5 3 3 4 3 2" xfId="31063"/>
    <cellStyle name="쉼표 [0] 2 5 3 3 4 4" xfId="19927"/>
    <cellStyle name="쉼표 [0] 2 5 3 3 5" xfId="6007"/>
    <cellStyle name="쉼표 [0] 2 5 3 3 5 2" xfId="22711"/>
    <cellStyle name="쉼표 [0] 2 5 3 3 6" xfId="11575"/>
    <cellStyle name="쉼표 [0] 2 5 3 3 6 2" xfId="28279"/>
    <cellStyle name="쉼표 [0] 2 5 3 3 7" xfId="17143"/>
    <cellStyle name="쉼표 [0] 2 5 3 4" xfId="671"/>
    <cellStyle name="쉼표 [0] 2 5 3 4 2" xfId="1367"/>
    <cellStyle name="쉼표 [0] 2 5 3 4 2 2" xfId="2759"/>
    <cellStyle name="쉼표 [0] 2 5 3 4 2 2 2" xfId="5543"/>
    <cellStyle name="쉼표 [0] 2 5 3 4 2 2 2 2" xfId="11111"/>
    <cellStyle name="쉼표 [0] 2 5 3 4 2 2 2 2 2" xfId="27815"/>
    <cellStyle name="쉼표 [0] 2 5 3 4 2 2 2 3" xfId="16679"/>
    <cellStyle name="쉼표 [0] 2 5 3 4 2 2 2 3 2" xfId="33383"/>
    <cellStyle name="쉼표 [0] 2 5 3 4 2 2 2 4" xfId="22247"/>
    <cellStyle name="쉼표 [0] 2 5 3 4 2 2 3" xfId="8327"/>
    <cellStyle name="쉼표 [0] 2 5 3 4 2 2 3 2" xfId="25031"/>
    <cellStyle name="쉼표 [0] 2 5 3 4 2 2 4" xfId="13895"/>
    <cellStyle name="쉼표 [0] 2 5 3 4 2 2 4 2" xfId="30599"/>
    <cellStyle name="쉼표 [0] 2 5 3 4 2 2 5" xfId="19463"/>
    <cellStyle name="쉼표 [0] 2 5 3 4 2 3" xfId="4151"/>
    <cellStyle name="쉼표 [0] 2 5 3 4 2 3 2" xfId="9719"/>
    <cellStyle name="쉼표 [0] 2 5 3 4 2 3 2 2" xfId="26423"/>
    <cellStyle name="쉼표 [0] 2 5 3 4 2 3 3" xfId="15287"/>
    <cellStyle name="쉼표 [0] 2 5 3 4 2 3 3 2" xfId="31991"/>
    <cellStyle name="쉼표 [0] 2 5 3 4 2 3 4" xfId="20855"/>
    <cellStyle name="쉼표 [0] 2 5 3 4 2 4" xfId="6935"/>
    <cellStyle name="쉼표 [0] 2 5 3 4 2 4 2" xfId="23639"/>
    <cellStyle name="쉼표 [0] 2 5 3 4 2 5" xfId="12503"/>
    <cellStyle name="쉼표 [0] 2 5 3 4 2 5 2" xfId="29207"/>
    <cellStyle name="쉼표 [0] 2 5 3 4 2 6" xfId="18071"/>
    <cellStyle name="쉼표 [0] 2 5 3 4 3" xfId="2063"/>
    <cellStyle name="쉼표 [0] 2 5 3 4 3 2" xfId="4847"/>
    <cellStyle name="쉼표 [0] 2 5 3 4 3 2 2" xfId="10415"/>
    <cellStyle name="쉼표 [0] 2 5 3 4 3 2 2 2" xfId="27119"/>
    <cellStyle name="쉼표 [0] 2 5 3 4 3 2 3" xfId="15983"/>
    <cellStyle name="쉼표 [0] 2 5 3 4 3 2 3 2" xfId="32687"/>
    <cellStyle name="쉼표 [0] 2 5 3 4 3 2 4" xfId="21551"/>
    <cellStyle name="쉼표 [0] 2 5 3 4 3 3" xfId="7631"/>
    <cellStyle name="쉼표 [0] 2 5 3 4 3 3 2" xfId="24335"/>
    <cellStyle name="쉼표 [0] 2 5 3 4 3 4" xfId="13199"/>
    <cellStyle name="쉼표 [0] 2 5 3 4 3 4 2" xfId="29903"/>
    <cellStyle name="쉼표 [0] 2 5 3 4 3 5" xfId="18767"/>
    <cellStyle name="쉼표 [0] 2 5 3 4 4" xfId="3455"/>
    <cellStyle name="쉼표 [0] 2 5 3 4 4 2" xfId="9023"/>
    <cellStyle name="쉼표 [0] 2 5 3 4 4 2 2" xfId="25727"/>
    <cellStyle name="쉼표 [0] 2 5 3 4 4 3" xfId="14591"/>
    <cellStyle name="쉼표 [0] 2 5 3 4 4 3 2" xfId="31295"/>
    <cellStyle name="쉼표 [0] 2 5 3 4 4 4" xfId="20159"/>
    <cellStyle name="쉼표 [0] 2 5 3 4 5" xfId="6239"/>
    <cellStyle name="쉼표 [0] 2 5 3 4 5 2" xfId="22943"/>
    <cellStyle name="쉼표 [0] 2 5 3 4 6" xfId="11807"/>
    <cellStyle name="쉼표 [0] 2 5 3 4 6 2" xfId="28511"/>
    <cellStyle name="쉼표 [0] 2 5 3 4 7" xfId="17375"/>
    <cellStyle name="쉼표 [0] 2 5 3 5" xfId="903"/>
    <cellStyle name="쉼표 [0] 2 5 3 5 2" xfId="2295"/>
    <cellStyle name="쉼표 [0] 2 5 3 5 2 2" xfId="5079"/>
    <cellStyle name="쉼표 [0] 2 5 3 5 2 2 2" xfId="10647"/>
    <cellStyle name="쉼표 [0] 2 5 3 5 2 2 2 2" xfId="27351"/>
    <cellStyle name="쉼표 [0] 2 5 3 5 2 2 3" xfId="16215"/>
    <cellStyle name="쉼표 [0] 2 5 3 5 2 2 3 2" xfId="32919"/>
    <cellStyle name="쉼표 [0] 2 5 3 5 2 2 4" xfId="21783"/>
    <cellStyle name="쉼표 [0] 2 5 3 5 2 3" xfId="7863"/>
    <cellStyle name="쉼표 [0] 2 5 3 5 2 3 2" xfId="24567"/>
    <cellStyle name="쉼표 [0] 2 5 3 5 2 4" xfId="13431"/>
    <cellStyle name="쉼표 [0] 2 5 3 5 2 4 2" xfId="30135"/>
    <cellStyle name="쉼표 [0] 2 5 3 5 2 5" xfId="18999"/>
    <cellStyle name="쉼표 [0] 2 5 3 5 3" xfId="3687"/>
    <cellStyle name="쉼표 [0] 2 5 3 5 3 2" xfId="9255"/>
    <cellStyle name="쉼표 [0] 2 5 3 5 3 2 2" xfId="25959"/>
    <cellStyle name="쉼표 [0] 2 5 3 5 3 3" xfId="14823"/>
    <cellStyle name="쉼표 [0] 2 5 3 5 3 3 2" xfId="31527"/>
    <cellStyle name="쉼표 [0] 2 5 3 5 3 4" xfId="20391"/>
    <cellStyle name="쉼표 [0] 2 5 3 5 4" xfId="6471"/>
    <cellStyle name="쉼표 [0] 2 5 3 5 4 2" xfId="23175"/>
    <cellStyle name="쉼표 [0] 2 5 3 5 5" xfId="12039"/>
    <cellStyle name="쉼표 [0] 2 5 3 5 5 2" xfId="28743"/>
    <cellStyle name="쉼표 [0] 2 5 3 5 6" xfId="17607"/>
    <cellStyle name="쉼표 [0] 2 5 3 6" xfId="1599"/>
    <cellStyle name="쉼표 [0] 2 5 3 6 2" xfId="4383"/>
    <cellStyle name="쉼표 [0] 2 5 3 6 2 2" xfId="9951"/>
    <cellStyle name="쉼표 [0] 2 5 3 6 2 2 2" xfId="26655"/>
    <cellStyle name="쉼표 [0] 2 5 3 6 2 3" xfId="15519"/>
    <cellStyle name="쉼표 [0] 2 5 3 6 2 3 2" xfId="32223"/>
    <cellStyle name="쉼표 [0] 2 5 3 6 2 4" xfId="21087"/>
    <cellStyle name="쉼표 [0] 2 5 3 6 3" xfId="7167"/>
    <cellStyle name="쉼표 [0] 2 5 3 6 3 2" xfId="23871"/>
    <cellStyle name="쉼표 [0] 2 5 3 6 4" xfId="12735"/>
    <cellStyle name="쉼표 [0] 2 5 3 6 4 2" xfId="29439"/>
    <cellStyle name="쉼표 [0] 2 5 3 6 5" xfId="18303"/>
    <cellStyle name="쉼표 [0] 2 5 3 7" xfId="2991"/>
    <cellStyle name="쉼표 [0] 2 5 3 7 2" xfId="8559"/>
    <cellStyle name="쉼표 [0] 2 5 3 7 2 2" xfId="25263"/>
    <cellStyle name="쉼표 [0] 2 5 3 7 3" xfId="14127"/>
    <cellStyle name="쉼표 [0] 2 5 3 7 3 2" xfId="30831"/>
    <cellStyle name="쉼표 [0] 2 5 3 7 4" xfId="19695"/>
    <cellStyle name="쉼표 [0] 2 5 3 8" xfId="5775"/>
    <cellStyle name="쉼표 [0] 2 5 3 8 2" xfId="22479"/>
    <cellStyle name="쉼표 [0] 2 5 3 9" xfId="11343"/>
    <cellStyle name="쉼표 [0] 2 5 3 9 2" xfId="28047"/>
    <cellStyle name="쉼표 [0] 2 5 4" xfId="265"/>
    <cellStyle name="쉼표 [0] 2 5 4 2" xfId="497"/>
    <cellStyle name="쉼표 [0] 2 5 4 2 2" xfId="1193"/>
    <cellStyle name="쉼표 [0] 2 5 4 2 2 2" xfId="2585"/>
    <cellStyle name="쉼표 [0] 2 5 4 2 2 2 2" xfId="5369"/>
    <cellStyle name="쉼표 [0] 2 5 4 2 2 2 2 2" xfId="10937"/>
    <cellStyle name="쉼표 [0] 2 5 4 2 2 2 2 2 2" xfId="27641"/>
    <cellStyle name="쉼표 [0] 2 5 4 2 2 2 2 3" xfId="16505"/>
    <cellStyle name="쉼표 [0] 2 5 4 2 2 2 2 3 2" xfId="33209"/>
    <cellStyle name="쉼표 [0] 2 5 4 2 2 2 2 4" xfId="22073"/>
    <cellStyle name="쉼표 [0] 2 5 4 2 2 2 3" xfId="8153"/>
    <cellStyle name="쉼표 [0] 2 5 4 2 2 2 3 2" xfId="24857"/>
    <cellStyle name="쉼표 [0] 2 5 4 2 2 2 4" xfId="13721"/>
    <cellStyle name="쉼표 [0] 2 5 4 2 2 2 4 2" xfId="30425"/>
    <cellStyle name="쉼표 [0] 2 5 4 2 2 2 5" xfId="19289"/>
    <cellStyle name="쉼표 [0] 2 5 4 2 2 3" xfId="3977"/>
    <cellStyle name="쉼표 [0] 2 5 4 2 2 3 2" xfId="9545"/>
    <cellStyle name="쉼표 [0] 2 5 4 2 2 3 2 2" xfId="26249"/>
    <cellStyle name="쉼표 [0] 2 5 4 2 2 3 3" xfId="15113"/>
    <cellStyle name="쉼표 [0] 2 5 4 2 2 3 3 2" xfId="31817"/>
    <cellStyle name="쉼표 [0] 2 5 4 2 2 3 4" xfId="20681"/>
    <cellStyle name="쉼표 [0] 2 5 4 2 2 4" xfId="6761"/>
    <cellStyle name="쉼표 [0] 2 5 4 2 2 4 2" xfId="23465"/>
    <cellStyle name="쉼표 [0] 2 5 4 2 2 5" xfId="12329"/>
    <cellStyle name="쉼표 [0] 2 5 4 2 2 5 2" xfId="29033"/>
    <cellStyle name="쉼표 [0] 2 5 4 2 2 6" xfId="17897"/>
    <cellStyle name="쉼표 [0] 2 5 4 2 3" xfId="1889"/>
    <cellStyle name="쉼표 [0] 2 5 4 2 3 2" xfId="4673"/>
    <cellStyle name="쉼표 [0] 2 5 4 2 3 2 2" xfId="10241"/>
    <cellStyle name="쉼표 [0] 2 5 4 2 3 2 2 2" xfId="26945"/>
    <cellStyle name="쉼표 [0] 2 5 4 2 3 2 3" xfId="15809"/>
    <cellStyle name="쉼표 [0] 2 5 4 2 3 2 3 2" xfId="32513"/>
    <cellStyle name="쉼표 [0] 2 5 4 2 3 2 4" xfId="21377"/>
    <cellStyle name="쉼표 [0] 2 5 4 2 3 3" xfId="7457"/>
    <cellStyle name="쉼표 [0] 2 5 4 2 3 3 2" xfId="24161"/>
    <cellStyle name="쉼표 [0] 2 5 4 2 3 4" xfId="13025"/>
    <cellStyle name="쉼표 [0] 2 5 4 2 3 4 2" xfId="29729"/>
    <cellStyle name="쉼표 [0] 2 5 4 2 3 5" xfId="18593"/>
    <cellStyle name="쉼표 [0] 2 5 4 2 4" xfId="3281"/>
    <cellStyle name="쉼표 [0] 2 5 4 2 4 2" xfId="8849"/>
    <cellStyle name="쉼표 [0] 2 5 4 2 4 2 2" xfId="25553"/>
    <cellStyle name="쉼표 [0] 2 5 4 2 4 3" xfId="14417"/>
    <cellStyle name="쉼표 [0] 2 5 4 2 4 3 2" xfId="31121"/>
    <cellStyle name="쉼표 [0] 2 5 4 2 4 4" xfId="19985"/>
    <cellStyle name="쉼표 [0] 2 5 4 2 5" xfId="6065"/>
    <cellStyle name="쉼표 [0] 2 5 4 2 5 2" xfId="22769"/>
    <cellStyle name="쉼표 [0] 2 5 4 2 6" xfId="11633"/>
    <cellStyle name="쉼표 [0] 2 5 4 2 6 2" xfId="28337"/>
    <cellStyle name="쉼표 [0] 2 5 4 2 7" xfId="17201"/>
    <cellStyle name="쉼표 [0] 2 5 4 3" xfId="729"/>
    <cellStyle name="쉼표 [0] 2 5 4 3 2" xfId="1425"/>
    <cellStyle name="쉼표 [0] 2 5 4 3 2 2" xfId="2817"/>
    <cellStyle name="쉼표 [0] 2 5 4 3 2 2 2" xfId="5601"/>
    <cellStyle name="쉼표 [0] 2 5 4 3 2 2 2 2" xfId="11169"/>
    <cellStyle name="쉼표 [0] 2 5 4 3 2 2 2 2 2" xfId="27873"/>
    <cellStyle name="쉼표 [0] 2 5 4 3 2 2 2 3" xfId="16737"/>
    <cellStyle name="쉼표 [0] 2 5 4 3 2 2 2 3 2" xfId="33441"/>
    <cellStyle name="쉼표 [0] 2 5 4 3 2 2 2 4" xfId="22305"/>
    <cellStyle name="쉼표 [0] 2 5 4 3 2 2 3" xfId="8385"/>
    <cellStyle name="쉼표 [0] 2 5 4 3 2 2 3 2" xfId="25089"/>
    <cellStyle name="쉼표 [0] 2 5 4 3 2 2 4" xfId="13953"/>
    <cellStyle name="쉼표 [0] 2 5 4 3 2 2 4 2" xfId="30657"/>
    <cellStyle name="쉼표 [0] 2 5 4 3 2 2 5" xfId="19521"/>
    <cellStyle name="쉼표 [0] 2 5 4 3 2 3" xfId="4209"/>
    <cellStyle name="쉼표 [0] 2 5 4 3 2 3 2" xfId="9777"/>
    <cellStyle name="쉼표 [0] 2 5 4 3 2 3 2 2" xfId="26481"/>
    <cellStyle name="쉼표 [0] 2 5 4 3 2 3 3" xfId="15345"/>
    <cellStyle name="쉼표 [0] 2 5 4 3 2 3 3 2" xfId="32049"/>
    <cellStyle name="쉼표 [0] 2 5 4 3 2 3 4" xfId="20913"/>
    <cellStyle name="쉼표 [0] 2 5 4 3 2 4" xfId="6993"/>
    <cellStyle name="쉼표 [0] 2 5 4 3 2 4 2" xfId="23697"/>
    <cellStyle name="쉼표 [0] 2 5 4 3 2 5" xfId="12561"/>
    <cellStyle name="쉼표 [0] 2 5 4 3 2 5 2" xfId="29265"/>
    <cellStyle name="쉼표 [0] 2 5 4 3 2 6" xfId="18129"/>
    <cellStyle name="쉼표 [0] 2 5 4 3 3" xfId="2121"/>
    <cellStyle name="쉼표 [0] 2 5 4 3 3 2" xfId="4905"/>
    <cellStyle name="쉼표 [0] 2 5 4 3 3 2 2" xfId="10473"/>
    <cellStyle name="쉼표 [0] 2 5 4 3 3 2 2 2" xfId="27177"/>
    <cellStyle name="쉼표 [0] 2 5 4 3 3 2 3" xfId="16041"/>
    <cellStyle name="쉼표 [0] 2 5 4 3 3 2 3 2" xfId="32745"/>
    <cellStyle name="쉼표 [0] 2 5 4 3 3 2 4" xfId="21609"/>
    <cellStyle name="쉼표 [0] 2 5 4 3 3 3" xfId="7689"/>
    <cellStyle name="쉼표 [0] 2 5 4 3 3 3 2" xfId="24393"/>
    <cellStyle name="쉼표 [0] 2 5 4 3 3 4" xfId="13257"/>
    <cellStyle name="쉼표 [0] 2 5 4 3 3 4 2" xfId="29961"/>
    <cellStyle name="쉼표 [0] 2 5 4 3 3 5" xfId="18825"/>
    <cellStyle name="쉼표 [0] 2 5 4 3 4" xfId="3513"/>
    <cellStyle name="쉼표 [0] 2 5 4 3 4 2" xfId="9081"/>
    <cellStyle name="쉼표 [0] 2 5 4 3 4 2 2" xfId="25785"/>
    <cellStyle name="쉼표 [0] 2 5 4 3 4 3" xfId="14649"/>
    <cellStyle name="쉼표 [0] 2 5 4 3 4 3 2" xfId="31353"/>
    <cellStyle name="쉼표 [0] 2 5 4 3 4 4" xfId="20217"/>
    <cellStyle name="쉼표 [0] 2 5 4 3 5" xfId="6297"/>
    <cellStyle name="쉼표 [0] 2 5 4 3 5 2" xfId="23001"/>
    <cellStyle name="쉼표 [0] 2 5 4 3 6" xfId="11865"/>
    <cellStyle name="쉼표 [0] 2 5 4 3 6 2" xfId="28569"/>
    <cellStyle name="쉼표 [0] 2 5 4 3 7" xfId="17433"/>
    <cellStyle name="쉼표 [0] 2 5 4 4" xfId="961"/>
    <cellStyle name="쉼표 [0] 2 5 4 4 2" xfId="2353"/>
    <cellStyle name="쉼표 [0] 2 5 4 4 2 2" xfId="5137"/>
    <cellStyle name="쉼표 [0] 2 5 4 4 2 2 2" xfId="10705"/>
    <cellStyle name="쉼표 [0] 2 5 4 4 2 2 2 2" xfId="27409"/>
    <cellStyle name="쉼표 [0] 2 5 4 4 2 2 3" xfId="16273"/>
    <cellStyle name="쉼표 [0] 2 5 4 4 2 2 3 2" xfId="32977"/>
    <cellStyle name="쉼표 [0] 2 5 4 4 2 2 4" xfId="21841"/>
    <cellStyle name="쉼표 [0] 2 5 4 4 2 3" xfId="7921"/>
    <cellStyle name="쉼표 [0] 2 5 4 4 2 3 2" xfId="24625"/>
    <cellStyle name="쉼표 [0] 2 5 4 4 2 4" xfId="13489"/>
    <cellStyle name="쉼표 [0] 2 5 4 4 2 4 2" xfId="30193"/>
    <cellStyle name="쉼표 [0] 2 5 4 4 2 5" xfId="19057"/>
    <cellStyle name="쉼표 [0] 2 5 4 4 3" xfId="3745"/>
    <cellStyle name="쉼표 [0] 2 5 4 4 3 2" xfId="9313"/>
    <cellStyle name="쉼표 [0] 2 5 4 4 3 2 2" xfId="26017"/>
    <cellStyle name="쉼표 [0] 2 5 4 4 3 3" xfId="14881"/>
    <cellStyle name="쉼표 [0] 2 5 4 4 3 3 2" xfId="31585"/>
    <cellStyle name="쉼표 [0] 2 5 4 4 3 4" xfId="20449"/>
    <cellStyle name="쉼표 [0] 2 5 4 4 4" xfId="6529"/>
    <cellStyle name="쉼표 [0] 2 5 4 4 4 2" xfId="23233"/>
    <cellStyle name="쉼표 [0] 2 5 4 4 5" xfId="12097"/>
    <cellStyle name="쉼표 [0] 2 5 4 4 5 2" xfId="28801"/>
    <cellStyle name="쉼표 [0] 2 5 4 4 6" xfId="17665"/>
    <cellStyle name="쉼표 [0] 2 5 4 5" xfId="1657"/>
    <cellStyle name="쉼표 [0] 2 5 4 5 2" xfId="4441"/>
    <cellStyle name="쉼표 [0] 2 5 4 5 2 2" xfId="10009"/>
    <cellStyle name="쉼표 [0] 2 5 4 5 2 2 2" xfId="26713"/>
    <cellStyle name="쉼표 [0] 2 5 4 5 2 3" xfId="15577"/>
    <cellStyle name="쉼표 [0] 2 5 4 5 2 3 2" xfId="32281"/>
    <cellStyle name="쉼표 [0] 2 5 4 5 2 4" xfId="21145"/>
    <cellStyle name="쉼표 [0] 2 5 4 5 3" xfId="7225"/>
    <cellStyle name="쉼표 [0] 2 5 4 5 3 2" xfId="23929"/>
    <cellStyle name="쉼표 [0] 2 5 4 5 4" xfId="12793"/>
    <cellStyle name="쉼표 [0] 2 5 4 5 4 2" xfId="29497"/>
    <cellStyle name="쉼표 [0] 2 5 4 5 5" xfId="18361"/>
    <cellStyle name="쉼표 [0] 2 5 4 6" xfId="3049"/>
    <cellStyle name="쉼표 [0] 2 5 4 6 2" xfId="8617"/>
    <cellStyle name="쉼표 [0] 2 5 4 6 2 2" xfId="25321"/>
    <cellStyle name="쉼표 [0] 2 5 4 6 3" xfId="14185"/>
    <cellStyle name="쉼표 [0] 2 5 4 6 3 2" xfId="30889"/>
    <cellStyle name="쉼표 [0] 2 5 4 6 4" xfId="19753"/>
    <cellStyle name="쉼표 [0] 2 5 4 7" xfId="5833"/>
    <cellStyle name="쉼표 [0] 2 5 4 7 2" xfId="22537"/>
    <cellStyle name="쉼표 [0] 2 5 4 8" xfId="11401"/>
    <cellStyle name="쉼표 [0] 2 5 4 8 2" xfId="28105"/>
    <cellStyle name="쉼표 [0] 2 5 4 9" xfId="16969"/>
    <cellStyle name="쉼표 [0] 2 5 5" xfId="381"/>
    <cellStyle name="쉼표 [0] 2 5 5 2" xfId="1077"/>
    <cellStyle name="쉼표 [0] 2 5 5 2 2" xfId="2469"/>
    <cellStyle name="쉼표 [0] 2 5 5 2 2 2" xfId="5253"/>
    <cellStyle name="쉼표 [0] 2 5 5 2 2 2 2" xfId="10821"/>
    <cellStyle name="쉼표 [0] 2 5 5 2 2 2 2 2" xfId="27525"/>
    <cellStyle name="쉼표 [0] 2 5 5 2 2 2 3" xfId="16389"/>
    <cellStyle name="쉼표 [0] 2 5 5 2 2 2 3 2" xfId="33093"/>
    <cellStyle name="쉼표 [0] 2 5 5 2 2 2 4" xfId="21957"/>
    <cellStyle name="쉼표 [0] 2 5 5 2 2 3" xfId="8037"/>
    <cellStyle name="쉼표 [0] 2 5 5 2 2 3 2" xfId="24741"/>
    <cellStyle name="쉼표 [0] 2 5 5 2 2 4" xfId="13605"/>
    <cellStyle name="쉼표 [0] 2 5 5 2 2 4 2" xfId="30309"/>
    <cellStyle name="쉼표 [0] 2 5 5 2 2 5" xfId="19173"/>
    <cellStyle name="쉼표 [0] 2 5 5 2 3" xfId="3861"/>
    <cellStyle name="쉼표 [0] 2 5 5 2 3 2" xfId="9429"/>
    <cellStyle name="쉼표 [0] 2 5 5 2 3 2 2" xfId="26133"/>
    <cellStyle name="쉼표 [0] 2 5 5 2 3 3" xfId="14997"/>
    <cellStyle name="쉼표 [0] 2 5 5 2 3 3 2" xfId="31701"/>
    <cellStyle name="쉼표 [0] 2 5 5 2 3 4" xfId="20565"/>
    <cellStyle name="쉼표 [0] 2 5 5 2 4" xfId="6645"/>
    <cellStyle name="쉼표 [0] 2 5 5 2 4 2" xfId="23349"/>
    <cellStyle name="쉼표 [0] 2 5 5 2 5" xfId="12213"/>
    <cellStyle name="쉼표 [0] 2 5 5 2 5 2" xfId="28917"/>
    <cellStyle name="쉼표 [0] 2 5 5 2 6" xfId="17781"/>
    <cellStyle name="쉼표 [0] 2 5 5 3" xfId="1773"/>
    <cellStyle name="쉼표 [0] 2 5 5 3 2" xfId="4557"/>
    <cellStyle name="쉼표 [0] 2 5 5 3 2 2" xfId="10125"/>
    <cellStyle name="쉼표 [0] 2 5 5 3 2 2 2" xfId="26829"/>
    <cellStyle name="쉼표 [0] 2 5 5 3 2 3" xfId="15693"/>
    <cellStyle name="쉼표 [0] 2 5 5 3 2 3 2" xfId="32397"/>
    <cellStyle name="쉼표 [0] 2 5 5 3 2 4" xfId="21261"/>
    <cellStyle name="쉼표 [0] 2 5 5 3 3" xfId="7341"/>
    <cellStyle name="쉼표 [0] 2 5 5 3 3 2" xfId="24045"/>
    <cellStyle name="쉼표 [0] 2 5 5 3 4" xfId="12909"/>
    <cellStyle name="쉼표 [0] 2 5 5 3 4 2" xfId="29613"/>
    <cellStyle name="쉼표 [0] 2 5 5 3 5" xfId="18477"/>
    <cellStyle name="쉼표 [0] 2 5 5 4" xfId="3165"/>
    <cellStyle name="쉼표 [0] 2 5 5 4 2" xfId="8733"/>
    <cellStyle name="쉼표 [0] 2 5 5 4 2 2" xfId="25437"/>
    <cellStyle name="쉼표 [0] 2 5 5 4 3" xfId="14301"/>
    <cellStyle name="쉼표 [0] 2 5 5 4 3 2" xfId="31005"/>
    <cellStyle name="쉼표 [0] 2 5 5 4 4" xfId="19869"/>
    <cellStyle name="쉼표 [0] 2 5 5 5" xfId="5949"/>
    <cellStyle name="쉼표 [0] 2 5 5 5 2" xfId="22653"/>
    <cellStyle name="쉼표 [0] 2 5 5 6" xfId="11517"/>
    <cellStyle name="쉼표 [0] 2 5 5 6 2" xfId="28221"/>
    <cellStyle name="쉼표 [0] 2 5 5 7" xfId="17085"/>
    <cellStyle name="쉼표 [0] 2 5 6" xfId="613"/>
    <cellStyle name="쉼표 [0] 2 5 6 2" xfId="1309"/>
    <cellStyle name="쉼표 [0] 2 5 6 2 2" xfId="2701"/>
    <cellStyle name="쉼표 [0] 2 5 6 2 2 2" xfId="5485"/>
    <cellStyle name="쉼표 [0] 2 5 6 2 2 2 2" xfId="11053"/>
    <cellStyle name="쉼표 [0] 2 5 6 2 2 2 2 2" xfId="27757"/>
    <cellStyle name="쉼표 [0] 2 5 6 2 2 2 3" xfId="16621"/>
    <cellStyle name="쉼표 [0] 2 5 6 2 2 2 3 2" xfId="33325"/>
    <cellStyle name="쉼표 [0] 2 5 6 2 2 2 4" xfId="22189"/>
    <cellStyle name="쉼표 [0] 2 5 6 2 2 3" xfId="8269"/>
    <cellStyle name="쉼표 [0] 2 5 6 2 2 3 2" xfId="24973"/>
    <cellStyle name="쉼표 [0] 2 5 6 2 2 4" xfId="13837"/>
    <cellStyle name="쉼표 [0] 2 5 6 2 2 4 2" xfId="30541"/>
    <cellStyle name="쉼표 [0] 2 5 6 2 2 5" xfId="19405"/>
    <cellStyle name="쉼표 [0] 2 5 6 2 3" xfId="4093"/>
    <cellStyle name="쉼표 [0] 2 5 6 2 3 2" xfId="9661"/>
    <cellStyle name="쉼표 [0] 2 5 6 2 3 2 2" xfId="26365"/>
    <cellStyle name="쉼표 [0] 2 5 6 2 3 3" xfId="15229"/>
    <cellStyle name="쉼표 [0] 2 5 6 2 3 3 2" xfId="31933"/>
    <cellStyle name="쉼표 [0] 2 5 6 2 3 4" xfId="20797"/>
    <cellStyle name="쉼표 [0] 2 5 6 2 4" xfId="6877"/>
    <cellStyle name="쉼표 [0] 2 5 6 2 4 2" xfId="23581"/>
    <cellStyle name="쉼표 [0] 2 5 6 2 5" xfId="12445"/>
    <cellStyle name="쉼표 [0] 2 5 6 2 5 2" xfId="29149"/>
    <cellStyle name="쉼표 [0] 2 5 6 2 6" xfId="18013"/>
    <cellStyle name="쉼표 [0] 2 5 6 3" xfId="2005"/>
    <cellStyle name="쉼표 [0] 2 5 6 3 2" xfId="4789"/>
    <cellStyle name="쉼표 [0] 2 5 6 3 2 2" xfId="10357"/>
    <cellStyle name="쉼표 [0] 2 5 6 3 2 2 2" xfId="27061"/>
    <cellStyle name="쉼표 [0] 2 5 6 3 2 3" xfId="15925"/>
    <cellStyle name="쉼표 [0] 2 5 6 3 2 3 2" xfId="32629"/>
    <cellStyle name="쉼표 [0] 2 5 6 3 2 4" xfId="21493"/>
    <cellStyle name="쉼표 [0] 2 5 6 3 3" xfId="7573"/>
    <cellStyle name="쉼표 [0] 2 5 6 3 3 2" xfId="24277"/>
    <cellStyle name="쉼표 [0] 2 5 6 3 4" xfId="13141"/>
    <cellStyle name="쉼표 [0] 2 5 6 3 4 2" xfId="29845"/>
    <cellStyle name="쉼표 [0] 2 5 6 3 5" xfId="18709"/>
    <cellStyle name="쉼표 [0] 2 5 6 4" xfId="3397"/>
    <cellStyle name="쉼표 [0] 2 5 6 4 2" xfId="8965"/>
    <cellStyle name="쉼표 [0] 2 5 6 4 2 2" xfId="25669"/>
    <cellStyle name="쉼표 [0] 2 5 6 4 3" xfId="14533"/>
    <cellStyle name="쉼표 [0] 2 5 6 4 3 2" xfId="31237"/>
    <cellStyle name="쉼표 [0] 2 5 6 4 4" xfId="20101"/>
    <cellStyle name="쉼표 [0] 2 5 6 5" xfId="6181"/>
    <cellStyle name="쉼표 [0] 2 5 6 5 2" xfId="22885"/>
    <cellStyle name="쉼표 [0] 2 5 6 6" xfId="11749"/>
    <cellStyle name="쉼표 [0] 2 5 6 6 2" xfId="28453"/>
    <cellStyle name="쉼표 [0] 2 5 6 7" xfId="17317"/>
    <cellStyle name="쉼표 [0] 2 5 7" xfId="845"/>
    <cellStyle name="쉼표 [0] 2 5 7 2" xfId="2237"/>
    <cellStyle name="쉼표 [0] 2 5 7 2 2" xfId="5021"/>
    <cellStyle name="쉼표 [0] 2 5 7 2 2 2" xfId="10589"/>
    <cellStyle name="쉼표 [0] 2 5 7 2 2 2 2" xfId="27293"/>
    <cellStyle name="쉼표 [0] 2 5 7 2 2 3" xfId="16157"/>
    <cellStyle name="쉼표 [0] 2 5 7 2 2 3 2" xfId="32861"/>
    <cellStyle name="쉼표 [0] 2 5 7 2 2 4" xfId="21725"/>
    <cellStyle name="쉼표 [0] 2 5 7 2 3" xfId="7805"/>
    <cellStyle name="쉼표 [0] 2 5 7 2 3 2" xfId="24509"/>
    <cellStyle name="쉼표 [0] 2 5 7 2 4" xfId="13373"/>
    <cellStyle name="쉼표 [0] 2 5 7 2 4 2" xfId="30077"/>
    <cellStyle name="쉼표 [0] 2 5 7 2 5" xfId="18941"/>
    <cellStyle name="쉼표 [0] 2 5 7 3" xfId="3629"/>
    <cellStyle name="쉼표 [0] 2 5 7 3 2" xfId="9197"/>
    <cellStyle name="쉼표 [0] 2 5 7 3 2 2" xfId="25901"/>
    <cellStyle name="쉼표 [0] 2 5 7 3 3" xfId="14765"/>
    <cellStyle name="쉼표 [0] 2 5 7 3 3 2" xfId="31469"/>
    <cellStyle name="쉼표 [0] 2 5 7 3 4" xfId="20333"/>
    <cellStyle name="쉼표 [0] 2 5 7 4" xfId="6413"/>
    <cellStyle name="쉼표 [0] 2 5 7 4 2" xfId="23117"/>
    <cellStyle name="쉼표 [0] 2 5 7 5" xfId="11981"/>
    <cellStyle name="쉼표 [0] 2 5 7 5 2" xfId="28685"/>
    <cellStyle name="쉼표 [0] 2 5 7 6" xfId="17549"/>
    <cellStyle name="쉼표 [0] 2 5 8" xfId="1541"/>
    <cellStyle name="쉼표 [0] 2 5 8 2" xfId="4325"/>
    <cellStyle name="쉼표 [0] 2 5 8 2 2" xfId="9893"/>
    <cellStyle name="쉼표 [0] 2 5 8 2 2 2" xfId="26597"/>
    <cellStyle name="쉼표 [0] 2 5 8 2 3" xfId="15461"/>
    <cellStyle name="쉼표 [0] 2 5 8 2 3 2" xfId="32165"/>
    <cellStyle name="쉼표 [0] 2 5 8 2 4" xfId="21029"/>
    <cellStyle name="쉼표 [0] 2 5 8 3" xfId="7109"/>
    <cellStyle name="쉼표 [0] 2 5 8 3 2" xfId="23813"/>
    <cellStyle name="쉼표 [0] 2 5 8 4" xfId="12677"/>
    <cellStyle name="쉼표 [0] 2 5 8 4 2" xfId="29381"/>
    <cellStyle name="쉼표 [0] 2 5 8 5" xfId="18245"/>
    <cellStyle name="쉼표 [0] 2 5 9" xfId="2933"/>
    <cellStyle name="쉼표 [0] 2 5 9 2" xfId="8501"/>
    <cellStyle name="쉼표 [0] 2 5 9 2 2" xfId="25205"/>
    <cellStyle name="쉼표 [0] 2 5 9 3" xfId="14069"/>
    <cellStyle name="쉼표 [0] 2 5 9 3 2" xfId="30773"/>
    <cellStyle name="쉼표 [0] 2 5 9 4" xfId="19637"/>
    <cellStyle name="쉼표 [0] 2 6" xfId="175"/>
    <cellStyle name="쉼표 [0] 2 6 10" xfId="11311"/>
    <cellStyle name="쉼표 [0] 2 6 10 2" xfId="28015"/>
    <cellStyle name="쉼표 [0] 2 6 11" xfId="16879"/>
    <cellStyle name="쉼표 [0] 2 6 2" xfId="233"/>
    <cellStyle name="쉼표 [0] 2 6 2 10" xfId="16937"/>
    <cellStyle name="쉼표 [0] 2 6 2 2" xfId="349"/>
    <cellStyle name="쉼표 [0] 2 6 2 2 2" xfId="581"/>
    <cellStyle name="쉼표 [0] 2 6 2 2 2 2" xfId="1277"/>
    <cellStyle name="쉼표 [0] 2 6 2 2 2 2 2" xfId="2669"/>
    <cellStyle name="쉼표 [0] 2 6 2 2 2 2 2 2" xfId="5453"/>
    <cellStyle name="쉼표 [0] 2 6 2 2 2 2 2 2 2" xfId="11021"/>
    <cellStyle name="쉼표 [0] 2 6 2 2 2 2 2 2 2 2" xfId="27725"/>
    <cellStyle name="쉼표 [0] 2 6 2 2 2 2 2 2 3" xfId="16589"/>
    <cellStyle name="쉼표 [0] 2 6 2 2 2 2 2 2 3 2" xfId="33293"/>
    <cellStyle name="쉼표 [0] 2 6 2 2 2 2 2 2 4" xfId="22157"/>
    <cellStyle name="쉼표 [0] 2 6 2 2 2 2 2 3" xfId="8237"/>
    <cellStyle name="쉼표 [0] 2 6 2 2 2 2 2 3 2" xfId="24941"/>
    <cellStyle name="쉼표 [0] 2 6 2 2 2 2 2 4" xfId="13805"/>
    <cellStyle name="쉼표 [0] 2 6 2 2 2 2 2 4 2" xfId="30509"/>
    <cellStyle name="쉼표 [0] 2 6 2 2 2 2 2 5" xfId="19373"/>
    <cellStyle name="쉼표 [0] 2 6 2 2 2 2 3" xfId="4061"/>
    <cellStyle name="쉼표 [0] 2 6 2 2 2 2 3 2" xfId="9629"/>
    <cellStyle name="쉼표 [0] 2 6 2 2 2 2 3 2 2" xfId="26333"/>
    <cellStyle name="쉼표 [0] 2 6 2 2 2 2 3 3" xfId="15197"/>
    <cellStyle name="쉼표 [0] 2 6 2 2 2 2 3 3 2" xfId="31901"/>
    <cellStyle name="쉼표 [0] 2 6 2 2 2 2 3 4" xfId="20765"/>
    <cellStyle name="쉼표 [0] 2 6 2 2 2 2 4" xfId="6845"/>
    <cellStyle name="쉼표 [0] 2 6 2 2 2 2 4 2" xfId="23549"/>
    <cellStyle name="쉼표 [0] 2 6 2 2 2 2 5" xfId="12413"/>
    <cellStyle name="쉼표 [0] 2 6 2 2 2 2 5 2" xfId="29117"/>
    <cellStyle name="쉼표 [0] 2 6 2 2 2 2 6" xfId="17981"/>
    <cellStyle name="쉼표 [0] 2 6 2 2 2 3" xfId="1973"/>
    <cellStyle name="쉼표 [0] 2 6 2 2 2 3 2" xfId="4757"/>
    <cellStyle name="쉼표 [0] 2 6 2 2 2 3 2 2" xfId="10325"/>
    <cellStyle name="쉼표 [0] 2 6 2 2 2 3 2 2 2" xfId="27029"/>
    <cellStyle name="쉼표 [0] 2 6 2 2 2 3 2 3" xfId="15893"/>
    <cellStyle name="쉼표 [0] 2 6 2 2 2 3 2 3 2" xfId="32597"/>
    <cellStyle name="쉼표 [0] 2 6 2 2 2 3 2 4" xfId="21461"/>
    <cellStyle name="쉼표 [0] 2 6 2 2 2 3 3" xfId="7541"/>
    <cellStyle name="쉼표 [0] 2 6 2 2 2 3 3 2" xfId="24245"/>
    <cellStyle name="쉼표 [0] 2 6 2 2 2 3 4" xfId="13109"/>
    <cellStyle name="쉼표 [0] 2 6 2 2 2 3 4 2" xfId="29813"/>
    <cellStyle name="쉼표 [0] 2 6 2 2 2 3 5" xfId="18677"/>
    <cellStyle name="쉼표 [0] 2 6 2 2 2 4" xfId="3365"/>
    <cellStyle name="쉼표 [0] 2 6 2 2 2 4 2" xfId="8933"/>
    <cellStyle name="쉼표 [0] 2 6 2 2 2 4 2 2" xfId="25637"/>
    <cellStyle name="쉼표 [0] 2 6 2 2 2 4 3" xfId="14501"/>
    <cellStyle name="쉼표 [0] 2 6 2 2 2 4 3 2" xfId="31205"/>
    <cellStyle name="쉼표 [0] 2 6 2 2 2 4 4" xfId="20069"/>
    <cellStyle name="쉼표 [0] 2 6 2 2 2 5" xfId="6149"/>
    <cellStyle name="쉼표 [0] 2 6 2 2 2 5 2" xfId="22853"/>
    <cellStyle name="쉼표 [0] 2 6 2 2 2 6" xfId="11717"/>
    <cellStyle name="쉼표 [0] 2 6 2 2 2 6 2" xfId="28421"/>
    <cellStyle name="쉼표 [0] 2 6 2 2 2 7" xfId="17285"/>
    <cellStyle name="쉼표 [0] 2 6 2 2 3" xfId="813"/>
    <cellStyle name="쉼표 [0] 2 6 2 2 3 2" xfId="1509"/>
    <cellStyle name="쉼표 [0] 2 6 2 2 3 2 2" xfId="2901"/>
    <cellStyle name="쉼표 [0] 2 6 2 2 3 2 2 2" xfId="5685"/>
    <cellStyle name="쉼표 [0] 2 6 2 2 3 2 2 2 2" xfId="11253"/>
    <cellStyle name="쉼표 [0] 2 6 2 2 3 2 2 2 2 2" xfId="27957"/>
    <cellStyle name="쉼표 [0] 2 6 2 2 3 2 2 2 3" xfId="16821"/>
    <cellStyle name="쉼표 [0] 2 6 2 2 3 2 2 2 3 2" xfId="33525"/>
    <cellStyle name="쉼표 [0] 2 6 2 2 3 2 2 2 4" xfId="22389"/>
    <cellStyle name="쉼표 [0] 2 6 2 2 3 2 2 3" xfId="8469"/>
    <cellStyle name="쉼표 [0] 2 6 2 2 3 2 2 3 2" xfId="25173"/>
    <cellStyle name="쉼표 [0] 2 6 2 2 3 2 2 4" xfId="14037"/>
    <cellStyle name="쉼표 [0] 2 6 2 2 3 2 2 4 2" xfId="30741"/>
    <cellStyle name="쉼표 [0] 2 6 2 2 3 2 2 5" xfId="19605"/>
    <cellStyle name="쉼표 [0] 2 6 2 2 3 2 3" xfId="4293"/>
    <cellStyle name="쉼표 [0] 2 6 2 2 3 2 3 2" xfId="9861"/>
    <cellStyle name="쉼표 [0] 2 6 2 2 3 2 3 2 2" xfId="26565"/>
    <cellStyle name="쉼표 [0] 2 6 2 2 3 2 3 3" xfId="15429"/>
    <cellStyle name="쉼표 [0] 2 6 2 2 3 2 3 3 2" xfId="32133"/>
    <cellStyle name="쉼표 [0] 2 6 2 2 3 2 3 4" xfId="20997"/>
    <cellStyle name="쉼표 [0] 2 6 2 2 3 2 4" xfId="7077"/>
    <cellStyle name="쉼표 [0] 2 6 2 2 3 2 4 2" xfId="23781"/>
    <cellStyle name="쉼표 [0] 2 6 2 2 3 2 5" xfId="12645"/>
    <cellStyle name="쉼표 [0] 2 6 2 2 3 2 5 2" xfId="29349"/>
    <cellStyle name="쉼표 [0] 2 6 2 2 3 2 6" xfId="18213"/>
    <cellStyle name="쉼표 [0] 2 6 2 2 3 3" xfId="2205"/>
    <cellStyle name="쉼표 [0] 2 6 2 2 3 3 2" xfId="4989"/>
    <cellStyle name="쉼표 [0] 2 6 2 2 3 3 2 2" xfId="10557"/>
    <cellStyle name="쉼표 [0] 2 6 2 2 3 3 2 2 2" xfId="27261"/>
    <cellStyle name="쉼표 [0] 2 6 2 2 3 3 2 3" xfId="16125"/>
    <cellStyle name="쉼표 [0] 2 6 2 2 3 3 2 3 2" xfId="32829"/>
    <cellStyle name="쉼표 [0] 2 6 2 2 3 3 2 4" xfId="21693"/>
    <cellStyle name="쉼표 [0] 2 6 2 2 3 3 3" xfId="7773"/>
    <cellStyle name="쉼표 [0] 2 6 2 2 3 3 3 2" xfId="24477"/>
    <cellStyle name="쉼표 [0] 2 6 2 2 3 3 4" xfId="13341"/>
    <cellStyle name="쉼표 [0] 2 6 2 2 3 3 4 2" xfId="30045"/>
    <cellStyle name="쉼표 [0] 2 6 2 2 3 3 5" xfId="18909"/>
    <cellStyle name="쉼표 [0] 2 6 2 2 3 4" xfId="3597"/>
    <cellStyle name="쉼표 [0] 2 6 2 2 3 4 2" xfId="9165"/>
    <cellStyle name="쉼표 [0] 2 6 2 2 3 4 2 2" xfId="25869"/>
    <cellStyle name="쉼표 [0] 2 6 2 2 3 4 3" xfId="14733"/>
    <cellStyle name="쉼표 [0] 2 6 2 2 3 4 3 2" xfId="31437"/>
    <cellStyle name="쉼표 [0] 2 6 2 2 3 4 4" xfId="20301"/>
    <cellStyle name="쉼표 [0] 2 6 2 2 3 5" xfId="6381"/>
    <cellStyle name="쉼표 [0] 2 6 2 2 3 5 2" xfId="23085"/>
    <cellStyle name="쉼표 [0] 2 6 2 2 3 6" xfId="11949"/>
    <cellStyle name="쉼표 [0] 2 6 2 2 3 6 2" xfId="28653"/>
    <cellStyle name="쉼표 [0] 2 6 2 2 3 7" xfId="17517"/>
    <cellStyle name="쉼표 [0] 2 6 2 2 4" xfId="1045"/>
    <cellStyle name="쉼표 [0] 2 6 2 2 4 2" xfId="2437"/>
    <cellStyle name="쉼표 [0] 2 6 2 2 4 2 2" xfId="5221"/>
    <cellStyle name="쉼표 [0] 2 6 2 2 4 2 2 2" xfId="10789"/>
    <cellStyle name="쉼표 [0] 2 6 2 2 4 2 2 2 2" xfId="27493"/>
    <cellStyle name="쉼표 [0] 2 6 2 2 4 2 2 3" xfId="16357"/>
    <cellStyle name="쉼표 [0] 2 6 2 2 4 2 2 3 2" xfId="33061"/>
    <cellStyle name="쉼표 [0] 2 6 2 2 4 2 2 4" xfId="21925"/>
    <cellStyle name="쉼표 [0] 2 6 2 2 4 2 3" xfId="8005"/>
    <cellStyle name="쉼표 [0] 2 6 2 2 4 2 3 2" xfId="24709"/>
    <cellStyle name="쉼표 [0] 2 6 2 2 4 2 4" xfId="13573"/>
    <cellStyle name="쉼표 [0] 2 6 2 2 4 2 4 2" xfId="30277"/>
    <cellStyle name="쉼표 [0] 2 6 2 2 4 2 5" xfId="19141"/>
    <cellStyle name="쉼표 [0] 2 6 2 2 4 3" xfId="3829"/>
    <cellStyle name="쉼표 [0] 2 6 2 2 4 3 2" xfId="9397"/>
    <cellStyle name="쉼표 [0] 2 6 2 2 4 3 2 2" xfId="26101"/>
    <cellStyle name="쉼표 [0] 2 6 2 2 4 3 3" xfId="14965"/>
    <cellStyle name="쉼표 [0] 2 6 2 2 4 3 3 2" xfId="31669"/>
    <cellStyle name="쉼표 [0] 2 6 2 2 4 3 4" xfId="20533"/>
    <cellStyle name="쉼표 [0] 2 6 2 2 4 4" xfId="6613"/>
    <cellStyle name="쉼표 [0] 2 6 2 2 4 4 2" xfId="23317"/>
    <cellStyle name="쉼표 [0] 2 6 2 2 4 5" xfId="12181"/>
    <cellStyle name="쉼표 [0] 2 6 2 2 4 5 2" xfId="28885"/>
    <cellStyle name="쉼표 [0] 2 6 2 2 4 6" xfId="17749"/>
    <cellStyle name="쉼표 [0] 2 6 2 2 5" xfId="1741"/>
    <cellStyle name="쉼표 [0] 2 6 2 2 5 2" xfId="4525"/>
    <cellStyle name="쉼표 [0] 2 6 2 2 5 2 2" xfId="10093"/>
    <cellStyle name="쉼표 [0] 2 6 2 2 5 2 2 2" xfId="26797"/>
    <cellStyle name="쉼표 [0] 2 6 2 2 5 2 3" xfId="15661"/>
    <cellStyle name="쉼표 [0] 2 6 2 2 5 2 3 2" xfId="32365"/>
    <cellStyle name="쉼표 [0] 2 6 2 2 5 2 4" xfId="21229"/>
    <cellStyle name="쉼표 [0] 2 6 2 2 5 3" xfId="7309"/>
    <cellStyle name="쉼표 [0] 2 6 2 2 5 3 2" xfId="24013"/>
    <cellStyle name="쉼표 [0] 2 6 2 2 5 4" xfId="12877"/>
    <cellStyle name="쉼표 [0] 2 6 2 2 5 4 2" xfId="29581"/>
    <cellStyle name="쉼표 [0] 2 6 2 2 5 5" xfId="18445"/>
    <cellStyle name="쉼표 [0] 2 6 2 2 6" xfId="3133"/>
    <cellStyle name="쉼표 [0] 2 6 2 2 6 2" xfId="8701"/>
    <cellStyle name="쉼표 [0] 2 6 2 2 6 2 2" xfId="25405"/>
    <cellStyle name="쉼표 [0] 2 6 2 2 6 3" xfId="14269"/>
    <cellStyle name="쉼표 [0] 2 6 2 2 6 3 2" xfId="30973"/>
    <cellStyle name="쉼표 [0] 2 6 2 2 6 4" xfId="19837"/>
    <cellStyle name="쉼표 [0] 2 6 2 2 7" xfId="5917"/>
    <cellStyle name="쉼표 [0] 2 6 2 2 7 2" xfId="22621"/>
    <cellStyle name="쉼표 [0] 2 6 2 2 8" xfId="11485"/>
    <cellStyle name="쉼표 [0] 2 6 2 2 8 2" xfId="28189"/>
    <cellStyle name="쉼표 [0] 2 6 2 2 9" xfId="17053"/>
    <cellStyle name="쉼표 [0] 2 6 2 3" xfId="465"/>
    <cellStyle name="쉼표 [0] 2 6 2 3 2" xfId="1161"/>
    <cellStyle name="쉼표 [0] 2 6 2 3 2 2" xfId="2553"/>
    <cellStyle name="쉼표 [0] 2 6 2 3 2 2 2" xfId="5337"/>
    <cellStyle name="쉼표 [0] 2 6 2 3 2 2 2 2" xfId="10905"/>
    <cellStyle name="쉼표 [0] 2 6 2 3 2 2 2 2 2" xfId="27609"/>
    <cellStyle name="쉼표 [0] 2 6 2 3 2 2 2 3" xfId="16473"/>
    <cellStyle name="쉼표 [0] 2 6 2 3 2 2 2 3 2" xfId="33177"/>
    <cellStyle name="쉼표 [0] 2 6 2 3 2 2 2 4" xfId="22041"/>
    <cellStyle name="쉼표 [0] 2 6 2 3 2 2 3" xfId="8121"/>
    <cellStyle name="쉼표 [0] 2 6 2 3 2 2 3 2" xfId="24825"/>
    <cellStyle name="쉼표 [0] 2 6 2 3 2 2 4" xfId="13689"/>
    <cellStyle name="쉼표 [0] 2 6 2 3 2 2 4 2" xfId="30393"/>
    <cellStyle name="쉼표 [0] 2 6 2 3 2 2 5" xfId="19257"/>
    <cellStyle name="쉼표 [0] 2 6 2 3 2 3" xfId="3945"/>
    <cellStyle name="쉼표 [0] 2 6 2 3 2 3 2" xfId="9513"/>
    <cellStyle name="쉼표 [0] 2 6 2 3 2 3 2 2" xfId="26217"/>
    <cellStyle name="쉼표 [0] 2 6 2 3 2 3 3" xfId="15081"/>
    <cellStyle name="쉼표 [0] 2 6 2 3 2 3 3 2" xfId="31785"/>
    <cellStyle name="쉼표 [0] 2 6 2 3 2 3 4" xfId="20649"/>
    <cellStyle name="쉼표 [0] 2 6 2 3 2 4" xfId="6729"/>
    <cellStyle name="쉼표 [0] 2 6 2 3 2 4 2" xfId="23433"/>
    <cellStyle name="쉼표 [0] 2 6 2 3 2 5" xfId="12297"/>
    <cellStyle name="쉼표 [0] 2 6 2 3 2 5 2" xfId="29001"/>
    <cellStyle name="쉼표 [0] 2 6 2 3 2 6" xfId="17865"/>
    <cellStyle name="쉼표 [0] 2 6 2 3 3" xfId="1857"/>
    <cellStyle name="쉼표 [0] 2 6 2 3 3 2" xfId="4641"/>
    <cellStyle name="쉼표 [0] 2 6 2 3 3 2 2" xfId="10209"/>
    <cellStyle name="쉼표 [0] 2 6 2 3 3 2 2 2" xfId="26913"/>
    <cellStyle name="쉼표 [0] 2 6 2 3 3 2 3" xfId="15777"/>
    <cellStyle name="쉼표 [0] 2 6 2 3 3 2 3 2" xfId="32481"/>
    <cellStyle name="쉼표 [0] 2 6 2 3 3 2 4" xfId="21345"/>
    <cellStyle name="쉼표 [0] 2 6 2 3 3 3" xfId="7425"/>
    <cellStyle name="쉼표 [0] 2 6 2 3 3 3 2" xfId="24129"/>
    <cellStyle name="쉼표 [0] 2 6 2 3 3 4" xfId="12993"/>
    <cellStyle name="쉼표 [0] 2 6 2 3 3 4 2" xfId="29697"/>
    <cellStyle name="쉼표 [0] 2 6 2 3 3 5" xfId="18561"/>
    <cellStyle name="쉼표 [0] 2 6 2 3 4" xfId="3249"/>
    <cellStyle name="쉼표 [0] 2 6 2 3 4 2" xfId="8817"/>
    <cellStyle name="쉼표 [0] 2 6 2 3 4 2 2" xfId="25521"/>
    <cellStyle name="쉼표 [0] 2 6 2 3 4 3" xfId="14385"/>
    <cellStyle name="쉼표 [0] 2 6 2 3 4 3 2" xfId="31089"/>
    <cellStyle name="쉼표 [0] 2 6 2 3 4 4" xfId="19953"/>
    <cellStyle name="쉼표 [0] 2 6 2 3 5" xfId="6033"/>
    <cellStyle name="쉼표 [0] 2 6 2 3 5 2" xfId="22737"/>
    <cellStyle name="쉼표 [0] 2 6 2 3 6" xfId="11601"/>
    <cellStyle name="쉼표 [0] 2 6 2 3 6 2" xfId="28305"/>
    <cellStyle name="쉼표 [0] 2 6 2 3 7" xfId="17169"/>
    <cellStyle name="쉼표 [0] 2 6 2 4" xfId="697"/>
    <cellStyle name="쉼표 [0] 2 6 2 4 2" xfId="1393"/>
    <cellStyle name="쉼표 [0] 2 6 2 4 2 2" xfId="2785"/>
    <cellStyle name="쉼표 [0] 2 6 2 4 2 2 2" xfId="5569"/>
    <cellStyle name="쉼표 [0] 2 6 2 4 2 2 2 2" xfId="11137"/>
    <cellStyle name="쉼표 [0] 2 6 2 4 2 2 2 2 2" xfId="27841"/>
    <cellStyle name="쉼표 [0] 2 6 2 4 2 2 2 3" xfId="16705"/>
    <cellStyle name="쉼표 [0] 2 6 2 4 2 2 2 3 2" xfId="33409"/>
    <cellStyle name="쉼표 [0] 2 6 2 4 2 2 2 4" xfId="22273"/>
    <cellStyle name="쉼표 [0] 2 6 2 4 2 2 3" xfId="8353"/>
    <cellStyle name="쉼표 [0] 2 6 2 4 2 2 3 2" xfId="25057"/>
    <cellStyle name="쉼표 [0] 2 6 2 4 2 2 4" xfId="13921"/>
    <cellStyle name="쉼표 [0] 2 6 2 4 2 2 4 2" xfId="30625"/>
    <cellStyle name="쉼표 [0] 2 6 2 4 2 2 5" xfId="19489"/>
    <cellStyle name="쉼표 [0] 2 6 2 4 2 3" xfId="4177"/>
    <cellStyle name="쉼표 [0] 2 6 2 4 2 3 2" xfId="9745"/>
    <cellStyle name="쉼표 [0] 2 6 2 4 2 3 2 2" xfId="26449"/>
    <cellStyle name="쉼표 [0] 2 6 2 4 2 3 3" xfId="15313"/>
    <cellStyle name="쉼표 [0] 2 6 2 4 2 3 3 2" xfId="32017"/>
    <cellStyle name="쉼표 [0] 2 6 2 4 2 3 4" xfId="20881"/>
    <cellStyle name="쉼표 [0] 2 6 2 4 2 4" xfId="6961"/>
    <cellStyle name="쉼표 [0] 2 6 2 4 2 4 2" xfId="23665"/>
    <cellStyle name="쉼표 [0] 2 6 2 4 2 5" xfId="12529"/>
    <cellStyle name="쉼표 [0] 2 6 2 4 2 5 2" xfId="29233"/>
    <cellStyle name="쉼표 [0] 2 6 2 4 2 6" xfId="18097"/>
    <cellStyle name="쉼표 [0] 2 6 2 4 3" xfId="2089"/>
    <cellStyle name="쉼표 [0] 2 6 2 4 3 2" xfId="4873"/>
    <cellStyle name="쉼표 [0] 2 6 2 4 3 2 2" xfId="10441"/>
    <cellStyle name="쉼표 [0] 2 6 2 4 3 2 2 2" xfId="27145"/>
    <cellStyle name="쉼표 [0] 2 6 2 4 3 2 3" xfId="16009"/>
    <cellStyle name="쉼표 [0] 2 6 2 4 3 2 3 2" xfId="32713"/>
    <cellStyle name="쉼표 [0] 2 6 2 4 3 2 4" xfId="21577"/>
    <cellStyle name="쉼표 [0] 2 6 2 4 3 3" xfId="7657"/>
    <cellStyle name="쉼표 [0] 2 6 2 4 3 3 2" xfId="24361"/>
    <cellStyle name="쉼표 [0] 2 6 2 4 3 4" xfId="13225"/>
    <cellStyle name="쉼표 [0] 2 6 2 4 3 4 2" xfId="29929"/>
    <cellStyle name="쉼표 [0] 2 6 2 4 3 5" xfId="18793"/>
    <cellStyle name="쉼표 [0] 2 6 2 4 4" xfId="3481"/>
    <cellStyle name="쉼표 [0] 2 6 2 4 4 2" xfId="9049"/>
    <cellStyle name="쉼표 [0] 2 6 2 4 4 2 2" xfId="25753"/>
    <cellStyle name="쉼표 [0] 2 6 2 4 4 3" xfId="14617"/>
    <cellStyle name="쉼표 [0] 2 6 2 4 4 3 2" xfId="31321"/>
    <cellStyle name="쉼표 [0] 2 6 2 4 4 4" xfId="20185"/>
    <cellStyle name="쉼표 [0] 2 6 2 4 5" xfId="6265"/>
    <cellStyle name="쉼표 [0] 2 6 2 4 5 2" xfId="22969"/>
    <cellStyle name="쉼표 [0] 2 6 2 4 6" xfId="11833"/>
    <cellStyle name="쉼표 [0] 2 6 2 4 6 2" xfId="28537"/>
    <cellStyle name="쉼표 [0] 2 6 2 4 7" xfId="17401"/>
    <cellStyle name="쉼표 [0] 2 6 2 5" xfId="929"/>
    <cellStyle name="쉼표 [0] 2 6 2 5 2" xfId="2321"/>
    <cellStyle name="쉼표 [0] 2 6 2 5 2 2" xfId="5105"/>
    <cellStyle name="쉼표 [0] 2 6 2 5 2 2 2" xfId="10673"/>
    <cellStyle name="쉼표 [0] 2 6 2 5 2 2 2 2" xfId="27377"/>
    <cellStyle name="쉼표 [0] 2 6 2 5 2 2 3" xfId="16241"/>
    <cellStyle name="쉼표 [0] 2 6 2 5 2 2 3 2" xfId="32945"/>
    <cellStyle name="쉼표 [0] 2 6 2 5 2 2 4" xfId="21809"/>
    <cellStyle name="쉼표 [0] 2 6 2 5 2 3" xfId="7889"/>
    <cellStyle name="쉼표 [0] 2 6 2 5 2 3 2" xfId="24593"/>
    <cellStyle name="쉼표 [0] 2 6 2 5 2 4" xfId="13457"/>
    <cellStyle name="쉼표 [0] 2 6 2 5 2 4 2" xfId="30161"/>
    <cellStyle name="쉼표 [0] 2 6 2 5 2 5" xfId="19025"/>
    <cellStyle name="쉼표 [0] 2 6 2 5 3" xfId="3713"/>
    <cellStyle name="쉼표 [0] 2 6 2 5 3 2" xfId="9281"/>
    <cellStyle name="쉼표 [0] 2 6 2 5 3 2 2" xfId="25985"/>
    <cellStyle name="쉼표 [0] 2 6 2 5 3 3" xfId="14849"/>
    <cellStyle name="쉼표 [0] 2 6 2 5 3 3 2" xfId="31553"/>
    <cellStyle name="쉼표 [0] 2 6 2 5 3 4" xfId="20417"/>
    <cellStyle name="쉼표 [0] 2 6 2 5 4" xfId="6497"/>
    <cellStyle name="쉼표 [0] 2 6 2 5 4 2" xfId="23201"/>
    <cellStyle name="쉼표 [0] 2 6 2 5 5" xfId="12065"/>
    <cellStyle name="쉼표 [0] 2 6 2 5 5 2" xfId="28769"/>
    <cellStyle name="쉼표 [0] 2 6 2 5 6" xfId="17633"/>
    <cellStyle name="쉼표 [0] 2 6 2 6" xfId="1625"/>
    <cellStyle name="쉼표 [0] 2 6 2 6 2" xfId="4409"/>
    <cellStyle name="쉼표 [0] 2 6 2 6 2 2" xfId="9977"/>
    <cellStyle name="쉼표 [0] 2 6 2 6 2 2 2" xfId="26681"/>
    <cellStyle name="쉼표 [0] 2 6 2 6 2 3" xfId="15545"/>
    <cellStyle name="쉼표 [0] 2 6 2 6 2 3 2" xfId="32249"/>
    <cellStyle name="쉼표 [0] 2 6 2 6 2 4" xfId="21113"/>
    <cellStyle name="쉼표 [0] 2 6 2 6 3" xfId="7193"/>
    <cellStyle name="쉼표 [0] 2 6 2 6 3 2" xfId="23897"/>
    <cellStyle name="쉼표 [0] 2 6 2 6 4" xfId="12761"/>
    <cellStyle name="쉼표 [0] 2 6 2 6 4 2" xfId="29465"/>
    <cellStyle name="쉼표 [0] 2 6 2 6 5" xfId="18329"/>
    <cellStyle name="쉼표 [0] 2 6 2 7" xfId="3017"/>
    <cellStyle name="쉼표 [0] 2 6 2 7 2" xfId="8585"/>
    <cellStyle name="쉼표 [0] 2 6 2 7 2 2" xfId="25289"/>
    <cellStyle name="쉼표 [0] 2 6 2 7 3" xfId="14153"/>
    <cellStyle name="쉼표 [0] 2 6 2 7 3 2" xfId="30857"/>
    <cellStyle name="쉼표 [0] 2 6 2 7 4" xfId="19721"/>
    <cellStyle name="쉼표 [0] 2 6 2 8" xfId="5801"/>
    <cellStyle name="쉼표 [0] 2 6 2 8 2" xfId="22505"/>
    <cellStyle name="쉼표 [0] 2 6 2 9" xfId="11369"/>
    <cellStyle name="쉼표 [0] 2 6 2 9 2" xfId="28073"/>
    <cellStyle name="쉼표 [0] 2 6 3" xfId="291"/>
    <cellStyle name="쉼표 [0] 2 6 3 2" xfId="523"/>
    <cellStyle name="쉼표 [0] 2 6 3 2 2" xfId="1219"/>
    <cellStyle name="쉼표 [0] 2 6 3 2 2 2" xfId="2611"/>
    <cellStyle name="쉼표 [0] 2 6 3 2 2 2 2" xfId="5395"/>
    <cellStyle name="쉼표 [0] 2 6 3 2 2 2 2 2" xfId="10963"/>
    <cellStyle name="쉼표 [0] 2 6 3 2 2 2 2 2 2" xfId="27667"/>
    <cellStyle name="쉼표 [0] 2 6 3 2 2 2 2 3" xfId="16531"/>
    <cellStyle name="쉼표 [0] 2 6 3 2 2 2 2 3 2" xfId="33235"/>
    <cellStyle name="쉼표 [0] 2 6 3 2 2 2 2 4" xfId="22099"/>
    <cellStyle name="쉼표 [0] 2 6 3 2 2 2 3" xfId="8179"/>
    <cellStyle name="쉼표 [0] 2 6 3 2 2 2 3 2" xfId="24883"/>
    <cellStyle name="쉼표 [0] 2 6 3 2 2 2 4" xfId="13747"/>
    <cellStyle name="쉼표 [0] 2 6 3 2 2 2 4 2" xfId="30451"/>
    <cellStyle name="쉼표 [0] 2 6 3 2 2 2 5" xfId="19315"/>
    <cellStyle name="쉼표 [0] 2 6 3 2 2 3" xfId="4003"/>
    <cellStyle name="쉼표 [0] 2 6 3 2 2 3 2" xfId="9571"/>
    <cellStyle name="쉼표 [0] 2 6 3 2 2 3 2 2" xfId="26275"/>
    <cellStyle name="쉼표 [0] 2 6 3 2 2 3 3" xfId="15139"/>
    <cellStyle name="쉼표 [0] 2 6 3 2 2 3 3 2" xfId="31843"/>
    <cellStyle name="쉼표 [0] 2 6 3 2 2 3 4" xfId="20707"/>
    <cellStyle name="쉼표 [0] 2 6 3 2 2 4" xfId="6787"/>
    <cellStyle name="쉼표 [0] 2 6 3 2 2 4 2" xfId="23491"/>
    <cellStyle name="쉼표 [0] 2 6 3 2 2 5" xfId="12355"/>
    <cellStyle name="쉼표 [0] 2 6 3 2 2 5 2" xfId="29059"/>
    <cellStyle name="쉼표 [0] 2 6 3 2 2 6" xfId="17923"/>
    <cellStyle name="쉼표 [0] 2 6 3 2 3" xfId="1915"/>
    <cellStyle name="쉼표 [0] 2 6 3 2 3 2" xfId="4699"/>
    <cellStyle name="쉼표 [0] 2 6 3 2 3 2 2" xfId="10267"/>
    <cellStyle name="쉼표 [0] 2 6 3 2 3 2 2 2" xfId="26971"/>
    <cellStyle name="쉼표 [0] 2 6 3 2 3 2 3" xfId="15835"/>
    <cellStyle name="쉼표 [0] 2 6 3 2 3 2 3 2" xfId="32539"/>
    <cellStyle name="쉼표 [0] 2 6 3 2 3 2 4" xfId="21403"/>
    <cellStyle name="쉼표 [0] 2 6 3 2 3 3" xfId="7483"/>
    <cellStyle name="쉼표 [0] 2 6 3 2 3 3 2" xfId="24187"/>
    <cellStyle name="쉼표 [0] 2 6 3 2 3 4" xfId="13051"/>
    <cellStyle name="쉼표 [0] 2 6 3 2 3 4 2" xfId="29755"/>
    <cellStyle name="쉼표 [0] 2 6 3 2 3 5" xfId="18619"/>
    <cellStyle name="쉼표 [0] 2 6 3 2 4" xfId="3307"/>
    <cellStyle name="쉼표 [0] 2 6 3 2 4 2" xfId="8875"/>
    <cellStyle name="쉼표 [0] 2 6 3 2 4 2 2" xfId="25579"/>
    <cellStyle name="쉼표 [0] 2 6 3 2 4 3" xfId="14443"/>
    <cellStyle name="쉼표 [0] 2 6 3 2 4 3 2" xfId="31147"/>
    <cellStyle name="쉼표 [0] 2 6 3 2 4 4" xfId="20011"/>
    <cellStyle name="쉼표 [0] 2 6 3 2 5" xfId="6091"/>
    <cellStyle name="쉼표 [0] 2 6 3 2 5 2" xfId="22795"/>
    <cellStyle name="쉼표 [0] 2 6 3 2 6" xfId="11659"/>
    <cellStyle name="쉼표 [0] 2 6 3 2 6 2" xfId="28363"/>
    <cellStyle name="쉼표 [0] 2 6 3 2 7" xfId="17227"/>
    <cellStyle name="쉼표 [0] 2 6 3 3" xfId="755"/>
    <cellStyle name="쉼표 [0] 2 6 3 3 2" xfId="1451"/>
    <cellStyle name="쉼표 [0] 2 6 3 3 2 2" xfId="2843"/>
    <cellStyle name="쉼표 [0] 2 6 3 3 2 2 2" xfId="5627"/>
    <cellStyle name="쉼표 [0] 2 6 3 3 2 2 2 2" xfId="11195"/>
    <cellStyle name="쉼표 [0] 2 6 3 3 2 2 2 2 2" xfId="27899"/>
    <cellStyle name="쉼표 [0] 2 6 3 3 2 2 2 3" xfId="16763"/>
    <cellStyle name="쉼표 [0] 2 6 3 3 2 2 2 3 2" xfId="33467"/>
    <cellStyle name="쉼표 [0] 2 6 3 3 2 2 2 4" xfId="22331"/>
    <cellStyle name="쉼표 [0] 2 6 3 3 2 2 3" xfId="8411"/>
    <cellStyle name="쉼표 [0] 2 6 3 3 2 2 3 2" xfId="25115"/>
    <cellStyle name="쉼표 [0] 2 6 3 3 2 2 4" xfId="13979"/>
    <cellStyle name="쉼표 [0] 2 6 3 3 2 2 4 2" xfId="30683"/>
    <cellStyle name="쉼표 [0] 2 6 3 3 2 2 5" xfId="19547"/>
    <cellStyle name="쉼표 [0] 2 6 3 3 2 3" xfId="4235"/>
    <cellStyle name="쉼표 [0] 2 6 3 3 2 3 2" xfId="9803"/>
    <cellStyle name="쉼표 [0] 2 6 3 3 2 3 2 2" xfId="26507"/>
    <cellStyle name="쉼표 [0] 2 6 3 3 2 3 3" xfId="15371"/>
    <cellStyle name="쉼표 [0] 2 6 3 3 2 3 3 2" xfId="32075"/>
    <cellStyle name="쉼표 [0] 2 6 3 3 2 3 4" xfId="20939"/>
    <cellStyle name="쉼표 [0] 2 6 3 3 2 4" xfId="7019"/>
    <cellStyle name="쉼표 [0] 2 6 3 3 2 4 2" xfId="23723"/>
    <cellStyle name="쉼표 [0] 2 6 3 3 2 5" xfId="12587"/>
    <cellStyle name="쉼표 [0] 2 6 3 3 2 5 2" xfId="29291"/>
    <cellStyle name="쉼표 [0] 2 6 3 3 2 6" xfId="18155"/>
    <cellStyle name="쉼표 [0] 2 6 3 3 3" xfId="2147"/>
    <cellStyle name="쉼표 [0] 2 6 3 3 3 2" xfId="4931"/>
    <cellStyle name="쉼표 [0] 2 6 3 3 3 2 2" xfId="10499"/>
    <cellStyle name="쉼표 [0] 2 6 3 3 3 2 2 2" xfId="27203"/>
    <cellStyle name="쉼표 [0] 2 6 3 3 3 2 3" xfId="16067"/>
    <cellStyle name="쉼표 [0] 2 6 3 3 3 2 3 2" xfId="32771"/>
    <cellStyle name="쉼표 [0] 2 6 3 3 3 2 4" xfId="21635"/>
    <cellStyle name="쉼표 [0] 2 6 3 3 3 3" xfId="7715"/>
    <cellStyle name="쉼표 [0] 2 6 3 3 3 3 2" xfId="24419"/>
    <cellStyle name="쉼표 [0] 2 6 3 3 3 4" xfId="13283"/>
    <cellStyle name="쉼표 [0] 2 6 3 3 3 4 2" xfId="29987"/>
    <cellStyle name="쉼표 [0] 2 6 3 3 3 5" xfId="18851"/>
    <cellStyle name="쉼표 [0] 2 6 3 3 4" xfId="3539"/>
    <cellStyle name="쉼표 [0] 2 6 3 3 4 2" xfId="9107"/>
    <cellStyle name="쉼표 [0] 2 6 3 3 4 2 2" xfId="25811"/>
    <cellStyle name="쉼표 [0] 2 6 3 3 4 3" xfId="14675"/>
    <cellStyle name="쉼표 [0] 2 6 3 3 4 3 2" xfId="31379"/>
    <cellStyle name="쉼표 [0] 2 6 3 3 4 4" xfId="20243"/>
    <cellStyle name="쉼표 [0] 2 6 3 3 5" xfId="6323"/>
    <cellStyle name="쉼표 [0] 2 6 3 3 5 2" xfId="23027"/>
    <cellStyle name="쉼표 [0] 2 6 3 3 6" xfId="11891"/>
    <cellStyle name="쉼표 [0] 2 6 3 3 6 2" xfId="28595"/>
    <cellStyle name="쉼표 [0] 2 6 3 3 7" xfId="17459"/>
    <cellStyle name="쉼표 [0] 2 6 3 4" xfId="987"/>
    <cellStyle name="쉼표 [0] 2 6 3 4 2" xfId="2379"/>
    <cellStyle name="쉼표 [0] 2 6 3 4 2 2" xfId="5163"/>
    <cellStyle name="쉼표 [0] 2 6 3 4 2 2 2" xfId="10731"/>
    <cellStyle name="쉼표 [0] 2 6 3 4 2 2 2 2" xfId="27435"/>
    <cellStyle name="쉼표 [0] 2 6 3 4 2 2 3" xfId="16299"/>
    <cellStyle name="쉼표 [0] 2 6 3 4 2 2 3 2" xfId="33003"/>
    <cellStyle name="쉼표 [0] 2 6 3 4 2 2 4" xfId="21867"/>
    <cellStyle name="쉼표 [0] 2 6 3 4 2 3" xfId="7947"/>
    <cellStyle name="쉼표 [0] 2 6 3 4 2 3 2" xfId="24651"/>
    <cellStyle name="쉼표 [0] 2 6 3 4 2 4" xfId="13515"/>
    <cellStyle name="쉼표 [0] 2 6 3 4 2 4 2" xfId="30219"/>
    <cellStyle name="쉼표 [0] 2 6 3 4 2 5" xfId="19083"/>
    <cellStyle name="쉼표 [0] 2 6 3 4 3" xfId="3771"/>
    <cellStyle name="쉼표 [0] 2 6 3 4 3 2" xfId="9339"/>
    <cellStyle name="쉼표 [0] 2 6 3 4 3 2 2" xfId="26043"/>
    <cellStyle name="쉼표 [0] 2 6 3 4 3 3" xfId="14907"/>
    <cellStyle name="쉼표 [0] 2 6 3 4 3 3 2" xfId="31611"/>
    <cellStyle name="쉼표 [0] 2 6 3 4 3 4" xfId="20475"/>
    <cellStyle name="쉼표 [0] 2 6 3 4 4" xfId="6555"/>
    <cellStyle name="쉼표 [0] 2 6 3 4 4 2" xfId="23259"/>
    <cellStyle name="쉼표 [0] 2 6 3 4 5" xfId="12123"/>
    <cellStyle name="쉼표 [0] 2 6 3 4 5 2" xfId="28827"/>
    <cellStyle name="쉼표 [0] 2 6 3 4 6" xfId="17691"/>
    <cellStyle name="쉼표 [0] 2 6 3 5" xfId="1683"/>
    <cellStyle name="쉼표 [0] 2 6 3 5 2" xfId="4467"/>
    <cellStyle name="쉼표 [0] 2 6 3 5 2 2" xfId="10035"/>
    <cellStyle name="쉼표 [0] 2 6 3 5 2 2 2" xfId="26739"/>
    <cellStyle name="쉼표 [0] 2 6 3 5 2 3" xfId="15603"/>
    <cellStyle name="쉼표 [0] 2 6 3 5 2 3 2" xfId="32307"/>
    <cellStyle name="쉼표 [0] 2 6 3 5 2 4" xfId="21171"/>
    <cellStyle name="쉼표 [0] 2 6 3 5 3" xfId="7251"/>
    <cellStyle name="쉼표 [0] 2 6 3 5 3 2" xfId="23955"/>
    <cellStyle name="쉼표 [0] 2 6 3 5 4" xfId="12819"/>
    <cellStyle name="쉼표 [0] 2 6 3 5 4 2" xfId="29523"/>
    <cellStyle name="쉼표 [0] 2 6 3 5 5" xfId="18387"/>
    <cellStyle name="쉼표 [0] 2 6 3 6" xfId="3075"/>
    <cellStyle name="쉼표 [0] 2 6 3 6 2" xfId="8643"/>
    <cellStyle name="쉼표 [0] 2 6 3 6 2 2" xfId="25347"/>
    <cellStyle name="쉼표 [0] 2 6 3 6 3" xfId="14211"/>
    <cellStyle name="쉼표 [0] 2 6 3 6 3 2" xfId="30915"/>
    <cellStyle name="쉼표 [0] 2 6 3 6 4" xfId="19779"/>
    <cellStyle name="쉼표 [0] 2 6 3 7" xfId="5859"/>
    <cellStyle name="쉼표 [0] 2 6 3 7 2" xfId="22563"/>
    <cellStyle name="쉼표 [0] 2 6 3 8" xfId="11427"/>
    <cellStyle name="쉼표 [0] 2 6 3 8 2" xfId="28131"/>
    <cellStyle name="쉼표 [0] 2 6 3 9" xfId="16995"/>
    <cellStyle name="쉼표 [0] 2 6 4" xfId="407"/>
    <cellStyle name="쉼표 [0] 2 6 4 2" xfId="1103"/>
    <cellStyle name="쉼표 [0] 2 6 4 2 2" xfId="2495"/>
    <cellStyle name="쉼표 [0] 2 6 4 2 2 2" xfId="5279"/>
    <cellStyle name="쉼표 [0] 2 6 4 2 2 2 2" xfId="10847"/>
    <cellStyle name="쉼표 [0] 2 6 4 2 2 2 2 2" xfId="27551"/>
    <cellStyle name="쉼표 [0] 2 6 4 2 2 2 3" xfId="16415"/>
    <cellStyle name="쉼표 [0] 2 6 4 2 2 2 3 2" xfId="33119"/>
    <cellStyle name="쉼표 [0] 2 6 4 2 2 2 4" xfId="21983"/>
    <cellStyle name="쉼표 [0] 2 6 4 2 2 3" xfId="8063"/>
    <cellStyle name="쉼표 [0] 2 6 4 2 2 3 2" xfId="24767"/>
    <cellStyle name="쉼표 [0] 2 6 4 2 2 4" xfId="13631"/>
    <cellStyle name="쉼표 [0] 2 6 4 2 2 4 2" xfId="30335"/>
    <cellStyle name="쉼표 [0] 2 6 4 2 2 5" xfId="19199"/>
    <cellStyle name="쉼표 [0] 2 6 4 2 3" xfId="3887"/>
    <cellStyle name="쉼표 [0] 2 6 4 2 3 2" xfId="9455"/>
    <cellStyle name="쉼표 [0] 2 6 4 2 3 2 2" xfId="26159"/>
    <cellStyle name="쉼표 [0] 2 6 4 2 3 3" xfId="15023"/>
    <cellStyle name="쉼표 [0] 2 6 4 2 3 3 2" xfId="31727"/>
    <cellStyle name="쉼표 [0] 2 6 4 2 3 4" xfId="20591"/>
    <cellStyle name="쉼표 [0] 2 6 4 2 4" xfId="6671"/>
    <cellStyle name="쉼표 [0] 2 6 4 2 4 2" xfId="23375"/>
    <cellStyle name="쉼표 [0] 2 6 4 2 5" xfId="12239"/>
    <cellStyle name="쉼표 [0] 2 6 4 2 5 2" xfId="28943"/>
    <cellStyle name="쉼표 [0] 2 6 4 2 6" xfId="17807"/>
    <cellStyle name="쉼표 [0] 2 6 4 3" xfId="1799"/>
    <cellStyle name="쉼표 [0] 2 6 4 3 2" xfId="4583"/>
    <cellStyle name="쉼표 [0] 2 6 4 3 2 2" xfId="10151"/>
    <cellStyle name="쉼표 [0] 2 6 4 3 2 2 2" xfId="26855"/>
    <cellStyle name="쉼표 [0] 2 6 4 3 2 3" xfId="15719"/>
    <cellStyle name="쉼표 [0] 2 6 4 3 2 3 2" xfId="32423"/>
    <cellStyle name="쉼표 [0] 2 6 4 3 2 4" xfId="21287"/>
    <cellStyle name="쉼표 [0] 2 6 4 3 3" xfId="7367"/>
    <cellStyle name="쉼표 [0] 2 6 4 3 3 2" xfId="24071"/>
    <cellStyle name="쉼표 [0] 2 6 4 3 4" xfId="12935"/>
    <cellStyle name="쉼표 [0] 2 6 4 3 4 2" xfId="29639"/>
    <cellStyle name="쉼표 [0] 2 6 4 3 5" xfId="18503"/>
    <cellStyle name="쉼표 [0] 2 6 4 4" xfId="3191"/>
    <cellStyle name="쉼표 [0] 2 6 4 4 2" xfId="8759"/>
    <cellStyle name="쉼표 [0] 2 6 4 4 2 2" xfId="25463"/>
    <cellStyle name="쉼표 [0] 2 6 4 4 3" xfId="14327"/>
    <cellStyle name="쉼표 [0] 2 6 4 4 3 2" xfId="31031"/>
    <cellStyle name="쉼표 [0] 2 6 4 4 4" xfId="19895"/>
    <cellStyle name="쉼표 [0] 2 6 4 5" xfId="5975"/>
    <cellStyle name="쉼표 [0] 2 6 4 5 2" xfId="22679"/>
    <cellStyle name="쉼표 [0] 2 6 4 6" xfId="11543"/>
    <cellStyle name="쉼표 [0] 2 6 4 6 2" xfId="28247"/>
    <cellStyle name="쉼표 [0] 2 6 4 7" xfId="17111"/>
    <cellStyle name="쉼표 [0] 2 6 5" xfId="639"/>
    <cellStyle name="쉼표 [0] 2 6 5 2" xfId="1335"/>
    <cellStyle name="쉼표 [0] 2 6 5 2 2" xfId="2727"/>
    <cellStyle name="쉼표 [0] 2 6 5 2 2 2" xfId="5511"/>
    <cellStyle name="쉼표 [0] 2 6 5 2 2 2 2" xfId="11079"/>
    <cellStyle name="쉼표 [0] 2 6 5 2 2 2 2 2" xfId="27783"/>
    <cellStyle name="쉼표 [0] 2 6 5 2 2 2 3" xfId="16647"/>
    <cellStyle name="쉼표 [0] 2 6 5 2 2 2 3 2" xfId="33351"/>
    <cellStyle name="쉼표 [0] 2 6 5 2 2 2 4" xfId="22215"/>
    <cellStyle name="쉼표 [0] 2 6 5 2 2 3" xfId="8295"/>
    <cellStyle name="쉼표 [0] 2 6 5 2 2 3 2" xfId="24999"/>
    <cellStyle name="쉼표 [0] 2 6 5 2 2 4" xfId="13863"/>
    <cellStyle name="쉼표 [0] 2 6 5 2 2 4 2" xfId="30567"/>
    <cellStyle name="쉼표 [0] 2 6 5 2 2 5" xfId="19431"/>
    <cellStyle name="쉼표 [0] 2 6 5 2 3" xfId="4119"/>
    <cellStyle name="쉼표 [0] 2 6 5 2 3 2" xfId="9687"/>
    <cellStyle name="쉼표 [0] 2 6 5 2 3 2 2" xfId="26391"/>
    <cellStyle name="쉼표 [0] 2 6 5 2 3 3" xfId="15255"/>
    <cellStyle name="쉼표 [0] 2 6 5 2 3 3 2" xfId="31959"/>
    <cellStyle name="쉼표 [0] 2 6 5 2 3 4" xfId="20823"/>
    <cellStyle name="쉼표 [0] 2 6 5 2 4" xfId="6903"/>
    <cellStyle name="쉼표 [0] 2 6 5 2 4 2" xfId="23607"/>
    <cellStyle name="쉼표 [0] 2 6 5 2 5" xfId="12471"/>
    <cellStyle name="쉼표 [0] 2 6 5 2 5 2" xfId="29175"/>
    <cellStyle name="쉼표 [0] 2 6 5 2 6" xfId="18039"/>
    <cellStyle name="쉼표 [0] 2 6 5 3" xfId="2031"/>
    <cellStyle name="쉼표 [0] 2 6 5 3 2" xfId="4815"/>
    <cellStyle name="쉼표 [0] 2 6 5 3 2 2" xfId="10383"/>
    <cellStyle name="쉼표 [0] 2 6 5 3 2 2 2" xfId="27087"/>
    <cellStyle name="쉼표 [0] 2 6 5 3 2 3" xfId="15951"/>
    <cellStyle name="쉼표 [0] 2 6 5 3 2 3 2" xfId="32655"/>
    <cellStyle name="쉼표 [0] 2 6 5 3 2 4" xfId="21519"/>
    <cellStyle name="쉼표 [0] 2 6 5 3 3" xfId="7599"/>
    <cellStyle name="쉼표 [0] 2 6 5 3 3 2" xfId="24303"/>
    <cellStyle name="쉼표 [0] 2 6 5 3 4" xfId="13167"/>
    <cellStyle name="쉼표 [0] 2 6 5 3 4 2" xfId="29871"/>
    <cellStyle name="쉼표 [0] 2 6 5 3 5" xfId="18735"/>
    <cellStyle name="쉼표 [0] 2 6 5 4" xfId="3423"/>
    <cellStyle name="쉼표 [0] 2 6 5 4 2" xfId="8991"/>
    <cellStyle name="쉼표 [0] 2 6 5 4 2 2" xfId="25695"/>
    <cellStyle name="쉼표 [0] 2 6 5 4 3" xfId="14559"/>
    <cellStyle name="쉼표 [0] 2 6 5 4 3 2" xfId="31263"/>
    <cellStyle name="쉼표 [0] 2 6 5 4 4" xfId="20127"/>
    <cellStyle name="쉼표 [0] 2 6 5 5" xfId="6207"/>
    <cellStyle name="쉼표 [0] 2 6 5 5 2" xfId="22911"/>
    <cellStyle name="쉼표 [0] 2 6 5 6" xfId="11775"/>
    <cellStyle name="쉼표 [0] 2 6 5 6 2" xfId="28479"/>
    <cellStyle name="쉼표 [0] 2 6 5 7" xfId="17343"/>
    <cellStyle name="쉼표 [0] 2 6 6" xfId="871"/>
    <cellStyle name="쉼표 [0] 2 6 6 2" xfId="2263"/>
    <cellStyle name="쉼표 [0] 2 6 6 2 2" xfId="5047"/>
    <cellStyle name="쉼표 [0] 2 6 6 2 2 2" xfId="10615"/>
    <cellStyle name="쉼표 [0] 2 6 6 2 2 2 2" xfId="27319"/>
    <cellStyle name="쉼표 [0] 2 6 6 2 2 3" xfId="16183"/>
    <cellStyle name="쉼표 [0] 2 6 6 2 2 3 2" xfId="32887"/>
    <cellStyle name="쉼표 [0] 2 6 6 2 2 4" xfId="21751"/>
    <cellStyle name="쉼표 [0] 2 6 6 2 3" xfId="7831"/>
    <cellStyle name="쉼표 [0] 2 6 6 2 3 2" xfId="24535"/>
    <cellStyle name="쉼표 [0] 2 6 6 2 4" xfId="13399"/>
    <cellStyle name="쉼표 [0] 2 6 6 2 4 2" xfId="30103"/>
    <cellStyle name="쉼표 [0] 2 6 6 2 5" xfId="18967"/>
    <cellStyle name="쉼표 [0] 2 6 6 3" xfId="3655"/>
    <cellStyle name="쉼표 [0] 2 6 6 3 2" xfId="9223"/>
    <cellStyle name="쉼표 [0] 2 6 6 3 2 2" xfId="25927"/>
    <cellStyle name="쉼표 [0] 2 6 6 3 3" xfId="14791"/>
    <cellStyle name="쉼표 [0] 2 6 6 3 3 2" xfId="31495"/>
    <cellStyle name="쉼표 [0] 2 6 6 3 4" xfId="20359"/>
    <cellStyle name="쉼표 [0] 2 6 6 4" xfId="6439"/>
    <cellStyle name="쉼표 [0] 2 6 6 4 2" xfId="23143"/>
    <cellStyle name="쉼표 [0] 2 6 6 5" xfId="12007"/>
    <cellStyle name="쉼표 [0] 2 6 6 5 2" xfId="28711"/>
    <cellStyle name="쉼표 [0] 2 6 6 6" xfId="17575"/>
    <cellStyle name="쉼표 [0] 2 6 7" xfId="1567"/>
    <cellStyle name="쉼표 [0] 2 6 7 2" xfId="4351"/>
    <cellStyle name="쉼표 [0] 2 6 7 2 2" xfId="9919"/>
    <cellStyle name="쉼표 [0] 2 6 7 2 2 2" xfId="26623"/>
    <cellStyle name="쉼표 [0] 2 6 7 2 3" xfId="15487"/>
    <cellStyle name="쉼표 [0] 2 6 7 2 3 2" xfId="32191"/>
    <cellStyle name="쉼표 [0] 2 6 7 2 4" xfId="21055"/>
    <cellStyle name="쉼표 [0] 2 6 7 3" xfId="7135"/>
    <cellStyle name="쉼표 [0] 2 6 7 3 2" xfId="23839"/>
    <cellStyle name="쉼표 [0] 2 6 7 4" xfId="12703"/>
    <cellStyle name="쉼표 [0] 2 6 7 4 2" xfId="29407"/>
    <cellStyle name="쉼표 [0] 2 6 7 5" xfId="18271"/>
    <cellStyle name="쉼표 [0] 2 6 8" xfId="2959"/>
    <cellStyle name="쉼표 [0] 2 6 8 2" xfId="8527"/>
    <cellStyle name="쉼표 [0] 2 6 8 2 2" xfId="25231"/>
    <cellStyle name="쉼표 [0] 2 6 8 3" xfId="14095"/>
    <cellStyle name="쉼표 [0] 2 6 8 3 2" xfId="30799"/>
    <cellStyle name="쉼표 [0] 2 6 8 4" xfId="19663"/>
    <cellStyle name="쉼표 [0] 2 6 9" xfId="5743"/>
    <cellStyle name="쉼표 [0] 2 6 9 2" xfId="22447"/>
    <cellStyle name="쉼표 [0] 2 7" xfId="204"/>
    <cellStyle name="쉼표 [0] 2 7 10" xfId="16908"/>
    <cellStyle name="쉼표 [0] 2 7 2" xfId="320"/>
    <cellStyle name="쉼표 [0] 2 7 2 2" xfId="552"/>
    <cellStyle name="쉼표 [0] 2 7 2 2 2" xfId="1248"/>
    <cellStyle name="쉼표 [0] 2 7 2 2 2 2" xfId="2640"/>
    <cellStyle name="쉼표 [0] 2 7 2 2 2 2 2" xfId="5424"/>
    <cellStyle name="쉼표 [0] 2 7 2 2 2 2 2 2" xfId="10992"/>
    <cellStyle name="쉼표 [0] 2 7 2 2 2 2 2 2 2" xfId="27696"/>
    <cellStyle name="쉼표 [0] 2 7 2 2 2 2 2 3" xfId="16560"/>
    <cellStyle name="쉼표 [0] 2 7 2 2 2 2 2 3 2" xfId="33264"/>
    <cellStyle name="쉼표 [0] 2 7 2 2 2 2 2 4" xfId="22128"/>
    <cellStyle name="쉼표 [0] 2 7 2 2 2 2 3" xfId="8208"/>
    <cellStyle name="쉼표 [0] 2 7 2 2 2 2 3 2" xfId="24912"/>
    <cellStyle name="쉼표 [0] 2 7 2 2 2 2 4" xfId="13776"/>
    <cellStyle name="쉼표 [0] 2 7 2 2 2 2 4 2" xfId="30480"/>
    <cellStyle name="쉼표 [0] 2 7 2 2 2 2 5" xfId="19344"/>
    <cellStyle name="쉼표 [0] 2 7 2 2 2 3" xfId="4032"/>
    <cellStyle name="쉼표 [0] 2 7 2 2 2 3 2" xfId="9600"/>
    <cellStyle name="쉼표 [0] 2 7 2 2 2 3 2 2" xfId="26304"/>
    <cellStyle name="쉼표 [0] 2 7 2 2 2 3 3" xfId="15168"/>
    <cellStyle name="쉼표 [0] 2 7 2 2 2 3 3 2" xfId="31872"/>
    <cellStyle name="쉼표 [0] 2 7 2 2 2 3 4" xfId="20736"/>
    <cellStyle name="쉼표 [0] 2 7 2 2 2 4" xfId="6816"/>
    <cellStyle name="쉼표 [0] 2 7 2 2 2 4 2" xfId="23520"/>
    <cellStyle name="쉼표 [0] 2 7 2 2 2 5" xfId="12384"/>
    <cellStyle name="쉼표 [0] 2 7 2 2 2 5 2" xfId="29088"/>
    <cellStyle name="쉼표 [0] 2 7 2 2 2 6" xfId="17952"/>
    <cellStyle name="쉼표 [0] 2 7 2 2 3" xfId="1944"/>
    <cellStyle name="쉼표 [0] 2 7 2 2 3 2" xfId="4728"/>
    <cellStyle name="쉼표 [0] 2 7 2 2 3 2 2" xfId="10296"/>
    <cellStyle name="쉼표 [0] 2 7 2 2 3 2 2 2" xfId="27000"/>
    <cellStyle name="쉼표 [0] 2 7 2 2 3 2 3" xfId="15864"/>
    <cellStyle name="쉼표 [0] 2 7 2 2 3 2 3 2" xfId="32568"/>
    <cellStyle name="쉼표 [0] 2 7 2 2 3 2 4" xfId="21432"/>
    <cellStyle name="쉼표 [0] 2 7 2 2 3 3" xfId="7512"/>
    <cellStyle name="쉼표 [0] 2 7 2 2 3 3 2" xfId="24216"/>
    <cellStyle name="쉼표 [0] 2 7 2 2 3 4" xfId="13080"/>
    <cellStyle name="쉼표 [0] 2 7 2 2 3 4 2" xfId="29784"/>
    <cellStyle name="쉼표 [0] 2 7 2 2 3 5" xfId="18648"/>
    <cellStyle name="쉼표 [0] 2 7 2 2 4" xfId="3336"/>
    <cellStyle name="쉼표 [0] 2 7 2 2 4 2" xfId="8904"/>
    <cellStyle name="쉼표 [0] 2 7 2 2 4 2 2" xfId="25608"/>
    <cellStyle name="쉼표 [0] 2 7 2 2 4 3" xfId="14472"/>
    <cellStyle name="쉼표 [0] 2 7 2 2 4 3 2" xfId="31176"/>
    <cellStyle name="쉼표 [0] 2 7 2 2 4 4" xfId="20040"/>
    <cellStyle name="쉼표 [0] 2 7 2 2 5" xfId="6120"/>
    <cellStyle name="쉼표 [0] 2 7 2 2 5 2" xfId="22824"/>
    <cellStyle name="쉼표 [0] 2 7 2 2 6" xfId="11688"/>
    <cellStyle name="쉼표 [0] 2 7 2 2 6 2" xfId="28392"/>
    <cellStyle name="쉼표 [0] 2 7 2 2 7" xfId="17256"/>
    <cellStyle name="쉼표 [0] 2 7 2 3" xfId="784"/>
    <cellStyle name="쉼표 [0] 2 7 2 3 2" xfId="1480"/>
    <cellStyle name="쉼표 [0] 2 7 2 3 2 2" xfId="2872"/>
    <cellStyle name="쉼표 [0] 2 7 2 3 2 2 2" xfId="5656"/>
    <cellStyle name="쉼표 [0] 2 7 2 3 2 2 2 2" xfId="11224"/>
    <cellStyle name="쉼표 [0] 2 7 2 3 2 2 2 2 2" xfId="27928"/>
    <cellStyle name="쉼표 [0] 2 7 2 3 2 2 2 3" xfId="16792"/>
    <cellStyle name="쉼표 [0] 2 7 2 3 2 2 2 3 2" xfId="33496"/>
    <cellStyle name="쉼표 [0] 2 7 2 3 2 2 2 4" xfId="22360"/>
    <cellStyle name="쉼표 [0] 2 7 2 3 2 2 3" xfId="8440"/>
    <cellStyle name="쉼표 [0] 2 7 2 3 2 2 3 2" xfId="25144"/>
    <cellStyle name="쉼표 [0] 2 7 2 3 2 2 4" xfId="14008"/>
    <cellStyle name="쉼표 [0] 2 7 2 3 2 2 4 2" xfId="30712"/>
    <cellStyle name="쉼표 [0] 2 7 2 3 2 2 5" xfId="19576"/>
    <cellStyle name="쉼표 [0] 2 7 2 3 2 3" xfId="4264"/>
    <cellStyle name="쉼표 [0] 2 7 2 3 2 3 2" xfId="9832"/>
    <cellStyle name="쉼표 [0] 2 7 2 3 2 3 2 2" xfId="26536"/>
    <cellStyle name="쉼표 [0] 2 7 2 3 2 3 3" xfId="15400"/>
    <cellStyle name="쉼표 [0] 2 7 2 3 2 3 3 2" xfId="32104"/>
    <cellStyle name="쉼표 [0] 2 7 2 3 2 3 4" xfId="20968"/>
    <cellStyle name="쉼표 [0] 2 7 2 3 2 4" xfId="7048"/>
    <cellStyle name="쉼표 [0] 2 7 2 3 2 4 2" xfId="23752"/>
    <cellStyle name="쉼표 [0] 2 7 2 3 2 5" xfId="12616"/>
    <cellStyle name="쉼표 [0] 2 7 2 3 2 5 2" xfId="29320"/>
    <cellStyle name="쉼표 [0] 2 7 2 3 2 6" xfId="18184"/>
    <cellStyle name="쉼표 [0] 2 7 2 3 3" xfId="2176"/>
    <cellStyle name="쉼표 [0] 2 7 2 3 3 2" xfId="4960"/>
    <cellStyle name="쉼표 [0] 2 7 2 3 3 2 2" xfId="10528"/>
    <cellStyle name="쉼표 [0] 2 7 2 3 3 2 2 2" xfId="27232"/>
    <cellStyle name="쉼표 [0] 2 7 2 3 3 2 3" xfId="16096"/>
    <cellStyle name="쉼표 [0] 2 7 2 3 3 2 3 2" xfId="32800"/>
    <cellStyle name="쉼표 [0] 2 7 2 3 3 2 4" xfId="21664"/>
    <cellStyle name="쉼표 [0] 2 7 2 3 3 3" xfId="7744"/>
    <cellStyle name="쉼표 [0] 2 7 2 3 3 3 2" xfId="24448"/>
    <cellStyle name="쉼표 [0] 2 7 2 3 3 4" xfId="13312"/>
    <cellStyle name="쉼표 [0] 2 7 2 3 3 4 2" xfId="30016"/>
    <cellStyle name="쉼표 [0] 2 7 2 3 3 5" xfId="18880"/>
    <cellStyle name="쉼표 [0] 2 7 2 3 4" xfId="3568"/>
    <cellStyle name="쉼표 [0] 2 7 2 3 4 2" xfId="9136"/>
    <cellStyle name="쉼표 [0] 2 7 2 3 4 2 2" xfId="25840"/>
    <cellStyle name="쉼표 [0] 2 7 2 3 4 3" xfId="14704"/>
    <cellStyle name="쉼표 [0] 2 7 2 3 4 3 2" xfId="31408"/>
    <cellStyle name="쉼표 [0] 2 7 2 3 4 4" xfId="20272"/>
    <cellStyle name="쉼표 [0] 2 7 2 3 5" xfId="6352"/>
    <cellStyle name="쉼표 [0] 2 7 2 3 5 2" xfId="23056"/>
    <cellStyle name="쉼표 [0] 2 7 2 3 6" xfId="11920"/>
    <cellStyle name="쉼표 [0] 2 7 2 3 6 2" xfId="28624"/>
    <cellStyle name="쉼표 [0] 2 7 2 3 7" xfId="17488"/>
    <cellStyle name="쉼표 [0] 2 7 2 4" xfId="1016"/>
    <cellStyle name="쉼표 [0] 2 7 2 4 2" xfId="2408"/>
    <cellStyle name="쉼표 [0] 2 7 2 4 2 2" xfId="5192"/>
    <cellStyle name="쉼표 [0] 2 7 2 4 2 2 2" xfId="10760"/>
    <cellStyle name="쉼표 [0] 2 7 2 4 2 2 2 2" xfId="27464"/>
    <cellStyle name="쉼표 [0] 2 7 2 4 2 2 3" xfId="16328"/>
    <cellStyle name="쉼표 [0] 2 7 2 4 2 2 3 2" xfId="33032"/>
    <cellStyle name="쉼표 [0] 2 7 2 4 2 2 4" xfId="21896"/>
    <cellStyle name="쉼표 [0] 2 7 2 4 2 3" xfId="7976"/>
    <cellStyle name="쉼표 [0] 2 7 2 4 2 3 2" xfId="24680"/>
    <cellStyle name="쉼표 [0] 2 7 2 4 2 4" xfId="13544"/>
    <cellStyle name="쉼표 [0] 2 7 2 4 2 4 2" xfId="30248"/>
    <cellStyle name="쉼표 [0] 2 7 2 4 2 5" xfId="19112"/>
    <cellStyle name="쉼표 [0] 2 7 2 4 3" xfId="3800"/>
    <cellStyle name="쉼표 [0] 2 7 2 4 3 2" xfId="9368"/>
    <cellStyle name="쉼표 [0] 2 7 2 4 3 2 2" xfId="26072"/>
    <cellStyle name="쉼표 [0] 2 7 2 4 3 3" xfId="14936"/>
    <cellStyle name="쉼표 [0] 2 7 2 4 3 3 2" xfId="31640"/>
    <cellStyle name="쉼표 [0] 2 7 2 4 3 4" xfId="20504"/>
    <cellStyle name="쉼표 [0] 2 7 2 4 4" xfId="6584"/>
    <cellStyle name="쉼표 [0] 2 7 2 4 4 2" xfId="23288"/>
    <cellStyle name="쉼표 [0] 2 7 2 4 5" xfId="12152"/>
    <cellStyle name="쉼표 [0] 2 7 2 4 5 2" xfId="28856"/>
    <cellStyle name="쉼표 [0] 2 7 2 4 6" xfId="17720"/>
    <cellStyle name="쉼표 [0] 2 7 2 5" xfId="1712"/>
    <cellStyle name="쉼표 [0] 2 7 2 5 2" xfId="4496"/>
    <cellStyle name="쉼표 [0] 2 7 2 5 2 2" xfId="10064"/>
    <cellStyle name="쉼표 [0] 2 7 2 5 2 2 2" xfId="26768"/>
    <cellStyle name="쉼표 [0] 2 7 2 5 2 3" xfId="15632"/>
    <cellStyle name="쉼표 [0] 2 7 2 5 2 3 2" xfId="32336"/>
    <cellStyle name="쉼표 [0] 2 7 2 5 2 4" xfId="21200"/>
    <cellStyle name="쉼표 [0] 2 7 2 5 3" xfId="7280"/>
    <cellStyle name="쉼표 [0] 2 7 2 5 3 2" xfId="23984"/>
    <cellStyle name="쉼표 [0] 2 7 2 5 4" xfId="12848"/>
    <cellStyle name="쉼표 [0] 2 7 2 5 4 2" xfId="29552"/>
    <cellStyle name="쉼표 [0] 2 7 2 5 5" xfId="18416"/>
    <cellStyle name="쉼표 [0] 2 7 2 6" xfId="3104"/>
    <cellStyle name="쉼표 [0] 2 7 2 6 2" xfId="8672"/>
    <cellStyle name="쉼표 [0] 2 7 2 6 2 2" xfId="25376"/>
    <cellStyle name="쉼표 [0] 2 7 2 6 3" xfId="14240"/>
    <cellStyle name="쉼표 [0] 2 7 2 6 3 2" xfId="30944"/>
    <cellStyle name="쉼표 [0] 2 7 2 6 4" xfId="19808"/>
    <cellStyle name="쉼표 [0] 2 7 2 7" xfId="5888"/>
    <cellStyle name="쉼표 [0] 2 7 2 7 2" xfId="22592"/>
    <cellStyle name="쉼표 [0] 2 7 2 8" xfId="11456"/>
    <cellStyle name="쉼표 [0] 2 7 2 8 2" xfId="28160"/>
    <cellStyle name="쉼표 [0] 2 7 2 9" xfId="17024"/>
    <cellStyle name="쉼표 [0] 2 7 3" xfId="436"/>
    <cellStyle name="쉼표 [0] 2 7 3 2" xfId="1132"/>
    <cellStyle name="쉼표 [0] 2 7 3 2 2" xfId="2524"/>
    <cellStyle name="쉼표 [0] 2 7 3 2 2 2" xfId="5308"/>
    <cellStyle name="쉼표 [0] 2 7 3 2 2 2 2" xfId="10876"/>
    <cellStyle name="쉼표 [0] 2 7 3 2 2 2 2 2" xfId="27580"/>
    <cellStyle name="쉼표 [0] 2 7 3 2 2 2 3" xfId="16444"/>
    <cellStyle name="쉼표 [0] 2 7 3 2 2 2 3 2" xfId="33148"/>
    <cellStyle name="쉼표 [0] 2 7 3 2 2 2 4" xfId="22012"/>
    <cellStyle name="쉼표 [0] 2 7 3 2 2 3" xfId="8092"/>
    <cellStyle name="쉼표 [0] 2 7 3 2 2 3 2" xfId="24796"/>
    <cellStyle name="쉼표 [0] 2 7 3 2 2 4" xfId="13660"/>
    <cellStyle name="쉼표 [0] 2 7 3 2 2 4 2" xfId="30364"/>
    <cellStyle name="쉼표 [0] 2 7 3 2 2 5" xfId="19228"/>
    <cellStyle name="쉼표 [0] 2 7 3 2 3" xfId="3916"/>
    <cellStyle name="쉼표 [0] 2 7 3 2 3 2" xfId="9484"/>
    <cellStyle name="쉼표 [0] 2 7 3 2 3 2 2" xfId="26188"/>
    <cellStyle name="쉼표 [0] 2 7 3 2 3 3" xfId="15052"/>
    <cellStyle name="쉼표 [0] 2 7 3 2 3 3 2" xfId="31756"/>
    <cellStyle name="쉼표 [0] 2 7 3 2 3 4" xfId="20620"/>
    <cellStyle name="쉼표 [0] 2 7 3 2 4" xfId="6700"/>
    <cellStyle name="쉼표 [0] 2 7 3 2 4 2" xfId="23404"/>
    <cellStyle name="쉼표 [0] 2 7 3 2 5" xfId="12268"/>
    <cellStyle name="쉼표 [0] 2 7 3 2 5 2" xfId="28972"/>
    <cellStyle name="쉼표 [0] 2 7 3 2 6" xfId="17836"/>
    <cellStyle name="쉼표 [0] 2 7 3 3" xfId="1828"/>
    <cellStyle name="쉼표 [0] 2 7 3 3 2" xfId="4612"/>
    <cellStyle name="쉼표 [0] 2 7 3 3 2 2" xfId="10180"/>
    <cellStyle name="쉼표 [0] 2 7 3 3 2 2 2" xfId="26884"/>
    <cellStyle name="쉼표 [0] 2 7 3 3 2 3" xfId="15748"/>
    <cellStyle name="쉼표 [0] 2 7 3 3 2 3 2" xfId="32452"/>
    <cellStyle name="쉼표 [0] 2 7 3 3 2 4" xfId="21316"/>
    <cellStyle name="쉼표 [0] 2 7 3 3 3" xfId="7396"/>
    <cellStyle name="쉼표 [0] 2 7 3 3 3 2" xfId="24100"/>
    <cellStyle name="쉼표 [0] 2 7 3 3 4" xfId="12964"/>
    <cellStyle name="쉼표 [0] 2 7 3 3 4 2" xfId="29668"/>
    <cellStyle name="쉼표 [0] 2 7 3 3 5" xfId="18532"/>
    <cellStyle name="쉼표 [0] 2 7 3 4" xfId="3220"/>
    <cellStyle name="쉼표 [0] 2 7 3 4 2" xfId="8788"/>
    <cellStyle name="쉼표 [0] 2 7 3 4 2 2" xfId="25492"/>
    <cellStyle name="쉼표 [0] 2 7 3 4 3" xfId="14356"/>
    <cellStyle name="쉼표 [0] 2 7 3 4 3 2" xfId="31060"/>
    <cellStyle name="쉼표 [0] 2 7 3 4 4" xfId="19924"/>
    <cellStyle name="쉼표 [0] 2 7 3 5" xfId="6004"/>
    <cellStyle name="쉼표 [0] 2 7 3 5 2" xfId="22708"/>
    <cellStyle name="쉼표 [0] 2 7 3 6" xfId="11572"/>
    <cellStyle name="쉼표 [0] 2 7 3 6 2" xfId="28276"/>
    <cellStyle name="쉼표 [0] 2 7 3 7" xfId="17140"/>
    <cellStyle name="쉼표 [0] 2 7 4" xfId="668"/>
    <cellStyle name="쉼표 [0] 2 7 4 2" xfId="1364"/>
    <cellStyle name="쉼표 [0] 2 7 4 2 2" xfId="2756"/>
    <cellStyle name="쉼표 [0] 2 7 4 2 2 2" xfId="5540"/>
    <cellStyle name="쉼표 [0] 2 7 4 2 2 2 2" xfId="11108"/>
    <cellStyle name="쉼표 [0] 2 7 4 2 2 2 2 2" xfId="27812"/>
    <cellStyle name="쉼표 [0] 2 7 4 2 2 2 3" xfId="16676"/>
    <cellStyle name="쉼표 [0] 2 7 4 2 2 2 3 2" xfId="33380"/>
    <cellStyle name="쉼표 [0] 2 7 4 2 2 2 4" xfId="22244"/>
    <cellStyle name="쉼표 [0] 2 7 4 2 2 3" xfId="8324"/>
    <cellStyle name="쉼표 [0] 2 7 4 2 2 3 2" xfId="25028"/>
    <cellStyle name="쉼표 [0] 2 7 4 2 2 4" xfId="13892"/>
    <cellStyle name="쉼표 [0] 2 7 4 2 2 4 2" xfId="30596"/>
    <cellStyle name="쉼표 [0] 2 7 4 2 2 5" xfId="19460"/>
    <cellStyle name="쉼표 [0] 2 7 4 2 3" xfId="4148"/>
    <cellStyle name="쉼표 [0] 2 7 4 2 3 2" xfId="9716"/>
    <cellStyle name="쉼표 [0] 2 7 4 2 3 2 2" xfId="26420"/>
    <cellStyle name="쉼표 [0] 2 7 4 2 3 3" xfId="15284"/>
    <cellStyle name="쉼표 [0] 2 7 4 2 3 3 2" xfId="31988"/>
    <cellStyle name="쉼표 [0] 2 7 4 2 3 4" xfId="20852"/>
    <cellStyle name="쉼표 [0] 2 7 4 2 4" xfId="6932"/>
    <cellStyle name="쉼표 [0] 2 7 4 2 4 2" xfId="23636"/>
    <cellStyle name="쉼표 [0] 2 7 4 2 5" xfId="12500"/>
    <cellStyle name="쉼표 [0] 2 7 4 2 5 2" xfId="29204"/>
    <cellStyle name="쉼표 [0] 2 7 4 2 6" xfId="18068"/>
    <cellStyle name="쉼표 [0] 2 7 4 3" xfId="2060"/>
    <cellStyle name="쉼표 [0] 2 7 4 3 2" xfId="4844"/>
    <cellStyle name="쉼표 [0] 2 7 4 3 2 2" xfId="10412"/>
    <cellStyle name="쉼표 [0] 2 7 4 3 2 2 2" xfId="27116"/>
    <cellStyle name="쉼표 [0] 2 7 4 3 2 3" xfId="15980"/>
    <cellStyle name="쉼표 [0] 2 7 4 3 2 3 2" xfId="32684"/>
    <cellStyle name="쉼표 [0] 2 7 4 3 2 4" xfId="21548"/>
    <cellStyle name="쉼표 [0] 2 7 4 3 3" xfId="7628"/>
    <cellStyle name="쉼표 [0] 2 7 4 3 3 2" xfId="24332"/>
    <cellStyle name="쉼표 [0] 2 7 4 3 4" xfId="13196"/>
    <cellStyle name="쉼표 [0] 2 7 4 3 4 2" xfId="29900"/>
    <cellStyle name="쉼표 [0] 2 7 4 3 5" xfId="18764"/>
    <cellStyle name="쉼표 [0] 2 7 4 4" xfId="3452"/>
    <cellStyle name="쉼표 [0] 2 7 4 4 2" xfId="9020"/>
    <cellStyle name="쉼표 [0] 2 7 4 4 2 2" xfId="25724"/>
    <cellStyle name="쉼표 [0] 2 7 4 4 3" xfId="14588"/>
    <cellStyle name="쉼표 [0] 2 7 4 4 3 2" xfId="31292"/>
    <cellStyle name="쉼표 [0] 2 7 4 4 4" xfId="20156"/>
    <cellStyle name="쉼표 [0] 2 7 4 5" xfId="6236"/>
    <cellStyle name="쉼표 [0] 2 7 4 5 2" xfId="22940"/>
    <cellStyle name="쉼표 [0] 2 7 4 6" xfId="11804"/>
    <cellStyle name="쉼표 [0] 2 7 4 6 2" xfId="28508"/>
    <cellStyle name="쉼표 [0] 2 7 4 7" xfId="17372"/>
    <cellStyle name="쉼표 [0] 2 7 5" xfId="900"/>
    <cellStyle name="쉼표 [0] 2 7 5 2" xfId="2292"/>
    <cellStyle name="쉼표 [0] 2 7 5 2 2" xfId="5076"/>
    <cellStyle name="쉼표 [0] 2 7 5 2 2 2" xfId="10644"/>
    <cellStyle name="쉼표 [0] 2 7 5 2 2 2 2" xfId="27348"/>
    <cellStyle name="쉼표 [0] 2 7 5 2 2 3" xfId="16212"/>
    <cellStyle name="쉼표 [0] 2 7 5 2 2 3 2" xfId="32916"/>
    <cellStyle name="쉼표 [0] 2 7 5 2 2 4" xfId="21780"/>
    <cellStyle name="쉼표 [0] 2 7 5 2 3" xfId="7860"/>
    <cellStyle name="쉼표 [0] 2 7 5 2 3 2" xfId="24564"/>
    <cellStyle name="쉼표 [0] 2 7 5 2 4" xfId="13428"/>
    <cellStyle name="쉼표 [0] 2 7 5 2 4 2" xfId="30132"/>
    <cellStyle name="쉼표 [0] 2 7 5 2 5" xfId="18996"/>
    <cellStyle name="쉼표 [0] 2 7 5 3" xfId="3684"/>
    <cellStyle name="쉼표 [0] 2 7 5 3 2" xfId="9252"/>
    <cellStyle name="쉼표 [0] 2 7 5 3 2 2" xfId="25956"/>
    <cellStyle name="쉼표 [0] 2 7 5 3 3" xfId="14820"/>
    <cellStyle name="쉼표 [0] 2 7 5 3 3 2" xfId="31524"/>
    <cellStyle name="쉼표 [0] 2 7 5 3 4" xfId="20388"/>
    <cellStyle name="쉼표 [0] 2 7 5 4" xfId="6468"/>
    <cellStyle name="쉼표 [0] 2 7 5 4 2" xfId="23172"/>
    <cellStyle name="쉼표 [0] 2 7 5 5" xfId="12036"/>
    <cellStyle name="쉼표 [0] 2 7 5 5 2" xfId="28740"/>
    <cellStyle name="쉼표 [0] 2 7 5 6" xfId="17604"/>
    <cellStyle name="쉼표 [0] 2 7 6" xfId="1596"/>
    <cellStyle name="쉼표 [0] 2 7 6 2" xfId="4380"/>
    <cellStyle name="쉼표 [0] 2 7 6 2 2" xfId="9948"/>
    <cellStyle name="쉼표 [0] 2 7 6 2 2 2" xfId="26652"/>
    <cellStyle name="쉼표 [0] 2 7 6 2 3" xfId="15516"/>
    <cellStyle name="쉼표 [0] 2 7 6 2 3 2" xfId="32220"/>
    <cellStyle name="쉼표 [0] 2 7 6 2 4" xfId="21084"/>
    <cellStyle name="쉼표 [0] 2 7 6 3" xfId="7164"/>
    <cellStyle name="쉼표 [0] 2 7 6 3 2" xfId="23868"/>
    <cellStyle name="쉼표 [0] 2 7 6 4" xfId="12732"/>
    <cellStyle name="쉼표 [0] 2 7 6 4 2" xfId="29436"/>
    <cellStyle name="쉼표 [0] 2 7 6 5" xfId="18300"/>
    <cellStyle name="쉼표 [0] 2 7 7" xfId="2988"/>
    <cellStyle name="쉼표 [0] 2 7 7 2" xfId="8556"/>
    <cellStyle name="쉼표 [0] 2 7 7 2 2" xfId="25260"/>
    <cellStyle name="쉼표 [0] 2 7 7 3" xfId="14124"/>
    <cellStyle name="쉼표 [0] 2 7 7 3 2" xfId="30828"/>
    <cellStyle name="쉼표 [0] 2 7 7 4" xfId="19692"/>
    <cellStyle name="쉼표 [0] 2 7 8" xfId="5772"/>
    <cellStyle name="쉼표 [0] 2 7 8 2" xfId="22476"/>
    <cellStyle name="쉼표 [0] 2 7 9" xfId="11340"/>
    <cellStyle name="쉼표 [0] 2 7 9 2" xfId="28044"/>
    <cellStyle name="쉼표 [0] 2 8" xfId="262"/>
    <cellStyle name="쉼표 [0] 2 8 2" xfId="494"/>
    <cellStyle name="쉼표 [0] 2 8 2 2" xfId="1190"/>
    <cellStyle name="쉼표 [0] 2 8 2 2 2" xfId="2582"/>
    <cellStyle name="쉼표 [0] 2 8 2 2 2 2" xfId="5366"/>
    <cellStyle name="쉼표 [0] 2 8 2 2 2 2 2" xfId="10934"/>
    <cellStyle name="쉼표 [0] 2 8 2 2 2 2 2 2" xfId="27638"/>
    <cellStyle name="쉼표 [0] 2 8 2 2 2 2 3" xfId="16502"/>
    <cellStyle name="쉼표 [0] 2 8 2 2 2 2 3 2" xfId="33206"/>
    <cellStyle name="쉼표 [0] 2 8 2 2 2 2 4" xfId="22070"/>
    <cellStyle name="쉼표 [0] 2 8 2 2 2 3" xfId="8150"/>
    <cellStyle name="쉼표 [0] 2 8 2 2 2 3 2" xfId="24854"/>
    <cellStyle name="쉼표 [0] 2 8 2 2 2 4" xfId="13718"/>
    <cellStyle name="쉼표 [0] 2 8 2 2 2 4 2" xfId="30422"/>
    <cellStyle name="쉼표 [0] 2 8 2 2 2 5" xfId="19286"/>
    <cellStyle name="쉼표 [0] 2 8 2 2 3" xfId="3974"/>
    <cellStyle name="쉼표 [0] 2 8 2 2 3 2" xfId="9542"/>
    <cellStyle name="쉼표 [0] 2 8 2 2 3 2 2" xfId="26246"/>
    <cellStyle name="쉼표 [0] 2 8 2 2 3 3" xfId="15110"/>
    <cellStyle name="쉼표 [0] 2 8 2 2 3 3 2" xfId="31814"/>
    <cellStyle name="쉼표 [0] 2 8 2 2 3 4" xfId="20678"/>
    <cellStyle name="쉼표 [0] 2 8 2 2 4" xfId="6758"/>
    <cellStyle name="쉼표 [0] 2 8 2 2 4 2" xfId="23462"/>
    <cellStyle name="쉼표 [0] 2 8 2 2 5" xfId="12326"/>
    <cellStyle name="쉼표 [0] 2 8 2 2 5 2" xfId="29030"/>
    <cellStyle name="쉼표 [0] 2 8 2 2 6" xfId="17894"/>
    <cellStyle name="쉼표 [0] 2 8 2 3" xfId="1886"/>
    <cellStyle name="쉼표 [0] 2 8 2 3 2" xfId="4670"/>
    <cellStyle name="쉼표 [0] 2 8 2 3 2 2" xfId="10238"/>
    <cellStyle name="쉼표 [0] 2 8 2 3 2 2 2" xfId="26942"/>
    <cellStyle name="쉼표 [0] 2 8 2 3 2 3" xfId="15806"/>
    <cellStyle name="쉼표 [0] 2 8 2 3 2 3 2" xfId="32510"/>
    <cellStyle name="쉼표 [0] 2 8 2 3 2 4" xfId="21374"/>
    <cellStyle name="쉼표 [0] 2 8 2 3 3" xfId="7454"/>
    <cellStyle name="쉼표 [0] 2 8 2 3 3 2" xfId="24158"/>
    <cellStyle name="쉼표 [0] 2 8 2 3 4" xfId="13022"/>
    <cellStyle name="쉼표 [0] 2 8 2 3 4 2" xfId="29726"/>
    <cellStyle name="쉼표 [0] 2 8 2 3 5" xfId="18590"/>
    <cellStyle name="쉼표 [0] 2 8 2 4" xfId="3278"/>
    <cellStyle name="쉼표 [0] 2 8 2 4 2" xfId="8846"/>
    <cellStyle name="쉼표 [0] 2 8 2 4 2 2" xfId="25550"/>
    <cellStyle name="쉼표 [0] 2 8 2 4 3" xfId="14414"/>
    <cellStyle name="쉼표 [0] 2 8 2 4 3 2" xfId="31118"/>
    <cellStyle name="쉼표 [0] 2 8 2 4 4" xfId="19982"/>
    <cellStyle name="쉼표 [0] 2 8 2 5" xfId="6062"/>
    <cellStyle name="쉼표 [0] 2 8 2 5 2" xfId="22766"/>
    <cellStyle name="쉼표 [0] 2 8 2 6" xfId="11630"/>
    <cellStyle name="쉼표 [0] 2 8 2 6 2" xfId="28334"/>
    <cellStyle name="쉼표 [0] 2 8 2 7" xfId="17198"/>
    <cellStyle name="쉼표 [0] 2 8 3" xfId="726"/>
    <cellStyle name="쉼표 [0] 2 8 3 2" xfId="1422"/>
    <cellStyle name="쉼표 [0] 2 8 3 2 2" xfId="2814"/>
    <cellStyle name="쉼표 [0] 2 8 3 2 2 2" xfId="5598"/>
    <cellStyle name="쉼표 [0] 2 8 3 2 2 2 2" xfId="11166"/>
    <cellStyle name="쉼표 [0] 2 8 3 2 2 2 2 2" xfId="27870"/>
    <cellStyle name="쉼표 [0] 2 8 3 2 2 2 3" xfId="16734"/>
    <cellStyle name="쉼표 [0] 2 8 3 2 2 2 3 2" xfId="33438"/>
    <cellStyle name="쉼표 [0] 2 8 3 2 2 2 4" xfId="22302"/>
    <cellStyle name="쉼표 [0] 2 8 3 2 2 3" xfId="8382"/>
    <cellStyle name="쉼표 [0] 2 8 3 2 2 3 2" xfId="25086"/>
    <cellStyle name="쉼표 [0] 2 8 3 2 2 4" xfId="13950"/>
    <cellStyle name="쉼표 [0] 2 8 3 2 2 4 2" xfId="30654"/>
    <cellStyle name="쉼표 [0] 2 8 3 2 2 5" xfId="19518"/>
    <cellStyle name="쉼표 [0] 2 8 3 2 3" xfId="4206"/>
    <cellStyle name="쉼표 [0] 2 8 3 2 3 2" xfId="9774"/>
    <cellStyle name="쉼표 [0] 2 8 3 2 3 2 2" xfId="26478"/>
    <cellStyle name="쉼표 [0] 2 8 3 2 3 3" xfId="15342"/>
    <cellStyle name="쉼표 [0] 2 8 3 2 3 3 2" xfId="32046"/>
    <cellStyle name="쉼표 [0] 2 8 3 2 3 4" xfId="20910"/>
    <cellStyle name="쉼표 [0] 2 8 3 2 4" xfId="6990"/>
    <cellStyle name="쉼표 [0] 2 8 3 2 4 2" xfId="23694"/>
    <cellStyle name="쉼표 [0] 2 8 3 2 5" xfId="12558"/>
    <cellStyle name="쉼표 [0] 2 8 3 2 5 2" xfId="29262"/>
    <cellStyle name="쉼표 [0] 2 8 3 2 6" xfId="18126"/>
    <cellStyle name="쉼표 [0] 2 8 3 3" xfId="2118"/>
    <cellStyle name="쉼표 [0] 2 8 3 3 2" xfId="4902"/>
    <cellStyle name="쉼표 [0] 2 8 3 3 2 2" xfId="10470"/>
    <cellStyle name="쉼표 [0] 2 8 3 3 2 2 2" xfId="27174"/>
    <cellStyle name="쉼표 [0] 2 8 3 3 2 3" xfId="16038"/>
    <cellStyle name="쉼표 [0] 2 8 3 3 2 3 2" xfId="32742"/>
    <cellStyle name="쉼표 [0] 2 8 3 3 2 4" xfId="21606"/>
    <cellStyle name="쉼표 [0] 2 8 3 3 3" xfId="7686"/>
    <cellStyle name="쉼표 [0] 2 8 3 3 3 2" xfId="24390"/>
    <cellStyle name="쉼표 [0] 2 8 3 3 4" xfId="13254"/>
    <cellStyle name="쉼표 [0] 2 8 3 3 4 2" xfId="29958"/>
    <cellStyle name="쉼표 [0] 2 8 3 3 5" xfId="18822"/>
    <cellStyle name="쉼표 [0] 2 8 3 4" xfId="3510"/>
    <cellStyle name="쉼표 [0] 2 8 3 4 2" xfId="9078"/>
    <cellStyle name="쉼표 [0] 2 8 3 4 2 2" xfId="25782"/>
    <cellStyle name="쉼표 [0] 2 8 3 4 3" xfId="14646"/>
    <cellStyle name="쉼표 [0] 2 8 3 4 3 2" xfId="31350"/>
    <cellStyle name="쉼표 [0] 2 8 3 4 4" xfId="20214"/>
    <cellStyle name="쉼표 [0] 2 8 3 5" xfId="6294"/>
    <cellStyle name="쉼표 [0] 2 8 3 5 2" xfId="22998"/>
    <cellStyle name="쉼표 [0] 2 8 3 6" xfId="11862"/>
    <cellStyle name="쉼표 [0] 2 8 3 6 2" xfId="28566"/>
    <cellStyle name="쉼표 [0] 2 8 3 7" xfId="17430"/>
    <cellStyle name="쉼표 [0] 2 8 4" xfId="958"/>
    <cellStyle name="쉼표 [0] 2 8 4 2" xfId="2350"/>
    <cellStyle name="쉼표 [0] 2 8 4 2 2" xfId="5134"/>
    <cellStyle name="쉼표 [0] 2 8 4 2 2 2" xfId="10702"/>
    <cellStyle name="쉼표 [0] 2 8 4 2 2 2 2" xfId="27406"/>
    <cellStyle name="쉼표 [0] 2 8 4 2 2 3" xfId="16270"/>
    <cellStyle name="쉼표 [0] 2 8 4 2 2 3 2" xfId="32974"/>
    <cellStyle name="쉼표 [0] 2 8 4 2 2 4" xfId="21838"/>
    <cellStyle name="쉼표 [0] 2 8 4 2 3" xfId="7918"/>
    <cellStyle name="쉼표 [0] 2 8 4 2 3 2" xfId="24622"/>
    <cellStyle name="쉼표 [0] 2 8 4 2 4" xfId="13486"/>
    <cellStyle name="쉼표 [0] 2 8 4 2 4 2" xfId="30190"/>
    <cellStyle name="쉼표 [0] 2 8 4 2 5" xfId="19054"/>
    <cellStyle name="쉼표 [0] 2 8 4 3" xfId="3742"/>
    <cellStyle name="쉼표 [0] 2 8 4 3 2" xfId="9310"/>
    <cellStyle name="쉼표 [0] 2 8 4 3 2 2" xfId="26014"/>
    <cellStyle name="쉼표 [0] 2 8 4 3 3" xfId="14878"/>
    <cellStyle name="쉼표 [0] 2 8 4 3 3 2" xfId="31582"/>
    <cellStyle name="쉼표 [0] 2 8 4 3 4" xfId="20446"/>
    <cellStyle name="쉼표 [0] 2 8 4 4" xfId="6526"/>
    <cellStyle name="쉼표 [0] 2 8 4 4 2" xfId="23230"/>
    <cellStyle name="쉼표 [0] 2 8 4 5" xfId="12094"/>
    <cellStyle name="쉼표 [0] 2 8 4 5 2" xfId="28798"/>
    <cellStyle name="쉼표 [0] 2 8 4 6" xfId="17662"/>
    <cellStyle name="쉼표 [0] 2 8 5" xfId="1654"/>
    <cellStyle name="쉼표 [0] 2 8 5 2" xfId="4438"/>
    <cellStyle name="쉼표 [0] 2 8 5 2 2" xfId="10006"/>
    <cellStyle name="쉼표 [0] 2 8 5 2 2 2" xfId="26710"/>
    <cellStyle name="쉼표 [0] 2 8 5 2 3" xfId="15574"/>
    <cellStyle name="쉼표 [0] 2 8 5 2 3 2" xfId="32278"/>
    <cellStyle name="쉼표 [0] 2 8 5 2 4" xfId="21142"/>
    <cellStyle name="쉼표 [0] 2 8 5 3" xfId="7222"/>
    <cellStyle name="쉼표 [0] 2 8 5 3 2" xfId="23926"/>
    <cellStyle name="쉼표 [0] 2 8 5 4" xfId="12790"/>
    <cellStyle name="쉼표 [0] 2 8 5 4 2" xfId="29494"/>
    <cellStyle name="쉼표 [0] 2 8 5 5" xfId="18358"/>
    <cellStyle name="쉼표 [0] 2 8 6" xfId="3046"/>
    <cellStyle name="쉼표 [0] 2 8 6 2" xfId="8614"/>
    <cellStyle name="쉼표 [0] 2 8 6 2 2" xfId="25318"/>
    <cellStyle name="쉼표 [0] 2 8 6 3" xfId="14182"/>
    <cellStyle name="쉼표 [0] 2 8 6 3 2" xfId="30886"/>
    <cellStyle name="쉼표 [0] 2 8 6 4" xfId="19750"/>
    <cellStyle name="쉼표 [0] 2 8 7" xfId="5830"/>
    <cellStyle name="쉼표 [0] 2 8 7 2" xfId="22534"/>
    <cellStyle name="쉼표 [0] 2 8 8" xfId="11398"/>
    <cellStyle name="쉼표 [0] 2 8 8 2" xfId="28102"/>
    <cellStyle name="쉼표 [0] 2 8 9" xfId="16966"/>
    <cellStyle name="쉼표 [0] 2 9" xfId="378"/>
    <cellStyle name="쉼표 [0] 2 9 2" xfId="1074"/>
    <cellStyle name="쉼표 [0] 2 9 2 2" xfId="2466"/>
    <cellStyle name="쉼표 [0] 2 9 2 2 2" xfId="5250"/>
    <cellStyle name="쉼표 [0] 2 9 2 2 2 2" xfId="10818"/>
    <cellStyle name="쉼표 [0] 2 9 2 2 2 2 2" xfId="27522"/>
    <cellStyle name="쉼표 [0] 2 9 2 2 2 3" xfId="16386"/>
    <cellStyle name="쉼표 [0] 2 9 2 2 2 3 2" xfId="33090"/>
    <cellStyle name="쉼표 [0] 2 9 2 2 2 4" xfId="21954"/>
    <cellStyle name="쉼표 [0] 2 9 2 2 3" xfId="8034"/>
    <cellStyle name="쉼표 [0] 2 9 2 2 3 2" xfId="24738"/>
    <cellStyle name="쉼표 [0] 2 9 2 2 4" xfId="13602"/>
    <cellStyle name="쉼표 [0] 2 9 2 2 4 2" xfId="30306"/>
    <cellStyle name="쉼표 [0] 2 9 2 2 5" xfId="19170"/>
    <cellStyle name="쉼표 [0] 2 9 2 3" xfId="3858"/>
    <cellStyle name="쉼표 [0] 2 9 2 3 2" xfId="9426"/>
    <cellStyle name="쉼표 [0] 2 9 2 3 2 2" xfId="26130"/>
    <cellStyle name="쉼표 [0] 2 9 2 3 3" xfId="14994"/>
    <cellStyle name="쉼표 [0] 2 9 2 3 3 2" xfId="31698"/>
    <cellStyle name="쉼표 [0] 2 9 2 3 4" xfId="20562"/>
    <cellStyle name="쉼표 [0] 2 9 2 4" xfId="6642"/>
    <cellStyle name="쉼표 [0] 2 9 2 4 2" xfId="23346"/>
    <cellStyle name="쉼표 [0] 2 9 2 5" xfId="12210"/>
    <cellStyle name="쉼표 [0] 2 9 2 5 2" xfId="28914"/>
    <cellStyle name="쉼표 [0] 2 9 2 6" xfId="17778"/>
    <cellStyle name="쉼표 [0] 2 9 3" xfId="1770"/>
    <cellStyle name="쉼표 [0] 2 9 3 2" xfId="4554"/>
    <cellStyle name="쉼표 [0] 2 9 3 2 2" xfId="10122"/>
    <cellStyle name="쉼표 [0] 2 9 3 2 2 2" xfId="26826"/>
    <cellStyle name="쉼표 [0] 2 9 3 2 3" xfId="15690"/>
    <cellStyle name="쉼표 [0] 2 9 3 2 3 2" xfId="32394"/>
    <cellStyle name="쉼표 [0] 2 9 3 2 4" xfId="21258"/>
    <cellStyle name="쉼표 [0] 2 9 3 3" xfId="7338"/>
    <cellStyle name="쉼표 [0] 2 9 3 3 2" xfId="24042"/>
    <cellStyle name="쉼표 [0] 2 9 3 4" xfId="12906"/>
    <cellStyle name="쉼표 [0] 2 9 3 4 2" xfId="29610"/>
    <cellStyle name="쉼표 [0] 2 9 3 5" xfId="18474"/>
    <cellStyle name="쉼표 [0] 2 9 4" xfId="3162"/>
    <cellStyle name="쉼표 [0] 2 9 4 2" xfId="8730"/>
    <cellStyle name="쉼표 [0] 2 9 4 2 2" xfId="25434"/>
    <cellStyle name="쉼표 [0] 2 9 4 3" xfId="14298"/>
    <cellStyle name="쉼표 [0] 2 9 4 3 2" xfId="31002"/>
    <cellStyle name="쉼표 [0] 2 9 4 4" xfId="19866"/>
    <cellStyle name="쉼표 [0] 2 9 5" xfId="5946"/>
    <cellStyle name="쉼표 [0] 2 9 5 2" xfId="22650"/>
    <cellStyle name="쉼표 [0] 2 9 6" xfId="11514"/>
    <cellStyle name="쉼표 [0] 2 9 6 2" xfId="28218"/>
    <cellStyle name="쉼표 [0] 2 9 7" xfId="17082"/>
    <cellStyle name="쉼표 [0] 3" xfId="112"/>
    <cellStyle name="쉼표 [0] 3 10" xfId="2937"/>
    <cellStyle name="쉼표 [0] 3 10 2" xfId="8505"/>
    <cellStyle name="쉼표 [0] 3 10 2 2" xfId="25209"/>
    <cellStyle name="쉼표 [0] 3 10 3" xfId="14073"/>
    <cellStyle name="쉼표 [0] 3 10 3 2" xfId="30777"/>
    <cellStyle name="쉼표 [0] 3 10 4" xfId="19641"/>
    <cellStyle name="쉼표 [0] 3 11" xfId="5721"/>
    <cellStyle name="쉼표 [0] 3 11 2" xfId="22425"/>
    <cellStyle name="쉼표 [0] 3 12" xfId="11289"/>
    <cellStyle name="쉼표 [0] 3 12 2" xfId="27993"/>
    <cellStyle name="쉼표 [0] 3 13" xfId="16857"/>
    <cellStyle name="쉼표 [0] 3 2" xfId="113"/>
    <cellStyle name="쉼표 [0] 3 2 10" xfId="5722"/>
    <cellStyle name="쉼표 [0] 3 2 10 2" xfId="22426"/>
    <cellStyle name="쉼표 [0] 3 2 11" xfId="11290"/>
    <cellStyle name="쉼표 [0] 3 2 11 2" xfId="27994"/>
    <cellStyle name="쉼표 [0] 3 2 12" xfId="16858"/>
    <cellStyle name="쉼표 [0] 3 2 2" xfId="183"/>
    <cellStyle name="쉼표 [0] 3 2 2 10" xfId="11319"/>
    <cellStyle name="쉼표 [0] 3 2 2 10 2" xfId="28023"/>
    <cellStyle name="쉼표 [0] 3 2 2 11" xfId="16887"/>
    <cellStyle name="쉼표 [0] 3 2 2 2" xfId="241"/>
    <cellStyle name="쉼표 [0] 3 2 2 2 10" xfId="16945"/>
    <cellStyle name="쉼표 [0] 3 2 2 2 2" xfId="357"/>
    <cellStyle name="쉼표 [0] 3 2 2 2 2 2" xfId="589"/>
    <cellStyle name="쉼표 [0] 3 2 2 2 2 2 2" xfId="1285"/>
    <cellStyle name="쉼표 [0] 3 2 2 2 2 2 2 2" xfId="2677"/>
    <cellStyle name="쉼표 [0] 3 2 2 2 2 2 2 2 2" xfId="5461"/>
    <cellStyle name="쉼표 [0] 3 2 2 2 2 2 2 2 2 2" xfId="11029"/>
    <cellStyle name="쉼표 [0] 3 2 2 2 2 2 2 2 2 2 2" xfId="27733"/>
    <cellStyle name="쉼표 [0] 3 2 2 2 2 2 2 2 2 3" xfId="16597"/>
    <cellStyle name="쉼표 [0] 3 2 2 2 2 2 2 2 2 3 2" xfId="33301"/>
    <cellStyle name="쉼표 [0] 3 2 2 2 2 2 2 2 2 4" xfId="22165"/>
    <cellStyle name="쉼표 [0] 3 2 2 2 2 2 2 2 3" xfId="8245"/>
    <cellStyle name="쉼표 [0] 3 2 2 2 2 2 2 2 3 2" xfId="24949"/>
    <cellStyle name="쉼표 [0] 3 2 2 2 2 2 2 2 4" xfId="13813"/>
    <cellStyle name="쉼표 [0] 3 2 2 2 2 2 2 2 4 2" xfId="30517"/>
    <cellStyle name="쉼표 [0] 3 2 2 2 2 2 2 2 5" xfId="19381"/>
    <cellStyle name="쉼표 [0] 3 2 2 2 2 2 2 3" xfId="4069"/>
    <cellStyle name="쉼표 [0] 3 2 2 2 2 2 2 3 2" xfId="9637"/>
    <cellStyle name="쉼표 [0] 3 2 2 2 2 2 2 3 2 2" xfId="26341"/>
    <cellStyle name="쉼표 [0] 3 2 2 2 2 2 2 3 3" xfId="15205"/>
    <cellStyle name="쉼표 [0] 3 2 2 2 2 2 2 3 3 2" xfId="31909"/>
    <cellStyle name="쉼표 [0] 3 2 2 2 2 2 2 3 4" xfId="20773"/>
    <cellStyle name="쉼표 [0] 3 2 2 2 2 2 2 4" xfId="6853"/>
    <cellStyle name="쉼표 [0] 3 2 2 2 2 2 2 4 2" xfId="23557"/>
    <cellStyle name="쉼표 [0] 3 2 2 2 2 2 2 5" xfId="12421"/>
    <cellStyle name="쉼표 [0] 3 2 2 2 2 2 2 5 2" xfId="29125"/>
    <cellStyle name="쉼표 [0] 3 2 2 2 2 2 2 6" xfId="17989"/>
    <cellStyle name="쉼표 [0] 3 2 2 2 2 2 3" xfId="1981"/>
    <cellStyle name="쉼표 [0] 3 2 2 2 2 2 3 2" xfId="4765"/>
    <cellStyle name="쉼표 [0] 3 2 2 2 2 2 3 2 2" xfId="10333"/>
    <cellStyle name="쉼표 [0] 3 2 2 2 2 2 3 2 2 2" xfId="27037"/>
    <cellStyle name="쉼표 [0] 3 2 2 2 2 2 3 2 3" xfId="15901"/>
    <cellStyle name="쉼표 [0] 3 2 2 2 2 2 3 2 3 2" xfId="32605"/>
    <cellStyle name="쉼표 [0] 3 2 2 2 2 2 3 2 4" xfId="21469"/>
    <cellStyle name="쉼표 [0] 3 2 2 2 2 2 3 3" xfId="7549"/>
    <cellStyle name="쉼표 [0] 3 2 2 2 2 2 3 3 2" xfId="24253"/>
    <cellStyle name="쉼표 [0] 3 2 2 2 2 2 3 4" xfId="13117"/>
    <cellStyle name="쉼표 [0] 3 2 2 2 2 2 3 4 2" xfId="29821"/>
    <cellStyle name="쉼표 [0] 3 2 2 2 2 2 3 5" xfId="18685"/>
    <cellStyle name="쉼표 [0] 3 2 2 2 2 2 4" xfId="3373"/>
    <cellStyle name="쉼표 [0] 3 2 2 2 2 2 4 2" xfId="8941"/>
    <cellStyle name="쉼표 [0] 3 2 2 2 2 2 4 2 2" xfId="25645"/>
    <cellStyle name="쉼표 [0] 3 2 2 2 2 2 4 3" xfId="14509"/>
    <cellStyle name="쉼표 [0] 3 2 2 2 2 2 4 3 2" xfId="31213"/>
    <cellStyle name="쉼표 [0] 3 2 2 2 2 2 4 4" xfId="20077"/>
    <cellStyle name="쉼표 [0] 3 2 2 2 2 2 5" xfId="6157"/>
    <cellStyle name="쉼표 [0] 3 2 2 2 2 2 5 2" xfId="22861"/>
    <cellStyle name="쉼표 [0] 3 2 2 2 2 2 6" xfId="11725"/>
    <cellStyle name="쉼표 [0] 3 2 2 2 2 2 6 2" xfId="28429"/>
    <cellStyle name="쉼표 [0] 3 2 2 2 2 2 7" xfId="17293"/>
    <cellStyle name="쉼표 [0] 3 2 2 2 2 3" xfId="821"/>
    <cellStyle name="쉼표 [0] 3 2 2 2 2 3 2" xfId="1517"/>
    <cellStyle name="쉼표 [0] 3 2 2 2 2 3 2 2" xfId="2909"/>
    <cellStyle name="쉼표 [0] 3 2 2 2 2 3 2 2 2" xfId="5693"/>
    <cellStyle name="쉼표 [0] 3 2 2 2 2 3 2 2 2 2" xfId="11261"/>
    <cellStyle name="쉼표 [0] 3 2 2 2 2 3 2 2 2 2 2" xfId="27965"/>
    <cellStyle name="쉼표 [0] 3 2 2 2 2 3 2 2 2 3" xfId="16829"/>
    <cellStyle name="쉼표 [0] 3 2 2 2 2 3 2 2 2 3 2" xfId="33533"/>
    <cellStyle name="쉼표 [0] 3 2 2 2 2 3 2 2 2 4" xfId="22397"/>
    <cellStyle name="쉼표 [0] 3 2 2 2 2 3 2 2 3" xfId="8477"/>
    <cellStyle name="쉼표 [0] 3 2 2 2 2 3 2 2 3 2" xfId="25181"/>
    <cellStyle name="쉼표 [0] 3 2 2 2 2 3 2 2 4" xfId="14045"/>
    <cellStyle name="쉼표 [0] 3 2 2 2 2 3 2 2 4 2" xfId="30749"/>
    <cellStyle name="쉼표 [0] 3 2 2 2 2 3 2 2 5" xfId="19613"/>
    <cellStyle name="쉼표 [0] 3 2 2 2 2 3 2 3" xfId="4301"/>
    <cellStyle name="쉼표 [0] 3 2 2 2 2 3 2 3 2" xfId="9869"/>
    <cellStyle name="쉼표 [0] 3 2 2 2 2 3 2 3 2 2" xfId="26573"/>
    <cellStyle name="쉼표 [0] 3 2 2 2 2 3 2 3 3" xfId="15437"/>
    <cellStyle name="쉼표 [0] 3 2 2 2 2 3 2 3 3 2" xfId="32141"/>
    <cellStyle name="쉼표 [0] 3 2 2 2 2 3 2 3 4" xfId="21005"/>
    <cellStyle name="쉼표 [0] 3 2 2 2 2 3 2 4" xfId="7085"/>
    <cellStyle name="쉼표 [0] 3 2 2 2 2 3 2 4 2" xfId="23789"/>
    <cellStyle name="쉼표 [0] 3 2 2 2 2 3 2 5" xfId="12653"/>
    <cellStyle name="쉼표 [0] 3 2 2 2 2 3 2 5 2" xfId="29357"/>
    <cellStyle name="쉼표 [0] 3 2 2 2 2 3 2 6" xfId="18221"/>
    <cellStyle name="쉼표 [0] 3 2 2 2 2 3 3" xfId="2213"/>
    <cellStyle name="쉼표 [0] 3 2 2 2 2 3 3 2" xfId="4997"/>
    <cellStyle name="쉼표 [0] 3 2 2 2 2 3 3 2 2" xfId="10565"/>
    <cellStyle name="쉼표 [0] 3 2 2 2 2 3 3 2 2 2" xfId="27269"/>
    <cellStyle name="쉼표 [0] 3 2 2 2 2 3 3 2 3" xfId="16133"/>
    <cellStyle name="쉼표 [0] 3 2 2 2 2 3 3 2 3 2" xfId="32837"/>
    <cellStyle name="쉼표 [0] 3 2 2 2 2 3 3 2 4" xfId="21701"/>
    <cellStyle name="쉼표 [0] 3 2 2 2 2 3 3 3" xfId="7781"/>
    <cellStyle name="쉼표 [0] 3 2 2 2 2 3 3 3 2" xfId="24485"/>
    <cellStyle name="쉼표 [0] 3 2 2 2 2 3 3 4" xfId="13349"/>
    <cellStyle name="쉼표 [0] 3 2 2 2 2 3 3 4 2" xfId="30053"/>
    <cellStyle name="쉼표 [0] 3 2 2 2 2 3 3 5" xfId="18917"/>
    <cellStyle name="쉼표 [0] 3 2 2 2 2 3 4" xfId="3605"/>
    <cellStyle name="쉼표 [0] 3 2 2 2 2 3 4 2" xfId="9173"/>
    <cellStyle name="쉼표 [0] 3 2 2 2 2 3 4 2 2" xfId="25877"/>
    <cellStyle name="쉼표 [0] 3 2 2 2 2 3 4 3" xfId="14741"/>
    <cellStyle name="쉼표 [0] 3 2 2 2 2 3 4 3 2" xfId="31445"/>
    <cellStyle name="쉼표 [0] 3 2 2 2 2 3 4 4" xfId="20309"/>
    <cellStyle name="쉼표 [0] 3 2 2 2 2 3 5" xfId="6389"/>
    <cellStyle name="쉼표 [0] 3 2 2 2 2 3 5 2" xfId="23093"/>
    <cellStyle name="쉼표 [0] 3 2 2 2 2 3 6" xfId="11957"/>
    <cellStyle name="쉼표 [0] 3 2 2 2 2 3 6 2" xfId="28661"/>
    <cellStyle name="쉼표 [0] 3 2 2 2 2 3 7" xfId="17525"/>
    <cellStyle name="쉼표 [0] 3 2 2 2 2 4" xfId="1053"/>
    <cellStyle name="쉼표 [0] 3 2 2 2 2 4 2" xfId="2445"/>
    <cellStyle name="쉼표 [0] 3 2 2 2 2 4 2 2" xfId="5229"/>
    <cellStyle name="쉼표 [0] 3 2 2 2 2 4 2 2 2" xfId="10797"/>
    <cellStyle name="쉼표 [0] 3 2 2 2 2 4 2 2 2 2" xfId="27501"/>
    <cellStyle name="쉼표 [0] 3 2 2 2 2 4 2 2 3" xfId="16365"/>
    <cellStyle name="쉼표 [0] 3 2 2 2 2 4 2 2 3 2" xfId="33069"/>
    <cellStyle name="쉼표 [0] 3 2 2 2 2 4 2 2 4" xfId="21933"/>
    <cellStyle name="쉼표 [0] 3 2 2 2 2 4 2 3" xfId="8013"/>
    <cellStyle name="쉼표 [0] 3 2 2 2 2 4 2 3 2" xfId="24717"/>
    <cellStyle name="쉼표 [0] 3 2 2 2 2 4 2 4" xfId="13581"/>
    <cellStyle name="쉼표 [0] 3 2 2 2 2 4 2 4 2" xfId="30285"/>
    <cellStyle name="쉼표 [0] 3 2 2 2 2 4 2 5" xfId="19149"/>
    <cellStyle name="쉼표 [0] 3 2 2 2 2 4 3" xfId="3837"/>
    <cellStyle name="쉼표 [0] 3 2 2 2 2 4 3 2" xfId="9405"/>
    <cellStyle name="쉼표 [0] 3 2 2 2 2 4 3 2 2" xfId="26109"/>
    <cellStyle name="쉼표 [0] 3 2 2 2 2 4 3 3" xfId="14973"/>
    <cellStyle name="쉼표 [0] 3 2 2 2 2 4 3 3 2" xfId="31677"/>
    <cellStyle name="쉼표 [0] 3 2 2 2 2 4 3 4" xfId="20541"/>
    <cellStyle name="쉼표 [0] 3 2 2 2 2 4 4" xfId="6621"/>
    <cellStyle name="쉼표 [0] 3 2 2 2 2 4 4 2" xfId="23325"/>
    <cellStyle name="쉼표 [0] 3 2 2 2 2 4 5" xfId="12189"/>
    <cellStyle name="쉼표 [0] 3 2 2 2 2 4 5 2" xfId="28893"/>
    <cellStyle name="쉼표 [0] 3 2 2 2 2 4 6" xfId="17757"/>
    <cellStyle name="쉼표 [0] 3 2 2 2 2 5" xfId="1749"/>
    <cellStyle name="쉼표 [0] 3 2 2 2 2 5 2" xfId="4533"/>
    <cellStyle name="쉼표 [0] 3 2 2 2 2 5 2 2" xfId="10101"/>
    <cellStyle name="쉼표 [0] 3 2 2 2 2 5 2 2 2" xfId="26805"/>
    <cellStyle name="쉼표 [0] 3 2 2 2 2 5 2 3" xfId="15669"/>
    <cellStyle name="쉼표 [0] 3 2 2 2 2 5 2 3 2" xfId="32373"/>
    <cellStyle name="쉼표 [0] 3 2 2 2 2 5 2 4" xfId="21237"/>
    <cellStyle name="쉼표 [0] 3 2 2 2 2 5 3" xfId="7317"/>
    <cellStyle name="쉼표 [0] 3 2 2 2 2 5 3 2" xfId="24021"/>
    <cellStyle name="쉼표 [0] 3 2 2 2 2 5 4" xfId="12885"/>
    <cellStyle name="쉼표 [0] 3 2 2 2 2 5 4 2" xfId="29589"/>
    <cellStyle name="쉼표 [0] 3 2 2 2 2 5 5" xfId="18453"/>
    <cellStyle name="쉼표 [0] 3 2 2 2 2 6" xfId="3141"/>
    <cellStyle name="쉼표 [0] 3 2 2 2 2 6 2" xfId="8709"/>
    <cellStyle name="쉼표 [0] 3 2 2 2 2 6 2 2" xfId="25413"/>
    <cellStyle name="쉼표 [0] 3 2 2 2 2 6 3" xfId="14277"/>
    <cellStyle name="쉼표 [0] 3 2 2 2 2 6 3 2" xfId="30981"/>
    <cellStyle name="쉼표 [0] 3 2 2 2 2 6 4" xfId="19845"/>
    <cellStyle name="쉼표 [0] 3 2 2 2 2 7" xfId="5925"/>
    <cellStyle name="쉼표 [0] 3 2 2 2 2 7 2" xfId="22629"/>
    <cellStyle name="쉼표 [0] 3 2 2 2 2 8" xfId="11493"/>
    <cellStyle name="쉼표 [0] 3 2 2 2 2 8 2" xfId="28197"/>
    <cellStyle name="쉼표 [0] 3 2 2 2 2 9" xfId="17061"/>
    <cellStyle name="쉼표 [0] 3 2 2 2 3" xfId="473"/>
    <cellStyle name="쉼표 [0] 3 2 2 2 3 2" xfId="1169"/>
    <cellStyle name="쉼표 [0] 3 2 2 2 3 2 2" xfId="2561"/>
    <cellStyle name="쉼표 [0] 3 2 2 2 3 2 2 2" xfId="5345"/>
    <cellStyle name="쉼표 [0] 3 2 2 2 3 2 2 2 2" xfId="10913"/>
    <cellStyle name="쉼표 [0] 3 2 2 2 3 2 2 2 2 2" xfId="27617"/>
    <cellStyle name="쉼표 [0] 3 2 2 2 3 2 2 2 3" xfId="16481"/>
    <cellStyle name="쉼표 [0] 3 2 2 2 3 2 2 2 3 2" xfId="33185"/>
    <cellStyle name="쉼표 [0] 3 2 2 2 3 2 2 2 4" xfId="22049"/>
    <cellStyle name="쉼표 [0] 3 2 2 2 3 2 2 3" xfId="8129"/>
    <cellStyle name="쉼표 [0] 3 2 2 2 3 2 2 3 2" xfId="24833"/>
    <cellStyle name="쉼표 [0] 3 2 2 2 3 2 2 4" xfId="13697"/>
    <cellStyle name="쉼표 [0] 3 2 2 2 3 2 2 4 2" xfId="30401"/>
    <cellStyle name="쉼표 [0] 3 2 2 2 3 2 2 5" xfId="19265"/>
    <cellStyle name="쉼표 [0] 3 2 2 2 3 2 3" xfId="3953"/>
    <cellStyle name="쉼표 [0] 3 2 2 2 3 2 3 2" xfId="9521"/>
    <cellStyle name="쉼표 [0] 3 2 2 2 3 2 3 2 2" xfId="26225"/>
    <cellStyle name="쉼표 [0] 3 2 2 2 3 2 3 3" xfId="15089"/>
    <cellStyle name="쉼표 [0] 3 2 2 2 3 2 3 3 2" xfId="31793"/>
    <cellStyle name="쉼표 [0] 3 2 2 2 3 2 3 4" xfId="20657"/>
    <cellStyle name="쉼표 [0] 3 2 2 2 3 2 4" xfId="6737"/>
    <cellStyle name="쉼표 [0] 3 2 2 2 3 2 4 2" xfId="23441"/>
    <cellStyle name="쉼표 [0] 3 2 2 2 3 2 5" xfId="12305"/>
    <cellStyle name="쉼표 [0] 3 2 2 2 3 2 5 2" xfId="29009"/>
    <cellStyle name="쉼표 [0] 3 2 2 2 3 2 6" xfId="17873"/>
    <cellStyle name="쉼표 [0] 3 2 2 2 3 3" xfId="1865"/>
    <cellStyle name="쉼표 [0] 3 2 2 2 3 3 2" xfId="4649"/>
    <cellStyle name="쉼표 [0] 3 2 2 2 3 3 2 2" xfId="10217"/>
    <cellStyle name="쉼표 [0] 3 2 2 2 3 3 2 2 2" xfId="26921"/>
    <cellStyle name="쉼표 [0] 3 2 2 2 3 3 2 3" xfId="15785"/>
    <cellStyle name="쉼표 [0] 3 2 2 2 3 3 2 3 2" xfId="32489"/>
    <cellStyle name="쉼표 [0] 3 2 2 2 3 3 2 4" xfId="21353"/>
    <cellStyle name="쉼표 [0] 3 2 2 2 3 3 3" xfId="7433"/>
    <cellStyle name="쉼표 [0] 3 2 2 2 3 3 3 2" xfId="24137"/>
    <cellStyle name="쉼표 [0] 3 2 2 2 3 3 4" xfId="13001"/>
    <cellStyle name="쉼표 [0] 3 2 2 2 3 3 4 2" xfId="29705"/>
    <cellStyle name="쉼표 [0] 3 2 2 2 3 3 5" xfId="18569"/>
    <cellStyle name="쉼표 [0] 3 2 2 2 3 4" xfId="3257"/>
    <cellStyle name="쉼표 [0] 3 2 2 2 3 4 2" xfId="8825"/>
    <cellStyle name="쉼표 [0] 3 2 2 2 3 4 2 2" xfId="25529"/>
    <cellStyle name="쉼표 [0] 3 2 2 2 3 4 3" xfId="14393"/>
    <cellStyle name="쉼표 [0] 3 2 2 2 3 4 3 2" xfId="31097"/>
    <cellStyle name="쉼표 [0] 3 2 2 2 3 4 4" xfId="19961"/>
    <cellStyle name="쉼표 [0] 3 2 2 2 3 5" xfId="6041"/>
    <cellStyle name="쉼표 [0] 3 2 2 2 3 5 2" xfId="22745"/>
    <cellStyle name="쉼표 [0] 3 2 2 2 3 6" xfId="11609"/>
    <cellStyle name="쉼표 [0] 3 2 2 2 3 6 2" xfId="28313"/>
    <cellStyle name="쉼표 [0] 3 2 2 2 3 7" xfId="17177"/>
    <cellStyle name="쉼표 [0] 3 2 2 2 4" xfId="705"/>
    <cellStyle name="쉼표 [0] 3 2 2 2 4 2" xfId="1401"/>
    <cellStyle name="쉼표 [0] 3 2 2 2 4 2 2" xfId="2793"/>
    <cellStyle name="쉼표 [0] 3 2 2 2 4 2 2 2" xfId="5577"/>
    <cellStyle name="쉼표 [0] 3 2 2 2 4 2 2 2 2" xfId="11145"/>
    <cellStyle name="쉼표 [0] 3 2 2 2 4 2 2 2 2 2" xfId="27849"/>
    <cellStyle name="쉼표 [0] 3 2 2 2 4 2 2 2 3" xfId="16713"/>
    <cellStyle name="쉼표 [0] 3 2 2 2 4 2 2 2 3 2" xfId="33417"/>
    <cellStyle name="쉼표 [0] 3 2 2 2 4 2 2 2 4" xfId="22281"/>
    <cellStyle name="쉼표 [0] 3 2 2 2 4 2 2 3" xfId="8361"/>
    <cellStyle name="쉼표 [0] 3 2 2 2 4 2 2 3 2" xfId="25065"/>
    <cellStyle name="쉼표 [0] 3 2 2 2 4 2 2 4" xfId="13929"/>
    <cellStyle name="쉼표 [0] 3 2 2 2 4 2 2 4 2" xfId="30633"/>
    <cellStyle name="쉼표 [0] 3 2 2 2 4 2 2 5" xfId="19497"/>
    <cellStyle name="쉼표 [0] 3 2 2 2 4 2 3" xfId="4185"/>
    <cellStyle name="쉼표 [0] 3 2 2 2 4 2 3 2" xfId="9753"/>
    <cellStyle name="쉼표 [0] 3 2 2 2 4 2 3 2 2" xfId="26457"/>
    <cellStyle name="쉼표 [0] 3 2 2 2 4 2 3 3" xfId="15321"/>
    <cellStyle name="쉼표 [0] 3 2 2 2 4 2 3 3 2" xfId="32025"/>
    <cellStyle name="쉼표 [0] 3 2 2 2 4 2 3 4" xfId="20889"/>
    <cellStyle name="쉼표 [0] 3 2 2 2 4 2 4" xfId="6969"/>
    <cellStyle name="쉼표 [0] 3 2 2 2 4 2 4 2" xfId="23673"/>
    <cellStyle name="쉼표 [0] 3 2 2 2 4 2 5" xfId="12537"/>
    <cellStyle name="쉼표 [0] 3 2 2 2 4 2 5 2" xfId="29241"/>
    <cellStyle name="쉼표 [0] 3 2 2 2 4 2 6" xfId="18105"/>
    <cellStyle name="쉼표 [0] 3 2 2 2 4 3" xfId="2097"/>
    <cellStyle name="쉼표 [0] 3 2 2 2 4 3 2" xfId="4881"/>
    <cellStyle name="쉼표 [0] 3 2 2 2 4 3 2 2" xfId="10449"/>
    <cellStyle name="쉼표 [0] 3 2 2 2 4 3 2 2 2" xfId="27153"/>
    <cellStyle name="쉼표 [0] 3 2 2 2 4 3 2 3" xfId="16017"/>
    <cellStyle name="쉼표 [0] 3 2 2 2 4 3 2 3 2" xfId="32721"/>
    <cellStyle name="쉼표 [0] 3 2 2 2 4 3 2 4" xfId="21585"/>
    <cellStyle name="쉼표 [0] 3 2 2 2 4 3 3" xfId="7665"/>
    <cellStyle name="쉼표 [0] 3 2 2 2 4 3 3 2" xfId="24369"/>
    <cellStyle name="쉼표 [0] 3 2 2 2 4 3 4" xfId="13233"/>
    <cellStyle name="쉼표 [0] 3 2 2 2 4 3 4 2" xfId="29937"/>
    <cellStyle name="쉼표 [0] 3 2 2 2 4 3 5" xfId="18801"/>
    <cellStyle name="쉼표 [0] 3 2 2 2 4 4" xfId="3489"/>
    <cellStyle name="쉼표 [0] 3 2 2 2 4 4 2" xfId="9057"/>
    <cellStyle name="쉼표 [0] 3 2 2 2 4 4 2 2" xfId="25761"/>
    <cellStyle name="쉼표 [0] 3 2 2 2 4 4 3" xfId="14625"/>
    <cellStyle name="쉼표 [0] 3 2 2 2 4 4 3 2" xfId="31329"/>
    <cellStyle name="쉼표 [0] 3 2 2 2 4 4 4" xfId="20193"/>
    <cellStyle name="쉼표 [0] 3 2 2 2 4 5" xfId="6273"/>
    <cellStyle name="쉼표 [0] 3 2 2 2 4 5 2" xfId="22977"/>
    <cellStyle name="쉼표 [0] 3 2 2 2 4 6" xfId="11841"/>
    <cellStyle name="쉼표 [0] 3 2 2 2 4 6 2" xfId="28545"/>
    <cellStyle name="쉼표 [0] 3 2 2 2 4 7" xfId="17409"/>
    <cellStyle name="쉼표 [0] 3 2 2 2 5" xfId="937"/>
    <cellStyle name="쉼표 [0] 3 2 2 2 5 2" xfId="2329"/>
    <cellStyle name="쉼표 [0] 3 2 2 2 5 2 2" xfId="5113"/>
    <cellStyle name="쉼표 [0] 3 2 2 2 5 2 2 2" xfId="10681"/>
    <cellStyle name="쉼표 [0] 3 2 2 2 5 2 2 2 2" xfId="27385"/>
    <cellStyle name="쉼표 [0] 3 2 2 2 5 2 2 3" xfId="16249"/>
    <cellStyle name="쉼표 [0] 3 2 2 2 5 2 2 3 2" xfId="32953"/>
    <cellStyle name="쉼표 [0] 3 2 2 2 5 2 2 4" xfId="21817"/>
    <cellStyle name="쉼표 [0] 3 2 2 2 5 2 3" xfId="7897"/>
    <cellStyle name="쉼표 [0] 3 2 2 2 5 2 3 2" xfId="24601"/>
    <cellStyle name="쉼표 [0] 3 2 2 2 5 2 4" xfId="13465"/>
    <cellStyle name="쉼표 [0] 3 2 2 2 5 2 4 2" xfId="30169"/>
    <cellStyle name="쉼표 [0] 3 2 2 2 5 2 5" xfId="19033"/>
    <cellStyle name="쉼표 [0] 3 2 2 2 5 3" xfId="3721"/>
    <cellStyle name="쉼표 [0] 3 2 2 2 5 3 2" xfId="9289"/>
    <cellStyle name="쉼표 [0] 3 2 2 2 5 3 2 2" xfId="25993"/>
    <cellStyle name="쉼표 [0] 3 2 2 2 5 3 3" xfId="14857"/>
    <cellStyle name="쉼표 [0] 3 2 2 2 5 3 3 2" xfId="31561"/>
    <cellStyle name="쉼표 [0] 3 2 2 2 5 3 4" xfId="20425"/>
    <cellStyle name="쉼표 [0] 3 2 2 2 5 4" xfId="6505"/>
    <cellStyle name="쉼표 [0] 3 2 2 2 5 4 2" xfId="23209"/>
    <cellStyle name="쉼표 [0] 3 2 2 2 5 5" xfId="12073"/>
    <cellStyle name="쉼표 [0] 3 2 2 2 5 5 2" xfId="28777"/>
    <cellStyle name="쉼표 [0] 3 2 2 2 5 6" xfId="17641"/>
    <cellStyle name="쉼표 [0] 3 2 2 2 6" xfId="1633"/>
    <cellStyle name="쉼표 [0] 3 2 2 2 6 2" xfId="4417"/>
    <cellStyle name="쉼표 [0] 3 2 2 2 6 2 2" xfId="9985"/>
    <cellStyle name="쉼표 [0] 3 2 2 2 6 2 2 2" xfId="26689"/>
    <cellStyle name="쉼표 [0] 3 2 2 2 6 2 3" xfId="15553"/>
    <cellStyle name="쉼표 [0] 3 2 2 2 6 2 3 2" xfId="32257"/>
    <cellStyle name="쉼표 [0] 3 2 2 2 6 2 4" xfId="21121"/>
    <cellStyle name="쉼표 [0] 3 2 2 2 6 3" xfId="7201"/>
    <cellStyle name="쉼표 [0] 3 2 2 2 6 3 2" xfId="23905"/>
    <cellStyle name="쉼표 [0] 3 2 2 2 6 4" xfId="12769"/>
    <cellStyle name="쉼표 [0] 3 2 2 2 6 4 2" xfId="29473"/>
    <cellStyle name="쉼표 [0] 3 2 2 2 6 5" xfId="18337"/>
    <cellStyle name="쉼표 [0] 3 2 2 2 7" xfId="3025"/>
    <cellStyle name="쉼표 [0] 3 2 2 2 7 2" xfId="8593"/>
    <cellStyle name="쉼표 [0] 3 2 2 2 7 2 2" xfId="25297"/>
    <cellStyle name="쉼표 [0] 3 2 2 2 7 3" xfId="14161"/>
    <cellStyle name="쉼표 [0] 3 2 2 2 7 3 2" xfId="30865"/>
    <cellStyle name="쉼표 [0] 3 2 2 2 7 4" xfId="19729"/>
    <cellStyle name="쉼표 [0] 3 2 2 2 8" xfId="5809"/>
    <cellStyle name="쉼표 [0] 3 2 2 2 8 2" xfId="22513"/>
    <cellStyle name="쉼표 [0] 3 2 2 2 9" xfId="11377"/>
    <cellStyle name="쉼표 [0] 3 2 2 2 9 2" xfId="28081"/>
    <cellStyle name="쉼표 [0] 3 2 2 3" xfId="299"/>
    <cellStyle name="쉼표 [0] 3 2 2 3 2" xfId="531"/>
    <cellStyle name="쉼표 [0] 3 2 2 3 2 2" xfId="1227"/>
    <cellStyle name="쉼표 [0] 3 2 2 3 2 2 2" xfId="2619"/>
    <cellStyle name="쉼표 [0] 3 2 2 3 2 2 2 2" xfId="5403"/>
    <cellStyle name="쉼표 [0] 3 2 2 3 2 2 2 2 2" xfId="10971"/>
    <cellStyle name="쉼표 [0] 3 2 2 3 2 2 2 2 2 2" xfId="27675"/>
    <cellStyle name="쉼표 [0] 3 2 2 3 2 2 2 2 3" xfId="16539"/>
    <cellStyle name="쉼표 [0] 3 2 2 3 2 2 2 2 3 2" xfId="33243"/>
    <cellStyle name="쉼표 [0] 3 2 2 3 2 2 2 2 4" xfId="22107"/>
    <cellStyle name="쉼표 [0] 3 2 2 3 2 2 2 3" xfId="8187"/>
    <cellStyle name="쉼표 [0] 3 2 2 3 2 2 2 3 2" xfId="24891"/>
    <cellStyle name="쉼표 [0] 3 2 2 3 2 2 2 4" xfId="13755"/>
    <cellStyle name="쉼표 [0] 3 2 2 3 2 2 2 4 2" xfId="30459"/>
    <cellStyle name="쉼표 [0] 3 2 2 3 2 2 2 5" xfId="19323"/>
    <cellStyle name="쉼표 [0] 3 2 2 3 2 2 3" xfId="4011"/>
    <cellStyle name="쉼표 [0] 3 2 2 3 2 2 3 2" xfId="9579"/>
    <cellStyle name="쉼표 [0] 3 2 2 3 2 2 3 2 2" xfId="26283"/>
    <cellStyle name="쉼표 [0] 3 2 2 3 2 2 3 3" xfId="15147"/>
    <cellStyle name="쉼표 [0] 3 2 2 3 2 2 3 3 2" xfId="31851"/>
    <cellStyle name="쉼표 [0] 3 2 2 3 2 2 3 4" xfId="20715"/>
    <cellStyle name="쉼표 [0] 3 2 2 3 2 2 4" xfId="6795"/>
    <cellStyle name="쉼표 [0] 3 2 2 3 2 2 4 2" xfId="23499"/>
    <cellStyle name="쉼표 [0] 3 2 2 3 2 2 5" xfId="12363"/>
    <cellStyle name="쉼표 [0] 3 2 2 3 2 2 5 2" xfId="29067"/>
    <cellStyle name="쉼표 [0] 3 2 2 3 2 2 6" xfId="17931"/>
    <cellStyle name="쉼표 [0] 3 2 2 3 2 3" xfId="1923"/>
    <cellStyle name="쉼표 [0] 3 2 2 3 2 3 2" xfId="4707"/>
    <cellStyle name="쉼표 [0] 3 2 2 3 2 3 2 2" xfId="10275"/>
    <cellStyle name="쉼표 [0] 3 2 2 3 2 3 2 2 2" xfId="26979"/>
    <cellStyle name="쉼표 [0] 3 2 2 3 2 3 2 3" xfId="15843"/>
    <cellStyle name="쉼표 [0] 3 2 2 3 2 3 2 3 2" xfId="32547"/>
    <cellStyle name="쉼표 [0] 3 2 2 3 2 3 2 4" xfId="21411"/>
    <cellStyle name="쉼표 [0] 3 2 2 3 2 3 3" xfId="7491"/>
    <cellStyle name="쉼표 [0] 3 2 2 3 2 3 3 2" xfId="24195"/>
    <cellStyle name="쉼표 [0] 3 2 2 3 2 3 4" xfId="13059"/>
    <cellStyle name="쉼표 [0] 3 2 2 3 2 3 4 2" xfId="29763"/>
    <cellStyle name="쉼표 [0] 3 2 2 3 2 3 5" xfId="18627"/>
    <cellStyle name="쉼표 [0] 3 2 2 3 2 4" xfId="3315"/>
    <cellStyle name="쉼표 [0] 3 2 2 3 2 4 2" xfId="8883"/>
    <cellStyle name="쉼표 [0] 3 2 2 3 2 4 2 2" xfId="25587"/>
    <cellStyle name="쉼표 [0] 3 2 2 3 2 4 3" xfId="14451"/>
    <cellStyle name="쉼표 [0] 3 2 2 3 2 4 3 2" xfId="31155"/>
    <cellStyle name="쉼표 [0] 3 2 2 3 2 4 4" xfId="20019"/>
    <cellStyle name="쉼표 [0] 3 2 2 3 2 5" xfId="6099"/>
    <cellStyle name="쉼표 [0] 3 2 2 3 2 5 2" xfId="22803"/>
    <cellStyle name="쉼표 [0] 3 2 2 3 2 6" xfId="11667"/>
    <cellStyle name="쉼표 [0] 3 2 2 3 2 6 2" xfId="28371"/>
    <cellStyle name="쉼표 [0] 3 2 2 3 2 7" xfId="17235"/>
    <cellStyle name="쉼표 [0] 3 2 2 3 3" xfId="763"/>
    <cellStyle name="쉼표 [0] 3 2 2 3 3 2" xfId="1459"/>
    <cellStyle name="쉼표 [0] 3 2 2 3 3 2 2" xfId="2851"/>
    <cellStyle name="쉼표 [0] 3 2 2 3 3 2 2 2" xfId="5635"/>
    <cellStyle name="쉼표 [0] 3 2 2 3 3 2 2 2 2" xfId="11203"/>
    <cellStyle name="쉼표 [0] 3 2 2 3 3 2 2 2 2 2" xfId="27907"/>
    <cellStyle name="쉼표 [0] 3 2 2 3 3 2 2 2 3" xfId="16771"/>
    <cellStyle name="쉼표 [0] 3 2 2 3 3 2 2 2 3 2" xfId="33475"/>
    <cellStyle name="쉼표 [0] 3 2 2 3 3 2 2 2 4" xfId="22339"/>
    <cellStyle name="쉼표 [0] 3 2 2 3 3 2 2 3" xfId="8419"/>
    <cellStyle name="쉼표 [0] 3 2 2 3 3 2 2 3 2" xfId="25123"/>
    <cellStyle name="쉼표 [0] 3 2 2 3 3 2 2 4" xfId="13987"/>
    <cellStyle name="쉼표 [0] 3 2 2 3 3 2 2 4 2" xfId="30691"/>
    <cellStyle name="쉼표 [0] 3 2 2 3 3 2 2 5" xfId="19555"/>
    <cellStyle name="쉼표 [0] 3 2 2 3 3 2 3" xfId="4243"/>
    <cellStyle name="쉼표 [0] 3 2 2 3 3 2 3 2" xfId="9811"/>
    <cellStyle name="쉼표 [0] 3 2 2 3 3 2 3 2 2" xfId="26515"/>
    <cellStyle name="쉼표 [0] 3 2 2 3 3 2 3 3" xfId="15379"/>
    <cellStyle name="쉼표 [0] 3 2 2 3 3 2 3 3 2" xfId="32083"/>
    <cellStyle name="쉼표 [0] 3 2 2 3 3 2 3 4" xfId="20947"/>
    <cellStyle name="쉼표 [0] 3 2 2 3 3 2 4" xfId="7027"/>
    <cellStyle name="쉼표 [0] 3 2 2 3 3 2 4 2" xfId="23731"/>
    <cellStyle name="쉼표 [0] 3 2 2 3 3 2 5" xfId="12595"/>
    <cellStyle name="쉼표 [0] 3 2 2 3 3 2 5 2" xfId="29299"/>
    <cellStyle name="쉼표 [0] 3 2 2 3 3 2 6" xfId="18163"/>
    <cellStyle name="쉼표 [0] 3 2 2 3 3 3" xfId="2155"/>
    <cellStyle name="쉼표 [0] 3 2 2 3 3 3 2" xfId="4939"/>
    <cellStyle name="쉼표 [0] 3 2 2 3 3 3 2 2" xfId="10507"/>
    <cellStyle name="쉼표 [0] 3 2 2 3 3 3 2 2 2" xfId="27211"/>
    <cellStyle name="쉼표 [0] 3 2 2 3 3 3 2 3" xfId="16075"/>
    <cellStyle name="쉼표 [0] 3 2 2 3 3 3 2 3 2" xfId="32779"/>
    <cellStyle name="쉼표 [0] 3 2 2 3 3 3 2 4" xfId="21643"/>
    <cellStyle name="쉼표 [0] 3 2 2 3 3 3 3" xfId="7723"/>
    <cellStyle name="쉼표 [0] 3 2 2 3 3 3 3 2" xfId="24427"/>
    <cellStyle name="쉼표 [0] 3 2 2 3 3 3 4" xfId="13291"/>
    <cellStyle name="쉼표 [0] 3 2 2 3 3 3 4 2" xfId="29995"/>
    <cellStyle name="쉼표 [0] 3 2 2 3 3 3 5" xfId="18859"/>
    <cellStyle name="쉼표 [0] 3 2 2 3 3 4" xfId="3547"/>
    <cellStyle name="쉼표 [0] 3 2 2 3 3 4 2" xfId="9115"/>
    <cellStyle name="쉼표 [0] 3 2 2 3 3 4 2 2" xfId="25819"/>
    <cellStyle name="쉼표 [0] 3 2 2 3 3 4 3" xfId="14683"/>
    <cellStyle name="쉼표 [0] 3 2 2 3 3 4 3 2" xfId="31387"/>
    <cellStyle name="쉼표 [0] 3 2 2 3 3 4 4" xfId="20251"/>
    <cellStyle name="쉼표 [0] 3 2 2 3 3 5" xfId="6331"/>
    <cellStyle name="쉼표 [0] 3 2 2 3 3 5 2" xfId="23035"/>
    <cellStyle name="쉼표 [0] 3 2 2 3 3 6" xfId="11899"/>
    <cellStyle name="쉼표 [0] 3 2 2 3 3 6 2" xfId="28603"/>
    <cellStyle name="쉼표 [0] 3 2 2 3 3 7" xfId="17467"/>
    <cellStyle name="쉼표 [0] 3 2 2 3 4" xfId="995"/>
    <cellStyle name="쉼표 [0] 3 2 2 3 4 2" xfId="2387"/>
    <cellStyle name="쉼표 [0] 3 2 2 3 4 2 2" xfId="5171"/>
    <cellStyle name="쉼표 [0] 3 2 2 3 4 2 2 2" xfId="10739"/>
    <cellStyle name="쉼표 [0] 3 2 2 3 4 2 2 2 2" xfId="27443"/>
    <cellStyle name="쉼표 [0] 3 2 2 3 4 2 2 3" xfId="16307"/>
    <cellStyle name="쉼표 [0] 3 2 2 3 4 2 2 3 2" xfId="33011"/>
    <cellStyle name="쉼표 [0] 3 2 2 3 4 2 2 4" xfId="21875"/>
    <cellStyle name="쉼표 [0] 3 2 2 3 4 2 3" xfId="7955"/>
    <cellStyle name="쉼표 [0] 3 2 2 3 4 2 3 2" xfId="24659"/>
    <cellStyle name="쉼표 [0] 3 2 2 3 4 2 4" xfId="13523"/>
    <cellStyle name="쉼표 [0] 3 2 2 3 4 2 4 2" xfId="30227"/>
    <cellStyle name="쉼표 [0] 3 2 2 3 4 2 5" xfId="19091"/>
    <cellStyle name="쉼표 [0] 3 2 2 3 4 3" xfId="3779"/>
    <cellStyle name="쉼표 [0] 3 2 2 3 4 3 2" xfId="9347"/>
    <cellStyle name="쉼표 [0] 3 2 2 3 4 3 2 2" xfId="26051"/>
    <cellStyle name="쉼표 [0] 3 2 2 3 4 3 3" xfId="14915"/>
    <cellStyle name="쉼표 [0] 3 2 2 3 4 3 3 2" xfId="31619"/>
    <cellStyle name="쉼표 [0] 3 2 2 3 4 3 4" xfId="20483"/>
    <cellStyle name="쉼표 [0] 3 2 2 3 4 4" xfId="6563"/>
    <cellStyle name="쉼표 [0] 3 2 2 3 4 4 2" xfId="23267"/>
    <cellStyle name="쉼표 [0] 3 2 2 3 4 5" xfId="12131"/>
    <cellStyle name="쉼표 [0] 3 2 2 3 4 5 2" xfId="28835"/>
    <cellStyle name="쉼표 [0] 3 2 2 3 4 6" xfId="17699"/>
    <cellStyle name="쉼표 [0] 3 2 2 3 5" xfId="1691"/>
    <cellStyle name="쉼표 [0] 3 2 2 3 5 2" xfId="4475"/>
    <cellStyle name="쉼표 [0] 3 2 2 3 5 2 2" xfId="10043"/>
    <cellStyle name="쉼표 [0] 3 2 2 3 5 2 2 2" xfId="26747"/>
    <cellStyle name="쉼표 [0] 3 2 2 3 5 2 3" xfId="15611"/>
    <cellStyle name="쉼표 [0] 3 2 2 3 5 2 3 2" xfId="32315"/>
    <cellStyle name="쉼표 [0] 3 2 2 3 5 2 4" xfId="21179"/>
    <cellStyle name="쉼표 [0] 3 2 2 3 5 3" xfId="7259"/>
    <cellStyle name="쉼표 [0] 3 2 2 3 5 3 2" xfId="23963"/>
    <cellStyle name="쉼표 [0] 3 2 2 3 5 4" xfId="12827"/>
    <cellStyle name="쉼표 [0] 3 2 2 3 5 4 2" xfId="29531"/>
    <cellStyle name="쉼표 [0] 3 2 2 3 5 5" xfId="18395"/>
    <cellStyle name="쉼표 [0] 3 2 2 3 6" xfId="3083"/>
    <cellStyle name="쉼표 [0] 3 2 2 3 6 2" xfId="8651"/>
    <cellStyle name="쉼표 [0] 3 2 2 3 6 2 2" xfId="25355"/>
    <cellStyle name="쉼표 [0] 3 2 2 3 6 3" xfId="14219"/>
    <cellStyle name="쉼표 [0] 3 2 2 3 6 3 2" xfId="30923"/>
    <cellStyle name="쉼표 [0] 3 2 2 3 6 4" xfId="19787"/>
    <cellStyle name="쉼표 [0] 3 2 2 3 7" xfId="5867"/>
    <cellStyle name="쉼표 [0] 3 2 2 3 7 2" xfId="22571"/>
    <cellStyle name="쉼표 [0] 3 2 2 3 8" xfId="11435"/>
    <cellStyle name="쉼표 [0] 3 2 2 3 8 2" xfId="28139"/>
    <cellStyle name="쉼표 [0] 3 2 2 3 9" xfId="17003"/>
    <cellStyle name="쉼표 [0] 3 2 2 4" xfId="415"/>
    <cellStyle name="쉼표 [0] 3 2 2 4 2" xfId="1111"/>
    <cellStyle name="쉼표 [0] 3 2 2 4 2 2" xfId="2503"/>
    <cellStyle name="쉼표 [0] 3 2 2 4 2 2 2" xfId="5287"/>
    <cellStyle name="쉼표 [0] 3 2 2 4 2 2 2 2" xfId="10855"/>
    <cellStyle name="쉼표 [0] 3 2 2 4 2 2 2 2 2" xfId="27559"/>
    <cellStyle name="쉼표 [0] 3 2 2 4 2 2 2 3" xfId="16423"/>
    <cellStyle name="쉼표 [0] 3 2 2 4 2 2 2 3 2" xfId="33127"/>
    <cellStyle name="쉼표 [0] 3 2 2 4 2 2 2 4" xfId="21991"/>
    <cellStyle name="쉼표 [0] 3 2 2 4 2 2 3" xfId="8071"/>
    <cellStyle name="쉼표 [0] 3 2 2 4 2 2 3 2" xfId="24775"/>
    <cellStyle name="쉼표 [0] 3 2 2 4 2 2 4" xfId="13639"/>
    <cellStyle name="쉼표 [0] 3 2 2 4 2 2 4 2" xfId="30343"/>
    <cellStyle name="쉼표 [0] 3 2 2 4 2 2 5" xfId="19207"/>
    <cellStyle name="쉼표 [0] 3 2 2 4 2 3" xfId="3895"/>
    <cellStyle name="쉼표 [0] 3 2 2 4 2 3 2" xfId="9463"/>
    <cellStyle name="쉼표 [0] 3 2 2 4 2 3 2 2" xfId="26167"/>
    <cellStyle name="쉼표 [0] 3 2 2 4 2 3 3" xfId="15031"/>
    <cellStyle name="쉼표 [0] 3 2 2 4 2 3 3 2" xfId="31735"/>
    <cellStyle name="쉼표 [0] 3 2 2 4 2 3 4" xfId="20599"/>
    <cellStyle name="쉼표 [0] 3 2 2 4 2 4" xfId="6679"/>
    <cellStyle name="쉼표 [0] 3 2 2 4 2 4 2" xfId="23383"/>
    <cellStyle name="쉼표 [0] 3 2 2 4 2 5" xfId="12247"/>
    <cellStyle name="쉼표 [0] 3 2 2 4 2 5 2" xfId="28951"/>
    <cellStyle name="쉼표 [0] 3 2 2 4 2 6" xfId="17815"/>
    <cellStyle name="쉼표 [0] 3 2 2 4 3" xfId="1807"/>
    <cellStyle name="쉼표 [0] 3 2 2 4 3 2" xfId="4591"/>
    <cellStyle name="쉼표 [0] 3 2 2 4 3 2 2" xfId="10159"/>
    <cellStyle name="쉼표 [0] 3 2 2 4 3 2 2 2" xfId="26863"/>
    <cellStyle name="쉼표 [0] 3 2 2 4 3 2 3" xfId="15727"/>
    <cellStyle name="쉼표 [0] 3 2 2 4 3 2 3 2" xfId="32431"/>
    <cellStyle name="쉼표 [0] 3 2 2 4 3 2 4" xfId="21295"/>
    <cellStyle name="쉼표 [0] 3 2 2 4 3 3" xfId="7375"/>
    <cellStyle name="쉼표 [0] 3 2 2 4 3 3 2" xfId="24079"/>
    <cellStyle name="쉼표 [0] 3 2 2 4 3 4" xfId="12943"/>
    <cellStyle name="쉼표 [0] 3 2 2 4 3 4 2" xfId="29647"/>
    <cellStyle name="쉼표 [0] 3 2 2 4 3 5" xfId="18511"/>
    <cellStyle name="쉼표 [0] 3 2 2 4 4" xfId="3199"/>
    <cellStyle name="쉼표 [0] 3 2 2 4 4 2" xfId="8767"/>
    <cellStyle name="쉼표 [0] 3 2 2 4 4 2 2" xfId="25471"/>
    <cellStyle name="쉼표 [0] 3 2 2 4 4 3" xfId="14335"/>
    <cellStyle name="쉼표 [0] 3 2 2 4 4 3 2" xfId="31039"/>
    <cellStyle name="쉼표 [0] 3 2 2 4 4 4" xfId="19903"/>
    <cellStyle name="쉼표 [0] 3 2 2 4 5" xfId="5983"/>
    <cellStyle name="쉼표 [0] 3 2 2 4 5 2" xfId="22687"/>
    <cellStyle name="쉼표 [0] 3 2 2 4 6" xfId="11551"/>
    <cellStyle name="쉼표 [0] 3 2 2 4 6 2" xfId="28255"/>
    <cellStyle name="쉼표 [0] 3 2 2 4 7" xfId="17119"/>
    <cellStyle name="쉼표 [0] 3 2 2 5" xfId="647"/>
    <cellStyle name="쉼표 [0] 3 2 2 5 2" xfId="1343"/>
    <cellStyle name="쉼표 [0] 3 2 2 5 2 2" xfId="2735"/>
    <cellStyle name="쉼표 [0] 3 2 2 5 2 2 2" xfId="5519"/>
    <cellStyle name="쉼표 [0] 3 2 2 5 2 2 2 2" xfId="11087"/>
    <cellStyle name="쉼표 [0] 3 2 2 5 2 2 2 2 2" xfId="27791"/>
    <cellStyle name="쉼표 [0] 3 2 2 5 2 2 2 3" xfId="16655"/>
    <cellStyle name="쉼표 [0] 3 2 2 5 2 2 2 3 2" xfId="33359"/>
    <cellStyle name="쉼표 [0] 3 2 2 5 2 2 2 4" xfId="22223"/>
    <cellStyle name="쉼표 [0] 3 2 2 5 2 2 3" xfId="8303"/>
    <cellStyle name="쉼표 [0] 3 2 2 5 2 2 3 2" xfId="25007"/>
    <cellStyle name="쉼표 [0] 3 2 2 5 2 2 4" xfId="13871"/>
    <cellStyle name="쉼표 [0] 3 2 2 5 2 2 4 2" xfId="30575"/>
    <cellStyle name="쉼표 [0] 3 2 2 5 2 2 5" xfId="19439"/>
    <cellStyle name="쉼표 [0] 3 2 2 5 2 3" xfId="4127"/>
    <cellStyle name="쉼표 [0] 3 2 2 5 2 3 2" xfId="9695"/>
    <cellStyle name="쉼표 [0] 3 2 2 5 2 3 2 2" xfId="26399"/>
    <cellStyle name="쉼표 [0] 3 2 2 5 2 3 3" xfId="15263"/>
    <cellStyle name="쉼표 [0] 3 2 2 5 2 3 3 2" xfId="31967"/>
    <cellStyle name="쉼표 [0] 3 2 2 5 2 3 4" xfId="20831"/>
    <cellStyle name="쉼표 [0] 3 2 2 5 2 4" xfId="6911"/>
    <cellStyle name="쉼표 [0] 3 2 2 5 2 4 2" xfId="23615"/>
    <cellStyle name="쉼표 [0] 3 2 2 5 2 5" xfId="12479"/>
    <cellStyle name="쉼표 [0] 3 2 2 5 2 5 2" xfId="29183"/>
    <cellStyle name="쉼표 [0] 3 2 2 5 2 6" xfId="18047"/>
    <cellStyle name="쉼표 [0] 3 2 2 5 3" xfId="2039"/>
    <cellStyle name="쉼표 [0] 3 2 2 5 3 2" xfId="4823"/>
    <cellStyle name="쉼표 [0] 3 2 2 5 3 2 2" xfId="10391"/>
    <cellStyle name="쉼표 [0] 3 2 2 5 3 2 2 2" xfId="27095"/>
    <cellStyle name="쉼표 [0] 3 2 2 5 3 2 3" xfId="15959"/>
    <cellStyle name="쉼표 [0] 3 2 2 5 3 2 3 2" xfId="32663"/>
    <cellStyle name="쉼표 [0] 3 2 2 5 3 2 4" xfId="21527"/>
    <cellStyle name="쉼표 [0] 3 2 2 5 3 3" xfId="7607"/>
    <cellStyle name="쉼표 [0] 3 2 2 5 3 3 2" xfId="24311"/>
    <cellStyle name="쉼표 [0] 3 2 2 5 3 4" xfId="13175"/>
    <cellStyle name="쉼표 [0] 3 2 2 5 3 4 2" xfId="29879"/>
    <cellStyle name="쉼표 [0] 3 2 2 5 3 5" xfId="18743"/>
    <cellStyle name="쉼표 [0] 3 2 2 5 4" xfId="3431"/>
    <cellStyle name="쉼표 [0] 3 2 2 5 4 2" xfId="8999"/>
    <cellStyle name="쉼표 [0] 3 2 2 5 4 2 2" xfId="25703"/>
    <cellStyle name="쉼표 [0] 3 2 2 5 4 3" xfId="14567"/>
    <cellStyle name="쉼표 [0] 3 2 2 5 4 3 2" xfId="31271"/>
    <cellStyle name="쉼표 [0] 3 2 2 5 4 4" xfId="20135"/>
    <cellStyle name="쉼표 [0] 3 2 2 5 5" xfId="6215"/>
    <cellStyle name="쉼표 [0] 3 2 2 5 5 2" xfId="22919"/>
    <cellStyle name="쉼표 [0] 3 2 2 5 6" xfId="11783"/>
    <cellStyle name="쉼표 [0] 3 2 2 5 6 2" xfId="28487"/>
    <cellStyle name="쉼표 [0] 3 2 2 5 7" xfId="17351"/>
    <cellStyle name="쉼표 [0] 3 2 2 6" xfId="879"/>
    <cellStyle name="쉼표 [0] 3 2 2 6 2" xfId="2271"/>
    <cellStyle name="쉼표 [0] 3 2 2 6 2 2" xfId="5055"/>
    <cellStyle name="쉼표 [0] 3 2 2 6 2 2 2" xfId="10623"/>
    <cellStyle name="쉼표 [0] 3 2 2 6 2 2 2 2" xfId="27327"/>
    <cellStyle name="쉼표 [0] 3 2 2 6 2 2 3" xfId="16191"/>
    <cellStyle name="쉼표 [0] 3 2 2 6 2 2 3 2" xfId="32895"/>
    <cellStyle name="쉼표 [0] 3 2 2 6 2 2 4" xfId="21759"/>
    <cellStyle name="쉼표 [0] 3 2 2 6 2 3" xfId="7839"/>
    <cellStyle name="쉼표 [0] 3 2 2 6 2 3 2" xfId="24543"/>
    <cellStyle name="쉼표 [0] 3 2 2 6 2 4" xfId="13407"/>
    <cellStyle name="쉼표 [0] 3 2 2 6 2 4 2" xfId="30111"/>
    <cellStyle name="쉼표 [0] 3 2 2 6 2 5" xfId="18975"/>
    <cellStyle name="쉼표 [0] 3 2 2 6 3" xfId="3663"/>
    <cellStyle name="쉼표 [0] 3 2 2 6 3 2" xfId="9231"/>
    <cellStyle name="쉼표 [0] 3 2 2 6 3 2 2" xfId="25935"/>
    <cellStyle name="쉼표 [0] 3 2 2 6 3 3" xfId="14799"/>
    <cellStyle name="쉼표 [0] 3 2 2 6 3 3 2" xfId="31503"/>
    <cellStyle name="쉼표 [0] 3 2 2 6 3 4" xfId="20367"/>
    <cellStyle name="쉼표 [0] 3 2 2 6 4" xfId="6447"/>
    <cellStyle name="쉼표 [0] 3 2 2 6 4 2" xfId="23151"/>
    <cellStyle name="쉼표 [0] 3 2 2 6 5" xfId="12015"/>
    <cellStyle name="쉼표 [0] 3 2 2 6 5 2" xfId="28719"/>
    <cellStyle name="쉼표 [0] 3 2 2 6 6" xfId="17583"/>
    <cellStyle name="쉼표 [0] 3 2 2 7" xfId="1575"/>
    <cellStyle name="쉼표 [0] 3 2 2 7 2" xfId="4359"/>
    <cellStyle name="쉼표 [0] 3 2 2 7 2 2" xfId="9927"/>
    <cellStyle name="쉼표 [0] 3 2 2 7 2 2 2" xfId="26631"/>
    <cellStyle name="쉼표 [0] 3 2 2 7 2 3" xfId="15495"/>
    <cellStyle name="쉼표 [0] 3 2 2 7 2 3 2" xfId="32199"/>
    <cellStyle name="쉼표 [0] 3 2 2 7 2 4" xfId="21063"/>
    <cellStyle name="쉼표 [0] 3 2 2 7 3" xfId="7143"/>
    <cellStyle name="쉼표 [0] 3 2 2 7 3 2" xfId="23847"/>
    <cellStyle name="쉼표 [0] 3 2 2 7 4" xfId="12711"/>
    <cellStyle name="쉼표 [0] 3 2 2 7 4 2" xfId="29415"/>
    <cellStyle name="쉼표 [0] 3 2 2 7 5" xfId="18279"/>
    <cellStyle name="쉼표 [0] 3 2 2 8" xfId="2967"/>
    <cellStyle name="쉼표 [0] 3 2 2 8 2" xfId="8535"/>
    <cellStyle name="쉼표 [0] 3 2 2 8 2 2" xfId="25239"/>
    <cellStyle name="쉼표 [0] 3 2 2 8 3" xfId="14103"/>
    <cellStyle name="쉼표 [0] 3 2 2 8 3 2" xfId="30807"/>
    <cellStyle name="쉼표 [0] 3 2 2 8 4" xfId="19671"/>
    <cellStyle name="쉼표 [0] 3 2 2 9" xfId="5751"/>
    <cellStyle name="쉼표 [0] 3 2 2 9 2" xfId="22455"/>
    <cellStyle name="쉼표 [0] 3 2 3" xfId="212"/>
    <cellStyle name="쉼표 [0] 3 2 3 10" xfId="16916"/>
    <cellStyle name="쉼표 [0] 3 2 3 2" xfId="328"/>
    <cellStyle name="쉼표 [0] 3 2 3 2 2" xfId="560"/>
    <cellStyle name="쉼표 [0] 3 2 3 2 2 2" xfId="1256"/>
    <cellStyle name="쉼표 [0] 3 2 3 2 2 2 2" xfId="2648"/>
    <cellStyle name="쉼표 [0] 3 2 3 2 2 2 2 2" xfId="5432"/>
    <cellStyle name="쉼표 [0] 3 2 3 2 2 2 2 2 2" xfId="11000"/>
    <cellStyle name="쉼표 [0] 3 2 3 2 2 2 2 2 2 2" xfId="27704"/>
    <cellStyle name="쉼표 [0] 3 2 3 2 2 2 2 2 3" xfId="16568"/>
    <cellStyle name="쉼표 [0] 3 2 3 2 2 2 2 2 3 2" xfId="33272"/>
    <cellStyle name="쉼표 [0] 3 2 3 2 2 2 2 2 4" xfId="22136"/>
    <cellStyle name="쉼표 [0] 3 2 3 2 2 2 2 3" xfId="8216"/>
    <cellStyle name="쉼표 [0] 3 2 3 2 2 2 2 3 2" xfId="24920"/>
    <cellStyle name="쉼표 [0] 3 2 3 2 2 2 2 4" xfId="13784"/>
    <cellStyle name="쉼표 [0] 3 2 3 2 2 2 2 4 2" xfId="30488"/>
    <cellStyle name="쉼표 [0] 3 2 3 2 2 2 2 5" xfId="19352"/>
    <cellStyle name="쉼표 [0] 3 2 3 2 2 2 3" xfId="4040"/>
    <cellStyle name="쉼표 [0] 3 2 3 2 2 2 3 2" xfId="9608"/>
    <cellStyle name="쉼표 [0] 3 2 3 2 2 2 3 2 2" xfId="26312"/>
    <cellStyle name="쉼표 [0] 3 2 3 2 2 2 3 3" xfId="15176"/>
    <cellStyle name="쉼표 [0] 3 2 3 2 2 2 3 3 2" xfId="31880"/>
    <cellStyle name="쉼표 [0] 3 2 3 2 2 2 3 4" xfId="20744"/>
    <cellStyle name="쉼표 [0] 3 2 3 2 2 2 4" xfId="6824"/>
    <cellStyle name="쉼표 [0] 3 2 3 2 2 2 4 2" xfId="23528"/>
    <cellStyle name="쉼표 [0] 3 2 3 2 2 2 5" xfId="12392"/>
    <cellStyle name="쉼표 [0] 3 2 3 2 2 2 5 2" xfId="29096"/>
    <cellStyle name="쉼표 [0] 3 2 3 2 2 2 6" xfId="17960"/>
    <cellStyle name="쉼표 [0] 3 2 3 2 2 3" xfId="1952"/>
    <cellStyle name="쉼표 [0] 3 2 3 2 2 3 2" xfId="4736"/>
    <cellStyle name="쉼표 [0] 3 2 3 2 2 3 2 2" xfId="10304"/>
    <cellStyle name="쉼표 [0] 3 2 3 2 2 3 2 2 2" xfId="27008"/>
    <cellStyle name="쉼표 [0] 3 2 3 2 2 3 2 3" xfId="15872"/>
    <cellStyle name="쉼표 [0] 3 2 3 2 2 3 2 3 2" xfId="32576"/>
    <cellStyle name="쉼표 [0] 3 2 3 2 2 3 2 4" xfId="21440"/>
    <cellStyle name="쉼표 [0] 3 2 3 2 2 3 3" xfId="7520"/>
    <cellStyle name="쉼표 [0] 3 2 3 2 2 3 3 2" xfId="24224"/>
    <cellStyle name="쉼표 [0] 3 2 3 2 2 3 4" xfId="13088"/>
    <cellStyle name="쉼표 [0] 3 2 3 2 2 3 4 2" xfId="29792"/>
    <cellStyle name="쉼표 [0] 3 2 3 2 2 3 5" xfId="18656"/>
    <cellStyle name="쉼표 [0] 3 2 3 2 2 4" xfId="3344"/>
    <cellStyle name="쉼표 [0] 3 2 3 2 2 4 2" xfId="8912"/>
    <cellStyle name="쉼표 [0] 3 2 3 2 2 4 2 2" xfId="25616"/>
    <cellStyle name="쉼표 [0] 3 2 3 2 2 4 3" xfId="14480"/>
    <cellStyle name="쉼표 [0] 3 2 3 2 2 4 3 2" xfId="31184"/>
    <cellStyle name="쉼표 [0] 3 2 3 2 2 4 4" xfId="20048"/>
    <cellStyle name="쉼표 [0] 3 2 3 2 2 5" xfId="6128"/>
    <cellStyle name="쉼표 [0] 3 2 3 2 2 5 2" xfId="22832"/>
    <cellStyle name="쉼표 [0] 3 2 3 2 2 6" xfId="11696"/>
    <cellStyle name="쉼표 [0] 3 2 3 2 2 6 2" xfId="28400"/>
    <cellStyle name="쉼표 [0] 3 2 3 2 2 7" xfId="17264"/>
    <cellStyle name="쉼표 [0] 3 2 3 2 3" xfId="792"/>
    <cellStyle name="쉼표 [0] 3 2 3 2 3 2" xfId="1488"/>
    <cellStyle name="쉼표 [0] 3 2 3 2 3 2 2" xfId="2880"/>
    <cellStyle name="쉼표 [0] 3 2 3 2 3 2 2 2" xfId="5664"/>
    <cellStyle name="쉼표 [0] 3 2 3 2 3 2 2 2 2" xfId="11232"/>
    <cellStyle name="쉼표 [0] 3 2 3 2 3 2 2 2 2 2" xfId="27936"/>
    <cellStyle name="쉼표 [0] 3 2 3 2 3 2 2 2 3" xfId="16800"/>
    <cellStyle name="쉼표 [0] 3 2 3 2 3 2 2 2 3 2" xfId="33504"/>
    <cellStyle name="쉼표 [0] 3 2 3 2 3 2 2 2 4" xfId="22368"/>
    <cellStyle name="쉼표 [0] 3 2 3 2 3 2 2 3" xfId="8448"/>
    <cellStyle name="쉼표 [0] 3 2 3 2 3 2 2 3 2" xfId="25152"/>
    <cellStyle name="쉼표 [0] 3 2 3 2 3 2 2 4" xfId="14016"/>
    <cellStyle name="쉼표 [0] 3 2 3 2 3 2 2 4 2" xfId="30720"/>
    <cellStyle name="쉼표 [0] 3 2 3 2 3 2 2 5" xfId="19584"/>
    <cellStyle name="쉼표 [0] 3 2 3 2 3 2 3" xfId="4272"/>
    <cellStyle name="쉼표 [0] 3 2 3 2 3 2 3 2" xfId="9840"/>
    <cellStyle name="쉼표 [0] 3 2 3 2 3 2 3 2 2" xfId="26544"/>
    <cellStyle name="쉼표 [0] 3 2 3 2 3 2 3 3" xfId="15408"/>
    <cellStyle name="쉼표 [0] 3 2 3 2 3 2 3 3 2" xfId="32112"/>
    <cellStyle name="쉼표 [0] 3 2 3 2 3 2 3 4" xfId="20976"/>
    <cellStyle name="쉼표 [0] 3 2 3 2 3 2 4" xfId="7056"/>
    <cellStyle name="쉼표 [0] 3 2 3 2 3 2 4 2" xfId="23760"/>
    <cellStyle name="쉼표 [0] 3 2 3 2 3 2 5" xfId="12624"/>
    <cellStyle name="쉼표 [0] 3 2 3 2 3 2 5 2" xfId="29328"/>
    <cellStyle name="쉼표 [0] 3 2 3 2 3 2 6" xfId="18192"/>
    <cellStyle name="쉼표 [0] 3 2 3 2 3 3" xfId="2184"/>
    <cellStyle name="쉼표 [0] 3 2 3 2 3 3 2" xfId="4968"/>
    <cellStyle name="쉼표 [0] 3 2 3 2 3 3 2 2" xfId="10536"/>
    <cellStyle name="쉼표 [0] 3 2 3 2 3 3 2 2 2" xfId="27240"/>
    <cellStyle name="쉼표 [0] 3 2 3 2 3 3 2 3" xfId="16104"/>
    <cellStyle name="쉼표 [0] 3 2 3 2 3 3 2 3 2" xfId="32808"/>
    <cellStyle name="쉼표 [0] 3 2 3 2 3 3 2 4" xfId="21672"/>
    <cellStyle name="쉼표 [0] 3 2 3 2 3 3 3" xfId="7752"/>
    <cellStyle name="쉼표 [0] 3 2 3 2 3 3 3 2" xfId="24456"/>
    <cellStyle name="쉼표 [0] 3 2 3 2 3 3 4" xfId="13320"/>
    <cellStyle name="쉼표 [0] 3 2 3 2 3 3 4 2" xfId="30024"/>
    <cellStyle name="쉼표 [0] 3 2 3 2 3 3 5" xfId="18888"/>
    <cellStyle name="쉼표 [0] 3 2 3 2 3 4" xfId="3576"/>
    <cellStyle name="쉼표 [0] 3 2 3 2 3 4 2" xfId="9144"/>
    <cellStyle name="쉼표 [0] 3 2 3 2 3 4 2 2" xfId="25848"/>
    <cellStyle name="쉼표 [0] 3 2 3 2 3 4 3" xfId="14712"/>
    <cellStyle name="쉼표 [0] 3 2 3 2 3 4 3 2" xfId="31416"/>
    <cellStyle name="쉼표 [0] 3 2 3 2 3 4 4" xfId="20280"/>
    <cellStyle name="쉼표 [0] 3 2 3 2 3 5" xfId="6360"/>
    <cellStyle name="쉼표 [0] 3 2 3 2 3 5 2" xfId="23064"/>
    <cellStyle name="쉼표 [0] 3 2 3 2 3 6" xfId="11928"/>
    <cellStyle name="쉼표 [0] 3 2 3 2 3 6 2" xfId="28632"/>
    <cellStyle name="쉼표 [0] 3 2 3 2 3 7" xfId="17496"/>
    <cellStyle name="쉼표 [0] 3 2 3 2 4" xfId="1024"/>
    <cellStyle name="쉼표 [0] 3 2 3 2 4 2" xfId="2416"/>
    <cellStyle name="쉼표 [0] 3 2 3 2 4 2 2" xfId="5200"/>
    <cellStyle name="쉼표 [0] 3 2 3 2 4 2 2 2" xfId="10768"/>
    <cellStyle name="쉼표 [0] 3 2 3 2 4 2 2 2 2" xfId="27472"/>
    <cellStyle name="쉼표 [0] 3 2 3 2 4 2 2 3" xfId="16336"/>
    <cellStyle name="쉼표 [0] 3 2 3 2 4 2 2 3 2" xfId="33040"/>
    <cellStyle name="쉼표 [0] 3 2 3 2 4 2 2 4" xfId="21904"/>
    <cellStyle name="쉼표 [0] 3 2 3 2 4 2 3" xfId="7984"/>
    <cellStyle name="쉼표 [0] 3 2 3 2 4 2 3 2" xfId="24688"/>
    <cellStyle name="쉼표 [0] 3 2 3 2 4 2 4" xfId="13552"/>
    <cellStyle name="쉼표 [0] 3 2 3 2 4 2 4 2" xfId="30256"/>
    <cellStyle name="쉼표 [0] 3 2 3 2 4 2 5" xfId="19120"/>
    <cellStyle name="쉼표 [0] 3 2 3 2 4 3" xfId="3808"/>
    <cellStyle name="쉼표 [0] 3 2 3 2 4 3 2" xfId="9376"/>
    <cellStyle name="쉼표 [0] 3 2 3 2 4 3 2 2" xfId="26080"/>
    <cellStyle name="쉼표 [0] 3 2 3 2 4 3 3" xfId="14944"/>
    <cellStyle name="쉼표 [0] 3 2 3 2 4 3 3 2" xfId="31648"/>
    <cellStyle name="쉼표 [0] 3 2 3 2 4 3 4" xfId="20512"/>
    <cellStyle name="쉼표 [0] 3 2 3 2 4 4" xfId="6592"/>
    <cellStyle name="쉼표 [0] 3 2 3 2 4 4 2" xfId="23296"/>
    <cellStyle name="쉼표 [0] 3 2 3 2 4 5" xfId="12160"/>
    <cellStyle name="쉼표 [0] 3 2 3 2 4 5 2" xfId="28864"/>
    <cellStyle name="쉼표 [0] 3 2 3 2 4 6" xfId="17728"/>
    <cellStyle name="쉼표 [0] 3 2 3 2 5" xfId="1720"/>
    <cellStyle name="쉼표 [0] 3 2 3 2 5 2" xfId="4504"/>
    <cellStyle name="쉼표 [0] 3 2 3 2 5 2 2" xfId="10072"/>
    <cellStyle name="쉼표 [0] 3 2 3 2 5 2 2 2" xfId="26776"/>
    <cellStyle name="쉼표 [0] 3 2 3 2 5 2 3" xfId="15640"/>
    <cellStyle name="쉼표 [0] 3 2 3 2 5 2 3 2" xfId="32344"/>
    <cellStyle name="쉼표 [0] 3 2 3 2 5 2 4" xfId="21208"/>
    <cellStyle name="쉼표 [0] 3 2 3 2 5 3" xfId="7288"/>
    <cellStyle name="쉼표 [0] 3 2 3 2 5 3 2" xfId="23992"/>
    <cellStyle name="쉼표 [0] 3 2 3 2 5 4" xfId="12856"/>
    <cellStyle name="쉼표 [0] 3 2 3 2 5 4 2" xfId="29560"/>
    <cellStyle name="쉼표 [0] 3 2 3 2 5 5" xfId="18424"/>
    <cellStyle name="쉼표 [0] 3 2 3 2 6" xfId="3112"/>
    <cellStyle name="쉼표 [0] 3 2 3 2 6 2" xfId="8680"/>
    <cellStyle name="쉼표 [0] 3 2 3 2 6 2 2" xfId="25384"/>
    <cellStyle name="쉼표 [0] 3 2 3 2 6 3" xfId="14248"/>
    <cellStyle name="쉼표 [0] 3 2 3 2 6 3 2" xfId="30952"/>
    <cellStyle name="쉼표 [0] 3 2 3 2 6 4" xfId="19816"/>
    <cellStyle name="쉼표 [0] 3 2 3 2 7" xfId="5896"/>
    <cellStyle name="쉼표 [0] 3 2 3 2 7 2" xfId="22600"/>
    <cellStyle name="쉼표 [0] 3 2 3 2 8" xfId="11464"/>
    <cellStyle name="쉼표 [0] 3 2 3 2 8 2" xfId="28168"/>
    <cellStyle name="쉼표 [0] 3 2 3 2 9" xfId="17032"/>
    <cellStyle name="쉼표 [0] 3 2 3 3" xfId="444"/>
    <cellStyle name="쉼표 [0] 3 2 3 3 2" xfId="1140"/>
    <cellStyle name="쉼표 [0] 3 2 3 3 2 2" xfId="2532"/>
    <cellStyle name="쉼표 [0] 3 2 3 3 2 2 2" xfId="5316"/>
    <cellStyle name="쉼표 [0] 3 2 3 3 2 2 2 2" xfId="10884"/>
    <cellStyle name="쉼표 [0] 3 2 3 3 2 2 2 2 2" xfId="27588"/>
    <cellStyle name="쉼표 [0] 3 2 3 3 2 2 2 3" xfId="16452"/>
    <cellStyle name="쉼표 [0] 3 2 3 3 2 2 2 3 2" xfId="33156"/>
    <cellStyle name="쉼표 [0] 3 2 3 3 2 2 2 4" xfId="22020"/>
    <cellStyle name="쉼표 [0] 3 2 3 3 2 2 3" xfId="8100"/>
    <cellStyle name="쉼표 [0] 3 2 3 3 2 2 3 2" xfId="24804"/>
    <cellStyle name="쉼표 [0] 3 2 3 3 2 2 4" xfId="13668"/>
    <cellStyle name="쉼표 [0] 3 2 3 3 2 2 4 2" xfId="30372"/>
    <cellStyle name="쉼표 [0] 3 2 3 3 2 2 5" xfId="19236"/>
    <cellStyle name="쉼표 [0] 3 2 3 3 2 3" xfId="3924"/>
    <cellStyle name="쉼표 [0] 3 2 3 3 2 3 2" xfId="9492"/>
    <cellStyle name="쉼표 [0] 3 2 3 3 2 3 2 2" xfId="26196"/>
    <cellStyle name="쉼표 [0] 3 2 3 3 2 3 3" xfId="15060"/>
    <cellStyle name="쉼표 [0] 3 2 3 3 2 3 3 2" xfId="31764"/>
    <cellStyle name="쉼표 [0] 3 2 3 3 2 3 4" xfId="20628"/>
    <cellStyle name="쉼표 [0] 3 2 3 3 2 4" xfId="6708"/>
    <cellStyle name="쉼표 [0] 3 2 3 3 2 4 2" xfId="23412"/>
    <cellStyle name="쉼표 [0] 3 2 3 3 2 5" xfId="12276"/>
    <cellStyle name="쉼표 [0] 3 2 3 3 2 5 2" xfId="28980"/>
    <cellStyle name="쉼표 [0] 3 2 3 3 2 6" xfId="17844"/>
    <cellStyle name="쉼표 [0] 3 2 3 3 3" xfId="1836"/>
    <cellStyle name="쉼표 [0] 3 2 3 3 3 2" xfId="4620"/>
    <cellStyle name="쉼표 [0] 3 2 3 3 3 2 2" xfId="10188"/>
    <cellStyle name="쉼표 [0] 3 2 3 3 3 2 2 2" xfId="26892"/>
    <cellStyle name="쉼표 [0] 3 2 3 3 3 2 3" xfId="15756"/>
    <cellStyle name="쉼표 [0] 3 2 3 3 3 2 3 2" xfId="32460"/>
    <cellStyle name="쉼표 [0] 3 2 3 3 3 2 4" xfId="21324"/>
    <cellStyle name="쉼표 [0] 3 2 3 3 3 3" xfId="7404"/>
    <cellStyle name="쉼표 [0] 3 2 3 3 3 3 2" xfId="24108"/>
    <cellStyle name="쉼표 [0] 3 2 3 3 3 4" xfId="12972"/>
    <cellStyle name="쉼표 [0] 3 2 3 3 3 4 2" xfId="29676"/>
    <cellStyle name="쉼표 [0] 3 2 3 3 3 5" xfId="18540"/>
    <cellStyle name="쉼표 [0] 3 2 3 3 4" xfId="3228"/>
    <cellStyle name="쉼표 [0] 3 2 3 3 4 2" xfId="8796"/>
    <cellStyle name="쉼표 [0] 3 2 3 3 4 2 2" xfId="25500"/>
    <cellStyle name="쉼표 [0] 3 2 3 3 4 3" xfId="14364"/>
    <cellStyle name="쉼표 [0] 3 2 3 3 4 3 2" xfId="31068"/>
    <cellStyle name="쉼표 [0] 3 2 3 3 4 4" xfId="19932"/>
    <cellStyle name="쉼표 [0] 3 2 3 3 5" xfId="6012"/>
    <cellStyle name="쉼표 [0] 3 2 3 3 5 2" xfId="22716"/>
    <cellStyle name="쉼표 [0] 3 2 3 3 6" xfId="11580"/>
    <cellStyle name="쉼표 [0] 3 2 3 3 6 2" xfId="28284"/>
    <cellStyle name="쉼표 [0] 3 2 3 3 7" xfId="17148"/>
    <cellStyle name="쉼표 [0] 3 2 3 4" xfId="676"/>
    <cellStyle name="쉼표 [0] 3 2 3 4 2" xfId="1372"/>
    <cellStyle name="쉼표 [0] 3 2 3 4 2 2" xfId="2764"/>
    <cellStyle name="쉼표 [0] 3 2 3 4 2 2 2" xfId="5548"/>
    <cellStyle name="쉼표 [0] 3 2 3 4 2 2 2 2" xfId="11116"/>
    <cellStyle name="쉼표 [0] 3 2 3 4 2 2 2 2 2" xfId="27820"/>
    <cellStyle name="쉼표 [0] 3 2 3 4 2 2 2 3" xfId="16684"/>
    <cellStyle name="쉼표 [0] 3 2 3 4 2 2 2 3 2" xfId="33388"/>
    <cellStyle name="쉼표 [0] 3 2 3 4 2 2 2 4" xfId="22252"/>
    <cellStyle name="쉼표 [0] 3 2 3 4 2 2 3" xfId="8332"/>
    <cellStyle name="쉼표 [0] 3 2 3 4 2 2 3 2" xfId="25036"/>
    <cellStyle name="쉼표 [0] 3 2 3 4 2 2 4" xfId="13900"/>
    <cellStyle name="쉼표 [0] 3 2 3 4 2 2 4 2" xfId="30604"/>
    <cellStyle name="쉼표 [0] 3 2 3 4 2 2 5" xfId="19468"/>
    <cellStyle name="쉼표 [0] 3 2 3 4 2 3" xfId="4156"/>
    <cellStyle name="쉼표 [0] 3 2 3 4 2 3 2" xfId="9724"/>
    <cellStyle name="쉼표 [0] 3 2 3 4 2 3 2 2" xfId="26428"/>
    <cellStyle name="쉼표 [0] 3 2 3 4 2 3 3" xfId="15292"/>
    <cellStyle name="쉼표 [0] 3 2 3 4 2 3 3 2" xfId="31996"/>
    <cellStyle name="쉼표 [0] 3 2 3 4 2 3 4" xfId="20860"/>
    <cellStyle name="쉼표 [0] 3 2 3 4 2 4" xfId="6940"/>
    <cellStyle name="쉼표 [0] 3 2 3 4 2 4 2" xfId="23644"/>
    <cellStyle name="쉼표 [0] 3 2 3 4 2 5" xfId="12508"/>
    <cellStyle name="쉼표 [0] 3 2 3 4 2 5 2" xfId="29212"/>
    <cellStyle name="쉼표 [0] 3 2 3 4 2 6" xfId="18076"/>
    <cellStyle name="쉼표 [0] 3 2 3 4 3" xfId="2068"/>
    <cellStyle name="쉼표 [0] 3 2 3 4 3 2" xfId="4852"/>
    <cellStyle name="쉼표 [0] 3 2 3 4 3 2 2" xfId="10420"/>
    <cellStyle name="쉼표 [0] 3 2 3 4 3 2 2 2" xfId="27124"/>
    <cellStyle name="쉼표 [0] 3 2 3 4 3 2 3" xfId="15988"/>
    <cellStyle name="쉼표 [0] 3 2 3 4 3 2 3 2" xfId="32692"/>
    <cellStyle name="쉼표 [0] 3 2 3 4 3 2 4" xfId="21556"/>
    <cellStyle name="쉼표 [0] 3 2 3 4 3 3" xfId="7636"/>
    <cellStyle name="쉼표 [0] 3 2 3 4 3 3 2" xfId="24340"/>
    <cellStyle name="쉼표 [0] 3 2 3 4 3 4" xfId="13204"/>
    <cellStyle name="쉼표 [0] 3 2 3 4 3 4 2" xfId="29908"/>
    <cellStyle name="쉼표 [0] 3 2 3 4 3 5" xfId="18772"/>
    <cellStyle name="쉼표 [0] 3 2 3 4 4" xfId="3460"/>
    <cellStyle name="쉼표 [0] 3 2 3 4 4 2" xfId="9028"/>
    <cellStyle name="쉼표 [0] 3 2 3 4 4 2 2" xfId="25732"/>
    <cellStyle name="쉼표 [0] 3 2 3 4 4 3" xfId="14596"/>
    <cellStyle name="쉼표 [0] 3 2 3 4 4 3 2" xfId="31300"/>
    <cellStyle name="쉼표 [0] 3 2 3 4 4 4" xfId="20164"/>
    <cellStyle name="쉼표 [0] 3 2 3 4 5" xfId="6244"/>
    <cellStyle name="쉼표 [0] 3 2 3 4 5 2" xfId="22948"/>
    <cellStyle name="쉼표 [0] 3 2 3 4 6" xfId="11812"/>
    <cellStyle name="쉼표 [0] 3 2 3 4 6 2" xfId="28516"/>
    <cellStyle name="쉼표 [0] 3 2 3 4 7" xfId="17380"/>
    <cellStyle name="쉼표 [0] 3 2 3 5" xfId="908"/>
    <cellStyle name="쉼표 [0] 3 2 3 5 2" xfId="2300"/>
    <cellStyle name="쉼표 [0] 3 2 3 5 2 2" xfId="5084"/>
    <cellStyle name="쉼표 [0] 3 2 3 5 2 2 2" xfId="10652"/>
    <cellStyle name="쉼표 [0] 3 2 3 5 2 2 2 2" xfId="27356"/>
    <cellStyle name="쉼표 [0] 3 2 3 5 2 2 3" xfId="16220"/>
    <cellStyle name="쉼표 [0] 3 2 3 5 2 2 3 2" xfId="32924"/>
    <cellStyle name="쉼표 [0] 3 2 3 5 2 2 4" xfId="21788"/>
    <cellStyle name="쉼표 [0] 3 2 3 5 2 3" xfId="7868"/>
    <cellStyle name="쉼표 [0] 3 2 3 5 2 3 2" xfId="24572"/>
    <cellStyle name="쉼표 [0] 3 2 3 5 2 4" xfId="13436"/>
    <cellStyle name="쉼표 [0] 3 2 3 5 2 4 2" xfId="30140"/>
    <cellStyle name="쉼표 [0] 3 2 3 5 2 5" xfId="19004"/>
    <cellStyle name="쉼표 [0] 3 2 3 5 3" xfId="3692"/>
    <cellStyle name="쉼표 [0] 3 2 3 5 3 2" xfId="9260"/>
    <cellStyle name="쉼표 [0] 3 2 3 5 3 2 2" xfId="25964"/>
    <cellStyle name="쉼표 [0] 3 2 3 5 3 3" xfId="14828"/>
    <cellStyle name="쉼표 [0] 3 2 3 5 3 3 2" xfId="31532"/>
    <cellStyle name="쉼표 [0] 3 2 3 5 3 4" xfId="20396"/>
    <cellStyle name="쉼표 [0] 3 2 3 5 4" xfId="6476"/>
    <cellStyle name="쉼표 [0] 3 2 3 5 4 2" xfId="23180"/>
    <cellStyle name="쉼표 [0] 3 2 3 5 5" xfId="12044"/>
    <cellStyle name="쉼표 [0] 3 2 3 5 5 2" xfId="28748"/>
    <cellStyle name="쉼표 [0] 3 2 3 5 6" xfId="17612"/>
    <cellStyle name="쉼표 [0] 3 2 3 6" xfId="1604"/>
    <cellStyle name="쉼표 [0] 3 2 3 6 2" xfId="4388"/>
    <cellStyle name="쉼표 [0] 3 2 3 6 2 2" xfId="9956"/>
    <cellStyle name="쉼표 [0] 3 2 3 6 2 2 2" xfId="26660"/>
    <cellStyle name="쉼표 [0] 3 2 3 6 2 3" xfId="15524"/>
    <cellStyle name="쉼표 [0] 3 2 3 6 2 3 2" xfId="32228"/>
    <cellStyle name="쉼표 [0] 3 2 3 6 2 4" xfId="21092"/>
    <cellStyle name="쉼표 [0] 3 2 3 6 3" xfId="7172"/>
    <cellStyle name="쉼표 [0] 3 2 3 6 3 2" xfId="23876"/>
    <cellStyle name="쉼표 [0] 3 2 3 6 4" xfId="12740"/>
    <cellStyle name="쉼표 [0] 3 2 3 6 4 2" xfId="29444"/>
    <cellStyle name="쉼표 [0] 3 2 3 6 5" xfId="18308"/>
    <cellStyle name="쉼표 [0] 3 2 3 7" xfId="2996"/>
    <cellStyle name="쉼표 [0] 3 2 3 7 2" xfId="8564"/>
    <cellStyle name="쉼표 [0] 3 2 3 7 2 2" xfId="25268"/>
    <cellStyle name="쉼표 [0] 3 2 3 7 3" xfId="14132"/>
    <cellStyle name="쉼표 [0] 3 2 3 7 3 2" xfId="30836"/>
    <cellStyle name="쉼표 [0] 3 2 3 7 4" xfId="19700"/>
    <cellStyle name="쉼표 [0] 3 2 3 8" xfId="5780"/>
    <cellStyle name="쉼표 [0] 3 2 3 8 2" xfId="22484"/>
    <cellStyle name="쉼표 [0] 3 2 3 9" xfId="11348"/>
    <cellStyle name="쉼표 [0] 3 2 3 9 2" xfId="28052"/>
    <cellStyle name="쉼표 [0] 3 2 4" xfId="270"/>
    <cellStyle name="쉼표 [0] 3 2 4 2" xfId="502"/>
    <cellStyle name="쉼표 [0] 3 2 4 2 2" xfId="1198"/>
    <cellStyle name="쉼표 [0] 3 2 4 2 2 2" xfId="2590"/>
    <cellStyle name="쉼표 [0] 3 2 4 2 2 2 2" xfId="5374"/>
    <cellStyle name="쉼표 [0] 3 2 4 2 2 2 2 2" xfId="10942"/>
    <cellStyle name="쉼표 [0] 3 2 4 2 2 2 2 2 2" xfId="27646"/>
    <cellStyle name="쉼표 [0] 3 2 4 2 2 2 2 3" xfId="16510"/>
    <cellStyle name="쉼표 [0] 3 2 4 2 2 2 2 3 2" xfId="33214"/>
    <cellStyle name="쉼표 [0] 3 2 4 2 2 2 2 4" xfId="22078"/>
    <cellStyle name="쉼표 [0] 3 2 4 2 2 2 3" xfId="8158"/>
    <cellStyle name="쉼표 [0] 3 2 4 2 2 2 3 2" xfId="24862"/>
    <cellStyle name="쉼표 [0] 3 2 4 2 2 2 4" xfId="13726"/>
    <cellStyle name="쉼표 [0] 3 2 4 2 2 2 4 2" xfId="30430"/>
    <cellStyle name="쉼표 [0] 3 2 4 2 2 2 5" xfId="19294"/>
    <cellStyle name="쉼표 [0] 3 2 4 2 2 3" xfId="3982"/>
    <cellStyle name="쉼표 [0] 3 2 4 2 2 3 2" xfId="9550"/>
    <cellStyle name="쉼표 [0] 3 2 4 2 2 3 2 2" xfId="26254"/>
    <cellStyle name="쉼표 [0] 3 2 4 2 2 3 3" xfId="15118"/>
    <cellStyle name="쉼표 [0] 3 2 4 2 2 3 3 2" xfId="31822"/>
    <cellStyle name="쉼표 [0] 3 2 4 2 2 3 4" xfId="20686"/>
    <cellStyle name="쉼표 [0] 3 2 4 2 2 4" xfId="6766"/>
    <cellStyle name="쉼표 [0] 3 2 4 2 2 4 2" xfId="23470"/>
    <cellStyle name="쉼표 [0] 3 2 4 2 2 5" xfId="12334"/>
    <cellStyle name="쉼표 [0] 3 2 4 2 2 5 2" xfId="29038"/>
    <cellStyle name="쉼표 [0] 3 2 4 2 2 6" xfId="17902"/>
    <cellStyle name="쉼표 [0] 3 2 4 2 3" xfId="1894"/>
    <cellStyle name="쉼표 [0] 3 2 4 2 3 2" xfId="4678"/>
    <cellStyle name="쉼표 [0] 3 2 4 2 3 2 2" xfId="10246"/>
    <cellStyle name="쉼표 [0] 3 2 4 2 3 2 2 2" xfId="26950"/>
    <cellStyle name="쉼표 [0] 3 2 4 2 3 2 3" xfId="15814"/>
    <cellStyle name="쉼표 [0] 3 2 4 2 3 2 3 2" xfId="32518"/>
    <cellStyle name="쉼표 [0] 3 2 4 2 3 2 4" xfId="21382"/>
    <cellStyle name="쉼표 [0] 3 2 4 2 3 3" xfId="7462"/>
    <cellStyle name="쉼표 [0] 3 2 4 2 3 3 2" xfId="24166"/>
    <cellStyle name="쉼표 [0] 3 2 4 2 3 4" xfId="13030"/>
    <cellStyle name="쉼표 [0] 3 2 4 2 3 4 2" xfId="29734"/>
    <cellStyle name="쉼표 [0] 3 2 4 2 3 5" xfId="18598"/>
    <cellStyle name="쉼표 [0] 3 2 4 2 4" xfId="3286"/>
    <cellStyle name="쉼표 [0] 3 2 4 2 4 2" xfId="8854"/>
    <cellStyle name="쉼표 [0] 3 2 4 2 4 2 2" xfId="25558"/>
    <cellStyle name="쉼표 [0] 3 2 4 2 4 3" xfId="14422"/>
    <cellStyle name="쉼표 [0] 3 2 4 2 4 3 2" xfId="31126"/>
    <cellStyle name="쉼표 [0] 3 2 4 2 4 4" xfId="19990"/>
    <cellStyle name="쉼표 [0] 3 2 4 2 5" xfId="6070"/>
    <cellStyle name="쉼표 [0] 3 2 4 2 5 2" xfId="22774"/>
    <cellStyle name="쉼표 [0] 3 2 4 2 6" xfId="11638"/>
    <cellStyle name="쉼표 [0] 3 2 4 2 6 2" xfId="28342"/>
    <cellStyle name="쉼표 [0] 3 2 4 2 7" xfId="17206"/>
    <cellStyle name="쉼표 [0] 3 2 4 3" xfId="734"/>
    <cellStyle name="쉼표 [0] 3 2 4 3 2" xfId="1430"/>
    <cellStyle name="쉼표 [0] 3 2 4 3 2 2" xfId="2822"/>
    <cellStyle name="쉼표 [0] 3 2 4 3 2 2 2" xfId="5606"/>
    <cellStyle name="쉼표 [0] 3 2 4 3 2 2 2 2" xfId="11174"/>
    <cellStyle name="쉼표 [0] 3 2 4 3 2 2 2 2 2" xfId="27878"/>
    <cellStyle name="쉼표 [0] 3 2 4 3 2 2 2 3" xfId="16742"/>
    <cellStyle name="쉼표 [0] 3 2 4 3 2 2 2 3 2" xfId="33446"/>
    <cellStyle name="쉼표 [0] 3 2 4 3 2 2 2 4" xfId="22310"/>
    <cellStyle name="쉼표 [0] 3 2 4 3 2 2 3" xfId="8390"/>
    <cellStyle name="쉼표 [0] 3 2 4 3 2 2 3 2" xfId="25094"/>
    <cellStyle name="쉼표 [0] 3 2 4 3 2 2 4" xfId="13958"/>
    <cellStyle name="쉼표 [0] 3 2 4 3 2 2 4 2" xfId="30662"/>
    <cellStyle name="쉼표 [0] 3 2 4 3 2 2 5" xfId="19526"/>
    <cellStyle name="쉼표 [0] 3 2 4 3 2 3" xfId="4214"/>
    <cellStyle name="쉼표 [0] 3 2 4 3 2 3 2" xfId="9782"/>
    <cellStyle name="쉼표 [0] 3 2 4 3 2 3 2 2" xfId="26486"/>
    <cellStyle name="쉼표 [0] 3 2 4 3 2 3 3" xfId="15350"/>
    <cellStyle name="쉼표 [0] 3 2 4 3 2 3 3 2" xfId="32054"/>
    <cellStyle name="쉼표 [0] 3 2 4 3 2 3 4" xfId="20918"/>
    <cellStyle name="쉼표 [0] 3 2 4 3 2 4" xfId="6998"/>
    <cellStyle name="쉼표 [0] 3 2 4 3 2 4 2" xfId="23702"/>
    <cellStyle name="쉼표 [0] 3 2 4 3 2 5" xfId="12566"/>
    <cellStyle name="쉼표 [0] 3 2 4 3 2 5 2" xfId="29270"/>
    <cellStyle name="쉼표 [0] 3 2 4 3 2 6" xfId="18134"/>
    <cellStyle name="쉼표 [0] 3 2 4 3 3" xfId="2126"/>
    <cellStyle name="쉼표 [0] 3 2 4 3 3 2" xfId="4910"/>
    <cellStyle name="쉼표 [0] 3 2 4 3 3 2 2" xfId="10478"/>
    <cellStyle name="쉼표 [0] 3 2 4 3 3 2 2 2" xfId="27182"/>
    <cellStyle name="쉼표 [0] 3 2 4 3 3 2 3" xfId="16046"/>
    <cellStyle name="쉼표 [0] 3 2 4 3 3 2 3 2" xfId="32750"/>
    <cellStyle name="쉼표 [0] 3 2 4 3 3 2 4" xfId="21614"/>
    <cellStyle name="쉼표 [0] 3 2 4 3 3 3" xfId="7694"/>
    <cellStyle name="쉼표 [0] 3 2 4 3 3 3 2" xfId="24398"/>
    <cellStyle name="쉼표 [0] 3 2 4 3 3 4" xfId="13262"/>
    <cellStyle name="쉼표 [0] 3 2 4 3 3 4 2" xfId="29966"/>
    <cellStyle name="쉼표 [0] 3 2 4 3 3 5" xfId="18830"/>
    <cellStyle name="쉼표 [0] 3 2 4 3 4" xfId="3518"/>
    <cellStyle name="쉼표 [0] 3 2 4 3 4 2" xfId="9086"/>
    <cellStyle name="쉼표 [0] 3 2 4 3 4 2 2" xfId="25790"/>
    <cellStyle name="쉼표 [0] 3 2 4 3 4 3" xfId="14654"/>
    <cellStyle name="쉼표 [0] 3 2 4 3 4 3 2" xfId="31358"/>
    <cellStyle name="쉼표 [0] 3 2 4 3 4 4" xfId="20222"/>
    <cellStyle name="쉼표 [0] 3 2 4 3 5" xfId="6302"/>
    <cellStyle name="쉼표 [0] 3 2 4 3 5 2" xfId="23006"/>
    <cellStyle name="쉼표 [0] 3 2 4 3 6" xfId="11870"/>
    <cellStyle name="쉼표 [0] 3 2 4 3 6 2" xfId="28574"/>
    <cellStyle name="쉼표 [0] 3 2 4 3 7" xfId="17438"/>
    <cellStyle name="쉼표 [0] 3 2 4 4" xfId="966"/>
    <cellStyle name="쉼표 [0] 3 2 4 4 2" xfId="2358"/>
    <cellStyle name="쉼표 [0] 3 2 4 4 2 2" xfId="5142"/>
    <cellStyle name="쉼표 [0] 3 2 4 4 2 2 2" xfId="10710"/>
    <cellStyle name="쉼표 [0] 3 2 4 4 2 2 2 2" xfId="27414"/>
    <cellStyle name="쉼표 [0] 3 2 4 4 2 2 3" xfId="16278"/>
    <cellStyle name="쉼표 [0] 3 2 4 4 2 2 3 2" xfId="32982"/>
    <cellStyle name="쉼표 [0] 3 2 4 4 2 2 4" xfId="21846"/>
    <cellStyle name="쉼표 [0] 3 2 4 4 2 3" xfId="7926"/>
    <cellStyle name="쉼표 [0] 3 2 4 4 2 3 2" xfId="24630"/>
    <cellStyle name="쉼표 [0] 3 2 4 4 2 4" xfId="13494"/>
    <cellStyle name="쉼표 [0] 3 2 4 4 2 4 2" xfId="30198"/>
    <cellStyle name="쉼표 [0] 3 2 4 4 2 5" xfId="19062"/>
    <cellStyle name="쉼표 [0] 3 2 4 4 3" xfId="3750"/>
    <cellStyle name="쉼표 [0] 3 2 4 4 3 2" xfId="9318"/>
    <cellStyle name="쉼표 [0] 3 2 4 4 3 2 2" xfId="26022"/>
    <cellStyle name="쉼표 [0] 3 2 4 4 3 3" xfId="14886"/>
    <cellStyle name="쉼표 [0] 3 2 4 4 3 3 2" xfId="31590"/>
    <cellStyle name="쉼표 [0] 3 2 4 4 3 4" xfId="20454"/>
    <cellStyle name="쉼표 [0] 3 2 4 4 4" xfId="6534"/>
    <cellStyle name="쉼표 [0] 3 2 4 4 4 2" xfId="23238"/>
    <cellStyle name="쉼표 [0] 3 2 4 4 5" xfId="12102"/>
    <cellStyle name="쉼표 [0] 3 2 4 4 5 2" xfId="28806"/>
    <cellStyle name="쉼표 [0] 3 2 4 4 6" xfId="17670"/>
    <cellStyle name="쉼표 [0] 3 2 4 5" xfId="1662"/>
    <cellStyle name="쉼표 [0] 3 2 4 5 2" xfId="4446"/>
    <cellStyle name="쉼표 [0] 3 2 4 5 2 2" xfId="10014"/>
    <cellStyle name="쉼표 [0] 3 2 4 5 2 2 2" xfId="26718"/>
    <cellStyle name="쉼표 [0] 3 2 4 5 2 3" xfId="15582"/>
    <cellStyle name="쉼표 [0] 3 2 4 5 2 3 2" xfId="32286"/>
    <cellStyle name="쉼표 [0] 3 2 4 5 2 4" xfId="21150"/>
    <cellStyle name="쉼표 [0] 3 2 4 5 3" xfId="7230"/>
    <cellStyle name="쉼표 [0] 3 2 4 5 3 2" xfId="23934"/>
    <cellStyle name="쉼표 [0] 3 2 4 5 4" xfId="12798"/>
    <cellStyle name="쉼표 [0] 3 2 4 5 4 2" xfId="29502"/>
    <cellStyle name="쉼표 [0] 3 2 4 5 5" xfId="18366"/>
    <cellStyle name="쉼표 [0] 3 2 4 6" xfId="3054"/>
    <cellStyle name="쉼표 [0] 3 2 4 6 2" xfId="8622"/>
    <cellStyle name="쉼표 [0] 3 2 4 6 2 2" xfId="25326"/>
    <cellStyle name="쉼표 [0] 3 2 4 6 3" xfId="14190"/>
    <cellStyle name="쉼표 [0] 3 2 4 6 3 2" xfId="30894"/>
    <cellStyle name="쉼표 [0] 3 2 4 6 4" xfId="19758"/>
    <cellStyle name="쉼표 [0] 3 2 4 7" xfId="5838"/>
    <cellStyle name="쉼표 [0] 3 2 4 7 2" xfId="22542"/>
    <cellStyle name="쉼표 [0] 3 2 4 8" xfId="11406"/>
    <cellStyle name="쉼표 [0] 3 2 4 8 2" xfId="28110"/>
    <cellStyle name="쉼표 [0] 3 2 4 9" xfId="16974"/>
    <cellStyle name="쉼표 [0] 3 2 5" xfId="386"/>
    <cellStyle name="쉼표 [0] 3 2 5 2" xfId="1082"/>
    <cellStyle name="쉼표 [0] 3 2 5 2 2" xfId="2474"/>
    <cellStyle name="쉼표 [0] 3 2 5 2 2 2" xfId="5258"/>
    <cellStyle name="쉼표 [0] 3 2 5 2 2 2 2" xfId="10826"/>
    <cellStyle name="쉼표 [0] 3 2 5 2 2 2 2 2" xfId="27530"/>
    <cellStyle name="쉼표 [0] 3 2 5 2 2 2 3" xfId="16394"/>
    <cellStyle name="쉼표 [0] 3 2 5 2 2 2 3 2" xfId="33098"/>
    <cellStyle name="쉼표 [0] 3 2 5 2 2 2 4" xfId="21962"/>
    <cellStyle name="쉼표 [0] 3 2 5 2 2 3" xfId="8042"/>
    <cellStyle name="쉼표 [0] 3 2 5 2 2 3 2" xfId="24746"/>
    <cellStyle name="쉼표 [0] 3 2 5 2 2 4" xfId="13610"/>
    <cellStyle name="쉼표 [0] 3 2 5 2 2 4 2" xfId="30314"/>
    <cellStyle name="쉼표 [0] 3 2 5 2 2 5" xfId="19178"/>
    <cellStyle name="쉼표 [0] 3 2 5 2 3" xfId="3866"/>
    <cellStyle name="쉼표 [0] 3 2 5 2 3 2" xfId="9434"/>
    <cellStyle name="쉼표 [0] 3 2 5 2 3 2 2" xfId="26138"/>
    <cellStyle name="쉼표 [0] 3 2 5 2 3 3" xfId="15002"/>
    <cellStyle name="쉼표 [0] 3 2 5 2 3 3 2" xfId="31706"/>
    <cellStyle name="쉼표 [0] 3 2 5 2 3 4" xfId="20570"/>
    <cellStyle name="쉼표 [0] 3 2 5 2 4" xfId="6650"/>
    <cellStyle name="쉼표 [0] 3 2 5 2 4 2" xfId="23354"/>
    <cellStyle name="쉼표 [0] 3 2 5 2 5" xfId="12218"/>
    <cellStyle name="쉼표 [0] 3 2 5 2 5 2" xfId="28922"/>
    <cellStyle name="쉼표 [0] 3 2 5 2 6" xfId="17786"/>
    <cellStyle name="쉼표 [0] 3 2 5 3" xfId="1778"/>
    <cellStyle name="쉼표 [0] 3 2 5 3 2" xfId="4562"/>
    <cellStyle name="쉼표 [0] 3 2 5 3 2 2" xfId="10130"/>
    <cellStyle name="쉼표 [0] 3 2 5 3 2 2 2" xfId="26834"/>
    <cellStyle name="쉼표 [0] 3 2 5 3 2 3" xfId="15698"/>
    <cellStyle name="쉼표 [0] 3 2 5 3 2 3 2" xfId="32402"/>
    <cellStyle name="쉼표 [0] 3 2 5 3 2 4" xfId="21266"/>
    <cellStyle name="쉼표 [0] 3 2 5 3 3" xfId="7346"/>
    <cellStyle name="쉼표 [0] 3 2 5 3 3 2" xfId="24050"/>
    <cellStyle name="쉼표 [0] 3 2 5 3 4" xfId="12914"/>
    <cellStyle name="쉼표 [0] 3 2 5 3 4 2" xfId="29618"/>
    <cellStyle name="쉼표 [0] 3 2 5 3 5" xfId="18482"/>
    <cellStyle name="쉼표 [0] 3 2 5 4" xfId="3170"/>
    <cellStyle name="쉼표 [0] 3 2 5 4 2" xfId="8738"/>
    <cellStyle name="쉼표 [0] 3 2 5 4 2 2" xfId="25442"/>
    <cellStyle name="쉼표 [0] 3 2 5 4 3" xfId="14306"/>
    <cellStyle name="쉼표 [0] 3 2 5 4 3 2" xfId="31010"/>
    <cellStyle name="쉼표 [0] 3 2 5 4 4" xfId="19874"/>
    <cellStyle name="쉼표 [0] 3 2 5 5" xfId="5954"/>
    <cellStyle name="쉼표 [0] 3 2 5 5 2" xfId="22658"/>
    <cellStyle name="쉼표 [0] 3 2 5 6" xfId="11522"/>
    <cellStyle name="쉼표 [0] 3 2 5 6 2" xfId="28226"/>
    <cellStyle name="쉼표 [0] 3 2 5 7" xfId="17090"/>
    <cellStyle name="쉼표 [0] 3 2 6" xfId="618"/>
    <cellStyle name="쉼표 [0] 3 2 6 2" xfId="1314"/>
    <cellStyle name="쉼표 [0] 3 2 6 2 2" xfId="2706"/>
    <cellStyle name="쉼표 [0] 3 2 6 2 2 2" xfId="5490"/>
    <cellStyle name="쉼표 [0] 3 2 6 2 2 2 2" xfId="11058"/>
    <cellStyle name="쉼표 [0] 3 2 6 2 2 2 2 2" xfId="27762"/>
    <cellStyle name="쉼표 [0] 3 2 6 2 2 2 3" xfId="16626"/>
    <cellStyle name="쉼표 [0] 3 2 6 2 2 2 3 2" xfId="33330"/>
    <cellStyle name="쉼표 [0] 3 2 6 2 2 2 4" xfId="22194"/>
    <cellStyle name="쉼표 [0] 3 2 6 2 2 3" xfId="8274"/>
    <cellStyle name="쉼표 [0] 3 2 6 2 2 3 2" xfId="24978"/>
    <cellStyle name="쉼표 [0] 3 2 6 2 2 4" xfId="13842"/>
    <cellStyle name="쉼표 [0] 3 2 6 2 2 4 2" xfId="30546"/>
    <cellStyle name="쉼표 [0] 3 2 6 2 2 5" xfId="19410"/>
    <cellStyle name="쉼표 [0] 3 2 6 2 3" xfId="4098"/>
    <cellStyle name="쉼표 [0] 3 2 6 2 3 2" xfId="9666"/>
    <cellStyle name="쉼표 [0] 3 2 6 2 3 2 2" xfId="26370"/>
    <cellStyle name="쉼표 [0] 3 2 6 2 3 3" xfId="15234"/>
    <cellStyle name="쉼표 [0] 3 2 6 2 3 3 2" xfId="31938"/>
    <cellStyle name="쉼표 [0] 3 2 6 2 3 4" xfId="20802"/>
    <cellStyle name="쉼표 [0] 3 2 6 2 4" xfId="6882"/>
    <cellStyle name="쉼표 [0] 3 2 6 2 4 2" xfId="23586"/>
    <cellStyle name="쉼표 [0] 3 2 6 2 5" xfId="12450"/>
    <cellStyle name="쉼표 [0] 3 2 6 2 5 2" xfId="29154"/>
    <cellStyle name="쉼표 [0] 3 2 6 2 6" xfId="18018"/>
    <cellStyle name="쉼표 [0] 3 2 6 3" xfId="2010"/>
    <cellStyle name="쉼표 [0] 3 2 6 3 2" xfId="4794"/>
    <cellStyle name="쉼표 [0] 3 2 6 3 2 2" xfId="10362"/>
    <cellStyle name="쉼표 [0] 3 2 6 3 2 2 2" xfId="27066"/>
    <cellStyle name="쉼표 [0] 3 2 6 3 2 3" xfId="15930"/>
    <cellStyle name="쉼표 [0] 3 2 6 3 2 3 2" xfId="32634"/>
    <cellStyle name="쉼표 [0] 3 2 6 3 2 4" xfId="21498"/>
    <cellStyle name="쉼표 [0] 3 2 6 3 3" xfId="7578"/>
    <cellStyle name="쉼표 [0] 3 2 6 3 3 2" xfId="24282"/>
    <cellStyle name="쉼표 [0] 3 2 6 3 4" xfId="13146"/>
    <cellStyle name="쉼표 [0] 3 2 6 3 4 2" xfId="29850"/>
    <cellStyle name="쉼표 [0] 3 2 6 3 5" xfId="18714"/>
    <cellStyle name="쉼표 [0] 3 2 6 4" xfId="3402"/>
    <cellStyle name="쉼표 [0] 3 2 6 4 2" xfId="8970"/>
    <cellStyle name="쉼표 [0] 3 2 6 4 2 2" xfId="25674"/>
    <cellStyle name="쉼표 [0] 3 2 6 4 3" xfId="14538"/>
    <cellStyle name="쉼표 [0] 3 2 6 4 3 2" xfId="31242"/>
    <cellStyle name="쉼표 [0] 3 2 6 4 4" xfId="20106"/>
    <cellStyle name="쉼표 [0] 3 2 6 5" xfId="6186"/>
    <cellStyle name="쉼표 [0] 3 2 6 5 2" xfId="22890"/>
    <cellStyle name="쉼표 [0] 3 2 6 6" xfId="11754"/>
    <cellStyle name="쉼표 [0] 3 2 6 6 2" xfId="28458"/>
    <cellStyle name="쉼표 [0] 3 2 6 7" xfId="17322"/>
    <cellStyle name="쉼표 [0] 3 2 7" xfId="850"/>
    <cellStyle name="쉼표 [0] 3 2 7 2" xfId="2242"/>
    <cellStyle name="쉼표 [0] 3 2 7 2 2" xfId="5026"/>
    <cellStyle name="쉼표 [0] 3 2 7 2 2 2" xfId="10594"/>
    <cellStyle name="쉼표 [0] 3 2 7 2 2 2 2" xfId="27298"/>
    <cellStyle name="쉼표 [0] 3 2 7 2 2 3" xfId="16162"/>
    <cellStyle name="쉼표 [0] 3 2 7 2 2 3 2" xfId="32866"/>
    <cellStyle name="쉼표 [0] 3 2 7 2 2 4" xfId="21730"/>
    <cellStyle name="쉼표 [0] 3 2 7 2 3" xfId="7810"/>
    <cellStyle name="쉼표 [0] 3 2 7 2 3 2" xfId="24514"/>
    <cellStyle name="쉼표 [0] 3 2 7 2 4" xfId="13378"/>
    <cellStyle name="쉼표 [0] 3 2 7 2 4 2" xfId="30082"/>
    <cellStyle name="쉼표 [0] 3 2 7 2 5" xfId="18946"/>
    <cellStyle name="쉼표 [0] 3 2 7 3" xfId="3634"/>
    <cellStyle name="쉼표 [0] 3 2 7 3 2" xfId="9202"/>
    <cellStyle name="쉼표 [0] 3 2 7 3 2 2" xfId="25906"/>
    <cellStyle name="쉼표 [0] 3 2 7 3 3" xfId="14770"/>
    <cellStyle name="쉼표 [0] 3 2 7 3 3 2" xfId="31474"/>
    <cellStyle name="쉼표 [0] 3 2 7 3 4" xfId="20338"/>
    <cellStyle name="쉼표 [0] 3 2 7 4" xfId="6418"/>
    <cellStyle name="쉼표 [0] 3 2 7 4 2" xfId="23122"/>
    <cellStyle name="쉼표 [0] 3 2 7 5" xfId="11986"/>
    <cellStyle name="쉼표 [0] 3 2 7 5 2" xfId="28690"/>
    <cellStyle name="쉼표 [0] 3 2 7 6" xfId="17554"/>
    <cellStyle name="쉼표 [0] 3 2 8" xfId="1546"/>
    <cellStyle name="쉼표 [0] 3 2 8 2" xfId="4330"/>
    <cellStyle name="쉼표 [0] 3 2 8 2 2" xfId="9898"/>
    <cellStyle name="쉼표 [0] 3 2 8 2 2 2" xfId="26602"/>
    <cellStyle name="쉼표 [0] 3 2 8 2 3" xfId="15466"/>
    <cellStyle name="쉼표 [0] 3 2 8 2 3 2" xfId="32170"/>
    <cellStyle name="쉼표 [0] 3 2 8 2 4" xfId="21034"/>
    <cellStyle name="쉼표 [0] 3 2 8 3" xfId="7114"/>
    <cellStyle name="쉼표 [0] 3 2 8 3 2" xfId="23818"/>
    <cellStyle name="쉼표 [0] 3 2 8 4" xfId="12682"/>
    <cellStyle name="쉼표 [0] 3 2 8 4 2" xfId="29386"/>
    <cellStyle name="쉼표 [0] 3 2 8 5" xfId="18250"/>
    <cellStyle name="쉼표 [0] 3 2 9" xfId="2938"/>
    <cellStyle name="쉼표 [0] 3 2 9 2" xfId="8506"/>
    <cellStyle name="쉼표 [0] 3 2 9 2 2" xfId="25210"/>
    <cellStyle name="쉼표 [0] 3 2 9 3" xfId="14074"/>
    <cellStyle name="쉼표 [0] 3 2 9 3 2" xfId="30778"/>
    <cellStyle name="쉼표 [0] 3 2 9 4" xfId="19642"/>
    <cellStyle name="쉼표 [0] 3 3" xfId="182"/>
    <cellStyle name="쉼표 [0] 3 3 10" xfId="11318"/>
    <cellStyle name="쉼표 [0] 3 3 10 2" xfId="28022"/>
    <cellStyle name="쉼표 [0] 3 3 11" xfId="16886"/>
    <cellStyle name="쉼표 [0] 3 3 2" xfId="240"/>
    <cellStyle name="쉼표 [0] 3 3 2 10" xfId="16944"/>
    <cellStyle name="쉼표 [0] 3 3 2 2" xfId="356"/>
    <cellStyle name="쉼표 [0] 3 3 2 2 2" xfId="588"/>
    <cellStyle name="쉼표 [0] 3 3 2 2 2 2" xfId="1284"/>
    <cellStyle name="쉼표 [0] 3 3 2 2 2 2 2" xfId="2676"/>
    <cellStyle name="쉼표 [0] 3 3 2 2 2 2 2 2" xfId="5460"/>
    <cellStyle name="쉼표 [0] 3 3 2 2 2 2 2 2 2" xfId="11028"/>
    <cellStyle name="쉼표 [0] 3 3 2 2 2 2 2 2 2 2" xfId="27732"/>
    <cellStyle name="쉼표 [0] 3 3 2 2 2 2 2 2 3" xfId="16596"/>
    <cellStyle name="쉼표 [0] 3 3 2 2 2 2 2 2 3 2" xfId="33300"/>
    <cellStyle name="쉼표 [0] 3 3 2 2 2 2 2 2 4" xfId="22164"/>
    <cellStyle name="쉼표 [0] 3 3 2 2 2 2 2 3" xfId="8244"/>
    <cellStyle name="쉼표 [0] 3 3 2 2 2 2 2 3 2" xfId="24948"/>
    <cellStyle name="쉼표 [0] 3 3 2 2 2 2 2 4" xfId="13812"/>
    <cellStyle name="쉼표 [0] 3 3 2 2 2 2 2 4 2" xfId="30516"/>
    <cellStyle name="쉼표 [0] 3 3 2 2 2 2 2 5" xfId="19380"/>
    <cellStyle name="쉼표 [0] 3 3 2 2 2 2 3" xfId="4068"/>
    <cellStyle name="쉼표 [0] 3 3 2 2 2 2 3 2" xfId="9636"/>
    <cellStyle name="쉼표 [0] 3 3 2 2 2 2 3 2 2" xfId="26340"/>
    <cellStyle name="쉼표 [0] 3 3 2 2 2 2 3 3" xfId="15204"/>
    <cellStyle name="쉼표 [0] 3 3 2 2 2 2 3 3 2" xfId="31908"/>
    <cellStyle name="쉼표 [0] 3 3 2 2 2 2 3 4" xfId="20772"/>
    <cellStyle name="쉼표 [0] 3 3 2 2 2 2 4" xfId="6852"/>
    <cellStyle name="쉼표 [0] 3 3 2 2 2 2 4 2" xfId="23556"/>
    <cellStyle name="쉼표 [0] 3 3 2 2 2 2 5" xfId="12420"/>
    <cellStyle name="쉼표 [0] 3 3 2 2 2 2 5 2" xfId="29124"/>
    <cellStyle name="쉼표 [0] 3 3 2 2 2 2 6" xfId="17988"/>
    <cellStyle name="쉼표 [0] 3 3 2 2 2 3" xfId="1980"/>
    <cellStyle name="쉼표 [0] 3 3 2 2 2 3 2" xfId="4764"/>
    <cellStyle name="쉼표 [0] 3 3 2 2 2 3 2 2" xfId="10332"/>
    <cellStyle name="쉼표 [0] 3 3 2 2 2 3 2 2 2" xfId="27036"/>
    <cellStyle name="쉼표 [0] 3 3 2 2 2 3 2 3" xfId="15900"/>
    <cellStyle name="쉼표 [0] 3 3 2 2 2 3 2 3 2" xfId="32604"/>
    <cellStyle name="쉼표 [0] 3 3 2 2 2 3 2 4" xfId="21468"/>
    <cellStyle name="쉼표 [0] 3 3 2 2 2 3 3" xfId="7548"/>
    <cellStyle name="쉼표 [0] 3 3 2 2 2 3 3 2" xfId="24252"/>
    <cellStyle name="쉼표 [0] 3 3 2 2 2 3 4" xfId="13116"/>
    <cellStyle name="쉼표 [0] 3 3 2 2 2 3 4 2" xfId="29820"/>
    <cellStyle name="쉼표 [0] 3 3 2 2 2 3 5" xfId="18684"/>
    <cellStyle name="쉼표 [0] 3 3 2 2 2 4" xfId="3372"/>
    <cellStyle name="쉼표 [0] 3 3 2 2 2 4 2" xfId="8940"/>
    <cellStyle name="쉼표 [0] 3 3 2 2 2 4 2 2" xfId="25644"/>
    <cellStyle name="쉼표 [0] 3 3 2 2 2 4 3" xfId="14508"/>
    <cellStyle name="쉼표 [0] 3 3 2 2 2 4 3 2" xfId="31212"/>
    <cellStyle name="쉼표 [0] 3 3 2 2 2 4 4" xfId="20076"/>
    <cellStyle name="쉼표 [0] 3 3 2 2 2 5" xfId="6156"/>
    <cellStyle name="쉼표 [0] 3 3 2 2 2 5 2" xfId="22860"/>
    <cellStyle name="쉼표 [0] 3 3 2 2 2 6" xfId="11724"/>
    <cellStyle name="쉼표 [0] 3 3 2 2 2 6 2" xfId="28428"/>
    <cellStyle name="쉼표 [0] 3 3 2 2 2 7" xfId="17292"/>
    <cellStyle name="쉼표 [0] 3 3 2 2 3" xfId="820"/>
    <cellStyle name="쉼표 [0] 3 3 2 2 3 2" xfId="1516"/>
    <cellStyle name="쉼표 [0] 3 3 2 2 3 2 2" xfId="2908"/>
    <cellStyle name="쉼표 [0] 3 3 2 2 3 2 2 2" xfId="5692"/>
    <cellStyle name="쉼표 [0] 3 3 2 2 3 2 2 2 2" xfId="11260"/>
    <cellStyle name="쉼표 [0] 3 3 2 2 3 2 2 2 2 2" xfId="27964"/>
    <cellStyle name="쉼표 [0] 3 3 2 2 3 2 2 2 3" xfId="16828"/>
    <cellStyle name="쉼표 [0] 3 3 2 2 3 2 2 2 3 2" xfId="33532"/>
    <cellStyle name="쉼표 [0] 3 3 2 2 3 2 2 2 4" xfId="22396"/>
    <cellStyle name="쉼표 [0] 3 3 2 2 3 2 2 3" xfId="8476"/>
    <cellStyle name="쉼표 [0] 3 3 2 2 3 2 2 3 2" xfId="25180"/>
    <cellStyle name="쉼표 [0] 3 3 2 2 3 2 2 4" xfId="14044"/>
    <cellStyle name="쉼표 [0] 3 3 2 2 3 2 2 4 2" xfId="30748"/>
    <cellStyle name="쉼표 [0] 3 3 2 2 3 2 2 5" xfId="19612"/>
    <cellStyle name="쉼표 [0] 3 3 2 2 3 2 3" xfId="4300"/>
    <cellStyle name="쉼표 [0] 3 3 2 2 3 2 3 2" xfId="9868"/>
    <cellStyle name="쉼표 [0] 3 3 2 2 3 2 3 2 2" xfId="26572"/>
    <cellStyle name="쉼표 [0] 3 3 2 2 3 2 3 3" xfId="15436"/>
    <cellStyle name="쉼표 [0] 3 3 2 2 3 2 3 3 2" xfId="32140"/>
    <cellStyle name="쉼표 [0] 3 3 2 2 3 2 3 4" xfId="21004"/>
    <cellStyle name="쉼표 [0] 3 3 2 2 3 2 4" xfId="7084"/>
    <cellStyle name="쉼표 [0] 3 3 2 2 3 2 4 2" xfId="23788"/>
    <cellStyle name="쉼표 [0] 3 3 2 2 3 2 5" xfId="12652"/>
    <cellStyle name="쉼표 [0] 3 3 2 2 3 2 5 2" xfId="29356"/>
    <cellStyle name="쉼표 [0] 3 3 2 2 3 2 6" xfId="18220"/>
    <cellStyle name="쉼표 [0] 3 3 2 2 3 3" xfId="2212"/>
    <cellStyle name="쉼표 [0] 3 3 2 2 3 3 2" xfId="4996"/>
    <cellStyle name="쉼표 [0] 3 3 2 2 3 3 2 2" xfId="10564"/>
    <cellStyle name="쉼표 [0] 3 3 2 2 3 3 2 2 2" xfId="27268"/>
    <cellStyle name="쉼표 [0] 3 3 2 2 3 3 2 3" xfId="16132"/>
    <cellStyle name="쉼표 [0] 3 3 2 2 3 3 2 3 2" xfId="32836"/>
    <cellStyle name="쉼표 [0] 3 3 2 2 3 3 2 4" xfId="21700"/>
    <cellStyle name="쉼표 [0] 3 3 2 2 3 3 3" xfId="7780"/>
    <cellStyle name="쉼표 [0] 3 3 2 2 3 3 3 2" xfId="24484"/>
    <cellStyle name="쉼표 [0] 3 3 2 2 3 3 4" xfId="13348"/>
    <cellStyle name="쉼표 [0] 3 3 2 2 3 3 4 2" xfId="30052"/>
    <cellStyle name="쉼표 [0] 3 3 2 2 3 3 5" xfId="18916"/>
    <cellStyle name="쉼표 [0] 3 3 2 2 3 4" xfId="3604"/>
    <cellStyle name="쉼표 [0] 3 3 2 2 3 4 2" xfId="9172"/>
    <cellStyle name="쉼표 [0] 3 3 2 2 3 4 2 2" xfId="25876"/>
    <cellStyle name="쉼표 [0] 3 3 2 2 3 4 3" xfId="14740"/>
    <cellStyle name="쉼표 [0] 3 3 2 2 3 4 3 2" xfId="31444"/>
    <cellStyle name="쉼표 [0] 3 3 2 2 3 4 4" xfId="20308"/>
    <cellStyle name="쉼표 [0] 3 3 2 2 3 5" xfId="6388"/>
    <cellStyle name="쉼표 [0] 3 3 2 2 3 5 2" xfId="23092"/>
    <cellStyle name="쉼표 [0] 3 3 2 2 3 6" xfId="11956"/>
    <cellStyle name="쉼표 [0] 3 3 2 2 3 6 2" xfId="28660"/>
    <cellStyle name="쉼표 [0] 3 3 2 2 3 7" xfId="17524"/>
    <cellStyle name="쉼표 [0] 3 3 2 2 4" xfId="1052"/>
    <cellStyle name="쉼표 [0] 3 3 2 2 4 2" xfId="2444"/>
    <cellStyle name="쉼표 [0] 3 3 2 2 4 2 2" xfId="5228"/>
    <cellStyle name="쉼표 [0] 3 3 2 2 4 2 2 2" xfId="10796"/>
    <cellStyle name="쉼표 [0] 3 3 2 2 4 2 2 2 2" xfId="27500"/>
    <cellStyle name="쉼표 [0] 3 3 2 2 4 2 2 3" xfId="16364"/>
    <cellStyle name="쉼표 [0] 3 3 2 2 4 2 2 3 2" xfId="33068"/>
    <cellStyle name="쉼표 [0] 3 3 2 2 4 2 2 4" xfId="21932"/>
    <cellStyle name="쉼표 [0] 3 3 2 2 4 2 3" xfId="8012"/>
    <cellStyle name="쉼표 [0] 3 3 2 2 4 2 3 2" xfId="24716"/>
    <cellStyle name="쉼표 [0] 3 3 2 2 4 2 4" xfId="13580"/>
    <cellStyle name="쉼표 [0] 3 3 2 2 4 2 4 2" xfId="30284"/>
    <cellStyle name="쉼표 [0] 3 3 2 2 4 2 5" xfId="19148"/>
    <cellStyle name="쉼표 [0] 3 3 2 2 4 3" xfId="3836"/>
    <cellStyle name="쉼표 [0] 3 3 2 2 4 3 2" xfId="9404"/>
    <cellStyle name="쉼표 [0] 3 3 2 2 4 3 2 2" xfId="26108"/>
    <cellStyle name="쉼표 [0] 3 3 2 2 4 3 3" xfId="14972"/>
    <cellStyle name="쉼표 [0] 3 3 2 2 4 3 3 2" xfId="31676"/>
    <cellStyle name="쉼표 [0] 3 3 2 2 4 3 4" xfId="20540"/>
    <cellStyle name="쉼표 [0] 3 3 2 2 4 4" xfId="6620"/>
    <cellStyle name="쉼표 [0] 3 3 2 2 4 4 2" xfId="23324"/>
    <cellStyle name="쉼표 [0] 3 3 2 2 4 5" xfId="12188"/>
    <cellStyle name="쉼표 [0] 3 3 2 2 4 5 2" xfId="28892"/>
    <cellStyle name="쉼표 [0] 3 3 2 2 4 6" xfId="17756"/>
    <cellStyle name="쉼표 [0] 3 3 2 2 5" xfId="1748"/>
    <cellStyle name="쉼표 [0] 3 3 2 2 5 2" xfId="4532"/>
    <cellStyle name="쉼표 [0] 3 3 2 2 5 2 2" xfId="10100"/>
    <cellStyle name="쉼표 [0] 3 3 2 2 5 2 2 2" xfId="26804"/>
    <cellStyle name="쉼표 [0] 3 3 2 2 5 2 3" xfId="15668"/>
    <cellStyle name="쉼표 [0] 3 3 2 2 5 2 3 2" xfId="32372"/>
    <cellStyle name="쉼표 [0] 3 3 2 2 5 2 4" xfId="21236"/>
    <cellStyle name="쉼표 [0] 3 3 2 2 5 3" xfId="7316"/>
    <cellStyle name="쉼표 [0] 3 3 2 2 5 3 2" xfId="24020"/>
    <cellStyle name="쉼표 [0] 3 3 2 2 5 4" xfId="12884"/>
    <cellStyle name="쉼표 [0] 3 3 2 2 5 4 2" xfId="29588"/>
    <cellStyle name="쉼표 [0] 3 3 2 2 5 5" xfId="18452"/>
    <cellStyle name="쉼표 [0] 3 3 2 2 6" xfId="3140"/>
    <cellStyle name="쉼표 [0] 3 3 2 2 6 2" xfId="8708"/>
    <cellStyle name="쉼표 [0] 3 3 2 2 6 2 2" xfId="25412"/>
    <cellStyle name="쉼표 [0] 3 3 2 2 6 3" xfId="14276"/>
    <cellStyle name="쉼표 [0] 3 3 2 2 6 3 2" xfId="30980"/>
    <cellStyle name="쉼표 [0] 3 3 2 2 6 4" xfId="19844"/>
    <cellStyle name="쉼표 [0] 3 3 2 2 7" xfId="5924"/>
    <cellStyle name="쉼표 [0] 3 3 2 2 7 2" xfId="22628"/>
    <cellStyle name="쉼표 [0] 3 3 2 2 8" xfId="11492"/>
    <cellStyle name="쉼표 [0] 3 3 2 2 8 2" xfId="28196"/>
    <cellStyle name="쉼표 [0] 3 3 2 2 9" xfId="17060"/>
    <cellStyle name="쉼표 [0] 3 3 2 3" xfId="472"/>
    <cellStyle name="쉼표 [0] 3 3 2 3 2" xfId="1168"/>
    <cellStyle name="쉼표 [0] 3 3 2 3 2 2" xfId="2560"/>
    <cellStyle name="쉼표 [0] 3 3 2 3 2 2 2" xfId="5344"/>
    <cellStyle name="쉼표 [0] 3 3 2 3 2 2 2 2" xfId="10912"/>
    <cellStyle name="쉼표 [0] 3 3 2 3 2 2 2 2 2" xfId="27616"/>
    <cellStyle name="쉼표 [0] 3 3 2 3 2 2 2 3" xfId="16480"/>
    <cellStyle name="쉼표 [0] 3 3 2 3 2 2 2 3 2" xfId="33184"/>
    <cellStyle name="쉼표 [0] 3 3 2 3 2 2 2 4" xfId="22048"/>
    <cellStyle name="쉼표 [0] 3 3 2 3 2 2 3" xfId="8128"/>
    <cellStyle name="쉼표 [0] 3 3 2 3 2 2 3 2" xfId="24832"/>
    <cellStyle name="쉼표 [0] 3 3 2 3 2 2 4" xfId="13696"/>
    <cellStyle name="쉼표 [0] 3 3 2 3 2 2 4 2" xfId="30400"/>
    <cellStyle name="쉼표 [0] 3 3 2 3 2 2 5" xfId="19264"/>
    <cellStyle name="쉼표 [0] 3 3 2 3 2 3" xfId="3952"/>
    <cellStyle name="쉼표 [0] 3 3 2 3 2 3 2" xfId="9520"/>
    <cellStyle name="쉼표 [0] 3 3 2 3 2 3 2 2" xfId="26224"/>
    <cellStyle name="쉼표 [0] 3 3 2 3 2 3 3" xfId="15088"/>
    <cellStyle name="쉼표 [0] 3 3 2 3 2 3 3 2" xfId="31792"/>
    <cellStyle name="쉼표 [0] 3 3 2 3 2 3 4" xfId="20656"/>
    <cellStyle name="쉼표 [0] 3 3 2 3 2 4" xfId="6736"/>
    <cellStyle name="쉼표 [0] 3 3 2 3 2 4 2" xfId="23440"/>
    <cellStyle name="쉼표 [0] 3 3 2 3 2 5" xfId="12304"/>
    <cellStyle name="쉼표 [0] 3 3 2 3 2 5 2" xfId="29008"/>
    <cellStyle name="쉼표 [0] 3 3 2 3 2 6" xfId="17872"/>
    <cellStyle name="쉼표 [0] 3 3 2 3 3" xfId="1864"/>
    <cellStyle name="쉼표 [0] 3 3 2 3 3 2" xfId="4648"/>
    <cellStyle name="쉼표 [0] 3 3 2 3 3 2 2" xfId="10216"/>
    <cellStyle name="쉼표 [0] 3 3 2 3 3 2 2 2" xfId="26920"/>
    <cellStyle name="쉼표 [0] 3 3 2 3 3 2 3" xfId="15784"/>
    <cellStyle name="쉼표 [0] 3 3 2 3 3 2 3 2" xfId="32488"/>
    <cellStyle name="쉼표 [0] 3 3 2 3 3 2 4" xfId="21352"/>
    <cellStyle name="쉼표 [0] 3 3 2 3 3 3" xfId="7432"/>
    <cellStyle name="쉼표 [0] 3 3 2 3 3 3 2" xfId="24136"/>
    <cellStyle name="쉼표 [0] 3 3 2 3 3 4" xfId="13000"/>
    <cellStyle name="쉼표 [0] 3 3 2 3 3 4 2" xfId="29704"/>
    <cellStyle name="쉼표 [0] 3 3 2 3 3 5" xfId="18568"/>
    <cellStyle name="쉼표 [0] 3 3 2 3 4" xfId="3256"/>
    <cellStyle name="쉼표 [0] 3 3 2 3 4 2" xfId="8824"/>
    <cellStyle name="쉼표 [0] 3 3 2 3 4 2 2" xfId="25528"/>
    <cellStyle name="쉼표 [0] 3 3 2 3 4 3" xfId="14392"/>
    <cellStyle name="쉼표 [0] 3 3 2 3 4 3 2" xfId="31096"/>
    <cellStyle name="쉼표 [0] 3 3 2 3 4 4" xfId="19960"/>
    <cellStyle name="쉼표 [0] 3 3 2 3 5" xfId="6040"/>
    <cellStyle name="쉼표 [0] 3 3 2 3 5 2" xfId="22744"/>
    <cellStyle name="쉼표 [0] 3 3 2 3 6" xfId="11608"/>
    <cellStyle name="쉼표 [0] 3 3 2 3 6 2" xfId="28312"/>
    <cellStyle name="쉼표 [0] 3 3 2 3 7" xfId="17176"/>
    <cellStyle name="쉼표 [0] 3 3 2 4" xfId="704"/>
    <cellStyle name="쉼표 [0] 3 3 2 4 2" xfId="1400"/>
    <cellStyle name="쉼표 [0] 3 3 2 4 2 2" xfId="2792"/>
    <cellStyle name="쉼표 [0] 3 3 2 4 2 2 2" xfId="5576"/>
    <cellStyle name="쉼표 [0] 3 3 2 4 2 2 2 2" xfId="11144"/>
    <cellStyle name="쉼표 [0] 3 3 2 4 2 2 2 2 2" xfId="27848"/>
    <cellStyle name="쉼표 [0] 3 3 2 4 2 2 2 3" xfId="16712"/>
    <cellStyle name="쉼표 [0] 3 3 2 4 2 2 2 3 2" xfId="33416"/>
    <cellStyle name="쉼표 [0] 3 3 2 4 2 2 2 4" xfId="22280"/>
    <cellStyle name="쉼표 [0] 3 3 2 4 2 2 3" xfId="8360"/>
    <cellStyle name="쉼표 [0] 3 3 2 4 2 2 3 2" xfId="25064"/>
    <cellStyle name="쉼표 [0] 3 3 2 4 2 2 4" xfId="13928"/>
    <cellStyle name="쉼표 [0] 3 3 2 4 2 2 4 2" xfId="30632"/>
    <cellStyle name="쉼표 [0] 3 3 2 4 2 2 5" xfId="19496"/>
    <cellStyle name="쉼표 [0] 3 3 2 4 2 3" xfId="4184"/>
    <cellStyle name="쉼표 [0] 3 3 2 4 2 3 2" xfId="9752"/>
    <cellStyle name="쉼표 [0] 3 3 2 4 2 3 2 2" xfId="26456"/>
    <cellStyle name="쉼표 [0] 3 3 2 4 2 3 3" xfId="15320"/>
    <cellStyle name="쉼표 [0] 3 3 2 4 2 3 3 2" xfId="32024"/>
    <cellStyle name="쉼표 [0] 3 3 2 4 2 3 4" xfId="20888"/>
    <cellStyle name="쉼표 [0] 3 3 2 4 2 4" xfId="6968"/>
    <cellStyle name="쉼표 [0] 3 3 2 4 2 4 2" xfId="23672"/>
    <cellStyle name="쉼표 [0] 3 3 2 4 2 5" xfId="12536"/>
    <cellStyle name="쉼표 [0] 3 3 2 4 2 5 2" xfId="29240"/>
    <cellStyle name="쉼표 [0] 3 3 2 4 2 6" xfId="18104"/>
    <cellStyle name="쉼표 [0] 3 3 2 4 3" xfId="2096"/>
    <cellStyle name="쉼표 [0] 3 3 2 4 3 2" xfId="4880"/>
    <cellStyle name="쉼표 [0] 3 3 2 4 3 2 2" xfId="10448"/>
    <cellStyle name="쉼표 [0] 3 3 2 4 3 2 2 2" xfId="27152"/>
    <cellStyle name="쉼표 [0] 3 3 2 4 3 2 3" xfId="16016"/>
    <cellStyle name="쉼표 [0] 3 3 2 4 3 2 3 2" xfId="32720"/>
    <cellStyle name="쉼표 [0] 3 3 2 4 3 2 4" xfId="21584"/>
    <cellStyle name="쉼표 [0] 3 3 2 4 3 3" xfId="7664"/>
    <cellStyle name="쉼표 [0] 3 3 2 4 3 3 2" xfId="24368"/>
    <cellStyle name="쉼표 [0] 3 3 2 4 3 4" xfId="13232"/>
    <cellStyle name="쉼표 [0] 3 3 2 4 3 4 2" xfId="29936"/>
    <cellStyle name="쉼표 [0] 3 3 2 4 3 5" xfId="18800"/>
    <cellStyle name="쉼표 [0] 3 3 2 4 4" xfId="3488"/>
    <cellStyle name="쉼표 [0] 3 3 2 4 4 2" xfId="9056"/>
    <cellStyle name="쉼표 [0] 3 3 2 4 4 2 2" xfId="25760"/>
    <cellStyle name="쉼표 [0] 3 3 2 4 4 3" xfId="14624"/>
    <cellStyle name="쉼표 [0] 3 3 2 4 4 3 2" xfId="31328"/>
    <cellStyle name="쉼표 [0] 3 3 2 4 4 4" xfId="20192"/>
    <cellStyle name="쉼표 [0] 3 3 2 4 5" xfId="6272"/>
    <cellStyle name="쉼표 [0] 3 3 2 4 5 2" xfId="22976"/>
    <cellStyle name="쉼표 [0] 3 3 2 4 6" xfId="11840"/>
    <cellStyle name="쉼표 [0] 3 3 2 4 6 2" xfId="28544"/>
    <cellStyle name="쉼표 [0] 3 3 2 4 7" xfId="17408"/>
    <cellStyle name="쉼표 [0] 3 3 2 5" xfId="936"/>
    <cellStyle name="쉼표 [0] 3 3 2 5 2" xfId="2328"/>
    <cellStyle name="쉼표 [0] 3 3 2 5 2 2" xfId="5112"/>
    <cellStyle name="쉼표 [0] 3 3 2 5 2 2 2" xfId="10680"/>
    <cellStyle name="쉼표 [0] 3 3 2 5 2 2 2 2" xfId="27384"/>
    <cellStyle name="쉼표 [0] 3 3 2 5 2 2 3" xfId="16248"/>
    <cellStyle name="쉼표 [0] 3 3 2 5 2 2 3 2" xfId="32952"/>
    <cellStyle name="쉼표 [0] 3 3 2 5 2 2 4" xfId="21816"/>
    <cellStyle name="쉼표 [0] 3 3 2 5 2 3" xfId="7896"/>
    <cellStyle name="쉼표 [0] 3 3 2 5 2 3 2" xfId="24600"/>
    <cellStyle name="쉼표 [0] 3 3 2 5 2 4" xfId="13464"/>
    <cellStyle name="쉼표 [0] 3 3 2 5 2 4 2" xfId="30168"/>
    <cellStyle name="쉼표 [0] 3 3 2 5 2 5" xfId="19032"/>
    <cellStyle name="쉼표 [0] 3 3 2 5 3" xfId="3720"/>
    <cellStyle name="쉼표 [0] 3 3 2 5 3 2" xfId="9288"/>
    <cellStyle name="쉼표 [0] 3 3 2 5 3 2 2" xfId="25992"/>
    <cellStyle name="쉼표 [0] 3 3 2 5 3 3" xfId="14856"/>
    <cellStyle name="쉼표 [0] 3 3 2 5 3 3 2" xfId="31560"/>
    <cellStyle name="쉼표 [0] 3 3 2 5 3 4" xfId="20424"/>
    <cellStyle name="쉼표 [0] 3 3 2 5 4" xfId="6504"/>
    <cellStyle name="쉼표 [0] 3 3 2 5 4 2" xfId="23208"/>
    <cellStyle name="쉼표 [0] 3 3 2 5 5" xfId="12072"/>
    <cellStyle name="쉼표 [0] 3 3 2 5 5 2" xfId="28776"/>
    <cellStyle name="쉼표 [0] 3 3 2 5 6" xfId="17640"/>
    <cellStyle name="쉼표 [0] 3 3 2 6" xfId="1632"/>
    <cellStyle name="쉼표 [0] 3 3 2 6 2" xfId="4416"/>
    <cellStyle name="쉼표 [0] 3 3 2 6 2 2" xfId="9984"/>
    <cellStyle name="쉼표 [0] 3 3 2 6 2 2 2" xfId="26688"/>
    <cellStyle name="쉼표 [0] 3 3 2 6 2 3" xfId="15552"/>
    <cellStyle name="쉼표 [0] 3 3 2 6 2 3 2" xfId="32256"/>
    <cellStyle name="쉼표 [0] 3 3 2 6 2 4" xfId="21120"/>
    <cellStyle name="쉼표 [0] 3 3 2 6 3" xfId="7200"/>
    <cellStyle name="쉼표 [0] 3 3 2 6 3 2" xfId="23904"/>
    <cellStyle name="쉼표 [0] 3 3 2 6 4" xfId="12768"/>
    <cellStyle name="쉼표 [0] 3 3 2 6 4 2" xfId="29472"/>
    <cellStyle name="쉼표 [0] 3 3 2 6 5" xfId="18336"/>
    <cellStyle name="쉼표 [0] 3 3 2 7" xfId="3024"/>
    <cellStyle name="쉼표 [0] 3 3 2 7 2" xfId="8592"/>
    <cellStyle name="쉼표 [0] 3 3 2 7 2 2" xfId="25296"/>
    <cellStyle name="쉼표 [0] 3 3 2 7 3" xfId="14160"/>
    <cellStyle name="쉼표 [0] 3 3 2 7 3 2" xfId="30864"/>
    <cellStyle name="쉼표 [0] 3 3 2 7 4" xfId="19728"/>
    <cellStyle name="쉼표 [0] 3 3 2 8" xfId="5808"/>
    <cellStyle name="쉼표 [0] 3 3 2 8 2" xfId="22512"/>
    <cellStyle name="쉼표 [0] 3 3 2 9" xfId="11376"/>
    <cellStyle name="쉼표 [0] 3 3 2 9 2" xfId="28080"/>
    <cellStyle name="쉼표 [0] 3 3 3" xfId="298"/>
    <cellStyle name="쉼표 [0] 3 3 3 2" xfId="530"/>
    <cellStyle name="쉼표 [0] 3 3 3 2 2" xfId="1226"/>
    <cellStyle name="쉼표 [0] 3 3 3 2 2 2" xfId="2618"/>
    <cellStyle name="쉼표 [0] 3 3 3 2 2 2 2" xfId="5402"/>
    <cellStyle name="쉼표 [0] 3 3 3 2 2 2 2 2" xfId="10970"/>
    <cellStyle name="쉼표 [0] 3 3 3 2 2 2 2 2 2" xfId="27674"/>
    <cellStyle name="쉼표 [0] 3 3 3 2 2 2 2 3" xfId="16538"/>
    <cellStyle name="쉼표 [0] 3 3 3 2 2 2 2 3 2" xfId="33242"/>
    <cellStyle name="쉼표 [0] 3 3 3 2 2 2 2 4" xfId="22106"/>
    <cellStyle name="쉼표 [0] 3 3 3 2 2 2 3" xfId="8186"/>
    <cellStyle name="쉼표 [0] 3 3 3 2 2 2 3 2" xfId="24890"/>
    <cellStyle name="쉼표 [0] 3 3 3 2 2 2 4" xfId="13754"/>
    <cellStyle name="쉼표 [0] 3 3 3 2 2 2 4 2" xfId="30458"/>
    <cellStyle name="쉼표 [0] 3 3 3 2 2 2 5" xfId="19322"/>
    <cellStyle name="쉼표 [0] 3 3 3 2 2 3" xfId="4010"/>
    <cellStyle name="쉼표 [0] 3 3 3 2 2 3 2" xfId="9578"/>
    <cellStyle name="쉼표 [0] 3 3 3 2 2 3 2 2" xfId="26282"/>
    <cellStyle name="쉼표 [0] 3 3 3 2 2 3 3" xfId="15146"/>
    <cellStyle name="쉼표 [0] 3 3 3 2 2 3 3 2" xfId="31850"/>
    <cellStyle name="쉼표 [0] 3 3 3 2 2 3 4" xfId="20714"/>
    <cellStyle name="쉼표 [0] 3 3 3 2 2 4" xfId="6794"/>
    <cellStyle name="쉼표 [0] 3 3 3 2 2 4 2" xfId="23498"/>
    <cellStyle name="쉼표 [0] 3 3 3 2 2 5" xfId="12362"/>
    <cellStyle name="쉼표 [0] 3 3 3 2 2 5 2" xfId="29066"/>
    <cellStyle name="쉼표 [0] 3 3 3 2 2 6" xfId="17930"/>
    <cellStyle name="쉼표 [0] 3 3 3 2 3" xfId="1922"/>
    <cellStyle name="쉼표 [0] 3 3 3 2 3 2" xfId="4706"/>
    <cellStyle name="쉼표 [0] 3 3 3 2 3 2 2" xfId="10274"/>
    <cellStyle name="쉼표 [0] 3 3 3 2 3 2 2 2" xfId="26978"/>
    <cellStyle name="쉼표 [0] 3 3 3 2 3 2 3" xfId="15842"/>
    <cellStyle name="쉼표 [0] 3 3 3 2 3 2 3 2" xfId="32546"/>
    <cellStyle name="쉼표 [0] 3 3 3 2 3 2 4" xfId="21410"/>
    <cellStyle name="쉼표 [0] 3 3 3 2 3 3" xfId="7490"/>
    <cellStyle name="쉼표 [0] 3 3 3 2 3 3 2" xfId="24194"/>
    <cellStyle name="쉼표 [0] 3 3 3 2 3 4" xfId="13058"/>
    <cellStyle name="쉼표 [0] 3 3 3 2 3 4 2" xfId="29762"/>
    <cellStyle name="쉼표 [0] 3 3 3 2 3 5" xfId="18626"/>
    <cellStyle name="쉼표 [0] 3 3 3 2 4" xfId="3314"/>
    <cellStyle name="쉼표 [0] 3 3 3 2 4 2" xfId="8882"/>
    <cellStyle name="쉼표 [0] 3 3 3 2 4 2 2" xfId="25586"/>
    <cellStyle name="쉼표 [0] 3 3 3 2 4 3" xfId="14450"/>
    <cellStyle name="쉼표 [0] 3 3 3 2 4 3 2" xfId="31154"/>
    <cellStyle name="쉼표 [0] 3 3 3 2 4 4" xfId="20018"/>
    <cellStyle name="쉼표 [0] 3 3 3 2 5" xfId="6098"/>
    <cellStyle name="쉼표 [0] 3 3 3 2 5 2" xfId="22802"/>
    <cellStyle name="쉼표 [0] 3 3 3 2 6" xfId="11666"/>
    <cellStyle name="쉼표 [0] 3 3 3 2 6 2" xfId="28370"/>
    <cellStyle name="쉼표 [0] 3 3 3 2 7" xfId="17234"/>
    <cellStyle name="쉼표 [0] 3 3 3 3" xfId="762"/>
    <cellStyle name="쉼표 [0] 3 3 3 3 2" xfId="1458"/>
    <cellStyle name="쉼표 [0] 3 3 3 3 2 2" xfId="2850"/>
    <cellStyle name="쉼표 [0] 3 3 3 3 2 2 2" xfId="5634"/>
    <cellStyle name="쉼표 [0] 3 3 3 3 2 2 2 2" xfId="11202"/>
    <cellStyle name="쉼표 [0] 3 3 3 3 2 2 2 2 2" xfId="27906"/>
    <cellStyle name="쉼표 [0] 3 3 3 3 2 2 2 3" xfId="16770"/>
    <cellStyle name="쉼표 [0] 3 3 3 3 2 2 2 3 2" xfId="33474"/>
    <cellStyle name="쉼표 [0] 3 3 3 3 2 2 2 4" xfId="22338"/>
    <cellStyle name="쉼표 [0] 3 3 3 3 2 2 3" xfId="8418"/>
    <cellStyle name="쉼표 [0] 3 3 3 3 2 2 3 2" xfId="25122"/>
    <cellStyle name="쉼표 [0] 3 3 3 3 2 2 4" xfId="13986"/>
    <cellStyle name="쉼표 [0] 3 3 3 3 2 2 4 2" xfId="30690"/>
    <cellStyle name="쉼표 [0] 3 3 3 3 2 2 5" xfId="19554"/>
    <cellStyle name="쉼표 [0] 3 3 3 3 2 3" xfId="4242"/>
    <cellStyle name="쉼표 [0] 3 3 3 3 2 3 2" xfId="9810"/>
    <cellStyle name="쉼표 [0] 3 3 3 3 2 3 2 2" xfId="26514"/>
    <cellStyle name="쉼표 [0] 3 3 3 3 2 3 3" xfId="15378"/>
    <cellStyle name="쉼표 [0] 3 3 3 3 2 3 3 2" xfId="32082"/>
    <cellStyle name="쉼표 [0] 3 3 3 3 2 3 4" xfId="20946"/>
    <cellStyle name="쉼표 [0] 3 3 3 3 2 4" xfId="7026"/>
    <cellStyle name="쉼표 [0] 3 3 3 3 2 4 2" xfId="23730"/>
    <cellStyle name="쉼표 [0] 3 3 3 3 2 5" xfId="12594"/>
    <cellStyle name="쉼표 [0] 3 3 3 3 2 5 2" xfId="29298"/>
    <cellStyle name="쉼표 [0] 3 3 3 3 2 6" xfId="18162"/>
    <cellStyle name="쉼표 [0] 3 3 3 3 3" xfId="2154"/>
    <cellStyle name="쉼표 [0] 3 3 3 3 3 2" xfId="4938"/>
    <cellStyle name="쉼표 [0] 3 3 3 3 3 2 2" xfId="10506"/>
    <cellStyle name="쉼표 [0] 3 3 3 3 3 2 2 2" xfId="27210"/>
    <cellStyle name="쉼표 [0] 3 3 3 3 3 2 3" xfId="16074"/>
    <cellStyle name="쉼표 [0] 3 3 3 3 3 2 3 2" xfId="32778"/>
    <cellStyle name="쉼표 [0] 3 3 3 3 3 2 4" xfId="21642"/>
    <cellStyle name="쉼표 [0] 3 3 3 3 3 3" xfId="7722"/>
    <cellStyle name="쉼표 [0] 3 3 3 3 3 3 2" xfId="24426"/>
    <cellStyle name="쉼표 [0] 3 3 3 3 3 4" xfId="13290"/>
    <cellStyle name="쉼표 [0] 3 3 3 3 3 4 2" xfId="29994"/>
    <cellStyle name="쉼표 [0] 3 3 3 3 3 5" xfId="18858"/>
    <cellStyle name="쉼표 [0] 3 3 3 3 4" xfId="3546"/>
    <cellStyle name="쉼표 [0] 3 3 3 3 4 2" xfId="9114"/>
    <cellStyle name="쉼표 [0] 3 3 3 3 4 2 2" xfId="25818"/>
    <cellStyle name="쉼표 [0] 3 3 3 3 4 3" xfId="14682"/>
    <cellStyle name="쉼표 [0] 3 3 3 3 4 3 2" xfId="31386"/>
    <cellStyle name="쉼표 [0] 3 3 3 3 4 4" xfId="20250"/>
    <cellStyle name="쉼표 [0] 3 3 3 3 5" xfId="6330"/>
    <cellStyle name="쉼표 [0] 3 3 3 3 5 2" xfId="23034"/>
    <cellStyle name="쉼표 [0] 3 3 3 3 6" xfId="11898"/>
    <cellStyle name="쉼표 [0] 3 3 3 3 6 2" xfId="28602"/>
    <cellStyle name="쉼표 [0] 3 3 3 3 7" xfId="17466"/>
    <cellStyle name="쉼표 [0] 3 3 3 4" xfId="994"/>
    <cellStyle name="쉼표 [0] 3 3 3 4 2" xfId="2386"/>
    <cellStyle name="쉼표 [0] 3 3 3 4 2 2" xfId="5170"/>
    <cellStyle name="쉼표 [0] 3 3 3 4 2 2 2" xfId="10738"/>
    <cellStyle name="쉼표 [0] 3 3 3 4 2 2 2 2" xfId="27442"/>
    <cellStyle name="쉼표 [0] 3 3 3 4 2 2 3" xfId="16306"/>
    <cellStyle name="쉼표 [0] 3 3 3 4 2 2 3 2" xfId="33010"/>
    <cellStyle name="쉼표 [0] 3 3 3 4 2 2 4" xfId="21874"/>
    <cellStyle name="쉼표 [0] 3 3 3 4 2 3" xfId="7954"/>
    <cellStyle name="쉼표 [0] 3 3 3 4 2 3 2" xfId="24658"/>
    <cellStyle name="쉼표 [0] 3 3 3 4 2 4" xfId="13522"/>
    <cellStyle name="쉼표 [0] 3 3 3 4 2 4 2" xfId="30226"/>
    <cellStyle name="쉼표 [0] 3 3 3 4 2 5" xfId="19090"/>
    <cellStyle name="쉼표 [0] 3 3 3 4 3" xfId="3778"/>
    <cellStyle name="쉼표 [0] 3 3 3 4 3 2" xfId="9346"/>
    <cellStyle name="쉼표 [0] 3 3 3 4 3 2 2" xfId="26050"/>
    <cellStyle name="쉼표 [0] 3 3 3 4 3 3" xfId="14914"/>
    <cellStyle name="쉼표 [0] 3 3 3 4 3 3 2" xfId="31618"/>
    <cellStyle name="쉼표 [0] 3 3 3 4 3 4" xfId="20482"/>
    <cellStyle name="쉼표 [0] 3 3 3 4 4" xfId="6562"/>
    <cellStyle name="쉼표 [0] 3 3 3 4 4 2" xfId="23266"/>
    <cellStyle name="쉼표 [0] 3 3 3 4 5" xfId="12130"/>
    <cellStyle name="쉼표 [0] 3 3 3 4 5 2" xfId="28834"/>
    <cellStyle name="쉼표 [0] 3 3 3 4 6" xfId="17698"/>
    <cellStyle name="쉼표 [0] 3 3 3 5" xfId="1690"/>
    <cellStyle name="쉼표 [0] 3 3 3 5 2" xfId="4474"/>
    <cellStyle name="쉼표 [0] 3 3 3 5 2 2" xfId="10042"/>
    <cellStyle name="쉼표 [0] 3 3 3 5 2 2 2" xfId="26746"/>
    <cellStyle name="쉼표 [0] 3 3 3 5 2 3" xfId="15610"/>
    <cellStyle name="쉼표 [0] 3 3 3 5 2 3 2" xfId="32314"/>
    <cellStyle name="쉼표 [0] 3 3 3 5 2 4" xfId="21178"/>
    <cellStyle name="쉼표 [0] 3 3 3 5 3" xfId="7258"/>
    <cellStyle name="쉼표 [0] 3 3 3 5 3 2" xfId="23962"/>
    <cellStyle name="쉼표 [0] 3 3 3 5 4" xfId="12826"/>
    <cellStyle name="쉼표 [0] 3 3 3 5 4 2" xfId="29530"/>
    <cellStyle name="쉼표 [0] 3 3 3 5 5" xfId="18394"/>
    <cellStyle name="쉼표 [0] 3 3 3 6" xfId="3082"/>
    <cellStyle name="쉼표 [0] 3 3 3 6 2" xfId="8650"/>
    <cellStyle name="쉼표 [0] 3 3 3 6 2 2" xfId="25354"/>
    <cellStyle name="쉼표 [0] 3 3 3 6 3" xfId="14218"/>
    <cellStyle name="쉼표 [0] 3 3 3 6 3 2" xfId="30922"/>
    <cellStyle name="쉼표 [0] 3 3 3 6 4" xfId="19786"/>
    <cellStyle name="쉼표 [0] 3 3 3 7" xfId="5866"/>
    <cellStyle name="쉼표 [0] 3 3 3 7 2" xfId="22570"/>
    <cellStyle name="쉼표 [0] 3 3 3 8" xfId="11434"/>
    <cellStyle name="쉼표 [0] 3 3 3 8 2" xfId="28138"/>
    <cellStyle name="쉼표 [0] 3 3 3 9" xfId="17002"/>
    <cellStyle name="쉼표 [0] 3 3 4" xfId="414"/>
    <cellStyle name="쉼표 [0] 3 3 4 2" xfId="1110"/>
    <cellStyle name="쉼표 [0] 3 3 4 2 2" xfId="2502"/>
    <cellStyle name="쉼표 [0] 3 3 4 2 2 2" xfId="5286"/>
    <cellStyle name="쉼표 [0] 3 3 4 2 2 2 2" xfId="10854"/>
    <cellStyle name="쉼표 [0] 3 3 4 2 2 2 2 2" xfId="27558"/>
    <cellStyle name="쉼표 [0] 3 3 4 2 2 2 3" xfId="16422"/>
    <cellStyle name="쉼표 [0] 3 3 4 2 2 2 3 2" xfId="33126"/>
    <cellStyle name="쉼표 [0] 3 3 4 2 2 2 4" xfId="21990"/>
    <cellStyle name="쉼표 [0] 3 3 4 2 2 3" xfId="8070"/>
    <cellStyle name="쉼표 [0] 3 3 4 2 2 3 2" xfId="24774"/>
    <cellStyle name="쉼표 [0] 3 3 4 2 2 4" xfId="13638"/>
    <cellStyle name="쉼표 [0] 3 3 4 2 2 4 2" xfId="30342"/>
    <cellStyle name="쉼표 [0] 3 3 4 2 2 5" xfId="19206"/>
    <cellStyle name="쉼표 [0] 3 3 4 2 3" xfId="3894"/>
    <cellStyle name="쉼표 [0] 3 3 4 2 3 2" xfId="9462"/>
    <cellStyle name="쉼표 [0] 3 3 4 2 3 2 2" xfId="26166"/>
    <cellStyle name="쉼표 [0] 3 3 4 2 3 3" xfId="15030"/>
    <cellStyle name="쉼표 [0] 3 3 4 2 3 3 2" xfId="31734"/>
    <cellStyle name="쉼표 [0] 3 3 4 2 3 4" xfId="20598"/>
    <cellStyle name="쉼표 [0] 3 3 4 2 4" xfId="6678"/>
    <cellStyle name="쉼표 [0] 3 3 4 2 4 2" xfId="23382"/>
    <cellStyle name="쉼표 [0] 3 3 4 2 5" xfId="12246"/>
    <cellStyle name="쉼표 [0] 3 3 4 2 5 2" xfId="28950"/>
    <cellStyle name="쉼표 [0] 3 3 4 2 6" xfId="17814"/>
    <cellStyle name="쉼표 [0] 3 3 4 3" xfId="1806"/>
    <cellStyle name="쉼표 [0] 3 3 4 3 2" xfId="4590"/>
    <cellStyle name="쉼표 [0] 3 3 4 3 2 2" xfId="10158"/>
    <cellStyle name="쉼표 [0] 3 3 4 3 2 2 2" xfId="26862"/>
    <cellStyle name="쉼표 [0] 3 3 4 3 2 3" xfId="15726"/>
    <cellStyle name="쉼표 [0] 3 3 4 3 2 3 2" xfId="32430"/>
    <cellStyle name="쉼표 [0] 3 3 4 3 2 4" xfId="21294"/>
    <cellStyle name="쉼표 [0] 3 3 4 3 3" xfId="7374"/>
    <cellStyle name="쉼표 [0] 3 3 4 3 3 2" xfId="24078"/>
    <cellStyle name="쉼표 [0] 3 3 4 3 4" xfId="12942"/>
    <cellStyle name="쉼표 [0] 3 3 4 3 4 2" xfId="29646"/>
    <cellStyle name="쉼표 [0] 3 3 4 3 5" xfId="18510"/>
    <cellStyle name="쉼표 [0] 3 3 4 4" xfId="3198"/>
    <cellStyle name="쉼표 [0] 3 3 4 4 2" xfId="8766"/>
    <cellStyle name="쉼표 [0] 3 3 4 4 2 2" xfId="25470"/>
    <cellStyle name="쉼표 [0] 3 3 4 4 3" xfId="14334"/>
    <cellStyle name="쉼표 [0] 3 3 4 4 3 2" xfId="31038"/>
    <cellStyle name="쉼표 [0] 3 3 4 4 4" xfId="19902"/>
    <cellStyle name="쉼표 [0] 3 3 4 5" xfId="5982"/>
    <cellStyle name="쉼표 [0] 3 3 4 5 2" xfId="22686"/>
    <cellStyle name="쉼표 [0] 3 3 4 6" xfId="11550"/>
    <cellStyle name="쉼표 [0] 3 3 4 6 2" xfId="28254"/>
    <cellStyle name="쉼표 [0] 3 3 4 7" xfId="17118"/>
    <cellStyle name="쉼표 [0] 3 3 5" xfId="646"/>
    <cellStyle name="쉼표 [0] 3 3 5 2" xfId="1342"/>
    <cellStyle name="쉼표 [0] 3 3 5 2 2" xfId="2734"/>
    <cellStyle name="쉼표 [0] 3 3 5 2 2 2" xfId="5518"/>
    <cellStyle name="쉼표 [0] 3 3 5 2 2 2 2" xfId="11086"/>
    <cellStyle name="쉼표 [0] 3 3 5 2 2 2 2 2" xfId="27790"/>
    <cellStyle name="쉼표 [0] 3 3 5 2 2 2 3" xfId="16654"/>
    <cellStyle name="쉼표 [0] 3 3 5 2 2 2 3 2" xfId="33358"/>
    <cellStyle name="쉼표 [0] 3 3 5 2 2 2 4" xfId="22222"/>
    <cellStyle name="쉼표 [0] 3 3 5 2 2 3" xfId="8302"/>
    <cellStyle name="쉼표 [0] 3 3 5 2 2 3 2" xfId="25006"/>
    <cellStyle name="쉼표 [0] 3 3 5 2 2 4" xfId="13870"/>
    <cellStyle name="쉼표 [0] 3 3 5 2 2 4 2" xfId="30574"/>
    <cellStyle name="쉼표 [0] 3 3 5 2 2 5" xfId="19438"/>
    <cellStyle name="쉼표 [0] 3 3 5 2 3" xfId="4126"/>
    <cellStyle name="쉼표 [0] 3 3 5 2 3 2" xfId="9694"/>
    <cellStyle name="쉼표 [0] 3 3 5 2 3 2 2" xfId="26398"/>
    <cellStyle name="쉼표 [0] 3 3 5 2 3 3" xfId="15262"/>
    <cellStyle name="쉼표 [0] 3 3 5 2 3 3 2" xfId="31966"/>
    <cellStyle name="쉼표 [0] 3 3 5 2 3 4" xfId="20830"/>
    <cellStyle name="쉼표 [0] 3 3 5 2 4" xfId="6910"/>
    <cellStyle name="쉼표 [0] 3 3 5 2 4 2" xfId="23614"/>
    <cellStyle name="쉼표 [0] 3 3 5 2 5" xfId="12478"/>
    <cellStyle name="쉼표 [0] 3 3 5 2 5 2" xfId="29182"/>
    <cellStyle name="쉼표 [0] 3 3 5 2 6" xfId="18046"/>
    <cellStyle name="쉼표 [0] 3 3 5 3" xfId="2038"/>
    <cellStyle name="쉼표 [0] 3 3 5 3 2" xfId="4822"/>
    <cellStyle name="쉼표 [0] 3 3 5 3 2 2" xfId="10390"/>
    <cellStyle name="쉼표 [0] 3 3 5 3 2 2 2" xfId="27094"/>
    <cellStyle name="쉼표 [0] 3 3 5 3 2 3" xfId="15958"/>
    <cellStyle name="쉼표 [0] 3 3 5 3 2 3 2" xfId="32662"/>
    <cellStyle name="쉼표 [0] 3 3 5 3 2 4" xfId="21526"/>
    <cellStyle name="쉼표 [0] 3 3 5 3 3" xfId="7606"/>
    <cellStyle name="쉼표 [0] 3 3 5 3 3 2" xfId="24310"/>
    <cellStyle name="쉼표 [0] 3 3 5 3 4" xfId="13174"/>
    <cellStyle name="쉼표 [0] 3 3 5 3 4 2" xfId="29878"/>
    <cellStyle name="쉼표 [0] 3 3 5 3 5" xfId="18742"/>
    <cellStyle name="쉼표 [0] 3 3 5 4" xfId="3430"/>
    <cellStyle name="쉼표 [0] 3 3 5 4 2" xfId="8998"/>
    <cellStyle name="쉼표 [0] 3 3 5 4 2 2" xfId="25702"/>
    <cellStyle name="쉼표 [0] 3 3 5 4 3" xfId="14566"/>
    <cellStyle name="쉼표 [0] 3 3 5 4 3 2" xfId="31270"/>
    <cellStyle name="쉼표 [0] 3 3 5 4 4" xfId="20134"/>
    <cellStyle name="쉼표 [0] 3 3 5 5" xfId="6214"/>
    <cellStyle name="쉼표 [0] 3 3 5 5 2" xfId="22918"/>
    <cellStyle name="쉼표 [0] 3 3 5 6" xfId="11782"/>
    <cellStyle name="쉼표 [0] 3 3 5 6 2" xfId="28486"/>
    <cellStyle name="쉼표 [0] 3 3 5 7" xfId="17350"/>
    <cellStyle name="쉼표 [0] 3 3 6" xfId="878"/>
    <cellStyle name="쉼표 [0] 3 3 6 2" xfId="2270"/>
    <cellStyle name="쉼표 [0] 3 3 6 2 2" xfId="5054"/>
    <cellStyle name="쉼표 [0] 3 3 6 2 2 2" xfId="10622"/>
    <cellStyle name="쉼표 [0] 3 3 6 2 2 2 2" xfId="27326"/>
    <cellStyle name="쉼표 [0] 3 3 6 2 2 3" xfId="16190"/>
    <cellStyle name="쉼표 [0] 3 3 6 2 2 3 2" xfId="32894"/>
    <cellStyle name="쉼표 [0] 3 3 6 2 2 4" xfId="21758"/>
    <cellStyle name="쉼표 [0] 3 3 6 2 3" xfId="7838"/>
    <cellStyle name="쉼표 [0] 3 3 6 2 3 2" xfId="24542"/>
    <cellStyle name="쉼표 [0] 3 3 6 2 4" xfId="13406"/>
    <cellStyle name="쉼표 [0] 3 3 6 2 4 2" xfId="30110"/>
    <cellStyle name="쉼표 [0] 3 3 6 2 5" xfId="18974"/>
    <cellStyle name="쉼표 [0] 3 3 6 3" xfId="3662"/>
    <cellStyle name="쉼표 [0] 3 3 6 3 2" xfId="9230"/>
    <cellStyle name="쉼표 [0] 3 3 6 3 2 2" xfId="25934"/>
    <cellStyle name="쉼표 [0] 3 3 6 3 3" xfId="14798"/>
    <cellStyle name="쉼표 [0] 3 3 6 3 3 2" xfId="31502"/>
    <cellStyle name="쉼표 [0] 3 3 6 3 4" xfId="20366"/>
    <cellStyle name="쉼표 [0] 3 3 6 4" xfId="6446"/>
    <cellStyle name="쉼표 [0] 3 3 6 4 2" xfId="23150"/>
    <cellStyle name="쉼표 [0] 3 3 6 5" xfId="12014"/>
    <cellStyle name="쉼표 [0] 3 3 6 5 2" xfId="28718"/>
    <cellStyle name="쉼표 [0] 3 3 6 6" xfId="17582"/>
    <cellStyle name="쉼표 [0] 3 3 7" xfId="1574"/>
    <cellStyle name="쉼표 [0] 3 3 7 2" xfId="4358"/>
    <cellStyle name="쉼표 [0] 3 3 7 2 2" xfId="9926"/>
    <cellStyle name="쉼표 [0] 3 3 7 2 2 2" xfId="26630"/>
    <cellStyle name="쉼표 [0] 3 3 7 2 3" xfId="15494"/>
    <cellStyle name="쉼표 [0] 3 3 7 2 3 2" xfId="32198"/>
    <cellStyle name="쉼표 [0] 3 3 7 2 4" xfId="21062"/>
    <cellStyle name="쉼표 [0] 3 3 7 3" xfId="7142"/>
    <cellStyle name="쉼표 [0] 3 3 7 3 2" xfId="23846"/>
    <cellStyle name="쉼표 [0] 3 3 7 4" xfId="12710"/>
    <cellStyle name="쉼표 [0] 3 3 7 4 2" xfId="29414"/>
    <cellStyle name="쉼표 [0] 3 3 7 5" xfId="18278"/>
    <cellStyle name="쉼표 [0] 3 3 8" xfId="2966"/>
    <cellStyle name="쉼표 [0] 3 3 8 2" xfId="8534"/>
    <cellStyle name="쉼표 [0] 3 3 8 2 2" xfId="25238"/>
    <cellStyle name="쉼표 [0] 3 3 8 3" xfId="14102"/>
    <cellStyle name="쉼표 [0] 3 3 8 3 2" xfId="30806"/>
    <cellStyle name="쉼표 [0] 3 3 8 4" xfId="19670"/>
    <cellStyle name="쉼표 [0] 3 3 9" xfId="5750"/>
    <cellStyle name="쉼표 [0] 3 3 9 2" xfId="22454"/>
    <cellStyle name="쉼표 [0] 3 4" xfId="211"/>
    <cellStyle name="쉼표 [0] 3 4 10" xfId="16915"/>
    <cellStyle name="쉼표 [0] 3 4 2" xfId="327"/>
    <cellStyle name="쉼표 [0] 3 4 2 2" xfId="559"/>
    <cellStyle name="쉼표 [0] 3 4 2 2 2" xfId="1255"/>
    <cellStyle name="쉼표 [0] 3 4 2 2 2 2" xfId="2647"/>
    <cellStyle name="쉼표 [0] 3 4 2 2 2 2 2" xfId="5431"/>
    <cellStyle name="쉼표 [0] 3 4 2 2 2 2 2 2" xfId="10999"/>
    <cellStyle name="쉼표 [0] 3 4 2 2 2 2 2 2 2" xfId="27703"/>
    <cellStyle name="쉼표 [0] 3 4 2 2 2 2 2 3" xfId="16567"/>
    <cellStyle name="쉼표 [0] 3 4 2 2 2 2 2 3 2" xfId="33271"/>
    <cellStyle name="쉼표 [0] 3 4 2 2 2 2 2 4" xfId="22135"/>
    <cellStyle name="쉼표 [0] 3 4 2 2 2 2 3" xfId="8215"/>
    <cellStyle name="쉼표 [0] 3 4 2 2 2 2 3 2" xfId="24919"/>
    <cellStyle name="쉼표 [0] 3 4 2 2 2 2 4" xfId="13783"/>
    <cellStyle name="쉼표 [0] 3 4 2 2 2 2 4 2" xfId="30487"/>
    <cellStyle name="쉼표 [0] 3 4 2 2 2 2 5" xfId="19351"/>
    <cellStyle name="쉼표 [0] 3 4 2 2 2 3" xfId="4039"/>
    <cellStyle name="쉼표 [0] 3 4 2 2 2 3 2" xfId="9607"/>
    <cellStyle name="쉼표 [0] 3 4 2 2 2 3 2 2" xfId="26311"/>
    <cellStyle name="쉼표 [0] 3 4 2 2 2 3 3" xfId="15175"/>
    <cellStyle name="쉼표 [0] 3 4 2 2 2 3 3 2" xfId="31879"/>
    <cellStyle name="쉼표 [0] 3 4 2 2 2 3 4" xfId="20743"/>
    <cellStyle name="쉼표 [0] 3 4 2 2 2 4" xfId="6823"/>
    <cellStyle name="쉼표 [0] 3 4 2 2 2 4 2" xfId="23527"/>
    <cellStyle name="쉼표 [0] 3 4 2 2 2 5" xfId="12391"/>
    <cellStyle name="쉼표 [0] 3 4 2 2 2 5 2" xfId="29095"/>
    <cellStyle name="쉼표 [0] 3 4 2 2 2 6" xfId="17959"/>
    <cellStyle name="쉼표 [0] 3 4 2 2 3" xfId="1951"/>
    <cellStyle name="쉼표 [0] 3 4 2 2 3 2" xfId="4735"/>
    <cellStyle name="쉼표 [0] 3 4 2 2 3 2 2" xfId="10303"/>
    <cellStyle name="쉼표 [0] 3 4 2 2 3 2 2 2" xfId="27007"/>
    <cellStyle name="쉼표 [0] 3 4 2 2 3 2 3" xfId="15871"/>
    <cellStyle name="쉼표 [0] 3 4 2 2 3 2 3 2" xfId="32575"/>
    <cellStyle name="쉼표 [0] 3 4 2 2 3 2 4" xfId="21439"/>
    <cellStyle name="쉼표 [0] 3 4 2 2 3 3" xfId="7519"/>
    <cellStyle name="쉼표 [0] 3 4 2 2 3 3 2" xfId="24223"/>
    <cellStyle name="쉼표 [0] 3 4 2 2 3 4" xfId="13087"/>
    <cellStyle name="쉼표 [0] 3 4 2 2 3 4 2" xfId="29791"/>
    <cellStyle name="쉼표 [0] 3 4 2 2 3 5" xfId="18655"/>
    <cellStyle name="쉼표 [0] 3 4 2 2 4" xfId="3343"/>
    <cellStyle name="쉼표 [0] 3 4 2 2 4 2" xfId="8911"/>
    <cellStyle name="쉼표 [0] 3 4 2 2 4 2 2" xfId="25615"/>
    <cellStyle name="쉼표 [0] 3 4 2 2 4 3" xfId="14479"/>
    <cellStyle name="쉼표 [0] 3 4 2 2 4 3 2" xfId="31183"/>
    <cellStyle name="쉼표 [0] 3 4 2 2 4 4" xfId="20047"/>
    <cellStyle name="쉼표 [0] 3 4 2 2 5" xfId="6127"/>
    <cellStyle name="쉼표 [0] 3 4 2 2 5 2" xfId="22831"/>
    <cellStyle name="쉼표 [0] 3 4 2 2 6" xfId="11695"/>
    <cellStyle name="쉼표 [0] 3 4 2 2 6 2" xfId="28399"/>
    <cellStyle name="쉼표 [0] 3 4 2 2 7" xfId="17263"/>
    <cellStyle name="쉼표 [0] 3 4 2 3" xfId="791"/>
    <cellStyle name="쉼표 [0] 3 4 2 3 2" xfId="1487"/>
    <cellStyle name="쉼표 [0] 3 4 2 3 2 2" xfId="2879"/>
    <cellStyle name="쉼표 [0] 3 4 2 3 2 2 2" xfId="5663"/>
    <cellStyle name="쉼표 [0] 3 4 2 3 2 2 2 2" xfId="11231"/>
    <cellStyle name="쉼표 [0] 3 4 2 3 2 2 2 2 2" xfId="27935"/>
    <cellStyle name="쉼표 [0] 3 4 2 3 2 2 2 3" xfId="16799"/>
    <cellStyle name="쉼표 [0] 3 4 2 3 2 2 2 3 2" xfId="33503"/>
    <cellStyle name="쉼표 [0] 3 4 2 3 2 2 2 4" xfId="22367"/>
    <cellStyle name="쉼표 [0] 3 4 2 3 2 2 3" xfId="8447"/>
    <cellStyle name="쉼표 [0] 3 4 2 3 2 2 3 2" xfId="25151"/>
    <cellStyle name="쉼표 [0] 3 4 2 3 2 2 4" xfId="14015"/>
    <cellStyle name="쉼표 [0] 3 4 2 3 2 2 4 2" xfId="30719"/>
    <cellStyle name="쉼표 [0] 3 4 2 3 2 2 5" xfId="19583"/>
    <cellStyle name="쉼표 [0] 3 4 2 3 2 3" xfId="4271"/>
    <cellStyle name="쉼표 [0] 3 4 2 3 2 3 2" xfId="9839"/>
    <cellStyle name="쉼표 [0] 3 4 2 3 2 3 2 2" xfId="26543"/>
    <cellStyle name="쉼표 [0] 3 4 2 3 2 3 3" xfId="15407"/>
    <cellStyle name="쉼표 [0] 3 4 2 3 2 3 3 2" xfId="32111"/>
    <cellStyle name="쉼표 [0] 3 4 2 3 2 3 4" xfId="20975"/>
    <cellStyle name="쉼표 [0] 3 4 2 3 2 4" xfId="7055"/>
    <cellStyle name="쉼표 [0] 3 4 2 3 2 4 2" xfId="23759"/>
    <cellStyle name="쉼표 [0] 3 4 2 3 2 5" xfId="12623"/>
    <cellStyle name="쉼표 [0] 3 4 2 3 2 5 2" xfId="29327"/>
    <cellStyle name="쉼표 [0] 3 4 2 3 2 6" xfId="18191"/>
    <cellStyle name="쉼표 [0] 3 4 2 3 3" xfId="2183"/>
    <cellStyle name="쉼표 [0] 3 4 2 3 3 2" xfId="4967"/>
    <cellStyle name="쉼표 [0] 3 4 2 3 3 2 2" xfId="10535"/>
    <cellStyle name="쉼표 [0] 3 4 2 3 3 2 2 2" xfId="27239"/>
    <cellStyle name="쉼표 [0] 3 4 2 3 3 2 3" xfId="16103"/>
    <cellStyle name="쉼표 [0] 3 4 2 3 3 2 3 2" xfId="32807"/>
    <cellStyle name="쉼표 [0] 3 4 2 3 3 2 4" xfId="21671"/>
    <cellStyle name="쉼표 [0] 3 4 2 3 3 3" xfId="7751"/>
    <cellStyle name="쉼표 [0] 3 4 2 3 3 3 2" xfId="24455"/>
    <cellStyle name="쉼표 [0] 3 4 2 3 3 4" xfId="13319"/>
    <cellStyle name="쉼표 [0] 3 4 2 3 3 4 2" xfId="30023"/>
    <cellStyle name="쉼표 [0] 3 4 2 3 3 5" xfId="18887"/>
    <cellStyle name="쉼표 [0] 3 4 2 3 4" xfId="3575"/>
    <cellStyle name="쉼표 [0] 3 4 2 3 4 2" xfId="9143"/>
    <cellStyle name="쉼표 [0] 3 4 2 3 4 2 2" xfId="25847"/>
    <cellStyle name="쉼표 [0] 3 4 2 3 4 3" xfId="14711"/>
    <cellStyle name="쉼표 [0] 3 4 2 3 4 3 2" xfId="31415"/>
    <cellStyle name="쉼표 [0] 3 4 2 3 4 4" xfId="20279"/>
    <cellStyle name="쉼표 [0] 3 4 2 3 5" xfId="6359"/>
    <cellStyle name="쉼표 [0] 3 4 2 3 5 2" xfId="23063"/>
    <cellStyle name="쉼표 [0] 3 4 2 3 6" xfId="11927"/>
    <cellStyle name="쉼표 [0] 3 4 2 3 6 2" xfId="28631"/>
    <cellStyle name="쉼표 [0] 3 4 2 3 7" xfId="17495"/>
    <cellStyle name="쉼표 [0] 3 4 2 4" xfId="1023"/>
    <cellStyle name="쉼표 [0] 3 4 2 4 2" xfId="2415"/>
    <cellStyle name="쉼표 [0] 3 4 2 4 2 2" xfId="5199"/>
    <cellStyle name="쉼표 [0] 3 4 2 4 2 2 2" xfId="10767"/>
    <cellStyle name="쉼표 [0] 3 4 2 4 2 2 2 2" xfId="27471"/>
    <cellStyle name="쉼표 [0] 3 4 2 4 2 2 3" xfId="16335"/>
    <cellStyle name="쉼표 [0] 3 4 2 4 2 2 3 2" xfId="33039"/>
    <cellStyle name="쉼표 [0] 3 4 2 4 2 2 4" xfId="21903"/>
    <cellStyle name="쉼표 [0] 3 4 2 4 2 3" xfId="7983"/>
    <cellStyle name="쉼표 [0] 3 4 2 4 2 3 2" xfId="24687"/>
    <cellStyle name="쉼표 [0] 3 4 2 4 2 4" xfId="13551"/>
    <cellStyle name="쉼표 [0] 3 4 2 4 2 4 2" xfId="30255"/>
    <cellStyle name="쉼표 [0] 3 4 2 4 2 5" xfId="19119"/>
    <cellStyle name="쉼표 [0] 3 4 2 4 3" xfId="3807"/>
    <cellStyle name="쉼표 [0] 3 4 2 4 3 2" xfId="9375"/>
    <cellStyle name="쉼표 [0] 3 4 2 4 3 2 2" xfId="26079"/>
    <cellStyle name="쉼표 [0] 3 4 2 4 3 3" xfId="14943"/>
    <cellStyle name="쉼표 [0] 3 4 2 4 3 3 2" xfId="31647"/>
    <cellStyle name="쉼표 [0] 3 4 2 4 3 4" xfId="20511"/>
    <cellStyle name="쉼표 [0] 3 4 2 4 4" xfId="6591"/>
    <cellStyle name="쉼표 [0] 3 4 2 4 4 2" xfId="23295"/>
    <cellStyle name="쉼표 [0] 3 4 2 4 5" xfId="12159"/>
    <cellStyle name="쉼표 [0] 3 4 2 4 5 2" xfId="28863"/>
    <cellStyle name="쉼표 [0] 3 4 2 4 6" xfId="17727"/>
    <cellStyle name="쉼표 [0] 3 4 2 5" xfId="1719"/>
    <cellStyle name="쉼표 [0] 3 4 2 5 2" xfId="4503"/>
    <cellStyle name="쉼표 [0] 3 4 2 5 2 2" xfId="10071"/>
    <cellStyle name="쉼표 [0] 3 4 2 5 2 2 2" xfId="26775"/>
    <cellStyle name="쉼표 [0] 3 4 2 5 2 3" xfId="15639"/>
    <cellStyle name="쉼표 [0] 3 4 2 5 2 3 2" xfId="32343"/>
    <cellStyle name="쉼표 [0] 3 4 2 5 2 4" xfId="21207"/>
    <cellStyle name="쉼표 [0] 3 4 2 5 3" xfId="7287"/>
    <cellStyle name="쉼표 [0] 3 4 2 5 3 2" xfId="23991"/>
    <cellStyle name="쉼표 [0] 3 4 2 5 4" xfId="12855"/>
    <cellStyle name="쉼표 [0] 3 4 2 5 4 2" xfId="29559"/>
    <cellStyle name="쉼표 [0] 3 4 2 5 5" xfId="18423"/>
    <cellStyle name="쉼표 [0] 3 4 2 6" xfId="3111"/>
    <cellStyle name="쉼표 [0] 3 4 2 6 2" xfId="8679"/>
    <cellStyle name="쉼표 [0] 3 4 2 6 2 2" xfId="25383"/>
    <cellStyle name="쉼표 [0] 3 4 2 6 3" xfId="14247"/>
    <cellStyle name="쉼표 [0] 3 4 2 6 3 2" xfId="30951"/>
    <cellStyle name="쉼표 [0] 3 4 2 6 4" xfId="19815"/>
    <cellStyle name="쉼표 [0] 3 4 2 7" xfId="5895"/>
    <cellStyle name="쉼표 [0] 3 4 2 7 2" xfId="22599"/>
    <cellStyle name="쉼표 [0] 3 4 2 8" xfId="11463"/>
    <cellStyle name="쉼표 [0] 3 4 2 8 2" xfId="28167"/>
    <cellStyle name="쉼표 [0] 3 4 2 9" xfId="17031"/>
    <cellStyle name="쉼표 [0] 3 4 3" xfId="443"/>
    <cellStyle name="쉼표 [0] 3 4 3 2" xfId="1139"/>
    <cellStyle name="쉼표 [0] 3 4 3 2 2" xfId="2531"/>
    <cellStyle name="쉼표 [0] 3 4 3 2 2 2" xfId="5315"/>
    <cellStyle name="쉼표 [0] 3 4 3 2 2 2 2" xfId="10883"/>
    <cellStyle name="쉼표 [0] 3 4 3 2 2 2 2 2" xfId="27587"/>
    <cellStyle name="쉼표 [0] 3 4 3 2 2 2 3" xfId="16451"/>
    <cellStyle name="쉼표 [0] 3 4 3 2 2 2 3 2" xfId="33155"/>
    <cellStyle name="쉼표 [0] 3 4 3 2 2 2 4" xfId="22019"/>
    <cellStyle name="쉼표 [0] 3 4 3 2 2 3" xfId="8099"/>
    <cellStyle name="쉼표 [0] 3 4 3 2 2 3 2" xfId="24803"/>
    <cellStyle name="쉼표 [0] 3 4 3 2 2 4" xfId="13667"/>
    <cellStyle name="쉼표 [0] 3 4 3 2 2 4 2" xfId="30371"/>
    <cellStyle name="쉼표 [0] 3 4 3 2 2 5" xfId="19235"/>
    <cellStyle name="쉼표 [0] 3 4 3 2 3" xfId="3923"/>
    <cellStyle name="쉼표 [0] 3 4 3 2 3 2" xfId="9491"/>
    <cellStyle name="쉼표 [0] 3 4 3 2 3 2 2" xfId="26195"/>
    <cellStyle name="쉼표 [0] 3 4 3 2 3 3" xfId="15059"/>
    <cellStyle name="쉼표 [0] 3 4 3 2 3 3 2" xfId="31763"/>
    <cellStyle name="쉼표 [0] 3 4 3 2 3 4" xfId="20627"/>
    <cellStyle name="쉼표 [0] 3 4 3 2 4" xfId="6707"/>
    <cellStyle name="쉼표 [0] 3 4 3 2 4 2" xfId="23411"/>
    <cellStyle name="쉼표 [0] 3 4 3 2 5" xfId="12275"/>
    <cellStyle name="쉼표 [0] 3 4 3 2 5 2" xfId="28979"/>
    <cellStyle name="쉼표 [0] 3 4 3 2 6" xfId="17843"/>
    <cellStyle name="쉼표 [0] 3 4 3 3" xfId="1835"/>
    <cellStyle name="쉼표 [0] 3 4 3 3 2" xfId="4619"/>
    <cellStyle name="쉼표 [0] 3 4 3 3 2 2" xfId="10187"/>
    <cellStyle name="쉼표 [0] 3 4 3 3 2 2 2" xfId="26891"/>
    <cellStyle name="쉼표 [0] 3 4 3 3 2 3" xfId="15755"/>
    <cellStyle name="쉼표 [0] 3 4 3 3 2 3 2" xfId="32459"/>
    <cellStyle name="쉼표 [0] 3 4 3 3 2 4" xfId="21323"/>
    <cellStyle name="쉼표 [0] 3 4 3 3 3" xfId="7403"/>
    <cellStyle name="쉼표 [0] 3 4 3 3 3 2" xfId="24107"/>
    <cellStyle name="쉼표 [0] 3 4 3 3 4" xfId="12971"/>
    <cellStyle name="쉼표 [0] 3 4 3 3 4 2" xfId="29675"/>
    <cellStyle name="쉼표 [0] 3 4 3 3 5" xfId="18539"/>
    <cellStyle name="쉼표 [0] 3 4 3 4" xfId="3227"/>
    <cellStyle name="쉼표 [0] 3 4 3 4 2" xfId="8795"/>
    <cellStyle name="쉼표 [0] 3 4 3 4 2 2" xfId="25499"/>
    <cellStyle name="쉼표 [0] 3 4 3 4 3" xfId="14363"/>
    <cellStyle name="쉼표 [0] 3 4 3 4 3 2" xfId="31067"/>
    <cellStyle name="쉼표 [0] 3 4 3 4 4" xfId="19931"/>
    <cellStyle name="쉼표 [0] 3 4 3 5" xfId="6011"/>
    <cellStyle name="쉼표 [0] 3 4 3 5 2" xfId="22715"/>
    <cellStyle name="쉼표 [0] 3 4 3 6" xfId="11579"/>
    <cellStyle name="쉼표 [0] 3 4 3 6 2" xfId="28283"/>
    <cellStyle name="쉼표 [0] 3 4 3 7" xfId="17147"/>
    <cellStyle name="쉼표 [0] 3 4 4" xfId="675"/>
    <cellStyle name="쉼표 [0] 3 4 4 2" xfId="1371"/>
    <cellStyle name="쉼표 [0] 3 4 4 2 2" xfId="2763"/>
    <cellStyle name="쉼표 [0] 3 4 4 2 2 2" xfId="5547"/>
    <cellStyle name="쉼표 [0] 3 4 4 2 2 2 2" xfId="11115"/>
    <cellStyle name="쉼표 [0] 3 4 4 2 2 2 2 2" xfId="27819"/>
    <cellStyle name="쉼표 [0] 3 4 4 2 2 2 3" xfId="16683"/>
    <cellStyle name="쉼표 [0] 3 4 4 2 2 2 3 2" xfId="33387"/>
    <cellStyle name="쉼표 [0] 3 4 4 2 2 2 4" xfId="22251"/>
    <cellStyle name="쉼표 [0] 3 4 4 2 2 3" xfId="8331"/>
    <cellStyle name="쉼표 [0] 3 4 4 2 2 3 2" xfId="25035"/>
    <cellStyle name="쉼표 [0] 3 4 4 2 2 4" xfId="13899"/>
    <cellStyle name="쉼표 [0] 3 4 4 2 2 4 2" xfId="30603"/>
    <cellStyle name="쉼표 [0] 3 4 4 2 2 5" xfId="19467"/>
    <cellStyle name="쉼표 [0] 3 4 4 2 3" xfId="4155"/>
    <cellStyle name="쉼표 [0] 3 4 4 2 3 2" xfId="9723"/>
    <cellStyle name="쉼표 [0] 3 4 4 2 3 2 2" xfId="26427"/>
    <cellStyle name="쉼표 [0] 3 4 4 2 3 3" xfId="15291"/>
    <cellStyle name="쉼표 [0] 3 4 4 2 3 3 2" xfId="31995"/>
    <cellStyle name="쉼표 [0] 3 4 4 2 3 4" xfId="20859"/>
    <cellStyle name="쉼표 [0] 3 4 4 2 4" xfId="6939"/>
    <cellStyle name="쉼표 [0] 3 4 4 2 4 2" xfId="23643"/>
    <cellStyle name="쉼표 [0] 3 4 4 2 5" xfId="12507"/>
    <cellStyle name="쉼표 [0] 3 4 4 2 5 2" xfId="29211"/>
    <cellStyle name="쉼표 [0] 3 4 4 2 6" xfId="18075"/>
    <cellStyle name="쉼표 [0] 3 4 4 3" xfId="2067"/>
    <cellStyle name="쉼표 [0] 3 4 4 3 2" xfId="4851"/>
    <cellStyle name="쉼표 [0] 3 4 4 3 2 2" xfId="10419"/>
    <cellStyle name="쉼표 [0] 3 4 4 3 2 2 2" xfId="27123"/>
    <cellStyle name="쉼표 [0] 3 4 4 3 2 3" xfId="15987"/>
    <cellStyle name="쉼표 [0] 3 4 4 3 2 3 2" xfId="32691"/>
    <cellStyle name="쉼표 [0] 3 4 4 3 2 4" xfId="21555"/>
    <cellStyle name="쉼표 [0] 3 4 4 3 3" xfId="7635"/>
    <cellStyle name="쉼표 [0] 3 4 4 3 3 2" xfId="24339"/>
    <cellStyle name="쉼표 [0] 3 4 4 3 4" xfId="13203"/>
    <cellStyle name="쉼표 [0] 3 4 4 3 4 2" xfId="29907"/>
    <cellStyle name="쉼표 [0] 3 4 4 3 5" xfId="18771"/>
    <cellStyle name="쉼표 [0] 3 4 4 4" xfId="3459"/>
    <cellStyle name="쉼표 [0] 3 4 4 4 2" xfId="9027"/>
    <cellStyle name="쉼표 [0] 3 4 4 4 2 2" xfId="25731"/>
    <cellStyle name="쉼표 [0] 3 4 4 4 3" xfId="14595"/>
    <cellStyle name="쉼표 [0] 3 4 4 4 3 2" xfId="31299"/>
    <cellStyle name="쉼표 [0] 3 4 4 4 4" xfId="20163"/>
    <cellStyle name="쉼표 [0] 3 4 4 5" xfId="6243"/>
    <cellStyle name="쉼표 [0] 3 4 4 5 2" xfId="22947"/>
    <cellStyle name="쉼표 [0] 3 4 4 6" xfId="11811"/>
    <cellStyle name="쉼표 [0] 3 4 4 6 2" xfId="28515"/>
    <cellStyle name="쉼표 [0] 3 4 4 7" xfId="17379"/>
    <cellStyle name="쉼표 [0] 3 4 5" xfId="907"/>
    <cellStyle name="쉼표 [0] 3 4 5 2" xfId="2299"/>
    <cellStyle name="쉼표 [0] 3 4 5 2 2" xfId="5083"/>
    <cellStyle name="쉼표 [0] 3 4 5 2 2 2" xfId="10651"/>
    <cellStyle name="쉼표 [0] 3 4 5 2 2 2 2" xfId="27355"/>
    <cellStyle name="쉼표 [0] 3 4 5 2 2 3" xfId="16219"/>
    <cellStyle name="쉼표 [0] 3 4 5 2 2 3 2" xfId="32923"/>
    <cellStyle name="쉼표 [0] 3 4 5 2 2 4" xfId="21787"/>
    <cellStyle name="쉼표 [0] 3 4 5 2 3" xfId="7867"/>
    <cellStyle name="쉼표 [0] 3 4 5 2 3 2" xfId="24571"/>
    <cellStyle name="쉼표 [0] 3 4 5 2 4" xfId="13435"/>
    <cellStyle name="쉼표 [0] 3 4 5 2 4 2" xfId="30139"/>
    <cellStyle name="쉼표 [0] 3 4 5 2 5" xfId="19003"/>
    <cellStyle name="쉼표 [0] 3 4 5 3" xfId="3691"/>
    <cellStyle name="쉼표 [0] 3 4 5 3 2" xfId="9259"/>
    <cellStyle name="쉼표 [0] 3 4 5 3 2 2" xfId="25963"/>
    <cellStyle name="쉼표 [0] 3 4 5 3 3" xfId="14827"/>
    <cellStyle name="쉼표 [0] 3 4 5 3 3 2" xfId="31531"/>
    <cellStyle name="쉼표 [0] 3 4 5 3 4" xfId="20395"/>
    <cellStyle name="쉼표 [0] 3 4 5 4" xfId="6475"/>
    <cellStyle name="쉼표 [0] 3 4 5 4 2" xfId="23179"/>
    <cellStyle name="쉼표 [0] 3 4 5 5" xfId="12043"/>
    <cellStyle name="쉼표 [0] 3 4 5 5 2" xfId="28747"/>
    <cellStyle name="쉼표 [0] 3 4 5 6" xfId="17611"/>
    <cellStyle name="쉼표 [0] 3 4 6" xfId="1603"/>
    <cellStyle name="쉼표 [0] 3 4 6 2" xfId="4387"/>
    <cellStyle name="쉼표 [0] 3 4 6 2 2" xfId="9955"/>
    <cellStyle name="쉼표 [0] 3 4 6 2 2 2" xfId="26659"/>
    <cellStyle name="쉼표 [0] 3 4 6 2 3" xfId="15523"/>
    <cellStyle name="쉼표 [0] 3 4 6 2 3 2" xfId="32227"/>
    <cellStyle name="쉼표 [0] 3 4 6 2 4" xfId="21091"/>
    <cellStyle name="쉼표 [0] 3 4 6 3" xfId="7171"/>
    <cellStyle name="쉼표 [0] 3 4 6 3 2" xfId="23875"/>
    <cellStyle name="쉼표 [0] 3 4 6 4" xfId="12739"/>
    <cellStyle name="쉼표 [0] 3 4 6 4 2" xfId="29443"/>
    <cellStyle name="쉼표 [0] 3 4 6 5" xfId="18307"/>
    <cellStyle name="쉼표 [0] 3 4 7" xfId="2995"/>
    <cellStyle name="쉼표 [0] 3 4 7 2" xfId="8563"/>
    <cellStyle name="쉼표 [0] 3 4 7 2 2" xfId="25267"/>
    <cellStyle name="쉼표 [0] 3 4 7 3" xfId="14131"/>
    <cellStyle name="쉼표 [0] 3 4 7 3 2" xfId="30835"/>
    <cellStyle name="쉼표 [0] 3 4 7 4" xfId="19699"/>
    <cellStyle name="쉼표 [0] 3 4 8" xfId="5779"/>
    <cellStyle name="쉼표 [0] 3 4 8 2" xfId="22483"/>
    <cellStyle name="쉼표 [0] 3 4 9" xfId="11347"/>
    <cellStyle name="쉼표 [0] 3 4 9 2" xfId="28051"/>
    <cellStyle name="쉼표 [0] 3 5" xfId="269"/>
    <cellStyle name="쉼표 [0] 3 5 2" xfId="501"/>
    <cellStyle name="쉼표 [0] 3 5 2 2" xfId="1197"/>
    <cellStyle name="쉼표 [0] 3 5 2 2 2" xfId="2589"/>
    <cellStyle name="쉼표 [0] 3 5 2 2 2 2" xfId="5373"/>
    <cellStyle name="쉼표 [0] 3 5 2 2 2 2 2" xfId="10941"/>
    <cellStyle name="쉼표 [0] 3 5 2 2 2 2 2 2" xfId="27645"/>
    <cellStyle name="쉼표 [0] 3 5 2 2 2 2 3" xfId="16509"/>
    <cellStyle name="쉼표 [0] 3 5 2 2 2 2 3 2" xfId="33213"/>
    <cellStyle name="쉼표 [0] 3 5 2 2 2 2 4" xfId="22077"/>
    <cellStyle name="쉼표 [0] 3 5 2 2 2 3" xfId="8157"/>
    <cellStyle name="쉼표 [0] 3 5 2 2 2 3 2" xfId="24861"/>
    <cellStyle name="쉼표 [0] 3 5 2 2 2 4" xfId="13725"/>
    <cellStyle name="쉼표 [0] 3 5 2 2 2 4 2" xfId="30429"/>
    <cellStyle name="쉼표 [0] 3 5 2 2 2 5" xfId="19293"/>
    <cellStyle name="쉼표 [0] 3 5 2 2 3" xfId="3981"/>
    <cellStyle name="쉼표 [0] 3 5 2 2 3 2" xfId="9549"/>
    <cellStyle name="쉼표 [0] 3 5 2 2 3 2 2" xfId="26253"/>
    <cellStyle name="쉼표 [0] 3 5 2 2 3 3" xfId="15117"/>
    <cellStyle name="쉼표 [0] 3 5 2 2 3 3 2" xfId="31821"/>
    <cellStyle name="쉼표 [0] 3 5 2 2 3 4" xfId="20685"/>
    <cellStyle name="쉼표 [0] 3 5 2 2 4" xfId="6765"/>
    <cellStyle name="쉼표 [0] 3 5 2 2 4 2" xfId="23469"/>
    <cellStyle name="쉼표 [0] 3 5 2 2 5" xfId="12333"/>
    <cellStyle name="쉼표 [0] 3 5 2 2 5 2" xfId="29037"/>
    <cellStyle name="쉼표 [0] 3 5 2 2 6" xfId="17901"/>
    <cellStyle name="쉼표 [0] 3 5 2 3" xfId="1893"/>
    <cellStyle name="쉼표 [0] 3 5 2 3 2" xfId="4677"/>
    <cellStyle name="쉼표 [0] 3 5 2 3 2 2" xfId="10245"/>
    <cellStyle name="쉼표 [0] 3 5 2 3 2 2 2" xfId="26949"/>
    <cellStyle name="쉼표 [0] 3 5 2 3 2 3" xfId="15813"/>
    <cellStyle name="쉼표 [0] 3 5 2 3 2 3 2" xfId="32517"/>
    <cellStyle name="쉼표 [0] 3 5 2 3 2 4" xfId="21381"/>
    <cellStyle name="쉼표 [0] 3 5 2 3 3" xfId="7461"/>
    <cellStyle name="쉼표 [0] 3 5 2 3 3 2" xfId="24165"/>
    <cellStyle name="쉼표 [0] 3 5 2 3 4" xfId="13029"/>
    <cellStyle name="쉼표 [0] 3 5 2 3 4 2" xfId="29733"/>
    <cellStyle name="쉼표 [0] 3 5 2 3 5" xfId="18597"/>
    <cellStyle name="쉼표 [0] 3 5 2 4" xfId="3285"/>
    <cellStyle name="쉼표 [0] 3 5 2 4 2" xfId="8853"/>
    <cellStyle name="쉼표 [0] 3 5 2 4 2 2" xfId="25557"/>
    <cellStyle name="쉼표 [0] 3 5 2 4 3" xfId="14421"/>
    <cellStyle name="쉼표 [0] 3 5 2 4 3 2" xfId="31125"/>
    <cellStyle name="쉼표 [0] 3 5 2 4 4" xfId="19989"/>
    <cellStyle name="쉼표 [0] 3 5 2 5" xfId="6069"/>
    <cellStyle name="쉼표 [0] 3 5 2 5 2" xfId="22773"/>
    <cellStyle name="쉼표 [0] 3 5 2 6" xfId="11637"/>
    <cellStyle name="쉼표 [0] 3 5 2 6 2" xfId="28341"/>
    <cellStyle name="쉼표 [0] 3 5 2 7" xfId="17205"/>
    <cellStyle name="쉼표 [0] 3 5 3" xfId="733"/>
    <cellStyle name="쉼표 [0] 3 5 3 2" xfId="1429"/>
    <cellStyle name="쉼표 [0] 3 5 3 2 2" xfId="2821"/>
    <cellStyle name="쉼표 [0] 3 5 3 2 2 2" xfId="5605"/>
    <cellStyle name="쉼표 [0] 3 5 3 2 2 2 2" xfId="11173"/>
    <cellStyle name="쉼표 [0] 3 5 3 2 2 2 2 2" xfId="27877"/>
    <cellStyle name="쉼표 [0] 3 5 3 2 2 2 3" xfId="16741"/>
    <cellStyle name="쉼표 [0] 3 5 3 2 2 2 3 2" xfId="33445"/>
    <cellStyle name="쉼표 [0] 3 5 3 2 2 2 4" xfId="22309"/>
    <cellStyle name="쉼표 [0] 3 5 3 2 2 3" xfId="8389"/>
    <cellStyle name="쉼표 [0] 3 5 3 2 2 3 2" xfId="25093"/>
    <cellStyle name="쉼표 [0] 3 5 3 2 2 4" xfId="13957"/>
    <cellStyle name="쉼표 [0] 3 5 3 2 2 4 2" xfId="30661"/>
    <cellStyle name="쉼표 [0] 3 5 3 2 2 5" xfId="19525"/>
    <cellStyle name="쉼표 [0] 3 5 3 2 3" xfId="4213"/>
    <cellStyle name="쉼표 [0] 3 5 3 2 3 2" xfId="9781"/>
    <cellStyle name="쉼표 [0] 3 5 3 2 3 2 2" xfId="26485"/>
    <cellStyle name="쉼표 [0] 3 5 3 2 3 3" xfId="15349"/>
    <cellStyle name="쉼표 [0] 3 5 3 2 3 3 2" xfId="32053"/>
    <cellStyle name="쉼표 [0] 3 5 3 2 3 4" xfId="20917"/>
    <cellStyle name="쉼표 [0] 3 5 3 2 4" xfId="6997"/>
    <cellStyle name="쉼표 [0] 3 5 3 2 4 2" xfId="23701"/>
    <cellStyle name="쉼표 [0] 3 5 3 2 5" xfId="12565"/>
    <cellStyle name="쉼표 [0] 3 5 3 2 5 2" xfId="29269"/>
    <cellStyle name="쉼표 [0] 3 5 3 2 6" xfId="18133"/>
    <cellStyle name="쉼표 [0] 3 5 3 3" xfId="2125"/>
    <cellStyle name="쉼표 [0] 3 5 3 3 2" xfId="4909"/>
    <cellStyle name="쉼표 [0] 3 5 3 3 2 2" xfId="10477"/>
    <cellStyle name="쉼표 [0] 3 5 3 3 2 2 2" xfId="27181"/>
    <cellStyle name="쉼표 [0] 3 5 3 3 2 3" xfId="16045"/>
    <cellStyle name="쉼표 [0] 3 5 3 3 2 3 2" xfId="32749"/>
    <cellStyle name="쉼표 [0] 3 5 3 3 2 4" xfId="21613"/>
    <cellStyle name="쉼표 [0] 3 5 3 3 3" xfId="7693"/>
    <cellStyle name="쉼표 [0] 3 5 3 3 3 2" xfId="24397"/>
    <cellStyle name="쉼표 [0] 3 5 3 3 4" xfId="13261"/>
    <cellStyle name="쉼표 [0] 3 5 3 3 4 2" xfId="29965"/>
    <cellStyle name="쉼표 [0] 3 5 3 3 5" xfId="18829"/>
    <cellStyle name="쉼표 [0] 3 5 3 4" xfId="3517"/>
    <cellStyle name="쉼표 [0] 3 5 3 4 2" xfId="9085"/>
    <cellStyle name="쉼표 [0] 3 5 3 4 2 2" xfId="25789"/>
    <cellStyle name="쉼표 [0] 3 5 3 4 3" xfId="14653"/>
    <cellStyle name="쉼표 [0] 3 5 3 4 3 2" xfId="31357"/>
    <cellStyle name="쉼표 [0] 3 5 3 4 4" xfId="20221"/>
    <cellStyle name="쉼표 [0] 3 5 3 5" xfId="6301"/>
    <cellStyle name="쉼표 [0] 3 5 3 5 2" xfId="23005"/>
    <cellStyle name="쉼표 [0] 3 5 3 6" xfId="11869"/>
    <cellStyle name="쉼표 [0] 3 5 3 6 2" xfId="28573"/>
    <cellStyle name="쉼표 [0] 3 5 3 7" xfId="17437"/>
    <cellStyle name="쉼표 [0] 3 5 4" xfId="965"/>
    <cellStyle name="쉼표 [0] 3 5 4 2" xfId="2357"/>
    <cellStyle name="쉼표 [0] 3 5 4 2 2" xfId="5141"/>
    <cellStyle name="쉼표 [0] 3 5 4 2 2 2" xfId="10709"/>
    <cellStyle name="쉼표 [0] 3 5 4 2 2 2 2" xfId="27413"/>
    <cellStyle name="쉼표 [0] 3 5 4 2 2 3" xfId="16277"/>
    <cellStyle name="쉼표 [0] 3 5 4 2 2 3 2" xfId="32981"/>
    <cellStyle name="쉼표 [0] 3 5 4 2 2 4" xfId="21845"/>
    <cellStyle name="쉼표 [0] 3 5 4 2 3" xfId="7925"/>
    <cellStyle name="쉼표 [0] 3 5 4 2 3 2" xfId="24629"/>
    <cellStyle name="쉼표 [0] 3 5 4 2 4" xfId="13493"/>
    <cellStyle name="쉼표 [0] 3 5 4 2 4 2" xfId="30197"/>
    <cellStyle name="쉼표 [0] 3 5 4 2 5" xfId="19061"/>
    <cellStyle name="쉼표 [0] 3 5 4 3" xfId="3749"/>
    <cellStyle name="쉼표 [0] 3 5 4 3 2" xfId="9317"/>
    <cellStyle name="쉼표 [0] 3 5 4 3 2 2" xfId="26021"/>
    <cellStyle name="쉼표 [0] 3 5 4 3 3" xfId="14885"/>
    <cellStyle name="쉼표 [0] 3 5 4 3 3 2" xfId="31589"/>
    <cellStyle name="쉼표 [0] 3 5 4 3 4" xfId="20453"/>
    <cellStyle name="쉼표 [0] 3 5 4 4" xfId="6533"/>
    <cellStyle name="쉼표 [0] 3 5 4 4 2" xfId="23237"/>
    <cellStyle name="쉼표 [0] 3 5 4 5" xfId="12101"/>
    <cellStyle name="쉼표 [0] 3 5 4 5 2" xfId="28805"/>
    <cellStyle name="쉼표 [0] 3 5 4 6" xfId="17669"/>
    <cellStyle name="쉼표 [0] 3 5 5" xfId="1661"/>
    <cellStyle name="쉼표 [0] 3 5 5 2" xfId="4445"/>
    <cellStyle name="쉼표 [0] 3 5 5 2 2" xfId="10013"/>
    <cellStyle name="쉼표 [0] 3 5 5 2 2 2" xfId="26717"/>
    <cellStyle name="쉼표 [0] 3 5 5 2 3" xfId="15581"/>
    <cellStyle name="쉼표 [0] 3 5 5 2 3 2" xfId="32285"/>
    <cellStyle name="쉼표 [0] 3 5 5 2 4" xfId="21149"/>
    <cellStyle name="쉼표 [0] 3 5 5 3" xfId="7229"/>
    <cellStyle name="쉼표 [0] 3 5 5 3 2" xfId="23933"/>
    <cellStyle name="쉼표 [0] 3 5 5 4" xfId="12797"/>
    <cellStyle name="쉼표 [0] 3 5 5 4 2" xfId="29501"/>
    <cellStyle name="쉼표 [0] 3 5 5 5" xfId="18365"/>
    <cellStyle name="쉼표 [0] 3 5 6" xfId="3053"/>
    <cellStyle name="쉼표 [0] 3 5 6 2" xfId="8621"/>
    <cellStyle name="쉼표 [0] 3 5 6 2 2" xfId="25325"/>
    <cellStyle name="쉼표 [0] 3 5 6 3" xfId="14189"/>
    <cellStyle name="쉼표 [0] 3 5 6 3 2" xfId="30893"/>
    <cellStyle name="쉼표 [0] 3 5 6 4" xfId="19757"/>
    <cellStyle name="쉼표 [0] 3 5 7" xfId="5837"/>
    <cellStyle name="쉼표 [0] 3 5 7 2" xfId="22541"/>
    <cellStyle name="쉼표 [0] 3 5 8" xfId="11405"/>
    <cellStyle name="쉼표 [0] 3 5 8 2" xfId="28109"/>
    <cellStyle name="쉼표 [0] 3 5 9" xfId="16973"/>
    <cellStyle name="쉼표 [0] 3 6" xfId="385"/>
    <cellStyle name="쉼표 [0] 3 6 2" xfId="1081"/>
    <cellStyle name="쉼표 [0] 3 6 2 2" xfId="2473"/>
    <cellStyle name="쉼표 [0] 3 6 2 2 2" xfId="5257"/>
    <cellStyle name="쉼표 [0] 3 6 2 2 2 2" xfId="10825"/>
    <cellStyle name="쉼표 [0] 3 6 2 2 2 2 2" xfId="27529"/>
    <cellStyle name="쉼표 [0] 3 6 2 2 2 3" xfId="16393"/>
    <cellStyle name="쉼표 [0] 3 6 2 2 2 3 2" xfId="33097"/>
    <cellStyle name="쉼표 [0] 3 6 2 2 2 4" xfId="21961"/>
    <cellStyle name="쉼표 [0] 3 6 2 2 3" xfId="8041"/>
    <cellStyle name="쉼표 [0] 3 6 2 2 3 2" xfId="24745"/>
    <cellStyle name="쉼표 [0] 3 6 2 2 4" xfId="13609"/>
    <cellStyle name="쉼표 [0] 3 6 2 2 4 2" xfId="30313"/>
    <cellStyle name="쉼표 [0] 3 6 2 2 5" xfId="19177"/>
    <cellStyle name="쉼표 [0] 3 6 2 3" xfId="3865"/>
    <cellStyle name="쉼표 [0] 3 6 2 3 2" xfId="9433"/>
    <cellStyle name="쉼표 [0] 3 6 2 3 2 2" xfId="26137"/>
    <cellStyle name="쉼표 [0] 3 6 2 3 3" xfId="15001"/>
    <cellStyle name="쉼표 [0] 3 6 2 3 3 2" xfId="31705"/>
    <cellStyle name="쉼표 [0] 3 6 2 3 4" xfId="20569"/>
    <cellStyle name="쉼표 [0] 3 6 2 4" xfId="6649"/>
    <cellStyle name="쉼표 [0] 3 6 2 4 2" xfId="23353"/>
    <cellStyle name="쉼표 [0] 3 6 2 5" xfId="12217"/>
    <cellStyle name="쉼표 [0] 3 6 2 5 2" xfId="28921"/>
    <cellStyle name="쉼표 [0] 3 6 2 6" xfId="17785"/>
    <cellStyle name="쉼표 [0] 3 6 3" xfId="1777"/>
    <cellStyle name="쉼표 [0] 3 6 3 2" xfId="4561"/>
    <cellStyle name="쉼표 [0] 3 6 3 2 2" xfId="10129"/>
    <cellStyle name="쉼표 [0] 3 6 3 2 2 2" xfId="26833"/>
    <cellStyle name="쉼표 [0] 3 6 3 2 3" xfId="15697"/>
    <cellStyle name="쉼표 [0] 3 6 3 2 3 2" xfId="32401"/>
    <cellStyle name="쉼표 [0] 3 6 3 2 4" xfId="21265"/>
    <cellStyle name="쉼표 [0] 3 6 3 3" xfId="7345"/>
    <cellStyle name="쉼표 [0] 3 6 3 3 2" xfId="24049"/>
    <cellStyle name="쉼표 [0] 3 6 3 4" xfId="12913"/>
    <cellStyle name="쉼표 [0] 3 6 3 4 2" xfId="29617"/>
    <cellStyle name="쉼표 [0] 3 6 3 5" xfId="18481"/>
    <cellStyle name="쉼표 [0] 3 6 4" xfId="3169"/>
    <cellStyle name="쉼표 [0] 3 6 4 2" xfId="8737"/>
    <cellStyle name="쉼표 [0] 3 6 4 2 2" xfId="25441"/>
    <cellStyle name="쉼표 [0] 3 6 4 3" xfId="14305"/>
    <cellStyle name="쉼표 [0] 3 6 4 3 2" xfId="31009"/>
    <cellStyle name="쉼표 [0] 3 6 4 4" xfId="19873"/>
    <cellStyle name="쉼표 [0] 3 6 5" xfId="5953"/>
    <cellStyle name="쉼표 [0] 3 6 5 2" xfId="22657"/>
    <cellStyle name="쉼표 [0] 3 6 6" xfId="11521"/>
    <cellStyle name="쉼표 [0] 3 6 6 2" xfId="28225"/>
    <cellStyle name="쉼표 [0] 3 6 7" xfId="17089"/>
    <cellStyle name="쉼표 [0] 3 7" xfId="617"/>
    <cellStyle name="쉼표 [0] 3 7 2" xfId="1313"/>
    <cellStyle name="쉼표 [0] 3 7 2 2" xfId="2705"/>
    <cellStyle name="쉼표 [0] 3 7 2 2 2" xfId="5489"/>
    <cellStyle name="쉼표 [0] 3 7 2 2 2 2" xfId="11057"/>
    <cellStyle name="쉼표 [0] 3 7 2 2 2 2 2" xfId="27761"/>
    <cellStyle name="쉼표 [0] 3 7 2 2 2 3" xfId="16625"/>
    <cellStyle name="쉼표 [0] 3 7 2 2 2 3 2" xfId="33329"/>
    <cellStyle name="쉼표 [0] 3 7 2 2 2 4" xfId="22193"/>
    <cellStyle name="쉼표 [0] 3 7 2 2 3" xfId="8273"/>
    <cellStyle name="쉼표 [0] 3 7 2 2 3 2" xfId="24977"/>
    <cellStyle name="쉼표 [0] 3 7 2 2 4" xfId="13841"/>
    <cellStyle name="쉼표 [0] 3 7 2 2 4 2" xfId="30545"/>
    <cellStyle name="쉼표 [0] 3 7 2 2 5" xfId="19409"/>
    <cellStyle name="쉼표 [0] 3 7 2 3" xfId="4097"/>
    <cellStyle name="쉼표 [0] 3 7 2 3 2" xfId="9665"/>
    <cellStyle name="쉼표 [0] 3 7 2 3 2 2" xfId="26369"/>
    <cellStyle name="쉼표 [0] 3 7 2 3 3" xfId="15233"/>
    <cellStyle name="쉼표 [0] 3 7 2 3 3 2" xfId="31937"/>
    <cellStyle name="쉼표 [0] 3 7 2 3 4" xfId="20801"/>
    <cellStyle name="쉼표 [0] 3 7 2 4" xfId="6881"/>
    <cellStyle name="쉼표 [0] 3 7 2 4 2" xfId="23585"/>
    <cellStyle name="쉼표 [0] 3 7 2 5" xfId="12449"/>
    <cellStyle name="쉼표 [0] 3 7 2 5 2" xfId="29153"/>
    <cellStyle name="쉼표 [0] 3 7 2 6" xfId="18017"/>
    <cellStyle name="쉼표 [0] 3 7 3" xfId="2009"/>
    <cellStyle name="쉼표 [0] 3 7 3 2" xfId="4793"/>
    <cellStyle name="쉼표 [0] 3 7 3 2 2" xfId="10361"/>
    <cellStyle name="쉼표 [0] 3 7 3 2 2 2" xfId="27065"/>
    <cellStyle name="쉼표 [0] 3 7 3 2 3" xfId="15929"/>
    <cellStyle name="쉼표 [0] 3 7 3 2 3 2" xfId="32633"/>
    <cellStyle name="쉼표 [0] 3 7 3 2 4" xfId="21497"/>
    <cellStyle name="쉼표 [0] 3 7 3 3" xfId="7577"/>
    <cellStyle name="쉼표 [0] 3 7 3 3 2" xfId="24281"/>
    <cellStyle name="쉼표 [0] 3 7 3 4" xfId="13145"/>
    <cellStyle name="쉼표 [0] 3 7 3 4 2" xfId="29849"/>
    <cellStyle name="쉼표 [0] 3 7 3 5" xfId="18713"/>
    <cellStyle name="쉼표 [0] 3 7 4" xfId="3401"/>
    <cellStyle name="쉼표 [0] 3 7 4 2" xfId="8969"/>
    <cellStyle name="쉼표 [0] 3 7 4 2 2" xfId="25673"/>
    <cellStyle name="쉼표 [0] 3 7 4 3" xfId="14537"/>
    <cellStyle name="쉼표 [0] 3 7 4 3 2" xfId="31241"/>
    <cellStyle name="쉼표 [0] 3 7 4 4" xfId="20105"/>
    <cellStyle name="쉼표 [0] 3 7 5" xfId="6185"/>
    <cellStyle name="쉼표 [0] 3 7 5 2" xfId="22889"/>
    <cellStyle name="쉼표 [0] 3 7 6" xfId="11753"/>
    <cellStyle name="쉼표 [0] 3 7 6 2" xfId="28457"/>
    <cellStyle name="쉼표 [0] 3 7 7" xfId="17321"/>
    <cellStyle name="쉼표 [0] 3 8" xfId="849"/>
    <cellStyle name="쉼표 [0] 3 8 2" xfId="2241"/>
    <cellStyle name="쉼표 [0] 3 8 2 2" xfId="5025"/>
    <cellStyle name="쉼표 [0] 3 8 2 2 2" xfId="10593"/>
    <cellStyle name="쉼표 [0] 3 8 2 2 2 2" xfId="27297"/>
    <cellStyle name="쉼표 [0] 3 8 2 2 3" xfId="16161"/>
    <cellStyle name="쉼표 [0] 3 8 2 2 3 2" xfId="32865"/>
    <cellStyle name="쉼표 [0] 3 8 2 2 4" xfId="21729"/>
    <cellStyle name="쉼표 [0] 3 8 2 3" xfId="7809"/>
    <cellStyle name="쉼표 [0] 3 8 2 3 2" xfId="24513"/>
    <cellStyle name="쉼표 [0] 3 8 2 4" xfId="13377"/>
    <cellStyle name="쉼표 [0] 3 8 2 4 2" xfId="30081"/>
    <cellStyle name="쉼표 [0] 3 8 2 5" xfId="18945"/>
    <cellStyle name="쉼표 [0] 3 8 3" xfId="3633"/>
    <cellStyle name="쉼표 [0] 3 8 3 2" xfId="9201"/>
    <cellStyle name="쉼표 [0] 3 8 3 2 2" xfId="25905"/>
    <cellStyle name="쉼표 [0] 3 8 3 3" xfId="14769"/>
    <cellStyle name="쉼표 [0] 3 8 3 3 2" xfId="31473"/>
    <cellStyle name="쉼표 [0] 3 8 3 4" xfId="20337"/>
    <cellStyle name="쉼표 [0] 3 8 4" xfId="6417"/>
    <cellStyle name="쉼표 [0] 3 8 4 2" xfId="23121"/>
    <cellStyle name="쉼표 [0] 3 8 5" xfId="11985"/>
    <cellStyle name="쉼표 [0] 3 8 5 2" xfId="28689"/>
    <cellStyle name="쉼표 [0] 3 8 6" xfId="17553"/>
    <cellStyle name="쉼표 [0] 3 9" xfId="1545"/>
    <cellStyle name="쉼표 [0] 3 9 2" xfId="4329"/>
    <cellStyle name="쉼표 [0] 3 9 2 2" xfId="9897"/>
    <cellStyle name="쉼표 [0] 3 9 2 2 2" xfId="26601"/>
    <cellStyle name="쉼표 [0] 3 9 2 3" xfId="15465"/>
    <cellStyle name="쉼표 [0] 3 9 2 3 2" xfId="32169"/>
    <cellStyle name="쉼표 [0] 3 9 2 4" xfId="21033"/>
    <cellStyle name="쉼표 [0] 3 9 3" xfId="7113"/>
    <cellStyle name="쉼표 [0] 3 9 3 2" xfId="23817"/>
    <cellStyle name="쉼표 [0] 3 9 4" xfId="12681"/>
    <cellStyle name="쉼표 [0] 3 9 4 2" xfId="29385"/>
    <cellStyle name="쉼표 [0] 3 9 5" xfId="18249"/>
    <cellStyle name="쉼표 [0] 4" xfId="114"/>
    <cellStyle name="쉼표 [0] 4 10" xfId="5723"/>
    <cellStyle name="쉼표 [0] 4 10 2" xfId="22427"/>
    <cellStyle name="쉼표 [0] 4 11" xfId="11291"/>
    <cellStyle name="쉼표 [0] 4 11 2" xfId="27995"/>
    <cellStyle name="쉼표 [0] 4 12" xfId="16859"/>
    <cellStyle name="쉼표 [0] 4 2" xfId="184"/>
    <cellStyle name="쉼표 [0] 4 2 10" xfId="11320"/>
    <cellStyle name="쉼표 [0] 4 2 10 2" xfId="28024"/>
    <cellStyle name="쉼표 [0] 4 2 11" xfId="16888"/>
    <cellStyle name="쉼표 [0] 4 2 2" xfId="242"/>
    <cellStyle name="쉼표 [0] 4 2 2 10" xfId="16946"/>
    <cellStyle name="쉼표 [0] 4 2 2 2" xfId="358"/>
    <cellStyle name="쉼표 [0] 4 2 2 2 2" xfId="590"/>
    <cellStyle name="쉼표 [0] 4 2 2 2 2 2" xfId="1286"/>
    <cellStyle name="쉼표 [0] 4 2 2 2 2 2 2" xfId="2678"/>
    <cellStyle name="쉼표 [0] 4 2 2 2 2 2 2 2" xfId="5462"/>
    <cellStyle name="쉼표 [0] 4 2 2 2 2 2 2 2 2" xfId="11030"/>
    <cellStyle name="쉼표 [0] 4 2 2 2 2 2 2 2 2 2" xfId="27734"/>
    <cellStyle name="쉼표 [0] 4 2 2 2 2 2 2 2 3" xfId="16598"/>
    <cellStyle name="쉼표 [0] 4 2 2 2 2 2 2 2 3 2" xfId="33302"/>
    <cellStyle name="쉼표 [0] 4 2 2 2 2 2 2 2 4" xfId="22166"/>
    <cellStyle name="쉼표 [0] 4 2 2 2 2 2 2 3" xfId="8246"/>
    <cellStyle name="쉼표 [0] 4 2 2 2 2 2 2 3 2" xfId="24950"/>
    <cellStyle name="쉼표 [0] 4 2 2 2 2 2 2 4" xfId="13814"/>
    <cellStyle name="쉼표 [0] 4 2 2 2 2 2 2 4 2" xfId="30518"/>
    <cellStyle name="쉼표 [0] 4 2 2 2 2 2 2 5" xfId="19382"/>
    <cellStyle name="쉼표 [0] 4 2 2 2 2 2 3" xfId="4070"/>
    <cellStyle name="쉼표 [0] 4 2 2 2 2 2 3 2" xfId="9638"/>
    <cellStyle name="쉼표 [0] 4 2 2 2 2 2 3 2 2" xfId="26342"/>
    <cellStyle name="쉼표 [0] 4 2 2 2 2 2 3 3" xfId="15206"/>
    <cellStyle name="쉼표 [0] 4 2 2 2 2 2 3 3 2" xfId="31910"/>
    <cellStyle name="쉼표 [0] 4 2 2 2 2 2 3 4" xfId="20774"/>
    <cellStyle name="쉼표 [0] 4 2 2 2 2 2 4" xfId="6854"/>
    <cellStyle name="쉼표 [0] 4 2 2 2 2 2 4 2" xfId="23558"/>
    <cellStyle name="쉼표 [0] 4 2 2 2 2 2 5" xfId="12422"/>
    <cellStyle name="쉼표 [0] 4 2 2 2 2 2 5 2" xfId="29126"/>
    <cellStyle name="쉼표 [0] 4 2 2 2 2 2 6" xfId="17990"/>
    <cellStyle name="쉼표 [0] 4 2 2 2 2 3" xfId="1982"/>
    <cellStyle name="쉼표 [0] 4 2 2 2 2 3 2" xfId="4766"/>
    <cellStyle name="쉼표 [0] 4 2 2 2 2 3 2 2" xfId="10334"/>
    <cellStyle name="쉼표 [0] 4 2 2 2 2 3 2 2 2" xfId="27038"/>
    <cellStyle name="쉼표 [0] 4 2 2 2 2 3 2 3" xfId="15902"/>
    <cellStyle name="쉼표 [0] 4 2 2 2 2 3 2 3 2" xfId="32606"/>
    <cellStyle name="쉼표 [0] 4 2 2 2 2 3 2 4" xfId="21470"/>
    <cellStyle name="쉼표 [0] 4 2 2 2 2 3 3" xfId="7550"/>
    <cellStyle name="쉼표 [0] 4 2 2 2 2 3 3 2" xfId="24254"/>
    <cellStyle name="쉼표 [0] 4 2 2 2 2 3 4" xfId="13118"/>
    <cellStyle name="쉼표 [0] 4 2 2 2 2 3 4 2" xfId="29822"/>
    <cellStyle name="쉼표 [0] 4 2 2 2 2 3 5" xfId="18686"/>
    <cellStyle name="쉼표 [0] 4 2 2 2 2 4" xfId="3374"/>
    <cellStyle name="쉼표 [0] 4 2 2 2 2 4 2" xfId="8942"/>
    <cellStyle name="쉼표 [0] 4 2 2 2 2 4 2 2" xfId="25646"/>
    <cellStyle name="쉼표 [0] 4 2 2 2 2 4 3" xfId="14510"/>
    <cellStyle name="쉼표 [0] 4 2 2 2 2 4 3 2" xfId="31214"/>
    <cellStyle name="쉼표 [0] 4 2 2 2 2 4 4" xfId="20078"/>
    <cellStyle name="쉼표 [0] 4 2 2 2 2 5" xfId="6158"/>
    <cellStyle name="쉼표 [0] 4 2 2 2 2 5 2" xfId="22862"/>
    <cellStyle name="쉼표 [0] 4 2 2 2 2 6" xfId="11726"/>
    <cellStyle name="쉼표 [0] 4 2 2 2 2 6 2" xfId="28430"/>
    <cellStyle name="쉼표 [0] 4 2 2 2 2 7" xfId="17294"/>
    <cellStyle name="쉼표 [0] 4 2 2 2 3" xfId="822"/>
    <cellStyle name="쉼표 [0] 4 2 2 2 3 2" xfId="1518"/>
    <cellStyle name="쉼표 [0] 4 2 2 2 3 2 2" xfId="2910"/>
    <cellStyle name="쉼표 [0] 4 2 2 2 3 2 2 2" xfId="5694"/>
    <cellStyle name="쉼표 [0] 4 2 2 2 3 2 2 2 2" xfId="11262"/>
    <cellStyle name="쉼표 [0] 4 2 2 2 3 2 2 2 2 2" xfId="27966"/>
    <cellStyle name="쉼표 [0] 4 2 2 2 3 2 2 2 3" xfId="16830"/>
    <cellStyle name="쉼표 [0] 4 2 2 2 3 2 2 2 3 2" xfId="33534"/>
    <cellStyle name="쉼표 [0] 4 2 2 2 3 2 2 2 4" xfId="22398"/>
    <cellStyle name="쉼표 [0] 4 2 2 2 3 2 2 3" xfId="8478"/>
    <cellStyle name="쉼표 [0] 4 2 2 2 3 2 2 3 2" xfId="25182"/>
    <cellStyle name="쉼표 [0] 4 2 2 2 3 2 2 4" xfId="14046"/>
    <cellStyle name="쉼표 [0] 4 2 2 2 3 2 2 4 2" xfId="30750"/>
    <cellStyle name="쉼표 [0] 4 2 2 2 3 2 2 5" xfId="19614"/>
    <cellStyle name="쉼표 [0] 4 2 2 2 3 2 3" xfId="4302"/>
    <cellStyle name="쉼표 [0] 4 2 2 2 3 2 3 2" xfId="9870"/>
    <cellStyle name="쉼표 [0] 4 2 2 2 3 2 3 2 2" xfId="26574"/>
    <cellStyle name="쉼표 [0] 4 2 2 2 3 2 3 3" xfId="15438"/>
    <cellStyle name="쉼표 [0] 4 2 2 2 3 2 3 3 2" xfId="32142"/>
    <cellStyle name="쉼표 [0] 4 2 2 2 3 2 3 4" xfId="21006"/>
    <cellStyle name="쉼표 [0] 4 2 2 2 3 2 4" xfId="7086"/>
    <cellStyle name="쉼표 [0] 4 2 2 2 3 2 4 2" xfId="23790"/>
    <cellStyle name="쉼표 [0] 4 2 2 2 3 2 5" xfId="12654"/>
    <cellStyle name="쉼표 [0] 4 2 2 2 3 2 5 2" xfId="29358"/>
    <cellStyle name="쉼표 [0] 4 2 2 2 3 2 6" xfId="18222"/>
    <cellStyle name="쉼표 [0] 4 2 2 2 3 3" xfId="2214"/>
    <cellStyle name="쉼표 [0] 4 2 2 2 3 3 2" xfId="4998"/>
    <cellStyle name="쉼표 [0] 4 2 2 2 3 3 2 2" xfId="10566"/>
    <cellStyle name="쉼표 [0] 4 2 2 2 3 3 2 2 2" xfId="27270"/>
    <cellStyle name="쉼표 [0] 4 2 2 2 3 3 2 3" xfId="16134"/>
    <cellStyle name="쉼표 [0] 4 2 2 2 3 3 2 3 2" xfId="32838"/>
    <cellStyle name="쉼표 [0] 4 2 2 2 3 3 2 4" xfId="21702"/>
    <cellStyle name="쉼표 [0] 4 2 2 2 3 3 3" xfId="7782"/>
    <cellStyle name="쉼표 [0] 4 2 2 2 3 3 3 2" xfId="24486"/>
    <cellStyle name="쉼표 [0] 4 2 2 2 3 3 4" xfId="13350"/>
    <cellStyle name="쉼표 [0] 4 2 2 2 3 3 4 2" xfId="30054"/>
    <cellStyle name="쉼표 [0] 4 2 2 2 3 3 5" xfId="18918"/>
    <cellStyle name="쉼표 [0] 4 2 2 2 3 4" xfId="3606"/>
    <cellStyle name="쉼표 [0] 4 2 2 2 3 4 2" xfId="9174"/>
    <cellStyle name="쉼표 [0] 4 2 2 2 3 4 2 2" xfId="25878"/>
    <cellStyle name="쉼표 [0] 4 2 2 2 3 4 3" xfId="14742"/>
    <cellStyle name="쉼표 [0] 4 2 2 2 3 4 3 2" xfId="31446"/>
    <cellStyle name="쉼표 [0] 4 2 2 2 3 4 4" xfId="20310"/>
    <cellStyle name="쉼표 [0] 4 2 2 2 3 5" xfId="6390"/>
    <cellStyle name="쉼표 [0] 4 2 2 2 3 5 2" xfId="23094"/>
    <cellStyle name="쉼표 [0] 4 2 2 2 3 6" xfId="11958"/>
    <cellStyle name="쉼표 [0] 4 2 2 2 3 6 2" xfId="28662"/>
    <cellStyle name="쉼표 [0] 4 2 2 2 3 7" xfId="17526"/>
    <cellStyle name="쉼표 [0] 4 2 2 2 4" xfId="1054"/>
    <cellStyle name="쉼표 [0] 4 2 2 2 4 2" xfId="2446"/>
    <cellStyle name="쉼표 [0] 4 2 2 2 4 2 2" xfId="5230"/>
    <cellStyle name="쉼표 [0] 4 2 2 2 4 2 2 2" xfId="10798"/>
    <cellStyle name="쉼표 [0] 4 2 2 2 4 2 2 2 2" xfId="27502"/>
    <cellStyle name="쉼표 [0] 4 2 2 2 4 2 2 3" xfId="16366"/>
    <cellStyle name="쉼표 [0] 4 2 2 2 4 2 2 3 2" xfId="33070"/>
    <cellStyle name="쉼표 [0] 4 2 2 2 4 2 2 4" xfId="21934"/>
    <cellStyle name="쉼표 [0] 4 2 2 2 4 2 3" xfId="8014"/>
    <cellStyle name="쉼표 [0] 4 2 2 2 4 2 3 2" xfId="24718"/>
    <cellStyle name="쉼표 [0] 4 2 2 2 4 2 4" xfId="13582"/>
    <cellStyle name="쉼표 [0] 4 2 2 2 4 2 4 2" xfId="30286"/>
    <cellStyle name="쉼표 [0] 4 2 2 2 4 2 5" xfId="19150"/>
    <cellStyle name="쉼표 [0] 4 2 2 2 4 3" xfId="3838"/>
    <cellStyle name="쉼표 [0] 4 2 2 2 4 3 2" xfId="9406"/>
    <cellStyle name="쉼표 [0] 4 2 2 2 4 3 2 2" xfId="26110"/>
    <cellStyle name="쉼표 [0] 4 2 2 2 4 3 3" xfId="14974"/>
    <cellStyle name="쉼표 [0] 4 2 2 2 4 3 3 2" xfId="31678"/>
    <cellStyle name="쉼표 [0] 4 2 2 2 4 3 4" xfId="20542"/>
    <cellStyle name="쉼표 [0] 4 2 2 2 4 4" xfId="6622"/>
    <cellStyle name="쉼표 [0] 4 2 2 2 4 4 2" xfId="23326"/>
    <cellStyle name="쉼표 [0] 4 2 2 2 4 5" xfId="12190"/>
    <cellStyle name="쉼표 [0] 4 2 2 2 4 5 2" xfId="28894"/>
    <cellStyle name="쉼표 [0] 4 2 2 2 4 6" xfId="17758"/>
    <cellStyle name="쉼표 [0] 4 2 2 2 5" xfId="1750"/>
    <cellStyle name="쉼표 [0] 4 2 2 2 5 2" xfId="4534"/>
    <cellStyle name="쉼표 [0] 4 2 2 2 5 2 2" xfId="10102"/>
    <cellStyle name="쉼표 [0] 4 2 2 2 5 2 2 2" xfId="26806"/>
    <cellStyle name="쉼표 [0] 4 2 2 2 5 2 3" xfId="15670"/>
    <cellStyle name="쉼표 [0] 4 2 2 2 5 2 3 2" xfId="32374"/>
    <cellStyle name="쉼표 [0] 4 2 2 2 5 2 4" xfId="21238"/>
    <cellStyle name="쉼표 [0] 4 2 2 2 5 3" xfId="7318"/>
    <cellStyle name="쉼표 [0] 4 2 2 2 5 3 2" xfId="24022"/>
    <cellStyle name="쉼표 [0] 4 2 2 2 5 4" xfId="12886"/>
    <cellStyle name="쉼표 [0] 4 2 2 2 5 4 2" xfId="29590"/>
    <cellStyle name="쉼표 [0] 4 2 2 2 5 5" xfId="18454"/>
    <cellStyle name="쉼표 [0] 4 2 2 2 6" xfId="3142"/>
    <cellStyle name="쉼표 [0] 4 2 2 2 6 2" xfId="8710"/>
    <cellStyle name="쉼표 [0] 4 2 2 2 6 2 2" xfId="25414"/>
    <cellStyle name="쉼표 [0] 4 2 2 2 6 3" xfId="14278"/>
    <cellStyle name="쉼표 [0] 4 2 2 2 6 3 2" xfId="30982"/>
    <cellStyle name="쉼표 [0] 4 2 2 2 6 4" xfId="19846"/>
    <cellStyle name="쉼표 [0] 4 2 2 2 7" xfId="5926"/>
    <cellStyle name="쉼표 [0] 4 2 2 2 7 2" xfId="22630"/>
    <cellStyle name="쉼표 [0] 4 2 2 2 8" xfId="11494"/>
    <cellStyle name="쉼표 [0] 4 2 2 2 8 2" xfId="28198"/>
    <cellStyle name="쉼표 [0] 4 2 2 2 9" xfId="17062"/>
    <cellStyle name="쉼표 [0] 4 2 2 3" xfId="474"/>
    <cellStyle name="쉼표 [0] 4 2 2 3 2" xfId="1170"/>
    <cellStyle name="쉼표 [0] 4 2 2 3 2 2" xfId="2562"/>
    <cellStyle name="쉼표 [0] 4 2 2 3 2 2 2" xfId="5346"/>
    <cellStyle name="쉼표 [0] 4 2 2 3 2 2 2 2" xfId="10914"/>
    <cellStyle name="쉼표 [0] 4 2 2 3 2 2 2 2 2" xfId="27618"/>
    <cellStyle name="쉼표 [0] 4 2 2 3 2 2 2 3" xfId="16482"/>
    <cellStyle name="쉼표 [0] 4 2 2 3 2 2 2 3 2" xfId="33186"/>
    <cellStyle name="쉼표 [0] 4 2 2 3 2 2 2 4" xfId="22050"/>
    <cellStyle name="쉼표 [0] 4 2 2 3 2 2 3" xfId="8130"/>
    <cellStyle name="쉼표 [0] 4 2 2 3 2 2 3 2" xfId="24834"/>
    <cellStyle name="쉼표 [0] 4 2 2 3 2 2 4" xfId="13698"/>
    <cellStyle name="쉼표 [0] 4 2 2 3 2 2 4 2" xfId="30402"/>
    <cellStyle name="쉼표 [0] 4 2 2 3 2 2 5" xfId="19266"/>
    <cellStyle name="쉼표 [0] 4 2 2 3 2 3" xfId="3954"/>
    <cellStyle name="쉼표 [0] 4 2 2 3 2 3 2" xfId="9522"/>
    <cellStyle name="쉼표 [0] 4 2 2 3 2 3 2 2" xfId="26226"/>
    <cellStyle name="쉼표 [0] 4 2 2 3 2 3 3" xfId="15090"/>
    <cellStyle name="쉼표 [0] 4 2 2 3 2 3 3 2" xfId="31794"/>
    <cellStyle name="쉼표 [0] 4 2 2 3 2 3 4" xfId="20658"/>
    <cellStyle name="쉼표 [0] 4 2 2 3 2 4" xfId="6738"/>
    <cellStyle name="쉼표 [0] 4 2 2 3 2 4 2" xfId="23442"/>
    <cellStyle name="쉼표 [0] 4 2 2 3 2 5" xfId="12306"/>
    <cellStyle name="쉼표 [0] 4 2 2 3 2 5 2" xfId="29010"/>
    <cellStyle name="쉼표 [0] 4 2 2 3 2 6" xfId="17874"/>
    <cellStyle name="쉼표 [0] 4 2 2 3 3" xfId="1866"/>
    <cellStyle name="쉼표 [0] 4 2 2 3 3 2" xfId="4650"/>
    <cellStyle name="쉼표 [0] 4 2 2 3 3 2 2" xfId="10218"/>
    <cellStyle name="쉼표 [0] 4 2 2 3 3 2 2 2" xfId="26922"/>
    <cellStyle name="쉼표 [0] 4 2 2 3 3 2 3" xfId="15786"/>
    <cellStyle name="쉼표 [0] 4 2 2 3 3 2 3 2" xfId="32490"/>
    <cellStyle name="쉼표 [0] 4 2 2 3 3 2 4" xfId="21354"/>
    <cellStyle name="쉼표 [0] 4 2 2 3 3 3" xfId="7434"/>
    <cellStyle name="쉼표 [0] 4 2 2 3 3 3 2" xfId="24138"/>
    <cellStyle name="쉼표 [0] 4 2 2 3 3 4" xfId="13002"/>
    <cellStyle name="쉼표 [0] 4 2 2 3 3 4 2" xfId="29706"/>
    <cellStyle name="쉼표 [0] 4 2 2 3 3 5" xfId="18570"/>
    <cellStyle name="쉼표 [0] 4 2 2 3 4" xfId="3258"/>
    <cellStyle name="쉼표 [0] 4 2 2 3 4 2" xfId="8826"/>
    <cellStyle name="쉼표 [0] 4 2 2 3 4 2 2" xfId="25530"/>
    <cellStyle name="쉼표 [0] 4 2 2 3 4 3" xfId="14394"/>
    <cellStyle name="쉼표 [0] 4 2 2 3 4 3 2" xfId="31098"/>
    <cellStyle name="쉼표 [0] 4 2 2 3 4 4" xfId="19962"/>
    <cellStyle name="쉼표 [0] 4 2 2 3 5" xfId="6042"/>
    <cellStyle name="쉼표 [0] 4 2 2 3 5 2" xfId="22746"/>
    <cellStyle name="쉼표 [0] 4 2 2 3 6" xfId="11610"/>
    <cellStyle name="쉼표 [0] 4 2 2 3 6 2" xfId="28314"/>
    <cellStyle name="쉼표 [0] 4 2 2 3 7" xfId="17178"/>
    <cellStyle name="쉼표 [0] 4 2 2 4" xfId="706"/>
    <cellStyle name="쉼표 [0] 4 2 2 4 2" xfId="1402"/>
    <cellStyle name="쉼표 [0] 4 2 2 4 2 2" xfId="2794"/>
    <cellStyle name="쉼표 [0] 4 2 2 4 2 2 2" xfId="5578"/>
    <cellStyle name="쉼표 [0] 4 2 2 4 2 2 2 2" xfId="11146"/>
    <cellStyle name="쉼표 [0] 4 2 2 4 2 2 2 2 2" xfId="27850"/>
    <cellStyle name="쉼표 [0] 4 2 2 4 2 2 2 3" xfId="16714"/>
    <cellStyle name="쉼표 [0] 4 2 2 4 2 2 2 3 2" xfId="33418"/>
    <cellStyle name="쉼표 [0] 4 2 2 4 2 2 2 4" xfId="22282"/>
    <cellStyle name="쉼표 [0] 4 2 2 4 2 2 3" xfId="8362"/>
    <cellStyle name="쉼표 [0] 4 2 2 4 2 2 3 2" xfId="25066"/>
    <cellStyle name="쉼표 [0] 4 2 2 4 2 2 4" xfId="13930"/>
    <cellStyle name="쉼표 [0] 4 2 2 4 2 2 4 2" xfId="30634"/>
    <cellStyle name="쉼표 [0] 4 2 2 4 2 2 5" xfId="19498"/>
    <cellStyle name="쉼표 [0] 4 2 2 4 2 3" xfId="4186"/>
    <cellStyle name="쉼표 [0] 4 2 2 4 2 3 2" xfId="9754"/>
    <cellStyle name="쉼표 [0] 4 2 2 4 2 3 2 2" xfId="26458"/>
    <cellStyle name="쉼표 [0] 4 2 2 4 2 3 3" xfId="15322"/>
    <cellStyle name="쉼표 [0] 4 2 2 4 2 3 3 2" xfId="32026"/>
    <cellStyle name="쉼표 [0] 4 2 2 4 2 3 4" xfId="20890"/>
    <cellStyle name="쉼표 [0] 4 2 2 4 2 4" xfId="6970"/>
    <cellStyle name="쉼표 [0] 4 2 2 4 2 4 2" xfId="23674"/>
    <cellStyle name="쉼표 [0] 4 2 2 4 2 5" xfId="12538"/>
    <cellStyle name="쉼표 [0] 4 2 2 4 2 5 2" xfId="29242"/>
    <cellStyle name="쉼표 [0] 4 2 2 4 2 6" xfId="18106"/>
    <cellStyle name="쉼표 [0] 4 2 2 4 3" xfId="2098"/>
    <cellStyle name="쉼표 [0] 4 2 2 4 3 2" xfId="4882"/>
    <cellStyle name="쉼표 [0] 4 2 2 4 3 2 2" xfId="10450"/>
    <cellStyle name="쉼표 [0] 4 2 2 4 3 2 2 2" xfId="27154"/>
    <cellStyle name="쉼표 [0] 4 2 2 4 3 2 3" xfId="16018"/>
    <cellStyle name="쉼표 [0] 4 2 2 4 3 2 3 2" xfId="32722"/>
    <cellStyle name="쉼표 [0] 4 2 2 4 3 2 4" xfId="21586"/>
    <cellStyle name="쉼표 [0] 4 2 2 4 3 3" xfId="7666"/>
    <cellStyle name="쉼표 [0] 4 2 2 4 3 3 2" xfId="24370"/>
    <cellStyle name="쉼표 [0] 4 2 2 4 3 4" xfId="13234"/>
    <cellStyle name="쉼표 [0] 4 2 2 4 3 4 2" xfId="29938"/>
    <cellStyle name="쉼표 [0] 4 2 2 4 3 5" xfId="18802"/>
    <cellStyle name="쉼표 [0] 4 2 2 4 4" xfId="3490"/>
    <cellStyle name="쉼표 [0] 4 2 2 4 4 2" xfId="9058"/>
    <cellStyle name="쉼표 [0] 4 2 2 4 4 2 2" xfId="25762"/>
    <cellStyle name="쉼표 [0] 4 2 2 4 4 3" xfId="14626"/>
    <cellStyle name="쉼표 [0] 4 2 2 4 4 3 2" xfId="31330"/>
    <cellStyle name="쉼표 [0] 4 2 2 4 4 4" xfId="20194"/>
    <cellStyle name="쉼표 [0] 4 2 2 4 5" xfId="6274"/>
    <cellStyle name="쉼표 [0] 4 2 2 4 5 2" xfId="22978"/>
    <cellStyle name="쉼표 [0] 4 2 2 4 6" xfId="11842"/>
    <cellStyle name="쉼표 [0] 4 2 2 4 6 2" xfId="28546"/>
    <cellStyle name="쉼표 [0] 4 2 2 4 7" xfId="17410"/>
    <cellStyle name="쉼표 [0] 4 2 2 5" xfId="938"/>
    <cellStyle name="쉼표 [0] 4 2 2 5 2" xfId="2330"/>
    <cellStyle name="쉼표 [0] 4 2 2 5 2 2" xfId="5114"/>
    <cellStyle name="쉼표 [0] 4 2 2 5 2 2 2" xfId="10682"/>
    <cellStyle name="쉼표 [0] 4 2 2 5 2 2 2 2" xfId="27386"/>
    <cellStyle name="쉼표 [0] 4 2 2 5 2 2 3" xfId="16250"/>
    <cellStyle name="쉼표 [0] 4 2 2 5 2 2 3 2" xfId="32954"/>
    <cellStyle name="쉼표 [0] 4 2 2 5 2 2 4" xfId="21818"/>
    <cellStyle name="쉼표 [0] 4 2 2 5 2 3" xfId="7898"/>
    <cellStyle name="쉼표 [0] 4 2 2 5 2 3 2" xfId="24602"/>
    <cellStyle name="쉼표 [0] 4 2 2 5 2 4" xfId="13466"/>
    <cellStyle name="쉼표 [0] 4 2 2 5 2 4 2" xfId="30170"/>
    <cellStyle name="쉼표 [0] 4 2 2 5 2 5" xfId="19034"/>
    <cellStyle name="쉼표 [0] 4 2 2 5 3" xfId="3722"/>
    <cellStyle name="쉼표 [0] 4 2 2 5 3 2" xfId="9290"/>
    <cellStyle name="쉼표 [0] 4 2 2 5 3 2 2" xfId="25994"/>
    <cellStyle name="쉼표 [0] 4 2 2 5 3 3" xfId="14858"/>
    <cellStyle name="쉼표 [0] 4 2 2 5 3 3 2" xfId="31562"/>
    <cellStyle name="쉼표 [0] 4 2 2 5 3 4" xfId="20426"/>
    <cellStyle name="쉼표 [0] 4 2 2 5 4" xfId="6506"/>
    <cellStyle name="쉼표 [0] 4 2 2 5 4 2" xfId="23210"/>
    <cellStyle name="쉼표 [0] 4 2 2 5 5" xfId="12074"/>
    <cellStyle name="쉼표 [0] 4 2 2 5 5 2" xfId="28778"/>
    <cellStyle name="쉼표 [0] 4 2 2 5 6" xfId="17642"/>
    <cellStyle name="쉼표 [0] 4 2 2 6" xfId="1634"/>
    <cellStyle name="쉼표 [0] 4 2 2 6 2" xfId="4418"/>
    <cellStyle name="쉼표 [0] 4 2 2 6 2 2" xfId="9986"/>
    <cellStyle name="쉼표 [0] 4 2 2 6 2 2 2" xfId="26690"/>
    <cellStyle name="쉼표 [0] 4 2 2 6 2 3" xfId="15554"/>
    <cellStyle name="쉼표 [0] 4 2 2 6 2 3 2" xfId="32258"/>
    <cellStyle name="쉼표 [0] 4 2 2 6 2 4" xfId="21122"/>
    <cellStyle name="쉼표 [0] 4 2 2 6 3" xfId="7202"/>
    <cellStyle name="쉼표 [0] 4 2 2 6 3 2" xfId="23906"/>
    <cellStyle name="쉼표 [0] 4 2 2 6 4" xfId="12770"/>
    <cellStyle name="쉼표 [0] 4 2 2 6 4 2" xfId="29474"/>
    <cellStyle name="쉼표 [0] 4 2 2 6 5" xfId="18338"/>
    <cellStyle name="쉼표 [0] 4 2 2 7" xfId="3026"/>
    <cellStyle name="쉼표 [0] 4 2 2 7 2" xfId="8594"/>
    <cellStyle name="쉼표 [0] 4 2 2 7 2 2" xfId="25298"/>
    <cellStyle name="쉼표 [0] 4 2 2 7 3" xfId="14162"/>
    <cellStyle name="쉼표 [0] 4 2 2 7 3 2" xfId="30866"/>
    <cellStyle name="쉼표 [0] 4 2 2 7 4" xfId="19730"/>
    <cellStyle name="쉼표 [0] 4 2 2 8" xfId="5810"/>
    <cellStyle name="쉼표 [0] 4 2 2 8 2" xfId="22514"/>
    <cellStyle name="쉼표 [0] 4 2 2 9" xfId="11378"/>
    <cellStyle name="쉼표 [0] 4 2 2 9 2" xfId="28082"/>
    <cellStyle name="쉼표 [0] 4 2 3" xfId="300"/>
    <cellStyle name="쉼표 [0] 4 2 3 2" xfId="532"/>
    <cellStyle name="쉼표 [0] 4 2 3 2 2" xfId="1228"/>
    <cellStyle name="쉼표 [0] 4 2 3 2 2 2" xfId="2620"/>
    <cellStyle name="쉼표 [0] 4 2 3 2 2 2 2" xfId="5404"/>
    <cellStyle name="쉼표 [0] 4 2 3 2 2 2 2 2" xfId="10972"/>
    <cellStyle name="쉼표 [0] 4 2 3 2 2 2 2 2 2" xfId="27676"/>
    <cellStyle name="쉼표 [0] 4 2 3 2 2 2 2 3" xfId="16540"/>
    <cellStyle name="쉼표 [0] 4 2 3 2 2 2 2 3 2" xfId="33244"/>
    <cellStyle name="쉼표 [0] 4 2 3 2 2 2 2 4" xfId="22108"/>
    <cellStyle name="쉼표 [0] 4 2 3 2 2 2 3" xfId="8188"/>
    <cellStyle name="쉼표 [0] 4 2 3 2 2 2 3 2" xfId="24892"/>
    <cellStyle name="쉼표 [0] 4 2 3 2 2 2 4" xfId="13756"/>
    <cellStyle name="쉼표 [0] 4 2 3 2 2 2 4 2" xfId="30460"/>
    <cellStyle name="쉼표 [0] 4 2 3 2 2 2 5" xfId="19324"/>
    <cellStyle name="쉼표 [0] 4 2 3 2 2 3" xfId="4012"/>
    <cellStyle name="쉼표 [0] 4 2 3 2 2 3 2" xfId="9580"/>
    <cellStyle name="쉼표 [0] 4 2 3 2 2 3 2 2" xfId="26284"/>
    <cellStyle name="쉼표 [0] 4 2 3 2 2 3 3" xfId="15148"/>
    <cellStyle name="쉼표 [0] 4 2 3 2 2 3 3 2" xfId="31852"/>
    <cellStyle name="쉼표 [0] 4 2 3 2 2 3 4" xfId="20716"/>
    <cellStyle name="쉼표 [0] 4 2 3 2 2 4" xfId="6796"/>
    <cellStyle name="쉼표 [0] 4 2 3 2 2 4 2" xfId="23500"/>
    <cellStyle name="쉼표 [0] 4 2 3 2 2 5" xfId="12364"/>
    <cellStyle name="쉼표 [0] 4 2 3 2 2 5 2" xfId="29068"/>
    <cellStyle name="쉼표 [0] 4 2 3 2 2 6" xfId="17932"/>
    <cellStyle name="쉼표 [0] 4 2 3 2 3" xfId="1924"/>
    <cellStyle name="쉼표 [0] 4 2 3 2 3 2" xfId="4708"/>
    <cellStyle name="쉼표 [0] 4 2 3 2 3 2 2" xfId="10276"/>
    <cellStyle name="쉼표 [0] 4 2 3 2 3 2 2 2" xfId="26980"/>
    <cellStyle name="쉼표 [0] 4 2 3 2 3 2 3" xfId="15844"/>
    <cellStyle name="쉼표 [0] 4 2 3 2 3 2 3 2" xfId="32548"/>
    <cellStyle name="쉼표 [0] 4 2 3 2 3 2 4" xfId="21412"/>
    <cellStyle name="쉼표 [0] 4 2 3 2 3 3" xfId="7492"/>
    <cellStyle name="쉼표 [0] 4 2 3 2 3 3 2" xfId="24196"/>
    <cellStyle name="쉼표 [0] 4 2 3 2 3 4" xfId="13060"/>
    <cellStyle name="쉼표 [0] 4 2 3 2 3 4 2" xfId="29764"/>
    <cellStyle name="쉼표 [0] 4 2 3 2 3 5" xfId="18628"/>
    <cellStyle name="쉼표 [0] 4 2 3 2 4" xfId="3316"/>
    <cellStyle name="쉼표 [0] 4 2 3 2 4 2" xfId="8884"/>
    <cellStyle name="쉼표 [0] 4 2 3 2 4 2 2" xfId="25588"/>
    <cellStyle name="쉼표 [0] 4 2 3 2 4 3" xfId="14452"/>
    <cellStyle name="쉼표 [0] 4 2 3 2 4 3 2" xfId="31156"/>
    <cellStyle name="쉼표 [0] 4 2 3 2 4 4" xfId="20020"/>
    <cellStyle name="쉼표 [0] 4 2 3 2 5" xfId="6100"/>
    <cellStyle name="쉼표 [0] 4 2 3 2 5 2" xfId="22804"/>
    <cellStyle name="쉼표 [0] 4 2 3 2 6" xfId="11668"/>
    <cellStyle name="쉼표 [0] 4 2 3 2 6 2" xfId="28372"/>
    <cellStyle name="쉼표 [0] 4 2 3 2 7" xfId="17236"/>
    <cellStyle name="쉼표 [0] 4 2 3 3" xfId="764"/>
    <cellStyle name="쉼표 [0] 4 2 3 3 2" xfId="1460"/>
    <cellStyle name="쉼표 [0] 4 2 3 3 2 2" xfId="2852"/>
    <cellStyle name="쉼표 [0] 4 2 3 3 2 2 2" xfId="5636"/>
    <cellStyle name="쉼표 [0] 4 2 3 3 2 2 2 2" xfId="11204"/>
    <cellStyle name="쉼표 [0] 4 2 3 3 2 2 2 2 2" xfId="27908"/>
    <cellStyle name="쉼표 [0] 4 2 3 3 2 2 2 3" xfId="16772"/>
    <cellStyle name="쉼표 [0] 4 2 3 3 2 2 2 3 2" xfId="33476"/>
    <cellStyle name="쉼표 [0] 4 2 3 3 2 2 2 4" xfId="22340"/>
    <cellStyle name="쉼표 [0] 4 2 3 3 2 2 3" xfId="8420"/>
    <cellStyle name="쉼표 [0] 4 2 3 3 2 2 3 2" xfId="25124"/>
    <cellStyle name="쉼표 [0] 4 2 3 3 2 2 4" xfId="13988"/>
    <cellStyle name="쉼표 [0] 4 2 3 3 2 2 4 2" xfId="30692"/>
    <cellStyle name="쉼표 [0] 4 2 3 3 2 2 5" xfId="19556"/>
    <cellStyle name="쉼표 [0] 4 2 3 3 2 3" xfId="4244"/>
    <cellStyle name="쉼표 [0] 4 2 3 3 2 3 2" xfId="9812"/>
    <cellStyle name="쉼표 [0] 4 2 3 3 2 3 2 2" xfId="26516"/>
    <cellStyle name="쉼표 [0] 4 2 3 3 2 3 3" xfId="15380"/>
    <cellStyle name="쉼표 [0] 4 2 3 3 2 3 3 2" xfId="32084"/>
    <cellStyle name="쉼표 [0] 4 2 3 3 2 3 4" xfId="20948"/>
    <cellStyle name="쉼표 [0] 4 2 3 3 2 4" xfId="7028"/>
    <cellStyle name="쉼표 [0] 4 2 3 3 2 4 2" xfId="23732"/>
    <cellStyle name="쉼표 [0] 4 2 3 3 2 5" xfId="12596"/>
    <cellStyle name="쉼표 [0] 4 2 3 3 2 5 2" xfId="29300"/>
    <cellStyle name="쉼표 [0] 4 2 3 3 2 6" xfId="18164"/>
    <cellStyle name="쉼표 [0] 4 2 3 3 3" xfId="2156"/>
    <cellStyle name="쉼표 [0] 4 2 3 3 3 2" xfId="4940"/>
    <cellStyle name="쉼표 [0] 4 2 3 3 3 2 2" xfId="10508"/>
    <cellStyle name="쉼표 [0] 4 2 3 3 3 2 2 2" xfId="27212"/>
    <cellStyle name="쉼표 [0] 4 2 3 3 3 2 3" xfId="16076"/>
    <cellStyle name="쉼표 [0] 4 2 3 3 3 2 3 2" xfId="32780"/>
    <cellStyle name="쉼표 [0] 4 2 3 3 3 2 4" xfId="21644"/>
    <cellStyle name="쉼표 [0] 4 2 3 3 3 3" xfId="7724"/>
    <cellStyle name="쉼표 [0] 4 2 3 3 3 3 2" xfId="24428"/>
    <cellStyle name="쉼표 [0] 4 2 3 3 3 4" xfId="13292"/>
    <cellStyle name="쉼표 [0] 4 2 3 3 3 4 2" xfId="29996"/>
    <cellStyle name="쉼표 [0] 4 2 3 3 3 5" xfId="18860"/>
    <cellStyle name="쉼표 [0] 4 2 3 3 4" xfId="3548"/>
    <cellStyle name="쉼표 [0] 4 2 3 3 4 2" xfId="9116"/>
    <cellStyle name="쉼표 [0] 4 2 3 3 4 2 2" xfId="25820"/>
    <cellStyle name="쉼표 [0] 4 2 3 3 4 3" xfId="14684"/>
    <cellStyle name="쉼표 [0] 4 2 3 3 4 3 2" xfId="31388"/>
    <cellStyle name="쉼표 [0] 4 2 3 3 4 4" xfId="20252"/>
    <cellStyle name="쉼표 [0] 4 2 3 3 5" xfId="6332"/>
    <cellStyle name="쉼표 [0] 4 2 3 3 5 2" xfId="23036"/>
    <cellStyle name="쉼표 [0] 4 2 3 3 6" xfId="11900"/>
    <cellStyle name="쉼표 [0] 4 2 3 3 6 2" xfId="28604"/>
    <cellStyle name="쉼표 [0] 4 2 3 3 7" xfId="17468"/>
    <cellStyle name="쉼표 [0] 4 2 3 4" xfId="996"/>
    <cellStyle name="쉼표 [0] 4 2 3 4 2" xfId="2388"/>
    <cellStyle name="쉼표 [0] 4 2 3 4 2 2" xfId="5172"/>
    <cellStyle name="쉼표 [0] 4 2 3 4 2 2 2" xfId="10740"/>
    <cellStyle name="쉼표 [0] 4 2 3 4 2 2 2 2" xfId="27444"/>
    <cellStyle name="쉼표 [0] 4 2 3 4 2 2 3" xfId="16308"/>
    <cellStyle name="쉼표 [0] 4 2 3 4 2 2 3 2" xfId="33012"/>
    <cellStyle name="쉼표 [0] 4 2 3 4 2 2 4" xfId="21876"/>
    <cellStyle name="쉼표 [0] 4 2 3 4 2 3" xfId="7956"/>
    <cellStyle name="쉼표 [0] 4 2 3 4 2 3 2" xfId="24660"/>
    <cellStyle name="쉼표 [0] 4 2 3 4 2 4" xfId="13524"/>
    <cellStyle name="쉼표 [0] 4 2 3 4 2 4 2" xfId="30228"/>
    <cellStyle name="쉼표 [0] 4 2 3 4 2 5" xfId="19092"/>
    <cellStyle name="쉼표 [0] 4 2 3 4 3" xfId="3780"/>
    <cellStyle name="쉼표 [0] 4 2 3 4 3 2" xfId="9348"/>
    <cellStyle name="쉼표 [0] 4 2 3 4 3 2 2" xfId="26052"/>
    <cellStyle name="쉼표 [0] 4 2 3 4 3 3" xfId="14916"/>
    <cellStyle name="쉼표 [0] 4 2 3 4 3 3 2" xfId="31620"/>
    <cellStyle name="쉼표 [0] 4 2 3 4 3 4" xfId="20484"/>
    <cellStyle name="쉼표 [0] 4 2 3 4 4" xfId="6564"/>
    <cellStyle name="쉼표 [0] 4 2 3 4 4 2" xfId="23268"/>
    <cellStyle name="쉼표 [0] 4 2 3 4 5" xfId="12132"/>
    <cellStyle name="쉼표 [0] 4 2 3 4 5 2" xfId="28836"/>
    <cellStyle name="쉼표 [0] 4 2 3 4 6" xfId="17700"/>
    <cellStyle name="쉼표 [0] 4 2 3 5" xfId="1692"/>
    <cellStyle name="쉼표 [0] 4 2 3 5 2" xfId="4476"/>
    <cellStyle name="쉼표 [0] 4 2 3 5 2 2" xfId="10044"/>
    <cellStyle name="쉼표 [0] 4 2 3 5 2 2 2" xfId="26748"/>
    <cellStyle name="쉼표 [0] 4 2 3 5 2 3" xfId="15612"/>
    <cellStyle name="쉼표 [0] 4 2 3 5 2 3 2" xfId="32316"/>
    <cellStyle name="쉼표 [0] 4 2 3 5 2 4" xfId="21180"/>
    <cellStyle name="쉼표 [0] 4 2 3 5 3" xfId="7260"/>
    <cellStyle name="쉼표 [0] 4 2 3 5 3 2" xfId="23964"/>
    <cellStyle name="쉼표 [0] 4 2 3 5 4" xfId="12828"/>
    <cellStyle name="쉼표 [0] 4 2 3 5 4 2" xfId="29532"/>
    <cellStyle name="쉼표 [0] 4 2 3 5 5" xfId="18396"/>
    <cellStyle name="쉼표 [0] 4 2 3 6" xfId="3084"/>
    <cellStyle name="쉼표 [0] 4 2 3 6 2" xfId="8652"/>
    <cellStyle name="쉼표 [0] 4 2 3 6 2 2" xfId="25356"/>
    <cellStyle name="쉼표 [0] 4 2 3 6 3" xfId="14220"/>
    <cellStyle name="쉼표 [0] 4 2 3 6 3 2" xfId="30924"/>
    <cellStyle name="쉼표 [0] 4 2 3 6 4" xfId="19788"/>
    <cellStyle name="쉼표 [0] 4 2 3 7" xfId="5868"/>
    <cellStyle name="쉼표 [0] 4 2 3 7 2" xfId="22572"/>
    <cellStyle name="쉼표 [0] 4 2 3 8" xfId="11436"/>
    <cellStyle name="쉼표 [0] 4 2 3 8 2" xfId="28140"/>
    <cellStyle name="쉼표 [0] 4 2 3 9" xfId="17004"/>
    <cellStyle name="쉼표 [0] 4 2 4" xfId="416"/>
    <cellStyle name="쉼표 [0] 4 2 4 2" xfId="1112"/>
    <cellStyle name="쉼표 [0] 4 2 4 2 2" xfId="2504"/>
    <cellStyle name="쉼표 [0] 4 2 4 2 2 2" xfId="5288"/>
    <cellStyle name="쉼표 [0] 4 2 4 2 2 2 2" xfId="10856"/>
    <cellStyle name="쉼표 [0] 4 2 4 2 2 2 2 2" xfId="27560"/>
    <cellStyle name="쉼표 [0] 4 2 4 2 2 2 3" xfId="16424"/>
    <cellStyle name="쉼표 [0] 4 2 4 2 2 2 3 2" xfId="33128"/>
    <cellStyle name="쉼표 [0] 4 2 4 2 2 2 4" xfId="21992"/>
    <cellStyle name="쉼표 [0] 4 2 4 2 2 3" xfId="8072"/>
    <cellStyle name="쉼표 [0] 4 2 4 2 2 3 2" xfId="24776"/>
    <cellStyle name="쉼표 [0] 4 2 4 2 2 4" xfId="13640"/>
    <cellStyle name="쉼표 [0] 4 2 4 2 2 4 2" xfId="30344"/>
    <cellStyle name="쉼표 [0] 4 2 4 2 2 5" xfId="19208"/>
    <cellStyle name="쉼표 [0] 4 2 4 2 3" xfId="3896"/>
    <cellStyle name="쉼표 [0] 4 2 4 2 3 2" xfId="9464"/>
    <cellStyle name="쉼표 [0] 4 2 4 2 3 2 2" xfId="26168"/>
    <cellStyle name="쉼표 [0] 4 2 4 2 3 3" xfId="15032"/>
    <cellStyle name="쉼표 [0] 4 2 4 2 3 3 2" xfId="31736"/>
    <cellStyle name="쉼표 [0] 4 2 4 2 3 4" xfId="20600"/>
    <cellStyle name="쉼표 [0] 4 2 4 2 4" xfId="6680"/>
    <cellStyle name="쉼표 [0] 4 2 4 2 4 2" xfId="23384"/>
    <cellStyle name="쉼표 [0] 4 2 4 2 5" xfId="12248"/>
    <cellStyle name="쉼표 [0] 4 2 4 2 5 2" xfId="28952"/>
    <cellStyle name="쉼표 [0] 4 2 4 2 6" xfId="17816"/>
    <cellStyle name="쉼표 [0] 4 2 4 3" xfId="1808"/>
    <cellStyle name="쉼표 [0] 4 2 4 3 2" xfId="4592"/>
    <cellStyle name="쉼표 [0] 4 2 4 3 2 2" xfId="10160"/>
    <cellStyle name="쉼표 [0] 4 2 4 3 2 2 2" xfId="26864"/>
    <cellStyle name="쉼표 [0] 4 2 4 3 2 3" xfId="15728"/>
    <cellStyle name="쉼표 [0] 4 2 4 3 2 3 2" xfId="32432"/>
    <cellStyle name="쉼표 [0] 4 2 4 3 2 4" xfId="21296"/>
    <cellStyle name="쉼표 [0] 4 2 4 3 3" xfId="7376"/>
    <cellStyle name="쉼표 [0] 4 2 4 3 3 2" xfId="24080"/>
    <cellStyle name="쉼표 [0] 4 2 4 3 4" xfId="12944"/>
    <cellStyle name="쉼표 [0] 4 2 4 3 4 2" xfId="29648"/>
    <cellStyle name="쉼표 [0] 4 2 4 3 5" xfId="18512"/>
    <cellStyle name="쉼표 [0] 4 2 4 4" xfId="3200"/>
    <cellStyle name="쉼표 [0] 4 2 4 4 2" xfId="8768"/>
    <cellStyle name="쉼표 [0] 4 2 4 4 2 2" xfId="25472"/>
    <cellStyle name="쉼표 [0] 4 2 4 4 3" xfId="14336"/>
    <cellStyle name="쉼표 [0] 4 2 4 4 3 2" xfId="31040"/>
    <cellStyle name="쉼표 [0] 4 2 4 4 4" xfId="19904"/>
    <cellStyle name="쉼표 [0] 4 2 4 5" xfId="5984"/>
    <cellStyle name="쉼표 [0] 4 2 4 5 2" xfId="22688"/>
    <cellStyle name="쉼표 [0] 4 2 4 6" xfId="11552"/>
    <cellStyle name="쉼표 [0] 4 2 4 6 2" xfId="28256"/>
    <cellStyle name="쉼표 [0] 4 2 4 7" xfId="17120"/>
    <cellStyle name="쉼표 [0] 4 2 5" xfId="648"/>
    <cellStyle name="쉼표 [0] 4 2 5 2" xfId="1344"/>
    <cellStyle name="쉼표 [0] 4 2 5 2 2" xfId="2736"/>
    <cellStyle name="쉼표 [0] 4 2 5 2 2 2" xfId="5520"/>
    <cellStyle name="쉼표 [0] 4 2 5 2 2 2 2" xfId="11088"/>
    <cellStyle name="쉼표 [0] 4 2 5 2 2 2 2 2" xfId="27792"/>
    <cellStyle name="쉼표 [0] 4 2 5 2 2 2 3" xfId="16656"/>
    <cellStyle name="쉼표 [0] 4 2 5 2 2 2 3 2" xfId="33360"/>
    <cellStyle name="쉼표 [0] 4 2 5 2 2 2 4" xfId="22224"/>
    <cellStyle name="쉼표 [0] 4 2 5 2 2 3" xfId="8304"/>
    <cellStyle name="쉼표 [0] 4 2 5 2 2 3 2" xfId="25008"/>
    <cellStyle name="쉼표 [0] 4 2 5 2 2 4" xfId="13872"/>
    <cellStyle name="쉼표 [0] 4 2 5 2 2 4 2" xfId="30576"/>
    <cellStyle name="쉼표 [0] 4 2 5 2 2 5" xfId="19440"/>
    <cellStyle name="쉼표 [0] 4 2 5 2 3" xfId="4128"/>
    <cellStyle name="쉼표 [0] 4 2 5 2 3 2" xfId="9696"/>
    <cellStyle name="쉼표 [0] 4 2 5 2 3 2 2" xfId="26400"/>
    <cellStyle name="쉼표 [0] 4 2 5 2 3 3" xfId="15264"/>
    <cellStyle name="쉼표 [0] 4 2 5 2 3 3 2" xfId="31968"/>
    <cellStyle name="쉼표 [0] 4 2 5 2 3 4" xfId="20832"/>
    <cellStyle name="쉼표 [0] 4 2 5 2 4" xfId="6912"/>
    <cellStyle name="쉼표 [0] 4 2 5 2 4 2" xfId="23616"/>
    <cellStyle name="쉼표 [0] 4 2 5 2 5" xfId="12480"/>
    <cellStyle name="쉼표 [0] 4 2 5 2 5 2" xfId="29184"/>
    <cellStyle name="쉼표 [0] 4 2 5 2 6" xfId="18048"/>
    <cellStyle name="쉼표 [0] 4 2 5 3" xfId="2040"/>
    <cellStyle name="쉼표 [0] 4 2 5 3 2" xfId="4824"/>
    <cellStyle name="쉼표 [0] 4 2 5 3 2 2" xfId="10392"/>
    <cellStyle name="쉼표 [0] 4 2 5 3 2 2 2" xfId="27096"/>
    <cellStyle name="쉼표 [0] 4 2 5 3 2 3" xfId="15960"/>
    <cellStyle name="쉼표 [0] 4 2 5 3 2 3 2" xfId="32664"/>
    <cellStyle name="쉼표 [0] 4 2 5 3 2 4" xfId="21528"/>
    <cellStyle name="쉼표 [0] 4 2 5 3 3" xfId="7608"/>
    <cellStyle name="쉼표 [0] 4 2 5 3 3 2" xfId="24312"/>
    <cellStyle name="쉼표 [0] 4 2 5 3 4" xfId="13176"/>
    <cellStyle name="쉼표 [0] 4 2 5 3 4 2" xfId="29880"/>
    <cellStyle name="쉼표 [0] 4 2 5 3 5" xfId="18744"/>
    <cellStyle name="쉼표 [0] 4 2 5 4" xfId="3432"/>
    <cellStyle name="쉼표 [0] 4 2 5 4 2" xfId="9000"/>
    <cellStyle name="쉼표 [0] 4 2 5 4 2 2" xfId="25704"/>
    <cellStyle name="쉼표 [0] 4 2 5 4 3" xfId="14568"/>
    <cellStyle name="쉼표 [0] 4 2 5 4 3 2" xfId="31272"/>
    <cellStyle name="쉼표 [0] 4 2 5 4 4" xfId="20136"/>
    <cellStyle name="쉼표 [0] 4 2 5 5" xfId="6216"/>
    <cellStyle name="쉼표 [0] 4 2 5 5 2" xfId="22920"/>
    <cellStyle name="쉼표 [0] 4 2 5 6" xfId="11784"/>
    <cellStyle name="쉼표 [0] 4 2 5 6 2" xfId="28488"/>
    <cellStyle name="쉼표 [0] 4 2 5 7" xfId="17352"/>
    <cellStyle name="쉼표 [0] 4 2 6" xfId="880"/>
    <cellStyle name="쉼표 [0] 4 2 6 2" xfId="2272"/>
    <cellStyle name="쉼표 [0] 4 2 6 2 2" xfId="5056"/>
    <cellStyle name="쉼표 [0] 4 2 6 2 2 2" xfId="10624"/>
    <cellStyle name="쉼표 [0] 4 2 6 2 2 2 2" xfId="27328"/>
    <cellStyle name="쉼표 [0] 4 2 6 2 2 3" xfId="16192"/>
    <cellStyle name="쉼표 [0] 4 2 6 2 2 3 2" xfId="32896"/>
    <cellStyle name="쉼표 [0] 4 2 6 2 2 4" xfId="21760"/>
    <cellStyle name="쉼표 [0] 4 2 6 2 3" xfId="7840"/>
    <cellStyle name="쉼표 [0] 4 2 6 2 3 2" xfId="24544"/>
    <cellStyle name="쉼표 [0] 4 2 6 2 4" xfId="13408"/>
    <cellStyle name="쉼표 [0] 4 2 6 2 4 2" xfId="30112"/>
    <cellStyle name="쉼표 [0] 4 2 6 2 5" xfId="18976"/>
    <cellStyle name="쉼표 [0] 4 2 6 3" xfId="3664"/>
    <cellStyle name="쉼표 [0] 4 2 6 3 2" xfId="9232"/>
    <cellStyle name="쉼표 [0] 4 2 6 3 2 2" xfId="25936"/>
    <cellStyle name="쉼표 [0] 4 2 6 3 3" xfId="14800"/>
    <cellStyle name="쉼표 [0] 4 2 6 3 3 2" xfId="31504"/>
    <cellStyle name="쉼표 [0] 4 2 6 3 4" xfId="20368"/>
    <cellStyle name="쉼표 [0] 4 2 6 4" xfId="6448"/>
    <cellStyle name="쉼표 [0] 4 2 6 4 2" xfId="23152"/>
    <cellStyle name="쉼표 [0] 4 2 6 5" xfId="12016"/>
    <cellStyle name="쉼표 [0] 4 2 6 5 2" xfId="28720"/>
    <cellStyle name="쉼표 [0] 4 2 6 6" xfId="17584"/>
    <cellStyle name="쉼표 [0] 4 2 7" xfId="1576"/>
    <cellStyle name="쉼표 [0] 4 2 7 2" xfId="4360"/>
    <cellStyle name="쉼표 [0] 4 2 7 2 2" xfId="9928"/>
    <cellStyle name="쉼표 [0] 4 2 7 2 2 2" xfId="26632"/>
    <cellStyle name="쉼표 [0] 4 2 7 2 3" xfId="15496"/>
    <cellStyle name="쉼표 [0] 4 2 7 2 3 2" xfId="32200"/>
    <cellStyle name="쉼표 [0] 4 2 7 2 4" xfId="21064"/>
    <cellStyle name="쉼표 [0] 4 2 7 3" xfId="7144"/>
    <cellStyle name="쉼표 [0] 4 2 7 3 2" xfId="23848"/>
    <cellStyle name="쉼표 [0] 4 2 7 4" xfId="12712"/>
    <cellStyle name="쉼표 [0] 4 2 7 4 2" xfId="29416"/>
    <cellStyle name="쉼표 [0] 4 2 7 5" xfId="18280"/>
    <cellStyle name="쉼표 [0] 4 2 8" xfId="2968"/>
    <cellStyle name="쉼표 [0] 4 2 8 2" xfId="8536"/>
    <cellStyle name="쉼표 [0] 4 2 8 2 2" xfId="25240"/>
    <cellStyle name="쉼표 [0] 4 2 8 3" xfId="14104"/>
    <cellStyle name="쉼표 [0] 4 2 8 3 2" xfId="30808"/>
    <cellStyle name="쉼표 [0] 4 2 8 4" xfId="19672"/>
    <cellStyle name="쉼표 [0] 4 2 9" xfId="5752"/>
    <cellStyle name="쉼표 [0] 4 2 9 2" xfId="22456"/>
    <cellStyle name="쉼표 [0] 4 3" xfId="213"/>
    <cellStyle name="쉼표 [0] 4 3 10" xfId="16917"/>
    <cellStyle name="쉼표 [0] 4 3 2" xfId="329"/>
    <cellStyle name="쉼표 [0] 4 3 2 2" xfId="561"/>
    <cellStyle name="쉼표 [0] 4 3 2 2 2" xfId="1257"/>
    <cellStyle name="쉼표 [0] 4 3 2 2 2 2" xfId="2649"/>
    <cellStyle name="쉼표 [0] 4 3 2 2 2 2 2" xfId="5433"/>
    <cellStyle name="쉼표 [0] 4 3 2 2 2 2 2 2" xfId="11001"/>
    <cellStyle name="쉼표 [0] 4 3 2 2 2 2 2 2 2" xfId="27705"/>
    <cellStyle name="쉼표 [0] 4 3 2 2 2 2 2 3" xfId="16569"/>
    <cellStyle name="쉼표 [0] 4 3 2 2 2 2 2 3 2" xfId="33273"/>
    <cellStyle name="쉼표 [0] 4 3 2 2 2 2 2 4" xfId="22137"/>
    <cellStyle name="쉼표 [0] 4 3 2 2 2 2 3" xfId="8217"/>
    <cellStyle name="쉼표 [0] 4 3 2 2 2 2 3 2" xfId="24921"/>
    <cellStyle name="쉼표 [0] 4 3 2 2 2 2 4" xfId="13785"/>
    <cellStyle name="쉼표 [0] 4 3 2 2 2 2 4 2" xfId="30489"/>
    <cellStyle name="쉼표 [0] 4 3 2 2 2 2 5" xfId="19353"/>
    <cellStyle name="쉼표 [0] 4 3 2 2 2 3" xfId="4041"/>
    <cellStyle name="쉼표 [0] 4 3 2 2 2 3 2" xfId="9609"/>
    <cellStyle name="쉼표 [0] 4 3 2 2 2 3 2 2" xfId="26313"/>
    <cellStyle name="쉼표 [0] 4 3 2 2 2 3 3" xfId="15177"/>
    <cellStyle name="쉼표 [0] 4 3 2 2 2 3 3 2" xfId="31881"/>
    <cellStyle name="쉼표 [0] 4 3 2 2 2 3 4" xfId="20745"/>
    <cellStyle name="쉼표 [0] 4 3 2 2 2 4" xfId="6825"/>
    <cellStyle name="쉼표 [0] 4 3 2 2 2 4 2" xfId="23529"/>
    <cellStyle name="쉼표 [0] 4 3 2 2 2 5" xfId="12393"/>
    <cellStyle name="쉼표 [0] 4 3 2 2 2 5 2" xfId="29097"/>
    <cellStyle name="쉼표 [0] 4 3 2 2 2 6" xfId="17961"/>
    <cellStyle name="쉼표 [0] 4 3 2 2 3" xfId="1953"/>
    <cellStyle name="쉼표 [0] 4 3 2 2 3 2" xfId="4737"/>
    <cellStyle name="쉼표 [0] 4 3 2 2 3 2 2" xfId="10305"/>
    <cellStyle name="쉼표 [0] 4 3 2 2 3 2 2 2" xfId="27009"/>
    <cellStyle name="쉼표 [0] 4 3 2 2 3 2 3" xfId="15873"/>
    <cellStyle name="쉼표 [0] 4 3 2 2 3 2 3 2" xfId="32577"/>
    <cellStyle name="쉼표 [0] 4 3 2 2 3 2 4" xfId="21441"/>
    <cellStyle name="쉼표 [0] 4 3 2 2 3 3" xfId="7521"/>
    <cellStyle name="쉼표 [0] 4 3 2 2 3 3 2" xfId="24225"/>
    <cellStyle name="쉼표 [0] 4 3 2 2 3 4" xfId="13089"/>
    <cellStyle name="쉼표 [0] 4 3 2 2 3 4 2" xfId="29793"/>
    <cellStyle name="쉼표 [0] 4 3 2 2 3 5" xfId="18657"/>
    <cellStyle name="쉼표 [0] 4 3 2 2 4" xfId="3345"/>
    <cellStyle name="쉼표 [0] 4 3 2 2 4 2" xfId="8913"/>
    <cellStyle name="쉼표 [0] 4 3 2 2 4 2 2" xfId="25617"/>
    <cellStyle name="쉼표 [0] 4 3 2 2 4 3" xfId="14481"/>
    <cellStyle name="쉼표 [0] 4 3 2 2 4 3 2" xfId="31185"/>
    <cellStyle name="쉼표 [0] 4 3 2 2 4 4" xfId="20049"/>
    <cellStyle name="쉼표 [0] 4 3 2 2 5" xfId="6129"/>
    <cellStyle name="쉼표 [0] 4 3 2 2 5 2" xfId="22833"/>
    <cellStyle name="쉼표 [0] 4 3 2 2 6" xfId="11697"/>
    <cellStyle name="쉼표 [0] 4 3 2 2 6 2" xfId="28401"/>
    <cellStyle name="쉼표 [0] 4 3 2 2 7" xfId="17265"/>
    <cellStyle name="쉼표 [0] 4 3 2 3" xfId="793"/>
    <cellStyle name="쉼표 [0] 4 3 2 3 2" xfId="1489"/>
    <cellStyle name="쉼표 [0] 4 3 2 3 2 2" xfId="2881"/>
    <cellStyle name="쉼표 [0] 4 3 2 3 2 2 2" xfId="5665"/>
    <cellStyle name="쉼표 [0] 4 3 2 3 2 2 2 2" xfId="11233"/>
    <cellStyle name="쉼표 [0] 4 3 2 3 2 2 2 2 2" xfId="27937"/>
    <cellStyle name="쉼표 [0] 4 3 2 3 2 2 2 3" xfId="16801"/>
    <cellStyle name="쉼표 [0] 4 3 2 3 2 2 2 3 2" xfId="33505"/>
    <cellStyle name="쉼표 [0] 4 3 2 3 2 2 2 4" xfId="22369"/>
    <cellStyle name="쉼표 [0] 4 3 2 3 2 2 3" xfId="8449"/>
    <cellStyle name="쉼표 [0] 4 3 2 3 2 2 3 2" xfId="25153"/>
    <cellStyle name="쉼표 [0] 4 3 2 3 2 2 4" xfId="14017"/>
    <cellStyle name="쉼표 [0] 4 3 2 3 2 2 4 2" xfId="30721"/>
    <cellStyle name="쉼표 [0] 4 3 2 3 2 2 5" xfId="19585"/>
    <cellStyle name="쉼표 [0] 4 3 2 3 2 3" xfId="4273"/>
    <cellStyle name="쉼표 [0] 4 3 2 3 2 3 2" xfId="9841"/>
    <cellStyle name="쉼표 [0] 4 3 2 3 2 3 2 2" xfId="26545"/>
    <cellStyle name="쉼표 [0] 4 3 2 3 2 3 3" xfId="15409"/>
    <cellStyle name="쉼표 [0] 4 3 2 3 2 3 3 2" xfId="32113"/>
    <cellStyle name="쉼표 [0] 4 3 2 3 2 3 4" xfId="20977"/>
    <cellStyle name="쉼표 [0] 4 3 2 3 2 4" xfId="7057"/>
    <cellStyle name="쉼표 [0] 4 3 2 3 2 4 2" xfId="23761"/>
    <cellStyle name="쉼표 [0] 4 3 2 3 2 5" xfId="12625"/>
    <cellStyle name="쉼표 [0] 4 3 2 3 2 5 2" xfId="29329"/>
    <cellStyle name="쉼표 [0] 4 3 2 3 2 6" xfId="18193"/>
    <cellStyle name="쉼표 [0] 4 3 2 3 3" xfId="2185"/>
    <cellStyle name="쉼표 [0] 4 3 2 3 3 2" xfId="4969"/>
    <cellStyle name="쉼표 [0] 4 3 2 3 3 2 2" xfId="10537"/>
    <cellStyle name="쉼표 [0] 4 3 2 3 3 2 2 2" xfId="27241"/>
    <cellStyle name="쉼표 [0] 4 3 2 3 3 2 3" xfId="16105"/>
    <cellStyle name="쉼표 [0] 4 3 2 3 3 2 3 2" xfId="32809"/>
    <cellStyle name="쉼표 [0] 4 3 2 3 3 2 4" xfId="21673"/>
    <cellStyle name="쉼표 [0] 4 3 2 3 3 3" xfId="7753"/>
    <cellStyle name="쉼표 [0] 4 3 2 3 3 3 2" xfId="24457"/>
    <cellStyle name="쉼표 [0] 4 3 2 3 3 4" xfId="13321"/>
    <cellStyle name="쉼표 [0] 4 3 2 3 3 4 2" xfId="30025"/>
    <cellStyle name="쉼표 [0] 4 3 2 3 3 5" xfId="18889"/>
    <cellStyle name="쉼표 [0] 4 3 2 3 4" xfId="3577"/>
    <cellStyle name="쉼표 [0] 4 3 2 3 4 2" xfId="9145"/>
    <cellStyle name="쉼표 [0] 4 3 2 3 4 2 2" xfId="25849"/>
    <cellStyle name="쉼표 [0] 4 3 2 3 4 3" xfId="14713"/>
    <cellStyle name="쉼표 [0] 4 3 2 3 4 3 2" xfId="31417"/>
    <cellStyle name="쉼표 [0] 4 3 2 3 4 4" xfId="20281"/>
    <cellStyle name="쉼표 [0] 4 3 2 3 5" xfId="6361"/>
    <cellStyle name="쉼표 [0] 4 3 2 3 5 2" xfId="23065"/>
    <cellStyle name="쉼표 [0] 4 3 2 3 6" xfId="11929"/>
    <cellStyle name="쉼표 [0] 4 3 2 3 6 2" xfId="28633"/>
    <cellStyle name="쉼표 [0] 4 3 2 3 7" xfId="17497"/>
    <cellStyle name="쉼표 [0] 4 3 2 4" xfId="1025"/>
    <cellStyle name="쉼표 [0] 4 3 2 4 2" xfId="2417"/>
    <cellStyle name="쉼표 [0] 4 3 2 4 2 2" xfId="5201"/>
    <cellStyle name="쉼표 [0] 4 3 2 4 2 2 2" xfId="10769"/>
    <cellStyle name="쉼표 [0] 4 3 2 4 2 2 2 2" xfId="27473"/>
    <cellStyle name="쉼표 [0] 4 3 2 4 2 2 3" xfId="16337"/>
    <cellStyle name="쉼표 [0] 4 3 2 4 2 2 3 2" xfId="33041"/>
    <cellStyle name="쉼표 [0] 4 3 2 4 2 2 4" xfId="21905"/>
    <cellStyle name="쉼표 [0] 4 3 2 4 2 3" xfId="7985"/>
    <cellStyle name="쉼표 [0] 4 3 2 4 2 3 2" xfId="24689"/>
    <cellStyle name="쉼표 [0] 4 3 2 4 2 4" xfId="13553"/>
    <cellStyle name="쉼표 [0] 4 3 2 4 2 4 2" xfId="30257"/>
    <cellStyle name="쉼표 [0] 4 3 2 4 2 5" xfId="19121"/>
    <cellStyle name="쉼표 [0] 4 3 2 4 3" xfId="3809"/>
    <cellStyle name="쉼표 [0] 4 3 2 4 3 2" xfId="9377"/>
    <cellStyle name="쉼표 [0] 4 3 2 4 3 2 2" xfId="26081"/>
    <cellStyle name="쉼표 [0] 4 3 2 4 3 3" xfId="14945"/>
    <cellStyle name="쉼표 [0] 4 3 2 4 3 3 2" xfId="31649"/>
    <cellStyle name="쉼표 [0] 4 3 2 4 3 4" xfId="20513"/>
    <cellStyle name="쉼표 [0] 4 3 2 4 4" xfId="6593"/>
    <cellStyle name="쉼표 [0] 4 3 2 4 4 2" xfId="23297"/>
    <cellStyle name="쉼표 [0] 4 3 2 4 5" xfId="12161"/>
    <cellStyle name="쉼표 [0] 4 3 2 4 5 2" xfId="28865"/>
    <cellStyle name="쉼표 [0] 4 3 2 4 6" xfId="17729"/>
    <cellStyle name="쉼표 [0] 4 3 2 5" xfId="1721"/>
    <cellStyle name="쉼표 [0] 4 3 2 5 2" xfId="4505"/>
    <cellStyle name="쉼표 [0] 4 3 2 5 2 2" xfId="10073"/>
    <cellStyle name="쉼표 [0] 4 3 2 5 2 2 2" xfId="26777"/>
    <cellStyle name="쉼표 [0] 4 3 2 5 2 3" xfId="15641"/>
    <cellStyle name="쉼표 [0] 4 3 2 5 2 3 2" xfId="32345"/>
    <cellStyle name="쉼표 [0] 4 3 2 5 2 4" xfId="21209"/>
    <cellStyle name="쉼표 [0] 4 3 2 5 3" xfId="7289"/>
    <cellStyle name="쉼표 [0] 4 3 2 5 3 2" xfId="23993"/>
    <cellStyle name="쉼표 [0] 4 3 2 5 4" xfId="12857"/>
    <cellStyle name="쉼표 [0] 4 3 2 5 4 2" xfId="29561"/>
    <cellStyle name="쉼표 [0] 4 3 2 5 5" xfId="18425"/>
    <cellStyle name="쉼표 [0] 4 3 2 6" xfId="3113"/>
    <cellStyle name="쉼표 [0] 4 3 2 6 2" xfId="8681"/>
    <cellStyle name="쉼표 [0] 4 3 2 6 2 2" xfId="25385"/>
    <cellStyle name="쉼표 [0] 4 3 2 6 3" xfId="14249"/>
    <cellStyle name="쉼표 [0] 4 3 2 6 3 2" xfId="30953"/>
    <cellStyle name="쉼표 [0] 4 3 2 6 4" xfId="19817"/>
    <cellStyle name="쉼표 [0] 4 3 2 7" xfId="5897"/>
    <cellStyle name="쉼표 [0] 4 3 2 7 2" xfId="22601"/>
    <cellStyle name="쉼표 [0] 4 3 2 8" xfId="11465"/>
    <cellStyle name="쉼표 [0] 4 3 2 8 2" xfId="28169"/>
    <cellStyle name="쉼표 [0] 4 3 2 9" xfId="17033"/>
    <cellStyle name="쉼표 [0] 4 3 3" xfId="445"/>
    <cellStyle name="쉼표 [0] 4 3 3 2" xfId="1141"/>
    <cellStyle name="쉼표 [0] 4 3 3 2 2" xfId="2533"/>
    <cellStyle name="쉼표 [0] 4 3 3 2 2 2" xfId="5317"/>
    <cellStyle name="쉼표 [0] 4 3 3 2 2 2 2" xfId="10885"/>
    <cellStyle name="쉼표 [0] 4 3 3 2 2 2 2 2" xfId="27589"/>
    <cellStyle name="쉼표 [0] 4 3 3 2 2 2 3" xfId="16453"/>
    <cellStyle name="쉼표 [0] 4 3 3 2 2 2 3 2" xfId="33157"/>
    <cellStyle name="쉼표 [0] 4 3 3 2 2 2 4" xfId="22021"/>
    <cellStyle name="쉼표 [0] 4 3 3 2 2 3" xfId="8101"/>
    <cellStyle name="쉼표 [0] 4 3 3 2 2 3 2" xfId="24805"/>
    <cellStyle name="쉼표 [0] 4 3 3 2 2 4" xfId="13669"/>
    <cellStyle name="쉼표 [0] 4 3 3 2 2 4 2" xfId="30373"/>
    <cellStyle name="쉼표 [0] 4 3 3 2 2 5" xfId="19237"/>
    <cellStyle name="쉼표 [0] 4 3 3 2 3" xfId="3925"/>
    <cellStyle name="쉼표 [0] 4 3 3 2 3 2" xfId="9493"/>
    <cellStyle name="쉼표 [0] 4 3 3 2 3 2 2" xfId="26197"/>
    <cellStyle name="쉼표 [0] 4 3 3 2 3 3" xfId="15061"/>
    <cellStyle name="쉼표 [0] 4 3 3 2 3 3 2" xfId="31765"/>
    <cellStyle name="쉼표 [0] 4 3 3 2 3 4" xfId="20629"/>
    <cellStyle name="쉼표 [0] 4 3 3 2 4" xfId="6709"/>
    <cellStyle name="쉼표 [0] 4 3 3 2 4 2" xfId="23413"/>
    <cellStyle name="쉼표 [0] 4 3 3 2 5" xfId="12277"/>
    <cellStyle name="쉼표 [0] 4 3 3 2 5 2" xfId="28981"/>
    <cellStyle name="쉼표 [0] 4 3 3 2 6" xfId="17845"/>
    <cellStyle name="쉼표 [0] 4 3 3 3" xfId="1837"/>
    <cellStyle name="쉼표 [0] 4 3 3 3 2" xfId="4621"/>
    <cellStyle name="쉼표 [0] 4 3 3 3 2 2" xfId="10189"/>
    <cellStyle name="쉼표 [0] 4 3 3 3 2 2 2" xfId="26893"/>
    <cellStyle name="쉼표 [0] 4 3 3 3 2 3" xfId="15757"/>
    <cellStyle name="쉼표 [0] 4 3 3 3 2 3 2" xfId="32461"/>
    <cellStyle name="쉼표 [0] 4 3 3 3 2 4" xfId="21325"/>
    <cellStyle name="쉼표 [0] 4 3 3 3 3" xfId="7405"/>
    <cellStyle name="쉼표 [0] 4 3 3 3 3 2" xfId="24109"/>
    <cellStyle name="쉼표 [0] 4 3 3 3 4" xfId="12973"/>
    <cellStyle name="쉼표 [0] 4 3 3 3 4 2" xfId="29677"/>
    <cellStyle name="쉼표 [0] 4 3 3 3 5" xfId="18541"/>
    <cellStyle name="쉼표 [0] 4 3 3 4" xfId="3229"/>
    <cellStyle name="쉼표 [0] 4 3 3 4 2" xfId="8797"/>
    <cellStyle name="쉼표 [0] 4 3 3 4 2 2" xfId="25501"/>
    <cellStyle name="쉼표 [0] 4 3 3 4 3" xfId="14365"/>
    <cellStyle name="쉼표 [0] 4 3 3 4 3 2" xfId="31069"/>
    <cellStyle name="쉼표 [0] 4 3 3 4 4" xfId="19933"/>
    <cellStyle name="쉼표 [0] 4 3 3 5" xfId="6013"/>
    <cellStyle name="쉼표 [0] 4 3 3 5 2" xfId="22717"/>
    <cellStyle name="쉼표 [0] 4 3 3 6" xfId="11581"/>
    <cellStyle name="쉼표 [0] 4 3 3 6 2" xfId="28285"/>
    <cellStyle name="쉼표 [0] 4 3 3 7" xfId="17149"/>
    <cellStyle name="쉼표 [0] 4 3 4" xfId="677"/>
    <cellStyle name="쉼표 [0] 4 3 4 2" xfId="1373"/>
    <cellStyle name="쉼표 [0] 4 3 4 2 2" xfId="2765"/>
    <cellStyle name="쉼표 [0] 4 3 4 2 2 2" xfId="5549"/>
    <cellStyle name="쉼표 [0] 4 3 4 2 2 2 2" xfId="11117"/>
    <cellStyle name="쉼표 [0] 4 3 4 2 2 2 2 2" xfId="27821"/>
    <cellStyle name="쉼표 [0] 4 3 4 2 2 2 3" xfId="16685"/>
    <cellStyle name="쉼표 [0] 4 3 4 2 2 2 3 2" xfId="33389"/>
    <cellStyle name="쉼표 [0] 4 3 4 2 2 2 4" xfId="22253"/>
    <cellStyle name="쉼표 [0] 4 3 4 2 2 3" xfId="8333"/>
    <cellStyle name="쉼표 [0] 4 3 4 2 2 3 2" xfId="25037"/>
    <cellStyle name="쉼표 [0] 4 3 4 2 2 4" xfId="13901"/>
    <cellStyle name="쉼표 [0] 4 3 4 2 2 4 2" xfId="30605"/>
    <cellStyle name="쉼표 [0] 4 3 4 2 2 5" xfId="19469"/>
    <cellStyle name="쉼표 [0] 4 3 4 2 3" xfId="4157"/>
    <cellStyle name="쉼표 [0] 4 3 4 2 3 2" xfId="9725"/>
    <cellStyle name="쉼표 [0] 4 3 4 2 3 2 2" xfId="26429"/>
    <cellStyle name="쉼표 [0] 4 3 4 2 3 3" xfId="15293"/>
    <cellStyle name="쉼표 [0] 4 3 4 2 3 3 2" xfId="31997"/>
    <cellStyle name="쉼표 [0] 4 3 4 2 3 4" xfId="20861"/>
    <cellStyle name="쉼표 [0] 4 3 4 2 4" xfId="6941"/>
    <cellStyle name="쉼표 [0] 4 3 4 2 4 2" xfId="23645"/>
    <cellStyle name="쉼표 [0] 4 3 4 2 5" xfId="12509"/>
    <cellStyle name="쉼표 [0] 4 3 4 2 5 2" xfId="29213"/>
    <cellStyle name="쉼표 [0] 4 3 4 2 6" xfId="18077"/>
    <cellStyle name="쉼표 [0] 4 3 4 3" xfId="2069"/>
    <cellStyle name="쉼표 [0] 4 3 4 3 2" xfId="4853"/>
    <cellStyle name="쉼표 [0] 4 3 4 3 2 2" xfId="10421"/>
    <cellStyle name="쉼표 [0] 4 3 4 3 2 2 2" xfId="27125"/>
    <cellStyle name="쉼표 [0] 4 3 4 3 2 3" xfId="15989"/>
    <cellStyle name="쉼표 [0] 4 3 4 3 2 3 2" xfId="32693"/>
    <cellStyle name="쉼표 [0] 4 3 4 3 2 4" xfId="21557"/>
    <cellStyle name="쉼표 [0] 4 3 4 3 3" xfId="7637"/>
    <cellStyle name="쉼표 [0] 4 3 4 3 3 2" xfId="24341"/>
    <cellStyle name="쉼표 [0] 4 3 4 3 4" xfId="13205"/>
    <cellStyle name="쉼표 [0] 4 3 4 3 4 2" xfId="29909"/>
    <cellStyle name="쉼표 [0] 4 3 4 3 5" xfId="18773"/>
    <cellStyle name="쉼표 [0] 4 3 4 4" xfId="3461"/>
    <cellStyle name="쉼표 [0] 4 3 4 4 2" xfId="9029"/>
    <cellStyle name="쉼표 [0] 4 3 4 4 2 2" xfId="25733"/>
    <cellStyle name="쉼표 [0] 4 3 4 4 3" xfId="14597"/>
    <cellStyle name="쉼표 [0] 4 3 4 4 3 2" xfId="31301"/>
    <cellStyle name="쉼표 [0] 4 3 4 4 4" xfId="20165"/>
    <cellStyle name="쉼표 [0] 4 3 4 5" xfId="6245"/>
    <cellStyle name="쉼표 [0] 4 3 4 5 2" xfId="22949"/>
    <cellStyle name="쉼표 [0] 4 3 4 6" xfId="11813"/>
    <cellStyle name="쉼표 [0] 4 3 4 6 2" xfId="28517"/>
    <cellStyle name="쉼표 [0] 4 3 4 7" xfId="17381"/>
    <cellStyle name="쉼표 [0] 4 3 5" xfId="909"/>
    <cellStyle name="쉼표 [0] 4 3 5 2" xfId="2301"/>
    <cellStyle name="쉼표 [0] 4 3 5 2 2" xfId="5085"/>
    <cellStyle name="쉼표 [0] 4 3 5 2 2 2" xfId="10653"/>
    <cellStyle name="쉼표 [0] 4 3 5 2 2 2 2" xfId="27357"/>
    <cellStyle name="쉼표 [0] 4 3 5 2 2 3" xfId="16221"/>
    <cellStyle name="쉼표 [0] 4 3 5 2 2 3 2" xfId="32925"/>
    <cellStyle name="쉼표 [0] 4 3 5 2 2 4" xfId="21789"/>
    <cellStyle name="쉼표 [0] 4 3 5 2 3" xfId="7869"/>
    <cellStyle name="쉼표 [0] 4 3 5 2 3 2" xfId="24573"/>
    <cellStyle name="쉼표 [0] 4 3 5 2 4" xfId="13437"/>
    <cellStyle name="쉼표 [0] 4 3 5 2 4 2" xfId="30141"/>
    <cellStyle name="쉼표 [0] 4 3 5 2 5" xfId="19005"/>
    <cellStyle name="쉼표 [0] 4 3 5 3" xfId="3693"/>
    <cellStyle name="쉼표 [0] 4 3 5 3 2" xfId="9261"/>
    <cellStyle name="쉼표 [0] 4 3 5 3 2 2" xfId="25965"/>
    <cellStyle name="쉼표 [0] 4 3 5 3 3" xfId="14829"/>
    <cellStyle name="쉼표 [0] 4 3 5 3 3 2" xfId="31533"/>
    <cellStyle name="쉼표 [0] 4 3 5 3 4" xfId="20397"/>
    <cellStyle name="쉼표 [0] 4 3 5 4" xfId="6477"/>
    <cellStyle name="쉼표 [0] 4 3 5 4 2" xfId="23181"/>
    <cellStyle name="쉼표 [0] 4 3 5 5" xfId="12045"/>
    <cellStyle name="쉼표 [0] 4 3 5 5 2" xfId="28749"/>
    <cellStyle name="쉼표 [0] 4 3 5 6" xfId="17613"/>
    <cellStyle name="쉼표 [0] 4 3 6" xfId="1605"/>
    <cellStyle name="쉼표 [0] 4 3 6 2" xfId="4389"/>
    <cellStyle name="쉼표 [0] 4 3 6 2 2" xfId="9957"/>
    <cellStyle name="쉼표 [0] 4 3 6 2 2 2" xfId="26661"/>
    <cellStyle name="쉼표 [0] 4 3 6 2 3" xfId="15525"/>
    <cellStyle name="쉼표 [0] 4 3 6 2 3 2" xfId="32229"/>
    <cellStyle name="쉼표 [0] 4 3 6 2 4" xfId="21093"/>
    <cellStyle name="쉼표 [0] 4 3 6 3" xfId="7173"/>
    <cellStyle name="쉼표 [0] 4 3 6 3 2" xfId="23877"/>
    <cellStyle name="쉼표 [0] 4 3 6 4" xfId="12741"/>
    <cellStyle name="쉼표 [0] 4 3 6 4 2" xfId="29445"/>
    <cellStyle name="쉼표 [0] 4 3 6 5" xfId="18309"/>
    <cellStyle name="쉼표 [0] 4 3 7" xfId="2997"/>
    <cellStyle name="쉼표 [0] 4 3 7 2" xfId="8565"/>
    <cellStyle name="쉼표 [0] 4 3 7 2 2" xfId="25269"/>
    <cellStyle name="쉼표 [0] 4 3 7 3" xfId="14133"/>
    <cellStyle name="쉼표 [0] 4 3 7 3 2" xfId="30837"/>
    <cellStyle name="쉼표 [0] 4 3 7 4" xfId="19701"/>
    <cellStyle name="쉼표 [0] 4 3 8" xfId="5781"/>
    <cellStyle name="쉼표 [0] 4 3 8 2" xfId="22485"/>
    <cellStyle name="쉼표 [0] 4 3 9" xfId="11349"/>
    <cellStyle name="쉼표 [0] 4 3 9 2" xfId="28053"/>
    <cellStyle name="쉼표 [0] 4 4" xfId="271"/>
    <cellStyle name="쉼표 [0] 4 4 2" xfId="503"/>
    <cellStyle name="쉼표 [0] 4 4 2 2" xfId="1199"/>
    <cellStyle name="쉼표 [0] 4 4 2 2 2" xfId="2591"/>
    <cellStyle name="쉼표 [0] 4 4 2 2 2 2" xfId="5375"/>
    <cellStyle name="쉼표 [0] 4 4 2 2 2 2 2" xfId="10943"/>
    <cellStyle name="쉼표 [0] 4 4 2 2 2 2 2 2" xfId="27647"/>
    <cellStyle name="쉼표 [0] 4 4 2 2 2 2 3" xfId="16511"/>
    <cellStyle name="쉼표 [0] 4 4 2 2 2 2 3 2" xfId="33215"/>
    <cellStyle name="쉼표 [0] 4 4 2 2 2 2 4" xfId="22079"/>
    <cellStyle name="쉼표 [0] 4 4 2 2 2 3" xfId="8159"/>
    <cellStyle name="쉼표 [0] 4 4 2 2 2 3 2" xfId="24863"/>
    <cellStyle name="쉼표 [0] 4 4 2 2 2 4" xfId="13727"/>
    <cellStyle name="쉼표 [0] 4 4 2 2 2 4 2" xfId="30431"/>
    <cellStyle name="쉼표 [0] 4 4 2 2 2 5" xfId="19295"/>
    <cellStyle name="쉼표 [0] 4 4 2 2 3" xfId="3983"/>
    <cellStyle name="쉼표 [0] 4 4 2 2 3 2" xfId="9551"/>
    <cellStyle name="쉼표 [0] 4 4 2 2 3 2 2" xfId="26255"/>
    <cellStyle name="쉼표 [0] 4 4 2 2 3 3" xfId="15119"/>
    <cellStyle name="쉼표 [0] 4 4 2 2 3 3 2" xfId="31823"/>
    <cellStyle name="쉼표 [0] 4 4 2 2 3 4" xfId="20687"/>
    <cellStyle name="쉼표 [0] 4 4 2 2 4" xfId="6767"/>
    <cellStyle name="쉼표 [0] 4 4 2 2 4 2" xfId="23471"/>
    <cellStyle name="쉼표 [0] 4 4 2 2 5" xfId="12335"/>
    <cellStyle name="쉼표 [0] 4 4 2 2 5 2" xfId="29039"/>
    <cellStyle name="쉼표 [0] 4 4 2 2 6" xfId="17903"/>
    <cellStyle name="쉼표 [0] 4 4 2 3" xfId="1895"/>
    <cellStyle name="쉼표 [0] 4 4 2 3 2" xfId="4679"/>
    <cellStyle name="쉼표 [0] 4 4 2 3 2 2" xfId="10247"/>
    <cellStyle name="쉼표 [0] 4 4 2 3 2 2 2" xfId="26951"/>
    <cellStyle name="쉼표 [0] 4 4 2 3 2 3" xfId="15815"/>
    <cellStyle name="쉼표 [0] 4 4 2 3 2 3 2" xfId="32519"/>
    <cellStyle name="쉼표 [0] 4 4 2 3 2 4" xfId="21383"/>
    <cellStyle name="쉼표 [0] 4 4 2 3 3" xfId="7463"/>
    <cellStyle name="쉼표 [0] 4 4 2 3 3 2" xfId="24167"/>
    <cellStyle name="쉼표 [0] 4 4 2 3 4" xfId="13031"/>
    <cellStyle name="쉼표 [0] 4 4 2 3 4 2" xfId="29735"/>
    <cellStyle name="쉼표 [0] 4 4 2 3 5" xfId="18599"/>
    <cellStyle name="쉼표 [0] 4 4 2 4" xfId="3287"/>
    <cellStyle name="쉼표 [0] 4 4 2 4 2" xfId="8855"/>
    <cellStyle name="쉼표 [0] 4 4 2 4 2 2" xfId="25559"/>
    <cellStyle name="쉼표 [0] 4 4 2 4 3" xfId="14423"/>
    <cellStyle name="쉼표 [0] 4 4 2 4 3 2" xfId="31127"/>
    <cellStyle name="쉼표 [0] 4 4 2 4 4" xfId="19991"/>
    <cellStyle name="쉼표 [0] 4 4 2 5" xfId="6071"/>
    <cellStyle name="쉼표 [0] 4 4 2 5 2" xfId="22775"/>
    <cellStyle name="쉼표 [0] 4 4 2 6" xfId="11639"/>
    <cellStyle name="쉼표 [0] 4 4 2 6 2" xfId="28343"/>
    <cellStyle name="쉼표 [0] 4 4 2 7" xfId="17207"/>
    <cellStyle name="쉼표 [0] 4 4 3" xfId="735"/>
    <cellStyle name="쉼표 [0] 4 4 3 2" xfId="1431"/>
    <cellStyle name="쉼표 [0] 4 4 3 2 2" xfId="2823"/>
    <cellStyle name="쉼표 [0] 4 4 3 2 2 2" xfId="5607"/>
    <cellStyle name="쉼표 [0] 4 4 3 2 2 2 2" xfId="11175"/>
    <cellStyle name="쉼표 [0] 4 4 3 2 2 2 2 2" xfId="27879"/>
    <cellStyle name="쉼표 [0] 4 4 3 2 2 2 3" xfId="16743"/>
    <cellStyle name="쉼표 [0] 4 4 3 2 2 2 3 2" xfId="33447"/>
    <cellStyle name="쉼표 [0] 4 4 3 2 2 2 4" xfId="22311"/>
    <cellStyle name="쉼표 [0] 4 4 3 2 2 3" xfId="8391"/>
    <cellStyle name="쉼표 [0] 4 4 3 2 2 3 2" xfId="25095"/>
    <cellStyle name="쉼표 [0] 4 4 3 2 2 4" xfId="13959"/>
    <cellStyle name="쉼표 [0] 4 4 3 2 2 4 2" xfId="30663"/>
    <cellStyle name="쉼표 [0] 4 4 3 2 2 5" xfId="19527"/>
    <cellStyle name="쉼표 [0] 4 4 3 2 3" xfId="4215"/>
    <cellStyle name="쉼표 [0] 4 4 3 2 3 2" xfId="9783"/>
    <cellStyle name="쉼표 [0] 4 4 3 2 3 2 2" xfId="26487"/>
    <cellStyle name="쉼표 [0] 4 4 3 2 3 3" xfId="15351"/>
    <cellStyle name="쉼표 [0] 4 4 3 2 3 3 2" xfId="32055"/>
    <cellStyle name="쉼표 [0] 4 4 3 2 3 4" xfId="20919"/>
    <cellStyle name="쉼표 [0] 4 4 3 2 4" xfId="6999"/>
    <cellStyle name="쉼표 [0] 4 4 3 2 4 2" xfId="23703"/>
    <cellStyle name="쉼표 [0] 4 4 3 2 5" xfId="12567"/>
    <cellStyle name="쉼표 [0] 4 4 3 2 5 2" xfId="29271"/>
    <cellStyle name="쉼표 [0] 4 4 3 2 6" xfId="18135"/>
    <cellStyle name="쉼표 [0] 4 4 3 3" xfId="2127"/>
    <cellStyle name="쉼표 [0] 4 4 3 3 2" xfId="4911"/>
    <cellStyle name="쉼표 [0] 4 4 3 3 2 2" xfId="10479"/>
    <cellStyle name="쉼표 [0] 4 4 3 3 2 2 2" xfId="27183"/>
    <cellStyle name="쉼표 [0] 4 4 3 3 2 3" xfId="16047"/>
    <cellStyle name="쉼표 [0] 4 4 3 3 2 3 2" xfId="32751"/>
    <cellStyle name="쉼표 [0] 4 4 3 3 2 4" xfId="21615"/>
    <cellStyle name="쉼표 [0] 4 4 3 3 3" xfId="7695"/>
    <cellStyle name="쉼표 [0] 4 4 3 3 3 2" xfId="24399"/>
    <cellStyle name="쉼표 [0] 4 4 3 3 4" xfId="13263"/>
    <cellStyle name="쉼표 [0] 4 4 3 3 4 2" xfId="29967"/>
    <cellStyle name="쉼표 [0] 4 4 3 3 5" xfId="18831"/>
    <cellStyle name="쉼표 [0] 4 4 3 4" xfId="3519"/>
    <cellStyle name="쉼표 [0] 4 4 3 4 2" xfId="9087"/>
    <cellStyle name="쉼표 [0] 4 4 3 4 2 2" xfId="25791"/>
    <cellStyle name="쉼표 [0] 4 4 3 4 3" xfId="14655"/>
    <cellStyle name="쉼표 [0] 4 4 3 4 3 2" xfId="31359"/>
    <cellStyle name="쉼표 [0] 4 4 3 4 4" xfId="20223"/>
    <cellStyle name="쉼표 [0] 4 4 3 5" xfId="6303"/>
    <cellStyle name="쉼표 [0] 4 4 3 5 2" xfId="23007"/>
    <cellStyle name="쉼표 [0] 4 4 3 6" xfId="11871"/>
    <cellStyle name="쉼표 [0] 4 4 3 6 2" xfId="28575"/>
    <cellStyle name="쉼표 [0] 4 4 3 7" xfId="17439"/>
    <cellStyle name="쉼표 [0] 4 4 4" xfId="967"/>
    <cellStyle name="쉼표 [0] 4 4 4 2" xfId="2359"/>
    <cellStyle name="쉼표 [0] 4 4 4 2 2" xfId="5143"/>
    <cellStyle name="쉼표 [0] 4 4 4 2 2 2" xfId="10711"/>
    <cellStyle name="쉼표 [0] 4 4 4 2 2 2 2" xfId="27415"/>
    <cellStyle name="쉼표 [0] 4 4 4 2 2 3" xfId="16279"/>
    <cellStyle name="쉼표 [0] 4 4 4 2 2 3 2" xfId="32983"/>
    <cellStyle name="쉼표 [0] 4 4 4 2 2 4" xfId="21847"/>
    <cellStyle name="쉼표 [0] 4 4 4 2 3" xfId="7927"/>
    <cellStyle name="쉼표 [0] 4 4 4 2 3 2" xfId="24631"/>
    <cellStyle name="쉼표 [0] 4 4 4 2 4" xfId="13495"/>
    <cellStyle name="쉼표 [0] 4 4 4 2 4 2" xfId="30199"/>
    <cellStyle name="쉼표 [0] 4 4 4 2 5" xfId="19063"/>
    <cellStyle name="쉼표 [0] 4 4 4 3" xfId="3751"/>
    <cellStyle name="쉼표 [0] 4 4 4 3 2" xfId="9319"/>
    <cellStyle name="쉼표 [0] 4 4 4 3 2 2" xfId="26023"/>
    <cellStyle name="쉼표 [0] 4 4 4 3 3" xfId="14887"/>
    <cellStyle name="쉼표 [0] 4 4 4 3 3 2" xfId="31591"/>
    <cellStyle name="쉼표 [0] 4 4 4 3 4" xfId="20455"/>
    <cellStyle name="쉼표 [0] 4 4 4 4" xfId="6535"/>
    <cellStyle name="쉼표 [0] 4 4 4 4 2" xfId="23239"/>
    <cellStyle name="쉼표 [0] 4 4 4 5" xfId="12103"/>
    <cellStyle name="쉼표 [0] 4 4 4 5 2" xfId="28807"/>
    <cellStyle name="쉼표 [0] 4 4 4 6" xfId="17671"/>
    <cellStyle name="쉼표 [0] 4 4 5" xfId="1663"/>
    <cellStyle name="쉼표 [0] 4 4 5 2" xfId="4447"/>
    <cellStyle name="쉼표 [0] 4 4 5 2 2" xfId="10015"/>
    <cellStyle name="쉼표 [0] 4 4 5 2 2 2" xfId="26719"/>
    <cellStyle name="쉼표 [0] 4 4 5 2 3" xfId="15583"/>
    <cellStyle name="쉼표 [0] 4 4 5 2 3 2" xfId="32287"/>
    <cellStyle name="쉼표 [0] 4 4 5 2 4" xfId="21151"/>
    <cellStyle name="쉼표 [0] 4 4 5 3" xfId="7231"/>
    <cellStyle name="쉼표 [0] 4 4 5 3 2" xfId="23935"/>
    <cellStyle name="쉼표 [0] 4 4 5 4" xfId="12799"/>
    <cellStyle name="쉼표 [0] 4 4 5 4 2" xfId="29503"/>
    <cellStyle name="쉼표 [0] 4 4 5 5" xfId="18367"/>
    <cellStyle name="쉼표 [0] 4 4 6" xfId="3055"/>
    <cellStyle name="쉼표 [0] 4 4 6 2" xfId="8623"/>
    <cellStyle name="쉼표 [0] 4 4 6 2 2" xfId="25327"/>
    <cellStyle name="쉼표 [0] 4 4 6 3" xfId="14191"/>
    <cellStyle name="쉼표 [0] 4 4 6 3 2" xfId="30895"/>
    <cellStyle name="쉼표 [0] 4 4 6 4" xfId="19759"/>
    <cellStyle name="쉼표 [0] 4 4 7" xfId="5839"/>
    <cellStyle name="쉼표 [0] 4 4 7 2" xfId="22543"/>
    <cellStyle name="쉼표 [0] 4 4 8" xfId="11407"/>
    <cellStyle name="쉼표 [0] 4 4 8 2" xfId="28111"/>
    <cellStyle name="쉼표 [0] 4 4 9" xfId="16975"/>
    <cellStyle name="쉼표 [0] 4 5" xfId="387"/>
    <cellStyle name="쉼표 [0] 4 5 2" xfId="1083"/>
    <cellStyle name="쉼표 [0] 4 5 2 2" xfId="2475"/>
    <cellStyle name="쉼표 [0] 4 5 2 2 2" xfId="5259"/>
    <cellStyle name="쉼표 [0] 4 5 2 2 2 2" xfId="10827"/>
    <cellStyle name="쉼표 [0] 4 5 2 2 2 2 2" xfId="27531"/>
    <cellStyle name="쉼표 [0] 4 5 2 2 2 3" xfId="16395"/>
    <cellStyle name="쉼표 [0] 4 5 2 2 2 3 2" xfId="33099"/>
    <cellStyle name="쉼표 [0] 4 5 2 2 2 4" xfId="21963"/>
    <cellStyle name="쉼표 [0] 4 5 2 2 3" xfId="8043"/>
    <cellStyle name="쉼표 [0] 4 5 2 2 3 2" xfId="24747"/>
    <cellStyle name="쉼표 [0] 4 5 2 2 4" xfId="13611"/>
    <cellStyle name="쉼표 [0] 4 5 2 2 4 2" xfId="30315"/>
    <cellStyle name="쉼표 [0] 4 5 2 2 5" xfId="19179"/>
    <cellStyle name="쉼표 [0] 4 5 2 3" xfId="3867"/>
    <cellStyle name="쉼표 [0] 4 5 2 3 2" xfId="9435"/>
    <cellStyle name="쉼표 [0] 4 5 2 3 2 2" xfId="26139"/>
    <cellStyle name="쉼표 [0] 4 5 2 3 3" xfId="15003"/>
    <cellStyle name="쉼표 [0] 4 5 2 3 3 2" xfId="31707"/>
    <cellStyle name="쉼표 [0] 4 5 2 3 4" xfId="20571"/>
    <cellStyle name="쉼표 [0] 4 5 2 4" xfId="6651"/>
    <cellStyle name="쉼표 [0] 4 5 2 4 2" xfId="23355"/>
    <cellStyle name="쉼표 [0] 4 5 2 5" xfId="12219"/>
    <cellStyle name="쉼표 [0] 4 5 2 5 2" xfId="28923"/>
    <cellStyle name="쉼표 [0] 4 5 2 6" xfId="17787"/>
    <cellStyle name="쉼표 [0] 4 5 3" xfId="1779"/>
    <cellStyle name="쉼표 [0] 4 5 3 2" xfId="4563"/>
    <cellStyle name="쉼표 [0] 4 5 3 2 2" xfId="10131"/>
    <cellStyle name="쉼표 [0] 4 5 3 2 2 2" xfId="26835"/>
    <cellStyle name="쉼표 [0] 4 5 3 2 3" xfId="15699"/>
    <cellStyle name="쉼표 [0] 4 5 3 2 3 2" xfId="32403"/>
    <cellStyle name="쉼표 [0] 4 5 3 2 4" xfId="21267"/>
    <cellStyle name="쉼표 [0] 4 5 3 3" xfId="7347"/>
    <cellStyle name="쉼표 [0] 4 5 3 3 2" xfId="24051"/>
    <cellStyle name="쉼표 [0] 4 5 3 4" xfId="12915"/>
    <cellStyle name="쉼표 [0] 4 5 3 4 2" xfId="29619"/>
    <cellStyle name="쉼표 [0] 4 5 3 5" xfId="18483"/>
    <cellStyle name="쉼표 [0] 4 5 4" xfId="3171"/>
    <cellStyle name="쉼표 [0] 4 5 4 2" xfId="8739"/>
    <cellStyle name="쉼표 [0] 4 5 4 2 2" xfId="25443"/>
    <cellStyle name="쉼표 [0] 4 5 4 3" xfId="14307"/>
    <cellStyle name="쉼표 [0] 4 5 4 3 2" xfId="31011"/>
    <cellStyle name="쉼표 [0] 4 5 4 4" xfId="19875"/>
    <cellStyle name="쉼표 [0] 4 5 5" xfId="5955"/>
    <cellStyle name="쉼표 [0] 4 5 5 2" xfId="22659"/>
    <cellStyle name="쉼표 [0] 4 5 6" xfId="11523"/>
    <cellStyle name="쉼표 [0] 4 5 6 2" xfId="28227"/>
    <cellStyle name="쉼표 [0] 4 5 7" xfId="17091"/>
    <cellStyle name="쉼표 [0] 4 6" xfId="619"/>
    <cellStyle name="쉼표 [0] 4 6 2" xfId="1315"/>
    <cellStyle name="쉼표 [0] 4 6 2 2" xfId="2707"/>
    <cellStyle name="쉼표 [0] 4 6 2 2 2" xfId="5491"/>
    <cellStyle name="쉼표 [0] 4 6 2 2 2 2" xfId="11059"/>
    <cellStyle name="쉼표 [0] 4 6 2 2 2 2 2" xfId="27763"/>
    <cellStyle name="쉼표 [0] 4 6 2 2 2 3" xfId="16627"/>
    <cellStyle name="쉼표 [0] 4 6 2 2 2 3 2" xfId="33331"/>
    <cellStyle name="쉼표 [0] 4 6 2 2 2 4" xfId="22195"/>
    <cellStyle name="쉼표 [0] 4 6 2 2 3" xfId="8275"/>
    <cellStyle name="쉼표 [0] 4 6 2 2 3 2" xfId="24979"/>
    <cellStyle name="쉼표 [0] 4 6 2 2 4" xfId="13843"/>
    <cellStyle name="쉼표 [0] 4 6 2 2 4 2" xfId="30547"/>
    <cellStyle name="쉼표 [0] 4 6 2 2 5" xfId="19411"/>
    <cellStyle name="쉼표 [0] 4 6 2 3" xfId="4099"/>
    <cellStyle name="쉼표 [0] 4 6 2 3 2" xfId="9667"/>
    <cellStyle name="쉼표 [0] 4 6 2 3 2 2" xfId="26371"/>
    <cellStyle name="쉼표 [0] 4 6 2 3 3" xfId="15235"/>
    <cellStyle name="쉼표 [0] 4 6 2 3 3 2" xfId="31939"/>
    <cellStyle name="쉼표 [0] 4 6 2 3 4" xfId="20803"/>
    <cellStyle name="쉼표 [0] 4 6 2 4" xfId="6883"/>
    <cellStyle name="쉼표 [0] 4 6 2 4 2" xfId="23587"/>
    <cellStyle name="쉼표 [0] 4 6 2 5" xfId="12451"/>
    <cellStyle name="쉼표 [0] 4 6 2 5 2" xfId="29155"/>
    <cellStyle name="쉼표 [0] 4 6 2 6" xfId="18019"/>
    <cellStyle name="쉼표 [0] 4 6 3" xfId="2011"/>
    <cellStyle name="쉼표 [0] 4 6 3 2" xfId="4795"/>
    <cellStyle name="쉼표 [0] 4 6 3 2 2" xfId="10363"/>
    <cellStyle name="쉼표 [0] 4 6 3 2 2 2" xfId="27067"/>
    <cellStyle name="쉼표 [0] 4 6 3 2 3" xfId="15931"/>
    <cellStyle name="쉼표 [0] 4 6 3 2 3 2" xfId="32635"/>
    <cellStyle name="쉼표 [0] 4 6 3 2 4" xfId="21499"/>
    <cellStyle name="쉼표 [0] 4 6 3 3" xfId="7579"/>
    <cellStyle name="쉼표 [0] 4 6 3 3 2" xfId="24283"/>
    <cellStyle name="쉼표 [0] 4 6 3 4" xfId="13147"/>
    <cellStyle name="쉼표 [0] 4 6 3 4 2" xfId="29851"/>
    <cellStyle name="쉼표 [0] 4 6 3 5" xfId="18715"/>
    <cellStyle name="쉼표 [0] 4 6 4" xfId="3403"/>
    <cellStyle name="쉼표 [0] 4 6 4 2" xfId="8971"/>
    <cellStyle name="쉼표 [0] 4 6 4 2 2" xfId="25675"/>
    <cellStyle name="쉼표 [0] 4 6 4 3" xfId="14539"/>
    <cellStyle name="쉼표 [0] 4 6 4 3 2" xfId="31243"/>
    <cellStyle name="쉼표 [0] 4 6 4 4" xfId="20107"/>
    <cellStyle name="쉼표 [0] 4 6 5" xfId="6187"/>
    <cellStyle name="쉼표 [0] 4 6 5 2" xfId="22891"/>
    <cellStyle name="쉼표 [0] 4 6 6" xfId="11755"/>
    <cellStyle name="쉼표 [0] 4 6 6 2" xfId="28459"/>
    <cellStyle name="쉼표 [0] 4 6 7" xfId="17323"/>
    <cellStyle name="쉼표 [0] 4 7" xfId="851"/>
    <cellStyle name="쉼표 [0] 4 7 2" xfId="2243"/>
    <cellStyle name="쉼표 [0] 4 7 2 2" xfId="5027"/>
    <cellStyle name="쉼표 [0] 4 7 2 2 2" xfId="10595"/>
    <cellStyle name="쉼표 [0] 4 7 2 2 2 2" xfId="27299"/>
    <cellStyle name="쉼표 [0] 4 7 2 2 3" xfId="16163"/>
    <cellStyle name="쉼표 [0] 4 7 2 2 3 2" xfId="32867"/>
    <cellStyle name="쉼표 [0] 4 7 2 2 4" xfId="21731"/>
    <cellStyle name="쉼표 [0] 4 7 2 3" xfId="7811"/>
    <cellStyle name="쉼표 [0] 4 7 2 3 2" xfId="24515"/>
    <cellStyle name="쉼표 [0] 4 7 2 4" xfId="13379"/>
    <cellStyle name="쉼표 [0] 4 7 2 4 2" xfId="30083"/>
    <cellStyle name="쉼표 [0] 4 7 2 5" xfId="18947"/>
    <cellStyle name="쉼표 [0] 4 7 3" xfId="3635"/>
    <cellStyle name="쉼표 [0] 4 7 3 2" xfId="9203"/>
    <cellStyle name="쉼표 [0] 4 7 3 2 2" xfId="25907"/>
    <cellStyle name="쉼표 [0] 4 7 3 3" xfId="14771"/>
    <cellStyle name="쉼표 [0] 4 7 3 3 2" xfId="31475"/>
    <cellStyle name="쉼표 [0] 4 7 3 4" xfId="20339"/>
    <cellStyle name="쉼표 [0] 4 7 4" xfId="6419"/>
    <cellStyle name="쉼표 [0] 4 7 4 2" xfId="23123"/>
    <cellStyle name="쉼표 [0] 4 7 5" xfId="11987"/>
    <cellStyle name="쉼표 [0] 4 7 5 2" xfId="28691"/>
    <cellStyle name="쉼표 [0] 4 7 6" xfId="17555"/>
    <cellStyle name="쉼표 [0] 4 8" xfId="1547"/>
    <cellStyle name="쉼표 [0] 4 8 2" xfId="4331"/>
    <cellStyle name="쉼표 [0] 4 8 2 2" xfId="9899"/>
    <cellStyle name="쉼표 [0] 4 8 2 2 2" xfId="26603"/>
    <cellStyle name="쉼표 [0] 4 8 2 3" xfId="15467"/>
    <cellStyle name="쉼표 [0] 4 8 2 3 2" xfId="32171"/>
    <cellStyle name="쉼표 [0] 4 8 2 4" xfId="21035"/>
    <cellStyle name="쉼표 [0] 4 8 3" xfId="7115"/>
    <cellStyle name="쉼표 [0] 4 8 3 2" xfId="23819"/>
    <cellStyle name="쉼표 [0] 4 8 4" xfId="12683"/>
    <cellStyle name="쉼표 [0] 4 8 4 2" xfId="29387"/>
    <cellStyle name="쉼표 [0] 4 8 5" xfId="18251"/>
    <cellStyle name="쉼표 [0] 4 9" xfId="2939"/>
    <cellStyle name="쉼표 [0] 4 9 2" xfId="8507"/>
    <cellStyle name="쉼표 [0] 4 9 2 2" xfId="25211"/>
    <cellStyle name="쉼표 [0] 4 9 3" xfId="14075"/>
    <cellStyle name="쉼표 [0] 4 9 3 2" xfId="30779"/>
    <cellStyle name="쉼표 [0] 4 9 4" xfId="19643"/>
    <cellStyle name="쉼표 [0] 5" xfId="115"/>
    <cellStyle name="쉼표 [0] 5 10" xfId="5724"/>
    <cellStyle name="쉼표 [0] 5 10 2" xfId="22428"/>
    <cellStyle name="쉼표 [0] 5 11" xfId="11292"/>
    <cellStyle name="쉼표 [0] 5 11 2" xfId="27996"/>
    <cellStyle name="쉼표 [0] 5 12" xfId="16860"/>
    <cellStyle name="쉼표 [0] 5 2" xfId="185"/>
    <cellStyle name="쉼표 [0] 5 2 10" xfId="11321"/>
    <cellStyle name="쉼표 [0] 5 2 10 2" xfId="28025"/>
    <cellStyle name="쉼표 [0] 5 2 11" xfId="16889"/>
    <cellStyle name="쉼표 [0] 5 2 2" xfId="243"/>
    <cellStyle name="쉼표 [0] 5 2 2 10" xfId="16947"/>
    <cellStyle name="쉼표 [0] 5 2 2 2" xfId="359"/>
    <cellStyle name="쉼표 [0] 5 2 2 2 2" xfId="591"/>
    <cellStyle name="쉼표 [0] 5 2 2 2 2 2" xfId="1287"/>
    <cellStyle name="쉼표 [0] 5 2 2 2 2 2 2" xfId="2679"/>
    <cellStyle name="쉼표 [0] 5 2 2 2 2 2 2 2" xfId="5463"/>
    <cellStyle name="쉼표 [0] 5 2 2 2 2 2 2 2 2" xfId="11031"/>
    <cellStyle name="쉼표 [0] 5 2 2 2 2 2 2 2 2 2" xfId="27735"/>
    <cellStyle name="쉼표 [0] 5 2 2 2 2 2 2 2 3" xfId="16599"/>
    <cellStyle name="쉼표 [0] 5 2 2 2 2 2 2 2 3 2" xfId="33303"/>
    <cellStyle name="쉼표 [0] 5 2 2 2 2 2 2 2 4" xfId="22167"/>
    <cellStyle name="쉼표 [0] 5 2 2 2 2 2 2 3" xfId="8247"/>
    <cellStyle name="쉼표 [0] 5 2 2 2 2 2 2 3 2" xfId="24951"/>
    <cellStyle name="쉼표 [0] 5 2 2 2 2 2 2 4" xfId="13815"/>
    <cellStyle name="쉼표 [0] 5 2 2 2 2 2 2 4 2" xfId="30519"/>
    <cellStyle name="쉼표 [0] 5 2 2 2 2 2 2 5" xfId="19383"/>
    <cellStyle name="쉼표 [0] 5 2 2 2 2 2 3" xfId="4071"/>
    <cellStyle name="쉼표 [0] 5 2 2 2 2 2 3 2" xfId="9639"/>
    <cellStyle name="쉼표 [0] 5 2 2 2 2 2 3 2 2" xfId="26343"/>
    <cellStyle name="쉼표 [0] 5 2 2 2 2 2 3 3" xfId="15207"/>
    <cellStyle name="쉼표 [0] 5 2 2 2 2 2 3 3 2" xfId="31911"/>
    <cellStyle name="쉼표 [0] 5 2 2 2 2 2 3 4" xfId="20775"/>
    <cellStyle name="쉼표 [0] 5 2 2 2 2 2 4" xfId="6855"/>
    <cellStyle name="쉼표 [0] 5 2 2 2 2 2 4 2" xfId="23559"/>
    <cellStyle name="쉼표 [0] 5 2 2 2 2 2 5" xfId="12423"/>
    <cellStyle name="쉼표 [0] 5 2 2 2 2 2 5 2" xfId="29127"/>
    <cellStyle name="쉼표 [0] 5 2 2 2 2 2 6" xfId="17991"/>
    <cellStyle name="쉼표 [0] 5 2 2 2 2 3" xfId="1983"/>
    <cellStyle name="쉼표 [0] 5 2 2 2 2 3 2" xfId="4767"/>
    <cellStyle name="쉼표 [0] 5 2 2 2 2 3 2 2" xfId="10335"/>
    <cellStyle name="쉼표 [0] 5 2 2 2 2 3 2 2 2" xfId="27039"/>
    <cellStyle name="쉼표 [0] 5 2 2 2 2 3 2 3" xfId="15903"/>
    <cellStyle name="쉼표 [0] 5 2 2 2 2 3 2 3 2" xfId="32607"/>
    <cellStyle name="쉼표 [0] 5 2 2 2 2 3 2 4" xfId="21471"/>
    <cellStyle name="쉼표 [0] 5 2 2 2 2 3 3" xfId="7551"/>
    <cellStyle name="쉼표 [0] 5 2 2 2 2 3 3 2" xfId="24255"/>
    <cellStyle name="쉼표 [0] 5 2 2 2 2 3 4" xfId="13119"/>
    <cellStyle name="쉼표 [0] 5 2 2 2 2 3 4 2" xfId="29823"/>
    <cellStyle name="쉼표 [0] 5 2 2 2 2 3 5" xfId="18687"/>
    <cellStyle name="쉼표 [0] 5 2 2 2 2 4" xfId="3375"/>
    <cellStyle name="쉼표 [0] 5 2 2 2 2 4 2" xfId="8943"/>
    <cellStyle name="쉼표 [0] 5 2 2 2 2 4 2 2" xfId="25647"/>
    <cellStyle name="쉼표 [0] 5 2 2 2 2 4 3" xfId="14511"/>
    <cellStyle name="쉼표 [0] 5 2 2 2 2 4 3 2" xfId="31215"/>
    <cellStyle name="쉼표 [0] 5 2 2 2 2 4 4" xfId="20079"/>
    <cellStyle name="쉼표 [0] 5 2 2 2 2 5" xfId="6159"/>
    <cellStyle name="쉼표 [0] 5 2 2 2 2 5 2" xfId="22863"/>
    <cellStyle name="쉼표 [0] 5 2 2 2 2 6" xfId="11727"/>
    <cellStyle name="쉼표 [0] 5 2 2 2 2 6 2" xfId="28431"/>
    <cellStyle name="쉼표 [0] 5 2 2 2 2 7" xfId="17295"/>
    <cellStyle name="쉼표 [0] 5 2 2 2 3" xfId="823"/>
    <cellStyle name="쉼표 [0] 5 2 2 2 3 2" xfId="1519"/>
    <cellStyle name="쉼표 [0] 5 2 2 2 3 2 2" xfId="2911"/>
    <cellStyle name="쉼표 [0] 5 2 2 2 3 2 2 2" xfId="5695"/>
    <cellStyle name="쉼표 [0] 5 2 2 2 3 2 2 2 2" xfId="11263"/>
    <cellStyle name="쉼표 [0] 5 2 2 2 3 2 2 2 2 2" xfId="27967"/>
    <cellStyle name="쉼표 [0] 5 2 2 2 3 2 2 2 3" xfId="16831"/>
    <cellStyle name="쉼표 [0] 5 2 2 2 3 2 2 2 3 2" xfId="33535"/>
    <cellStyle name="쉼표 [0] 5 2 2 2 3 2 2 2 4" xfId="22399"/>
    <cellStyle name="쉼표 [0] 5 2 2 2 3 2 2 3" xfId="8479"/>
    <cellStyle name="쉼표 [0] 5 2 2 2 3 2 2 3 2" xfId="25183"/>
    <cellStyle name="쉼표 [0] 5 2 2 2 3 2 2 4" xfId="14047"/>
    <cellStyle name="쉼표 [0] 5 2 2 2 3 2 2 4 2" xfId="30751"/>
    <cellStyle name="쉼표 [0] 5 2 2 2 3 2 2 5" xfId="19615"/>
    <cellStyle name="쉼표 [0] 5 2 2 2 3 2 3" xfId="4303"/>
    <cellStyle name="쉼표 [0] 5 2 2 2 3 2 3 2" xfId="9871"/>
    <cellStyle name="쉼표 [0] 5 2 2 2 3 2 3 2 2" xfId="26575"/>
    <cellStyle name="쉼표 [0] 5 2 2 2 3 2 3 3" xfId="15439"/>
    <cellStyle name="쉼표 [0] 5 2 2 2 3 2 3 3 2" xfId="32143"/>
    <cellStyle name="쉼표 [0] 5 2 2 2 3 2 3 4" xfId="21007"/>
    <cellStyle name="쉼표 [0] 5 2 2 2 3 2 4" xfId="7087"/>
    <cellStyle name="쉼표 [0] 5 2 2 2 3 2 4 2" xfId="23791"/>
    <cellStyle name="쉼표 [0] 5 2 2 2 3 2 5" xfId="12655"/>
    <cellStyle name="쉼표 [0] 5 2 2 2 3 2 5 2" xfId="29359"/>
    <cellStyle name="쉼표 [0] 5 2 2 2 3 2 6" xfId="18223"/>
    <cellStyle name="쉼표 [0] 5 2 2 2 3 3" xfId="2215"/>
    <cellStyle name="쉼표 [0] 5 2 2 2 3 3 2" xfId="4999"/>
    <cellStyle name="쉼표 [0] 5 2 2 2 3 3 2 2" xfId="10567"/>
    <cellStyle name="쉼표 [0] 5 2 2 2 3 3 2 2 2" xfId="27271"/>
    <cellStyle name="쉼표 [0] 5 2 2 2 3 3 2 3" xfId="16135"/>
    <cellStyle name="쉼표 [0] 5 2 2 2 3 3 2 3 2" xfId="32839"/>
    <cellStyle name="쉼표 [0] 5 2 2 2 3 3 2 4" xfId="21703"/>
    <cellStyle name="쉼표 [0] 5 2 2 2 3 3 3" xfId="7783"/>
    <cellStyle name="쉼표 [0] 5 2 2 2 3 3 3 2" xfId="24487"/>
    <cellStyle name="쉼표 [0] 5 2 2 2 3 3 4" xfId="13351"/>
    <cellStyle name="쉼표 [0] 5 2 2 2 3 3 4 2" xfId="30055"/>
    <cellStyle name="쉼표 [0] 5 2 2 2 3 3 5" xfId="18919"/>
    <cellStyle name="쉼표 [0] 5 2 2 2 3 4" xfId="3607"/>
    <cellStyle name="쉼표 [0] 5 2 2 2 3 4 2" xfId="9175"/>
    <cellStyle name="쉼표 [0] 5 2 2 2 3 4 2 2" xfId="25879"/>
    <cellStyle name="쉼표 [0] 5 2 2 2 3 4 3" xfId="14743"/>
    <cellStyle name="쉼표 [0] 5 2 2 2 3 4 3 2" xfId="31447"/>
    <cellStyle name="쉼표 [0] 5 2 2 2 3 4 4" xfId="20311"/>
    <cellStyle name="쉼표 [0] 5 2 2 2 3 5" xfId="6391"/>
    <cellStyle name="쉼표 [0] 5 2 2 2 3 5 2" xfId="23095"/>
    <cellStyle name="쉼표 [0] 5 2 2 2 3 6" xfId="11959"/>
    <cellStyle name="쉼표 [0] 5 2 2 2 3 6 2" xfId="28663"/>
    <cellStyle name="쉼표 [0] 5 2 2 2 3 7" xfId="17527"/>
    <cellStyle name="쉼표 [0] 5 2 2 2 4" xfId="1055"/>
    <cellStyle name="쉼표 [0] 5 2 2 2 4 2" xfId="2447"/>
    <cellStyle name="쉼표 [0] 5 2 2 2 4 2 2" xfId="5231"/>
    <cellStyle name="쉼표 [0] 5 2 2 2 4 2 2 2" xfId="10799"/>
    <cellStyle name="쉼표 [0] 5 2 2 2 4 2 2 2 2" xfId="27503"/>
    <cellStyle name="쉼표 [0] 5 2 2 2 4 2 2 3" xfId="16367"/>
    <cellStyle name="쉼표 [0] 5 2 2 2 4 2 2 3 2" xfId="33071"/>
    <cellStyle name="쉼표 [0] 5 2 2 2 4 2 2 4" xfId="21935"/>
    <cellStyle name="쉼표 [0] 5 2 2 2 4 2 3" xfId="8015"/>
    <cellStyle name="쉼표 [0] 5 2 2 2 4 2 3 2" xfId="24719"/>
    <cellStyle name="쉼표 [0] 5 2 2 2 4 2 4" xfId="13583"/>
    <cellStyle name="쉼표 [0] 5 2 2 2 4 2 4 2" xfId="30287"/>
    <cellStyle name="쉼표 [0] 5 2 2 2 4 2 5" xfId="19151"/>
    <cellStyle name="쉼표 [0] 5 2 2 2 4 3" xfId="3839"/>
    <cellStyle name="쉼표 [0] 5 2 2 2 4 3 2" xfId="9407"/>
    <cellStyle name="쉼표 [0] 5 2 2 2 4 3 2 2" xfId="26111"/>
    <cellStyle name="쉼표 [0] 5 2 2 2 4 3 3" xfId="14975"/>
    <cellStyle name="쉼표 [0] 5 2 2 2 4 3 3 2" xfId="31679"/>
    <cellStyle name="쉼표 [0] 5 2 2 2 4 3 4" xfId="20543"/>
    <cellStyle name="쉼표 [0] 5 2 2 2 4 4" xfId="6623"/>
    <cellStyle name="쉼표 [0] 5 2 2 2 4 4 2" xfId="23327"/>
    <cellStyle name="쉼표 [0] 5 2 2 2 4 5" xfId="12191"/>
    <cellStyle name="쉼표 [0] 5 2 2 2 4 5 2" xfId="28895"/>
    <cellStyle name="쉼표 [0] 5 2 2 2 4 6" xfId="17759"/>
    <cellStyle name="쉼표 [0] 5 2 2 2 5" xfId="1751"/>
    <cellStyle name="쉼표 [0] 5 2 2 2 5 2" xfId="4535"/>
    <cellStyle name="쉼표 [0] 5 2 2 2 5 2 2" xfId="10103"/>
    <cellStyle name="쉼표 [0] 5 2 2 2 5 2 2 2" xfId="26807"/>
    <cellStyle name="쉼표 [0] 5 2 2 2 5 2 3" xfId="15671"/>
    <cellStyle name="쉼표 [0] 5 2 2 2 5 2 3 2" xfId="32375"/>
    <cellStyle name="쉼표 [0] 5 2 2 2 5 2 4" xfId="21239"/>
    <cellStyle name="쉼표 [0] 5 2 2 2 5 3" xfId="7319"/>
    <cellStyle name="쉼표 [0] 5 2 2 2 5 3 2" xfId="24023"/>
    <cellStyle name="쉼표 [0] 5 2 2 2 5 4" xfId="12887"/>
    <cellStyle name="쉼표 [0] 5 2 2 2 5 4 2" xfId="29591"/>
    <cellStyle name="쉼표 [0] 5 2 2 2 5 5" xfId="18455"/>
    <cellStyle name="쉼표 [0] 5 2 2 2 6" xfId="3143"/>
    <cellStyle name="쉼표 [0] 5 2 2 2 6 2" xfId="8711"/>
    <cellStyle name="쉼표 [0] 5 2 2 2 6 2 2" xfId="25415"/>
    <cellStyle name="쉼표 [0] 5 2 2 2 6 3" xfId="14279"/>
    <cellStyle name="쉼표 [0] 5 2 2 2 6 3 2" xfId="30983"/>
    <cellStyle name="쉼표 [0] 5 2 2 2 6 4" xfId="19847"/>
    <cellStyle name="쉼표 [0] 5 2 2 2 7" xfId="5927"/>
    <cellStyle name="쉼표 [0] 5 2 2 2 7 2" xfId="22631"/>
    <cellStyle name="쉼표 [0] 5 2 2 2 8" xfId="11495"/>
    <cellStyle name="쉼표 [0] 5 2 2 2 8 2" xfId="28199"/>
    <cellStyle name="쉼표 [0] 5 2 2 2 9" xfId="17063"/>
    <cellStyle name="쉼표 [0] 5 2 2 3" xfId="475"/>
    <cellStyle name="쉼표 [0] 5 2 2 3 2" xfId="1171"/>
    <cellStyle name="쉼표 [0] 5 2 2 3 2 2" xfId="2563"/>
    <cellStyle name="쉼표 [0] 5 2 2 3 2 2 2" xfId="5347"/>
    <cellStyle name="쉼표 [0] 5 2 2 3 2 2 2 2" xfId="10915"/>
    <cellStyle name="쉼표 [0] 5 2 2 3 2 2 2 2 2" xfId="27619"/>
    <cellStyle name="쉼표 [0] 5 2 2 3 2 2 2 3" xfId="16483"/>
    <cellStyle name="쉼표 [0] 5 2 2 3 2 2 2 3 2" xfId="33187"/>
    <cellStyle name="쉼표 [0] 5 2 2 3 2 2 2 4" xfId="22051"/>
    <cellStyle name="쉼표 [0] 5 2 2 3 2 2 3" xfId="8131"/>
    <cellStyle name="쉼표 [0] 5 2 2 3 2 2 3 2" xfId="24835"/>
    <cellStyle name="쉼표 [0] 5 2 2 3 2 2 4" xfId="13699"/>
    <cellStyle name="쉼표 [0] 5 2 2 3 2 2 4 2" xfId="30403"/>
    <cellStyle name="쉼표 [0] 5 2 2 3 2 2 5" xfId="19267"/>
    <cellStyle name="쉼표 [0] 5 2 2 3 2 3" xfId="3955"/>
    <cellStyle name="쉼표 [0] 5 2 2 3 2 3 2" xfId="9523"/>
    <cellStyle name="쉼표 [0] 5 2 2 3 2 3 2 2" xfId="26227"/>
    <cellStyle name="쉼표 [0] 5 2 2 3 2 3 3" xfId="15091"/>
    <cellStyle name="쉼표 [0] 5 2 2 3 2 3 3 2" xfId="31795"/>
    <cellStyle name="쉼표 [0] 5 2 2 3 2 3 4" xfId="20659"/>
    <cellStyle name="쉼표 [0] 5 2 2 3 2 4" xfId="6739"/>
    <cellStyle name="쉼표 [0] 5 2 2 3 2 4 2" xfId="23443"/>
    <cellStyle name="쉼표 [0] 5 2 2 3 2 5" xfId="12307"/>
    <cellStyle name="쉼표 [0] 5 2 2 3 2 5 2" xfId="29011"/>
    <cellStyle name="쉼표 [0] 5 2 2 3 2 6" xfId="17875"/>
    <cellStyle name="쉼표 [0] 5 2 2 3 3" xfId="1867"/>
    <cellStyle name="쉼표 [0] 5 2 2 3 3 2" xfId="4651"/>
    <cellStyle name="쉼표 [0] 5 2 2 3 3 2 2" xfId="10219"/>
    <cellStyle name="쉼표 [0] 5 2 2 3 3 2 2 2" xfId="26923"/>
    <cellStyle name="쉼표 [0] 5 2 2 3 3 2 3" xfId="15787"/>
    <cellStyle name="쉼표 [0] 5 2 2 3 3 2 3 2" xfId="32491"/>
    <cellStyle name="쉼표 [0] 5 2 2 3 3 2 4" xfId="21355"/>
    <cellStyle name="쉼표 [0] 5 2 2 3 3 3" xfId="7435"/>
    <cellStyle name="쉼표 [0] 5 2 2 3 3 3 2" xfId="24139"/>
    <cellStyle name="쉼표 [0] 5 2 2 3 3 4" xfId="13003"/>
    <cellStyle name="쉼표 [0] 5 2 2 3 3 4 2" xfId="29707"/>
    <cellStyle name="쉼표 [0] 5 2 2 3 3 5" xfId="18571"/>
    <cellStyle name="쉼표 [0] 5 2 2 3 4" xfId="3259"/>
    <cellStyle name="쉼표 [0] 5 2 2 3 4 2" xfId="8827"/>
    <cellStyle name="쉼표 [0] 5 2 2 3 4 2 2" xfId="25531"/>
    <cellStyle name="쉼표 [0] 5 2 2 3 4 3" xfId="14395"/>
    <cellStyle name="쉼표 [0] 5 2 2 3 4 3 2" xfId="31099"/>
    <cellStyle name="쉼표 [0] 5 2 2 3 4 4" xfId="19963"/>
    <cellStyle name="쉼표 [0] 5 2 2 3 5" xfId="6043"/>
    <cellStyle name="쉼표 [0] 5 2 2 3 5 2" xfId="22747"/>
    <cellStyle name="쉼표 [0] 5 2 2 3 6" xfId="11611"/>
    <cellStyle name="쉼표 [0] 5 2 2 3 6 2" xfId="28315"/>
    <cellStyle name="쉼표 [0] 5 2 2 3 7" xfId="17179"/>
    <cellStyle name="쉼표 [0] 5 2 2 4" xfId="707"/>
    <cellStyle name="쉼표 [0] 5 2 2 4 2" xfId="1403"/>
    <cellStyle name="쉼표 [0] 5 2 2 4 2 2" xfId="2795"/>
    <cellStyle name="쉼표 [0] 5 2 2 4 2 2 2" xfId="5579"/>
    <cellStyle name="쉼표 [0] 5 2 2 4 2 2 2 2" xfId="11147"/>
    <cellStyle name="쉼표 [0] 5 2 2 4 2 2 2 2 2" xfId="27851"/>
    <cellStyle name="쉼표 [0] 5 2 2 4 2 2 2 3" xfId="16715"/>
    <cellStyle name="쉼표 [0] 5 2 2 4 2 2 2 3 2" xfId="33419"/>
    <cellStyle name="쉼표 [0] 5 2 2 4 2 2 2 4" xfId="22283"/>
    <cellStyle name="쉼표 [0] 5 2 2 4 2 2 3" xfId="8363"/>
    <cellStyle name="쉼표 [0] 5 2 2 4 2 2 3 2" xfId="25067"/>
    <cellStyle name="쉼표 [0] 5 2 2 4 2 2 4" xfId="13931"/>
    <cellStyle name="쉼표 [0] 5 2 2 4 2 2 4 2" xfId="30635"/>
    <cellStyle name="쉼표 [0] 5 2 2 4 2 2 5" xfId="19499"/>
    <cellStyle name="쉼표 [0] 5 2 2 4 2 3" xfId="4187"/>
    <cellStyle name="쉼표 [0] 5 2 2 4 2 3 2" xfId="9755"/>
    <cellStyle name="쉼표 [0] 5 2 2 4 2 3 2 2" xfId="26459"/>
    <cellStyle name="쉼표 [0] 5 2 2 4 2 3 3" xfId="15323"/>
    <cellStyle name="쉼표 [0] 5 2 2 4 2 3 3 2" xfId="32027"/>
    <cellStyle name="쉼표 [0] 5 2 2 4 2 3 4" xfId="20891"/>
    <cellStyle name="쉼표 [0] 5 2 2 4 2 4" xfId="6971"/>
    <cellStyle name="쉼표 [0] 5 2 2 4 2 4 2" xfId="23675"/>
    <cellStyle name="쉼표 [0] 5 2 2 4 2 5" xfId="12539"/>
    <cellStyle name="쉼표 [0] 5 2 2 4 2 5 2" xfId="29243"/>
    <cellStyle name="쉼표 [0] 5 2 2 4 2 6" xfId="18107"/>
    <cellStyle name="쉼표 [0] 5 2 2 4 3" xfId="2099"/>
    <cellStyle name="쉼표 [0] 5 2 2 4 3 2" xfId="4883"/>
    <cellStyle name="쉼표 [0] 5 2 2 4 3 2 2" xfId="10451"/>
    <cellStyle name="쉼표 [0] 5 2 2 4 3 2 2 2" xfId="27155"/>
    <cellStyle name="쉼표 [0] 5 2 2 4 3 2 3" xfId="16019"/>
    <cellStyle name="쉼표 [0] 5 2 2 4 3 2 3 2" xfId="32723"/>
    <cellStyle name="쉼표 [0] 5 2 2 4 3 2 4" xfId="21587"/>
    <cellStyle name="쉼표 [0] 5 2 2 4 3 3" xfId="7667"/>
    <cellStyle name="쉼표 [0] 5 2 2 4 3 3 2" xfId="24371"/>
    <cellStyle name="쉼표 [0] 5 2 2 4 3 4" xfId="13235"/>
    <cellStyle name="쉼표 [0] 5 2 2 4 3 4 2" xfId="29939"/>
    <cellStyle name="쉼표 [0] 5 2 2 4 3 5" xfId="18803"/>
    <cellStyle name="쉼표 [0] 5 2 2 4 4" xfId="3491"/>
    <cellStyle name="쉼표 [0] 5 2 2 4 4 2" xfId="9059"/>
    <cellStyle name="쉼표 [0] 5 2 2 4 4 2 2" xfId="25763"/>
    <cellStyle name="쉼표 [0] 5 2 2 4 4 3" xfId="14627"/>
    <cellStyle name="쉼표 [0] 5 2 2 4 4 3 2" xfId="31331"/>
    <cellStyle name="쉼표 [0] 5 2 2 4 4 4" xfId="20195"/>
    <cellStyle name="쉼표 [0] 5 2 2 4 5" xfId="6275"/>
    <cellStyle name="쉼표 [0] 5 2 2 4 5 2" xfId="22979"/>
    <cellStyle name="쉼표 [0] 5 2 2 4 6" xfId="11843"/>
    <cellStyle name="쉼표 [0] 5 2 2 4 6 2" xfId="28547"/>
    <cellStyle name="쉼표 [0] 5 2 2 4 7" xfId="17411"/>
    <cellStyle name="쉼표 [0] 5 2 2 5" xfId="939"/>
    <cellStyle name="쉼표 [0] 5 2 2 5 2" xfId="2331"/>
    <cellStyle name="쉼표 [0] 5 2 2 5 2 2" xfId="5115"/>
    <cellStyle name="쉼표 [0] 5 2 2 5 2 2 2" xfId="10683"/>
    <cellStyle name="쉼표 [0] 5 2 2 5 2 2 2 2" xfId="27387"/>
    <cellStyle name="쉼표 [0] 5 2 2 5 2 2 3" xfId="16251"/>
    <cellStyle name="쉼표 [0] 5 2 2 5 2 2 3 2" xfId="32955"/>
    <cellStyle name="쉼표 [0] 5 2 2 5 2 2 4" xfId="21819"/>
    <cellStyle name="쉼표 [0] 5 2 2 5 2 3" xfId="7899"/>
    <cellStyle name="쉼표 [0] 5 2 2 5 2 3 2" xfId="24603"/>
    <cellStyle name="쉼표 [0] 5 2 2 5 2 4" xfId="13467"/>
    <cellStyle name="쉼표 [0] 5 2 2 5 2 4 2" xfId="30171"/>
    <cellStyle name="쉼표 [0] 5 2 2 5 2 5" xfId="19035"/>
    <cellStyle name="쉼표 [0] 5 2 2 5 3" xfId="3723"/>
    <cellStyle name="쉼표 [0] 5 2 2 5 3 2" xfId="9291"/>
    <cellStyle name="쉼표 [0] 5 2 2 5 3 2 2" xfId="25995"/>
    <cellStyle name="쉼표 [0] 5 2 2 5 3 3" xfId="14859"/>
    <cellStyle name="쉼표 [0] 5 2 2 5 3 3 2" xfId="31563"/>
    <cellStyle name="쉼표 [0] 5 2 2 5 3 4" xfId="20427"/>
    <cellStyle name="쉼표 [0] 5 2 2 5 4" xfId="6507"/>
    <cellStyle name="쉼표 [0] 5 2 2 5 4 2" xfId="23211"/>
    <cellStyle name="쉼표 [0] 5 2 2 5 5" xfId="12075"/>
    <cellStyle name="쉼표 [0] 5 2 2 5 5 2" xfId="28779"/>
    <cellStyle name="쉼표 [0] 5 2 2 5 6" xfId="17643"/>
    <cellStyle name="쉼표 [0] 5 2 2 6" xfId="1635"/>
    <cellStyle name="쉼표 [0] 5 2 2 6 2" xfId="4419"/>
    <cellStyle name="쉼표 [0] 5 2 2 6 2 2" xfId="9987"/>
    <cellStyle name="쉼표 [0] 5 2 2 6 2 2 2" xfId="26691"/>
    <cellStyle name="쉼표 [0] 5 2 2 6 2 3" xfId="15555"/>
    <cellStyle name="쉼표 [0] 5 2 2 6 2 3 2" xfId="32259"/>
    <cellStyle name="쉼표 [0] 5 2 2 6 2 4" xfId="21123"/>
    <cellStyle name="쉼표 [0] 5 2 2 6 3" xfId="7203"/>
    <cellStyle name="쉼표 [0] 5 2 2 6 3 2" xfId="23907"/>
    <cellStyle name="쉼표 [0] 5 2 2 6 4" xfId="12771"/>
    <cellStyle name="쉼표 [0] 5 2 2 6 4 2" xfId="29475"/>
    <cellStyle name="쉼표 [0] 5 2 2 6 5" xfId="18339"/>
    <cellStyle name="쉼표 [0] 5 2 2 7" xfId="3027"/>
    <cellStyle name="쉼표 [0] 5 2 2 7 2" xfId="8595"/>
    <cellStyle name="쉼표 [0] 5 2 2 7 2 2" xfId="25299"/>
    <cellStyle name="쉼표 [0] 5 2 2 7 3" xfId="14163"/>
    <cellStyle name="쉼표 [0] 5 2 2 7 3 2" xfId="30867"/>
    <cellStyle name="쉼표 [0] 5 2 2 7 4" xfId="19731"/>
    <cellStyle name="쉼표 [0] 5 2 2 8" xfId="5811"/>
    <cellStyle name="쉼표 [0] 5 2 2 8 2" xfId="22515"/>
    <cellStyle name="쉼표 [0] 5 2 2 9" xfId="11379"/>
    <cellStyle name="쉼표 [0] 5 2 2 9 2" xfId="28083"/>
    <cellStyle name="쉼표 [0] 5 2 3" xfId="301"/>
    <cellStyle name="쉼표 [0] 5 2 3 2" xfId="533"/>
    <cellStyle name="쉼표 [0] 5 2 3 2 2" xfId="1229"/>
    <cellStyle name="쉼표 [0] 5 2 3 2 2 2" xfId="2621"/>
    <cellStyle name="쉼표 [0] 5 2 3 2 2 2 2" xfId="5405"/>
    <cellStyle name="쉼표 [0] 5 2 3 2 2 2 2 2" xfId="10973"/>
    <cellStyle name="쉼표 [0] 5 2 3 2 2 2 2 2 2" xfId="27677"/>
    <cellStyle name="쉼표 [0] 5 2 3 2 2 2 2 3" xfId="16541"/>
    <cellStyle name="쉼표 [0] 5 2 3 2 2 2 2 3 2" xfId="33245"/>
    <cellStyle name="쉼표 [0] 5 2 3 2 2 2 2 4" xfId="22109"/>
    <cellStyle name="쉼표 [0] 5 2 3 2 2 2 3" xfId="8189"/>
    <cellStyle name="쉼표 [0] 5 2 3 2 2 2 3 2" xfId="24893"/>
    <cellStyle name="쉼표 [0] 5 2 3 2 2 2 4" xfId="13757"/>
    <cellStyle name="쉼표 [0] 5 2 3 2 2 2 4 2" xfId="30461"/>
    <cellStyle name="쉼표 [0] 5 2 3 2 2 2 5" xfId="19325"/>
    <cellStyle name="쉼표 [0] 5 2 3 2 2 3" xfId="4013"/>
    <cellStyle name="쉼표 [0] 5 2 3 2 2 3 2" xfId="9581"/>
    <cellStyle name="쉼표 [0] 5 2 3 2 2 3 2 2" xfId="26285"/>
    <cellStyle name="쉼표 [0] 5 2 3 2 2 3 3" xfId="15149"/>
    <cellStyle name="쉼표 [0] 5 2 3 2 2 3 3 2" xfId="31853"/>
    <cellStyle name="쉼표 [0] 5 2 3 2 2 3 4" xfId="20717"/>
    <cellStyle name="쉼표 [0] 5 2 3 2 2 4" xfId="6797"/>
    <cellStyle name="쉼표 [0] 5 2 3 2 2 4 2" xfId="23501"/>
    <cellStyle name="쉼표 [0] 5 2 3 2 2 5" xfId="12365"/>
    <cellStyle name="쉼표 [0] 5 2 3 2 2 5 2" xfId="29069"/>
    <cellStyle name="쉼표 [0] 5 2 3 2 2 6" xfId="17933"/>
    <cellStyle name="쉼표 [0] 5 2 3 2 3" xfId="1925"/>
    <cellStyle name="쉼표 [0] 5 2 3 2 3 2" xfId="4709"/>
    <cellStyle name="쉼표 [0] 5 2 3 2 3 2 2" xfId="10277"/>
    <cellStyle name="쉼표 [0] 5 2 3 2 3 2 2 2" xfId="26981"/>
    <cellStyle name="쉼표 [0] 5 2 3 2 3 2 3" xfId="15845"/>
    <cellStyle name="쉼표 [0] 5 2 3 2 3 2 3 2" xfId="32549"/>
    <cellStyle name="쉼표 [0] 5 2 3 2 3 2 4" xfId="21413"/>
    <cellStyle name="쉼표 [0] 5 2 3 2 3 3" xfId="7493"/>
    <cellStyle name="쉼표 [0] 5 2 3 2 3 3 2" xfId="24197"/>
    <cellStyle name="쉼표 [0] 5 2 3 2 3 4" xfId="13061"/>
    <cellStyle name="쉼표 [0] 5 2 3 2 3 4 2" xfId="29765"/>
    <cellStyle name="쉼표 [0] 5 2 3 2 3 5" xfId="18629"/>
    <cellStyle name="쉼표 [0] 5 2 3 2 4" xfId="3317"/>
    <cellStyle name="쉼표 [0] 5 2 3 2 4 2" xfId="8885"/>
    <cellStyle name="쉼표 [0] 5 2 3 2 4 2 2" xfId="25589"/>
    <cellStyle name="쉼표 [0] 5 2 3 2 4 3" xfId="14453"/>
    <cellStyle name="쉼표 [0] 5 2 3 2 4 3 2" xfId="31157"/>
    <cellStyle name="쉼표 [0] 5 2 3 2 4 4" xfId="20021"/>
    <cellStyle name="쉼표 [0] 5 2 3 2 5" xfId="6101"/>
    <cellStyle name="쉼표 [0] 5 2 3 2 5 2" xfId="22805"/>
    <cellStyle name="쉼표 [0] 5 2 3 2 6" xfId="11669"/>
    <cellStyle name="쉼표 [0] 5 2 3 2 6 2" xfId="28373"/>
    <cellStyle name="쉼표 [0] 5 2 3 2 7" xfId="17237"/>
    <cellStyle name="쉼표 [0] 5 2 3 3" xfId="765"/>
    <cellStyle name="쉼표 [0] 5 2 3 3 2" xfId="1461"/>
    <cellStyle name="쉼표 [0] 5 2 3 3 2 2" xfId="2853"/>
    <cellStyle name="쉼표 [0] 5 2 3 3 2 2 2" xfId="5637"/>
    <cellStyle name="쉼표 [0] 5 2 3 3 2 2 2 2" xfId="11205"/>
    <cellStyle name="쉼표 [0] 5 2 3 3 2 2 2 2 2" xfId="27909"/>
    <cellStyle name="쉼표 [0] 5 2 3 3 2 2 2 3" xfId="16773"/>
    <cellStyle name="쉼표 [0] 5 2 3 3 2 2 2 3 2" xfId="33477"/>
    <cellStyle name="쉼표 [0] 5 2 3 3 2 2 2 4" xfId="22341"/>
    <cellStyle name="쉼표 [0] 5 2 3 3 2 2 3" xfId="8421"/>
    <cellStyle name="쉼표 [0] 5 2 3 3 2 2 3 2" xfId="25125"/>
    <cellStyle name="쉼표 [0] 5 2 3 3 2 2 4" xfId="13989"/>
    <cellStyle name="쉼표 [0] 5 2 3 3 2 2 4 2" xfId="30693"/>
    <cellStyle name="쉼표 [0] 5 2 3 3 2 2 5" xfId="19557"/>
    <cellStyle name="쉼표 [0] 5 2 3 3 2 3" xfId="4245"/>
    <cellStyle name="쉼표 [0] 5 2 3 3 2 3 2" xfId="9813"/>
    <cellStyle name="쉼표 [0] 5 2 3 3 2 3 2 2" xfId="26517"/>
    <cellStyle name="쉼표 [0] 5 2 3 3 2 3 3" xfId="15381"/>
    <cellStyle name="쉼표 [0] 5 2 3 3 2 3 3 2" xfId="32085"/>
    <cellStyle name="쉼표 [0] 5 2 3 3 2 3 4" xfId="20949"/>
    <cellStyle name="쉼표 [0] 5 2 3 3 2 4" xfId="7029"/>
    <cellStyle name="쉼표 [0] 5 2 3 3 2 4 2" xfId="23733"/>
    <cellStyle name="쉼표 [0] 5 2 3 3 2 5" xfId="12597"/>
    <cellStyle name="쉼표 [0] 5 2 3 3 2 5 2" xfId="29301"/>
    <cellStyle name="쉼표 [0] 5 2 3 3 2 6" xfId="18165"/>
    <cellStyle name="쉼표 [0] 5 2 3 3 3" xfId="2157"/>
    <cellStyle name="쉼표 [0] 5 2 3 3 3 2" xfId="4941"/>
    <cellStyle name="쉼표 [0] 5 2 3 3 3 2 2" xfId="10509"/>
    <cellStyle name="쉼표 [0] 5 2 3 3 3 2 2 2" xfId="27213"/>
    <cellStyle name="쉼표 [0] 5 2 3 3 3 2 3" xfId="16077"/>
    <cellStyle name="쉼표 [0] 5 2 3 3 3 2 3 2" xfId="32781"/>
    <cellStyle name="쉼표 [0] 5 2 3 3 3 2 4" xfId="21645"/>
    <cellStyle name="쉼표 [0] 5 2 3 3 3 3" xfId="7725"/>
    <cellStyle name="쉼표 [0] 5 2 3 3 3 3 2" xfId="24429"/>
    <cellStyle name="쉼표 [0] 5 2 3 3 3 4" xfId="13293"/>
    <cellStyle name="쉼표 [0] 5 2 3 3 3 4 2" xfId="29997"/>
    <cellStyle name="쉼표 [0] 5 2 3 3 3 5" xfId="18861"/>
    <cellStyle name="쉼표 [0] 5 2 3 3 4" xfId="3549"/>
    <cellStyle name="쉼표 [0] 5 2 3 3 4 2" xfId="9117"/>
    <cellStyle name="쉼표 [0] 5 2 3 3 4 2 2" xfId="25821"/>
    <cellStyle name="쉼표 [0] 5 2 3 3 4 3" xfId="14685"/>
    <cellStyle name="쉼표 [0] 5 2 3 3 4 3 2" xfId="31389"/>
    <cellStyle name="쉼표 [0] 5 2 3 3 4 4" xfId="20253"/>
    <cellStyle name="쉼표 [0] 5 2 3 3 5" xfId="6333"/>
    <cellStyle name="쉼표 [0] 5 2 3 3 5 2" xfId="23037"/>
    <cellStyle name="쉼표 [0] 5 2 3 3 6" xfId="11901"/>
    <cellStyle name="쉼표 [0] 5 2 3 3 6 2" xfId="28605"/>
    <cellStyle name="쉼표 [0] 5 2 3 3 7" xfId="17469"/>
    <cellStyle name="쉼표 [0] 5 2 3 4" xfId="997"/>
    <cellStyle name="쉼표 [0] 5 2 3 4 2" xfId="2389"/>
    <cellStyle name="쉼표 [0] 5 2 3 4 2 2" xfId="5173"/>
    <cellStyle name="쉼표 [0] 5 2 3 4 2 2 2" xfId="10741"/>
    <cellStyle name="쉼표 [0] 5 2 3 4 2 2 2 2" xfId="27445"/>
    <cellStyle name="쉼표 [0] 5 2 3 4 2 2 3" xfId="16309"/>
    <cellStyle name="쉼표 [0] 5 2 3 4 2 2 3 2" xfId="33013"/>
    <cellStyle name="쉼표 [0] 5 2 3 4 2 2 4" xfId="21877"/>
    <cellStyle name="쉼표 [0] 5 2 3 4 2 3" xfId="7957"/>
    <cellStyle name="쉼표 [0] 5 2 3 4 2 3 2" xfId="24661"/>
    <cellStyle name="쉼표 [0] 5 2 3 4 2 4" xfId="13525"/>
    <cellStyle name="쉼표 [0] 5 2 3 4 2 4 2" xfId="30229"/>
    <cellStyle name="쉼표 [0] 5 2 3 4 2 5" xfId="19093"/>
    <cellStyle name="쉼표 [0] 5 2 3 4 3" xfId="3781"/>
    <cellStyle name="쉼표 [0] 5 2 3 4 3 2" xfId="9349"/>
    <cellStyle name="쉼표 [0] 5 2 3 4 3 2 2" xfId="26053"/>
    <cellStyle name="쉼표 [0] 5 2 3 4 3 3" xfId="14917"/>
    <cellStyle name="쉼표 [0] 5 2 3 4 3 3 2" xfId="31621"/>
    <cellStyle name="쉼표 [0] 5 2 3 4 3 4" xfId="20485"/>
    <cellStyle name="쉼표 [0] 5 2 3 4 4" xfId="6565"/>
    <cellStyle name="쉼표 [0] 5 2 3 4 4 2" xfId="23269"/>
    <cellStyle name="쉼표 [0] 5 2 3 4 5" xfId="12133"/>
    <cellStyle name="쉼표 [0] 5 2 3 4 5 2" xfId="28837"/>
    <cellStyle name="쉼표 [0] 5 2 3 4 6" xfId="17701"/>
    <cellStyle name="쉼표 [0] 5 2 3 5" xfId="1693"/>
    <cellStyle name="쉼표 [0] 5 2 3 5 2" xfId="4477"/>
    <cellStyle name="쉼표 [0] 5 2 3 5 2 2" xfId="10045"/>
    <cellStyle name="쉼표 [0] 5 2 3 5 2 2 2" xfId="26749"/>
    <cellStyle name="쉼표 [0] 5 2 3 5 2 3" xfId="15613"/>
    <cellStyle name="쉼표 [0] 5 2 3 5 2 3 2" xfId="32317"/>
    <cellStyle name="쉼표 [0] 5 2 3 5 2 4" xfId="21181"/>
    <cellStyle name="쉼표 [0] 5 2 3 5 3" xfId="7261"/>
    <cellStyle name="쉼표 [0] 5 2 3 5 3 2" xfId="23965"/>
    <cellStyle name="쉼표 [0] 5 2 3 5 4" xfId="12829"/>
    <cellStyle name="쉼표 [0] 5 2 3 5 4 2" xfId="29533"/>
    <cellStyle name="쉼표 [0] 5 2 3 5 5" xfId="18397"/>
    <cellStyle name="쉼표 [0] 5 2 3 6" xfId="3085"/>
    <cellStyle name="쉼표 [0] 5 2 3 6 2" xfId="8653"/>
    <cellStyle name="쉼표 [0] 5 2 3 6 2 2" xfId="25357"/>
    <cellStyle name="쉼표 [0] 5 2 3 6 3" xfId="14221"/>
    <cellStyle name="쉼표 [0] 5 2 3 6 3 2" xfId="30925"/>
    <cellStyle name="쉼표 [0] 5 2 3 6 4" xfId="19789"/>
    <cellStyle name="쉼표 [0] 5 2 3 7" xfId="5869"/>
    <cellStyle name="쉼표 [0] 5 2 3 7 2" xfId="22573"/>
    <cellStyle name="쉼표 [0] 5 2 3 8" xfId="11437"/>
    <cellStyle name="쉼표 [0] 5 2 3 8 2" xfId="28141"/>
    <cellStyle name="쉼표 [0] 5 2 3 9" xfId="17005"/>
    <cellStyle name="쉼표 [0] 5 2 4" xfId="417"/>
    <cellStyle name="쉼표 [0] 5 2 4 2" xfId="1113"/>
    <cellStyle name="쉼표 [0] 5 2 4 2 2" xfId="2505"/>
    <cellStyle name="쉼표 [0] 5 2 4 2 2 2" xfId="5289"/>
    <cellStyle name="쉼표 [0] 5 2 4 2 2 2 2" xfId="10857"/>
    <cellStyle name="쉼표 [0] 5 2 4 2 2 2 2 2" xfId="27561"/>
    <cellStyle name="쉼표 [0] 5 2 4 2 2 2 3" xfId="16425"/>
    <cellStyle name="쉼표 [0] 5 2 4 2 2 2 3 2" xfId="33129"/>
    <cellStyle name="쉼표 [0] 5 2 4 2 2 2 4" xfId="21993"/>
    <cellStyle name="쉼표 [0] 5 2 4 2 2 3" xfId="8073"/>
    <cellStyle name="쉼표 [0] 5 2 4 2 2 3 2" xfId="24777"/>
    <cellStyle name="쉼표 [0] 5 2 4 2 2 4" xfId="13641"/>
    <cellStyle name="쉼표 [0] 5 2 4 2 2 4 2" xfId="30345"/>
    <cellStyle name="쉼표 [0] 5 2 4 2 2 5" xfId="19209"/>
    <cellStyle name="쉼표 [0] 5 2 4 2 3" xfId="3897"/>
    <cellStyle name="쉼표 [0] 5 2 4 2 3 2" xfId="9465"/>
    <cellStyle name="쉼표 [0] 5 2 4 2 3 2 2" xfId="26169"/>
    <cellStyle name="쉼표 [0] 5 2 4 2 3 3" xfId="15033"/>
    <cellStyle name="쉼표 [0] 5 2 4 2 3 3 2" xfId="31737"/>
    <cellStyle name="쉼표 [0] 5 2 4 2 3 4" xfId="20601"/>
    <cellStyle name="쉼표 [0] 5 2 4 2 4" xfId="6681"/>
    <cellStyle name="쉼표 [0] 5 2 4 2 4 2" xfId="23385"/>
    <cellStyle name="쉼표 [0] 5 2 4 2 5" xfId="12249"/>
    <cellStyle name="쉼표 [0] 5 2 4 2 5 2" xfId="28953"/>
    <cellStyle name="쉼표 [0] 5 2 4 2 6" xfId="17817"/>
    <cellStyle name="쉼표 [0] 5 2 4 3" xfId="1809"/>
    <cellStyle name="쉼표 [0] 5 2 4 3 2" xfId="4593"/>
    <cellStyle name="쉼표 [0] 5 2 4 3 2 2" xfId="10161"/>
    <cellStyle name="쉼표 [0] 5 2 4 3 2 2 2" xfId="26865"/>
    <cellStyle name="쉼표 [0] 5 2 4 3 2 3" xfId="15729"/>
    <cellStyle name="쉼표 [0] 5 2 4 3 2 3 2" xfId="32433"/>
    <cellStyle name="쉼표 [0] 5 2 4 3 2 4" xfId="21297"/>
    <cellStyle name="쉼표 [0] 5 2 4 3 3" xfId="7377"/>
    <cellStyle name="쉼표 [0] 5 2 4 3 3 2" xfId="24081"/>
    <cellStyle name="쉼표 [0] 5 2 4 3 4" xfId="12945"/>
    <cellStyle name="쉼표 [0] 5 2 4 3 4 2" xfId="29649"/>
    <cellStyle name="쉼표 [0] 5 2 4 3 5" xfId="18513"/>
    <cellStyle name="쉼표 [0] 5 2 4 4" xfId="3201"/>
    <cellStyle name="쉼표 [0] 5 2 4 4 2" xfId="8769"/>
    <cellStyle name="쉼표 [0] 5 2 4 4 2 2" xfId="25473"/>
    <cellStyle name="쉼표 [0] 5 2 4 4 3" xfId="14337"/>
    <cellStyle name="쉼표 [0] 5 2 4 4 3 2" xfId="31041"/>
    <cellStyle name="쉼표 [0] 5 2 4 4 4" xfId="19905"/>
    <cellStyle name="쉼표 [0] 5 2 4 5" xfId="5985"/>
    <cellStyle name="쉼표 [0] 5 2 4 5 2" xfId="22689"/>
    <cellStyle name="쉼표 [0] 5 2 4 6" xfId="11553"/>
    <cellStyle name="쉼표 [0] 5 2 4 6 2" xfId="28257"/>
    <cellStyle name="쉼표 [0] 5 2 4 7" xfId="17121"/>
    <cellStyle name="쉼표 [0] 5 2 5" xfId="649"/>
    <cellStyle name="쉼표 [0] 5 2 5 2" xfId="1345"/>
    <cellStyle name="쉼표 [0] 5 2 5 2 2" xfId="2737"/>
    <cellStyle name="쉼표 [0] 5 2 5 2 2 2" xfId="5521"/>
    <cellStyle name="쉼표 [0] 5 2 5 2 2 2 2" xfId="11089"/>
    <cellStyle name="쉼표 [0] 5 2 5 2 2 2 2 2" xfId="27793"/>
    <cellStyle name="쉼표 [0] 5 2 5 2 2 2 3" xfId="16657"/>
    <cellStyle name="쉼표 [0] 5 2 5 2 2 2 3 2" xfId="33361"/>
    <cellStyle name="쉼표 [0] 5 2 5 2 2 2 4" xfId="22225"/>
    <cellStyle name="쉼표 [0] 5 2 5 2 2 3" xfId="8305"/>
    <cellStyle name="쉼표 [0] 5 2 5 2 2 3 2" xfId="25009"/>
    <cellStyle name="쉼표 [0] 5 2 5 2 2 4" xfId="13873"/>
    <cellStyle name="쉼표 [0] 5 2 5 2 2 4 2" xfId="30577"/>
    <cellStyle name="쉼표 [0] 5 2 5 2 2 5" xfId="19441"/>
    <cellStyle name="쉼표 [0] 5 2 5 2 3" xfId="4129"/>
    <cellStyle name="쉼표 [0] 5 2 5 2 3 2" xfId="9697"/>
    <cellStyle name="쉼표 [0] 5 2 5 2 3 2 2" xfId="26401"/>
    <cellStyle name="쉼표 [0] 5 2 5 2 3 3" xfId="15265"/>
    <cellStyle name="쉼표 [0] 5 2 5 2 3 3 2" xfId="31969"/>
    <cellStyle name="쉼표 [0] 5 2 5 2 3 4" xfId="20833"/>
    <cellStyle name="쉼표 [0] 5 2 5 2 4" xfId="6913"/>
    <cellStyle name="쉼표 [0] 5 2 5 2 4 2" xfId="23617"/>
    <cellStyle name="쉼표 [0] 5 2 5 2 5" xfId="12481"/>
    <cellStyle name="쉼표 [0] 5 2 5 2 5 2" xfId="29185"/>
    <cellStyle name="쉼표 [0] 5 2 5 2 6" xfId="18049"/>
    <cellStyle name="쉼표 [0] 5 2 5 3" xfId="2041"/>
    <cellStyle name="쉼표 [0] 5 2 5 3 2" xfId="4825"/>
    <cellStyle name="쉼표 [0] 5 2 5 3 2 2" xfId="10393"/>
    <cellStyle name="쉼표 [0] 5 2 5 3 2 2 2" xfId="27097"/>
    <cellStyle name="쉼표 [0] 5 2 5 3 2 3" xfId="15961"/>
    <cellStyle name="쉼표 [0] 5 2 5 3 2 3 2" xfId="32665"/>
    <cellStyle name="쉼표 [0] 5 2 5 3 2 4" xfId="21529"/>
    <cellStyle name="쉼표 [0] 5 2 5 3 3" xfId="7609"/>
    <cellStyle name="쉼표 [0] 5 2 5 3 3 2" xfId="24313"/>
    <cellStyle name="쉼표 [0] 5 2 5 3 4" xfId="13177"/>
    <cellStyle name="쉼표 [0] 5 2 5 3 4 2" xfId="29881"/>
    <cellStyle name="쉼표 [0] 5 2 5 3 5" xfId="18745"/>
    <cellStyle name="쉼표 [0] 5 2 5 4" xfId="3433"/>
    <cellStyle name="쉼표 [0] 5 2 5 4 2" xfId="9001"/>
    <cellStyle name="쉼표 [0] 5 2 5 4 2 2" xfId="25705"/>
    <cellStyle name="쉼표 [0] 5 2 5 4 3" xfId="14569"/>
    <cellStyle name="쉼표 [0] 5 2 5 4 3 2" xfId="31273"/>
    <cellStyle name="쉼표 [0] 5 2 5 4 4" xfId="20137"/>
    <cellStyle name="쉼표 [0] 5 2 5 5" xfId="6217"/>
    <cellStyle name="쉼표 [0] 5 2 5 5 2" xfId="22921"/>
    <cellStyle name="쉼표 [0] 5 2 5 6" xfId="11785"/>
    <cellStyle name="쉼표 [0] 5 2 5 6 2" xfId="28489"/>
    <cellStyle name="쉼표 [0] 5 2 5 7" xfId="17353"/>
    <cellStyle name="쉼표 [0] 5 2 6" xfId="881"/>
    <cellStyle name="쉼표 [0] 5 2 6 2" xfId="2273"/>
    <cellStyle name="쉼표 [0] 5 2 6 2 2" xfId="5057"/>
    <cellStyle name="쉼표 [0] 5 2 6 2 2 2" xfId="10625"/>
    <cellStyle name="쉼표 [0] 5 2 6 2 2 2 2" xfId="27329"/>
    <cellStyle name="쉼표 [0] 5 2 6 2 2 3" xfId="16193"/>
    <cellStyle name="쉼표 [0] 5 2 6 2 2 3 2" xfId="32897"/>
    <cellStyle name="쉼표 [0] 5 2 6 2 2 4" xfId="21761"/>
    <cellStyle name="쉼표 [0] 5 2 6 2 3" xfId="7841"/>
    <cellStyle name="쉼표 [0] 5 2 6 2 3 2" xfId="24545"/>
    <cellStyle name="쉼표 [0] 5 2 6 2 4" xfId="13409"/>
    <cellStyle name="쉼표 [0] 5 2 6 2 4 2" xfId="30113"/>
    <cellStyle name="쉼표 [0] 5 2 6 2 5" xfId="18977"/>
    <cellStyle name="쉼표 [0] 5 2 6 3" xfId="3665"/>
    <cellStyle name="쉼표 [0] 5 2 6 3 2" xfId="9233"/>
    <cellStyle name="쉼표 [0] 5 2 6 3 2 2" xfId="25937"/>
    <cellStyle name="쉼표 [0] 5 2 6 3 3" xfId="14801"/>
    <cellStyle name="쉼표 [0] 5 2 6 3 3 2" xfId="31505"/>
    <cellStyle name="쉼표 [0] 5 2 6 3 4" xfId="20369"/>
    <cellStyle name="쉼표 [0] 5 2 6 4" xfId="6449"/>
    <cellStyle name="쉼표 [0] 5 2 6 4 2" xfId="23153"/>
    <cellStyle name="쉼표 [0] 5 2 6 5" xfId="12017"/>
    <cellStyle name="쉼표 [0] 5 2 6 5 2" xfId="28721"/>
    <cellStyle name="쉼표 [0] 5 2 6 6" xfId="17585"/>
    <cellStyle name="쉼표 [0] 5 2 7" xfId="1577"/>
    <cellStyle name="쉼표 [0] 5 2 7 2" xfId="4361"/>
    <cellStyle name="쉼표 [0] 5 2 7 2 2" xfId="9929"/>
    <cellStyle name="쉼표 [0] 5 2 7 2 2 2" xfId="26633"/>
    <cellStyle name="쉼표 [0] 5 2 7 2 3" xfId="15497"/>
    <cellStyle name="쉼표 [0] 5 2 7 2 3 2" xfId="32201"/>
    <cellStyle name="쉼표 [0] 5 2 7 2 4" xfId="21065"/>
    <cellStyle name="쉼표 [0] 5 2 7 3" xfId="7145"/>
    <cellStyle name="쉼표 [0] 5 2 7 3 2" xfId="23849"/>
    <cellStyle name="쉼표 [0] 5 2 7 4" xfId="12713"/>
    <cellStyle name="쉼표 [0] 5 2 7 4 2" xfId="29417"/>
    <cellStyle name="쉼표 [0] 5 2 7 5" xfId="18281"/>
    <cellStyle name="쉼표 [0] 5 2 8" xfId="2969"/>
    <cellStyle name="쉼표 [0] 5 2 8 2" xfId="8537"/>
    <cellStyle name="쉼표 [0] 5 2 8 2 2" xfId="25241"/>
    <cellStyle name="쉼표 [0] 5 2 8 3" xfId="14105"/>
    <cellStyle name="쉼표 [0] 5 2 8 3 2" xfId="30809"/>
    <cellStyle name="쉼표 [0] 5 2 8 4" xfId="19673"/>
    <cellStyle name="쉼표 [0] 5 2 9" xfId="5753"/>
    <cellStyle name="쉼표 [0] 5 2 9 2" xfId="22457"/>
    <cellStyle name="쉼표 [0] 5 3" xfId="214"/>
    <cellStyle name="쉼표 [0] 5 3 10" xfId="16918"/>
    <cellStyle name="쉼표 [0] 5 3 2" xfId="330"/>
    <cellStyle name="쉼표 [0] 5 3 2 2" xfId="562"/>
    <cellStyle name="쉼표 [0] 5 3 2 2 2" xfId="1258"/>
    <cellStyle name="쉼표 [0] 5 3 2 2 2 2" xfId="2650"/>
    <cellStyle name="쉼표 [0] 5 3 2 2 2 2 2" xfId="5434"/>
    <cellStyle name="쉼표 [0] 5 3 2 2 2 2 2 2" xfId="11002"/>
    <cellStyle name="쉼표 [0] 5 3 2 2 2 2 2 2 2" xfId="27706"/>
    <cellStyle name="쉼표 [0] 5 3 2 2 2 2 2 3" xfId="16570"/>
    <cellStyle name="쉼표 [0] 5 3 2 2 2 2 2 3 2" xfId="33274"/>
    <cellStyle name="쉼표 [0] 5 3 2 2 2 2 2 4" xfId="22138"/>
    <cellStyle name="쉼표 [0] 5 3 2 2 2 2 3" xfId="8218"/>
    <cellStyle name="쉼표 [0] 5 3 2 2 2 2 3 2" xfId="24922"/>
    <cellStyle name="쉼표 [0] 5 3 2 2 2 2 4" xfId="13786"/>
    <cellStyle name="쉼표 [0] 5 3 2 2 2 2 4 2" xfId="30490"/>
    <cellStyle name="쉼표 [0] 5 3 2 2 2 2 5" xfId="19354"/>
    <cellStyle name="쉼표 [0] 5 3 2 2 2 3" xfId="4042"/>
    <cellStyle name="쉼표 [0] 5 3 2 2 2 3 2" xfId="9610"/>
    <cellStyle name="쉼표 [0] 5 3 2 2 2 3 2 2" xfId="26314"/>
    <cellStyle name="쉼표 [0] 5 3 2 2 2 3 3" xfId="15178"/>
    <cellStyle name="쉼표 [0] 5 3 2 2 2 3 3 2" xfId="31882"/>
    <cellStyle name="쉼표 [0] 5 3 2 2 2 3 4" xfId="20746"/>
    <cellStyle name="쉼표 [0] 5 3 2 2 2 4" xfId="6826"/>
    <cellStyle name="쉼표 [0] 5 3 2 2 2 4 2" xfId="23530"/>
    <cellStyle name="쉼표 [0] 5 3 2 2 2 5" xfId="12394"/>
    <cellStyle name="쉼표 [0] 5 3 2 2 2 5 2" xfId="29098"/>
    <cellStyle name="쉼표 [0] 5 3 2 2 2 6" xfId="17962"/>
    <cellStyle name="쉼표 [0] 5 3 2 2 3" xfId="1954"/>
    <cellStyle name="쉼표 [0] 5 3 2 2 3 2" xfId="4738"/>
    <cellStyle name="쉼표 [0] 5 3 2 2 3 2 2" xfId="10306"/>
    <cellStyle name="쉼표 [0] 5 3 2 2 3 2 2 2" xfId="27010"/>
    <cellStyle name="쉼표 [0] 5 3 2 2 3 2 3" xfId="15874"/>
    <cellStyle name="쉼표 [0] 5 3 2 2 3 2 3 2" xfId="32578"/>
    <cellStyle name="쉼표 [0] 5 3 2 2 3 2 4" xfId="21442"/>
    <cellStyle name="쉼표 [0] 5 3 2 2 3 3" xfId="7522"/>
    <cellStyle name="쉼표 [0] 5 3 2 2 3 3 2" xfId="24226"/>
    <cellStyle name="쉼표 [0] 5 3 2 2 3 4" xfId="13090"/>
    <cellStyle name="쉼표 [0] 5 3 2 2 3 4 2" xfId="29794"/>
    <cellStyle name="쉼표 [0] 5 3 2 2 3 5" xfId="18658"/>
    <cellStyle name="쉼표 [0] 5 3 2 2 4" xfId="3346"/>
    <cellStyle name="쉼표 [0] 5 3 2 2 4 2" xfId="8914"/>
    <cellStyle name="쉼표 [0] 5 3 2 2 4 2 2" xfId="25618"/>
    <cellStyle name="쉼표 [0] 5 3 2 2 4 3" xfId="14482"/>
    <cellStyle name="쉼표 [0] 5 3 2 2 4 3 2" xfId="31186"/>
    <cellStyle name="쉼표 [0] 5 3 2 2 4 4" xfId="20050"/>
    <cellStyle name="쉼표 [0] 5 3 2 2 5" xfId="6130"/>
    <cellStyle name="쉼표 [0] 5 3 2 2 5 2" xfId="22834"/>
    <cellStyle name="쉼표 [0] 5 3 2 2 6" xfId="11698"/>
    <cellStyle name="쉼표 [0] 5 3 2 2 6 2" xfId="28402"/>
    <cellStyle name="쉼표 [0] 5 3 2 2 7" xfId="17266"/>
    <cellStyle name="쉼표 [0] 5 3 2 3" xfId="794"/>
    <cellStyle name="쉼표 [0] 5 3 2 3 2" xfId="1490"/>
    <cellStyle name="쉼표 [0] 5 3 2 3 2 2" xfId="2882"/>
    <cellStyle name="쉼표 [0] 5 3 2 3 2 2 2" xfId="5666"/>
    <cellStyle name="쉼표 [0] 5 3 2 3 2 2 2 2" xfId="11234"/>
    <cellStyle name="쉼표 [0] 5 3 2 3 2 2 2 2 2" xfId="27938"/>
    <cellStyle name="쉼표 [0] 5 3 2 3 2 2 2 3" xfId="16802"/>
    <cellStyle name="쉼표 [0] 5 3 2 3 2 2 2 3 2" xfId="33506"/>
    <cellStyle name="쉼표 [0] 5 3 2 3 2 2 2 4" xfId="22370"/>
    <cellStyle name="쉼표 [0] 5 3 2 3 2 2 3" xfId="8450"/>
    <cellStyle name="쉼표 [0] 5 3 2 3 2 2 3 2" xfId="25154"/>
    <cellStyle name="쉼표 [0] 5 3 2 3 2 2 4" xfId="14018"/>
    <cellStyle name="쉼표 [0] 5 3 2 3 2 2 4 2" xfId="30722"/>
    <cellStyle name="쉼표 [0] 5 3 2 3 2 2 5" xfId="19586"/>
    <cellStyle name="쉼표 [0] 5 3 2 3 2 3" xfId="4274"/>
    <cellStyle name="쉼표 [0] 5 3 2 3 2 3 2" xfId="9842"/>
    <cellStyle name="쉼표 [0] 5 3 2 3 2 3 2 2" xfId="26546"/>
    <cellStyle name="쉼표 [0] 5 3 2 3 2 3 3" xfId="15410"/>
    <cellStyle name="쉼표 [0] 5 3 2 3 2 3 3 2" xfId="32114"/>
    <cellStyle name="쉼표 [0] 5 3 2 3 2 3 4" xfId="20978"/>
    <cellStyle name="쉼표 [0] 5 3 2 3 2 4" xfId="7058"/>
    <cellStyle name="쉼표 [0] 5 3 2 3 2 4 2" xfId="23762"/>
    <cellStyle name="쉼표 [0] 5 3 2 3 2 5" xfId="12626"/>
    <cellStyle name="쉼표 [0] 5 3 2 3 2 5 2" xfId="29330"/>
    <cellStyle name="쉼표 [0] 5 3 2 3 2 6" xfId="18194"/>
    <cellStyle name="쉼표 [0] 5 3 2 3 3" xfId="2186"/>
    <cellStyle name="쉼표 [0] 5 3 2 3 3 2" xfId="4970"/>
    <cellStyle name="쉼표 [0] 5 3 2 3 3 2 2" xfId="10538"/>
    <cellStyle name="쉼표 [0] 5 3 2 3 3 2 2 2" xfId="27242"/>
    <cellStyle name="쉼표 [0] 5 3 2 3 3 2 3" xfId="16106"/>
    <cellStyle name="쉼표 [0] 5 3 2 3 3 2 3 2" xfId="32810"/>
    <cellStyle name="쉼표 [0] 5 3 2 3 3 2 4" xfId="21674"/>
    <cellStyle name="쉼표 [0] 5 3 2 3 3 3" xfId="7754"/>
    <cellStyle name="쉼표 [0] 5 3 2 3 3 3 2" xfId="24458"/>
    <cellStyle name="쉼표 [0] 5 3 2 3 3 4" xfId="13322"/>
    <cellStyle name="쉼표 [0] 5 3 2 3 3 4 2" xfId="30026"/>
    <cellStyle name="쉼표 [0] 5 3 2 3 3 5" xfId="18890"/>
    <cellStyle name="쉼표 [0] 5 3 2 3 4" xfId="3578"/>
    <cellStyle name="쉼표 [0] 5 3 2 3 4 2" xfId="9146"/>
    <cellStyle name="쉼표 [0] 5 3 2 3 4 2 2" xfId="25850"/>
    <cellStyle name="쉼표 [0] 5 3 2 3 4 3" xfId="14714"/>
    <cellStyle name="쉼표 [0] 5 3 2 3 4 3 2" xfId="31418"/>
    <cellStyle name="쉼표 [0] 5 3 2 3 4 4" xfId="20282"/>
    <cellStyle name="쉼표 [0] 5 3 2 3 5" xfId="6362"/>
    <cellStyle name="쉼표 [0] 5 3 2 3 5 2" xfId="23066"/>
    <cellStyle name="쉼표 [0] 5 3 2 3 6" xfId="11930"/>
    <cellStyle name="쉼표 [0] 5 3 2 3 6 2" xfId="28634"/>
    <cellStyle name="쉼표 [0] 5 3 2 3 7" xfId="17498"/>
    <cellStyle name="쉼표 [0] 5 3 2 4" xfId="1026"/>
    <cellStyle name="쉼표 [0] 5 3 2 4 2" xfId="2418"/>
    <cellStyle name="쉼표 [0] 5 3 2 4 2 2" xfId="5202"/>
    <cellStyle name="쉼표 [0] 5 3 2 4 2 2 2" xfId="10770"/>
    <cellStyle name="쉼표 [0] 5 3 2 4 2 2 2 2" xfId="27474"/>
    <cellStyle name="쉼표 [0] 5 3 2 4 2 2 3" xfId="16338"/>
    <cellStyle name="쉼표 [0] 5 3 2 4 2 2 3 2" xfId="33042"/>
    <cellStyle name="쉼표 [0] 5 3 2 4 2 2 4" xfId="21906"/>
    <cellStyle name="쉼표 [0] 5 3 2 4 2 3" xfId="7986"/>
    <cellStyle name="쉼표 [0] 5 3 2 4 2 3 2" xfId="24690"/>
    <cellStyle name="쉼표 [0] 5 3 2 4 2 4" xfId="13554"/>
    <cellStyle name="쉼표 [0] 5 3 2 4 2 4 2" xfId="30258"/>
    <cellStyle name="쉼표 [0] 5 3 2 4 2 5" xfId="19122"/>
    <cellStyle name="쉼표 [0] 5 3 2 4 3" xfId="3810"/>
    <cellStyle name="쉼표 [0] 5 3 2 4 3 2" xfId="9378"/>
    <cellStyle name="쉼표 [0] 5 3 2 4 3 2 2" xfId="26082"/>
    <cellStyle name="쉼표 [0] 5 3 2 4 3 3" xfId="14946"/>
    <cellStyle name="쉼표 [0] 5 3 2 4 3 3 2" xfId="31650"/>
    <cellStyle name="쉼표 [0] 5 3 2 4 3 4" xfId="20514"/>
    <cellStyle name="쉼표 [0] 5 3 2 4 4" xfId="6594"/>
    <cellStyle name="쉼표 [0] 5 3 2 4 4 2" xfId="23298"/>
    <cellStyle name="쉼표 [0] 5 3 2 4 5" xfId="12162"/>
    <cellStyle name="쉼표 [0] 5 3 2 4 5 2" xfId="28866"/>
    <cellStyle name="쉼표 [0] 5 3 2 4 6" xfId="17730"/>
    <cellStyle name="쉼표 [0] 5 3 2 5" xfId="1722"/>
    <cellStyle name="쉼표 [0] 5 3 2 5 2" xfId="4506"/>
    <cellStyle name="쉼표 [0] 5 3 2 5 2 2" xfId="10074"/>
    <cellStyle name="쉼표 [0] 5 3 2 5 2 2 2" xfId="26778"/>
    <cellStyle name="쉼표 [0] 5 3 2 5 2 3" xfId="15642"/>
    <cellStyle name="쉼표 [0] 5 3 2 5 2 3 2" xfId="32346"/>
    <cellStyle name="쉼표 [0] 5 3 2 5 2 4" xfId="21210"/>
    <cellStyle name="쉼표 [0] 5 3 2 5 3" xfId="7290"/>
    <cellStyle name="쉼표 [0] 5 3 2 5 3 2" xfId="23994"/>
    <cellStyle name="쉼표 [0] 5 3 2 5 4" xfId="12858"/>
    <cellStyle name="쉼표 [0] 5 3 2 5 4 2" xfId="29562"/>
    <cellStyle name="쉼표 [0] 5 3 2 5 5" xfId="18426"/>
    <cellStyle name="쉼표 [0] 5 3 2 6" xfId="3114"/>
    <cellStyle name="쉼표 [0] 5 3 2 6 2" xfId="8682"/>
    <cellStyle name="쉼표 [0] 5 3 2 6 2 2" xfId="25386"/>
    <cellStyle name="쉼표 [0] 5 3 2 6 3" xfId="14250"/>
    <cellStyle name="쉼표 [0] 5 3 2 6 3 2" xfId="30954"/>
    <cellStyle name="쉼표 [0] 5 3 2 6 4" xfId="19818"/>
    <cellStyle name="쉼표 [0] 5 3 2 7" xfId="5898"/>
    <cellStyle name="쉼표 [0] 5 3 2 7 2" xfId="22602"/>
    <cellStyle name="쉼표 [0] 5 3 2 8" xfId="11466"/>
    <cellStyle name="쉼표 [0] 5 3 2 8 2" xfId="28170"/>
    <cellStyle name="쉼표 [0] 5 3 2 9" xfId="17034"/>
    <cellStyle name="쉼표 [0] 5 3 3" xfId="446"/>
    <cellStyle name="쉼표 [0] 5 3 3 2" xfId="1142"/>
    <cellStyle name="쉼표 [0] 5 3 3 2 2" xfId="2534"/>
    <cellStyle name="쉼표 [0] 5 3 3 2 2 2" xfId="5318"/>
    <cellStyle name="쉼표 [0] 5 3 3 2 2 2 2" xfId="10886"/>
    <cellStyle name="쉼표 [0] 5 3 3 2 2 2 2 2" xfId="27590"/>
    <cellStyle name="쉼표 [0] 5 3 3 2 2 2 3" xfId="16454"/>
    <cellStyle name="쉼표 [0] 5 3 3 2 2 2 3 2" xfId="33158"/>
    <cellStyle name="쉼표 [0] 5 3 3 2 2 2 4" xfId="22022"/>
    <cellStyle name="쉼표 [0] 5 3 3 2 2 3" xfId="8102"/>
    <cellStyle name="쉼표 [0] 5 3 3 2 2 3 2" xfId="24806"/>
    <cellStyle name="쉼표 [0] 5 3 3 2 2 4" xfId="13670"/>
    <cellStyle name="쉼표 [0] 5 3 3 2 2 4 2" xfId="30374"/>
    <cellStyle name="쉼표 [0] 5 3 3 2 2 5" xfId="19238"/>
    <cellStyle name="쉼표 [0] 5 3 3 2 3" xfId="3926"/>
    <cellStyle name="쉼표 [0] 5 3 3 2 3 2" xfId="9494"/>
    <cellStyle name="쉼표 [0] 5 3 3 2 3 2 2" xfId="26198"/>
    <cellStyle name="쉼표 [0] 5 3 3 2 3 3" xfId="15062"/>
    <cellStyle name="쉼표 [0] 5 3 3 2 3 3 2" xfId="31766"/>
    <cellStyle name="쉼표 [0] 5 3 3 2 3 4" xfId="20630"/>
    <cellStyle name="쉼표 [0] 5 3 3 2 4" xfId="6710"/>
    <cellStyle name="쉼표 [0] 5 3 3 2 4 2" xfId="23414"/>
    <cellStyle name="쉼표 [0] 5 3 3 2 5" xfId="12278"/>
    <cellStyle name="쉼표 [0] 5 3 3 2 5 2" xfId="28982"/>
    <cellStyle name="쉼표 [0] 5 3 3 2 6" xfId="17846"/>
    <cellStyle name="쉼표 [0] 5 3 3 3" xfId="1838"/>
    <cellStyle name="쉼표 [0] 5 3 3 3 2" xfId="4622"/>
    <cellStyle name="쉼표 [0] 5 3 3 3 2 2" xfId="10190"/>
    <cellStyle name="쉼표 [0] 5 3 3 3 2 2 2" xfId="26894"/>
    <cellStyle name="쉼표 [0] 5 3 3 3 2 3" xfId="15758"/>
    <cellStyle name="쉼표 [0] 5 3 3 3 2 3 2" xfId="32462"/>
    <cellStyle name="쉼표 [0] 5 3 3 3 2 4" xfId="21326"/>
    <cellStyle name="쉼표 [0] 5 3 3 3 3" xfId="7406"/>
    <cellStyle name="쉼표 [0] 5 3 3 3 3 2" xfId="24110"/>
    <cellStyle name="쉼표 [0] 5 3 3 3 4" xfId="12974"/>
    <cellStyle name="쉼표 [0] 5 3 3 3 4 2" xfId="29678"/>
    <cellStyle name="쉼표 [0] 5 3 3 3 5" xfId="18542"/>
    <cellStyle name="쉼표 [0] 5 3 3 4" xfId="3230"/>
    <cellStyle name="쉼표 [0] 5 3 3 4 2" xfId="8798"/>
    <cellStyle name="쉼표 [0] 5 3 3 4 2 2" xfId="25502"/>
    <cellStyle name="쉼표 [0] 5 3 3 4 3" xfId="14366"/>
    <cellStyle name="쉼표 [0] 5 3 3 4 3 2" xfId="31070"/>
    <cellStyle name="쉼표 [0] 5 3 3 4 4" xfId="19934"/>
    <cellStyle name="쉼표 [0] 5 3 3 5" xfId="6014"/>
    <cellStyle name="쉼표 [0] 5 3 3 5 2" xfId="22718"/>
    <cellStyle name="쉼표 [0] 5 3 3 6" xfId="11582"/>
    <cellStyle name="쉼표 [0] 5 3 3 6 2" xfId="28286"/>
    <cellStyle name="쉼표 [0] 5 3 3 7" xfId="17150"/>
    <cellStyle name="쉼표 [0] 5 3 4" xfId="678"/>
    <cellStyle name="쉼표 [0] 5 3 4 2" xfId="1374"/>
    <cellStyle name="쉼표 [0] 5 3 4 2 2" xfId="2766"/>
    <cellStyle name="쉼표 [0] 5 3 4 2 2 2" xfId="5550"/>
    <cellStyle name="쉼표 [0] 5 3 4 2 2 2 2" xfId="11118"/>
    <cellStyle name="쉼표 [0] 5 3 4 2 2 2 2 2" xfId="27822"/>
    <cellStyle name="쉼표 [0] 5 3 4 2 2 2 3" xfId="16686"/>
    <cellStyle name="쉼표 [0] 5 3 4 2 2 2 3 2" xfId="33390"/>
    <cellStyle name="쉼표 [0] 5 3 4 2 2 2 4" xfId="22254"/>
    <cellStyle name="쉼표 [0] 5 3 4 2 2 3" xfId="8334"/>
    <cellStyle name="쉼표 [0] 5 3 4 2 2 3 2" xfId="25038"/>
    <cellStyle name="쉼표 [0] 5 3 4 2 2 4" xfId="13902"/>
    <cellStyle name="쉼표 [0] 5 3 4 2 2 4 2" xfId="30606"/>
    <cellStyle name="쉼표 [0] 5 3 4 2 2 5" xfId="19470"/>
    <cellStyle name="쉼표 [0] 5 3 4 2 3" xfId="4158"/>
    <cellStyle name="쉼표 [0] 5 3 4 2 3 2" xfId="9726"/>
    <cellStyle name="쉼표 [0] 5 3 4 2 3 2 2" xfId="26430"/>
    <cellStyle name="쉼표 [0] 5 3 4 2 3 3" xfId="15294"/>
    <cellStyle name="쉼표 [0] 5 3 4 2 3 3 2" xfId="31998"/>
    <cellStyle name="쉼표 [0] 5 3 4 2 3 4" xfId="20862"/>
    <cellStyle name="쉼표 [0] 5 3 4 2 4" xfId="6942"/>
    <cellStyle name="쉼표 [0] 5 3 4 2 4 2" xfId="23646"/>
    <cellStyle name="쉼표 [0] 5 3 4 2 5" xfId="12510"/>
    <cellStyle name="쉼표 [0] 5 3 4 2 5 2" xfId="29214"/>
    <cellStyle name="쉼표 [0] 5 3 4 2 6" xfId="18078"/>
    <cellStyle name="쉼표 [0] 5 3 4 3" xfId="2070"/>
    <cellStyle name="쉼표 [0] 5 3 4 3 2" xfId="4854"/>
    <cellStyle name="쉼표 [0] 5 3 4 3 2 2" xfId="10422"/>
    <cellStyle name="쉼표 [0] 5 3 4 3 2 2 2" xfId="27126"/>
    <cellStyle name="쉼표 [0] 5 3 4 3 2 3" xfId="15990"/>
    <cellStyle name="쉼표 [0] 5 3 4 3 2 3 2" xfId="32694"/>
    <cellStyle name="쉼표 [0] 5 3 4 3 2 4" xfId="21558"/>
    <cellStyle name="쉼표 [0] 5 3 4 3 3" xfId="7638"/>
    <cellStyle name="쉼표 [0] 5 3 4 3 3 2" xfId="24342"/>
    <cellStyle name="쉼표 [0] 5 3 4 3 4" xfId="13206"/>
    <cellStyle name="쉼표 [0] 5 3 4 3 4 2" xfId="29910"/>
    <cellStyle name="쉼표 [0] 5 3 4 3 5" xfId="18774"/>
    <cellStyle name="쉼표 [0] 5 3 4 4" xfId="3462"/>
    <cellStyle name="쉼표 [0] 5 3 4 4 2" xfId="9030"/>
    <cellStyle name="쉼표 [0] 5 3 4 4 2 2" xfId="25734"/>
    <cellStyle name="쉼표 [0] 5 3 4 4 3" xfId="14598"/>
    <cellStyle name="쉼표 [0] 5 3 4 4 3 2" xfId="31302"/>
    <cellStyle name="쉼표 [0] 5 3 4 4 4" xfId="20166"/>
    <cellStyle name="쉼표 [0] 5 3 4 5" xfId="6246"/>
    <cellStyle name="쉼표 [0] 5 3 4 5 2" xfId="22950"/>
    <cellStyle name="쉼표 [0] 5 3 4 6" xfId="11814"/>
    <cellStyle name="쉼표 [0] 5 3 4 6 2" xfId="28518"/>
    <cellStyle name="쉼표 [0] 5 3 4 7" xfId="17382"/>
    <cellStyle name="쉼표 [0] 5 3 5" xfId="910"/>
    <cellStyle name="쉼표 [0] 5 3 5 2" xfId="2302"/>
    <cellStyle name="쉼표 [0] 5 3 5 2 2" xfId="5086"/>
    <cellStyle name="쉼표 [0] 5 3 5 2 2 2" xfId="10654"/>
    <cellStyle name="쉼표 [0] 5 3 5 2 2 2 2" xfId="27358"/>
    <cellStyle name="쉼표 [0] 5 3 5 2 2 3" xfId="16222"/>
    <cellStyle name="쉼표 [0] 5 3 5 2 2 3 2" xfId="32926"/>
    <cellStyle name="쉼표 [0] 5 3 5 2 2 4" xfId="21790"/>
    <cellStyle name="쉼표 [0] 5 3 5 2 3" xfId="7870"/>
    <cellStyle name="쉼표 [0] 5 3 5 2 3 2" xfId="24574"/>
    <cellStyle name="쉼표 [0] 5 3 5 2 4" xfId="13438"/>
    <cellStyle name="쉼표 [0] 5 3 5 2 4 2" xfId="30142"/>
    <cellStyle name="쉼표 [0] 5 3 5 2 5" xfId="19006"/>
    <cellStyle name="쉼표 [0] 5 3 5 3" xfId="3694"/>
    <cellStyle name="쉼표 [0] 5 3 5 3 2" xfId="9262"/>
    <cellStyle name="쉼표 [0] 5 3 5 3 2 2" xfId="25966"/>
    <cellStyle name="쉼표 [0] 5 3 5 3 3" xfId="14830"/>
    <cellStyle name="쉼표 [0] 5 3 5 3 3 2" xfId="31534"/>
    <cellStyle name="쉼표 [0] 5 3 5 3 4" xfId="20398"/>
    <cellStyle name="쉼표 [0] 5 3 5 4" xfId="6478"/>
    <cellStyle name="쉼표 [0] 5 3 5 4 2" xfId="23182"/>
    <cellStyle name="쉼표 [0] 5 3 5 5" xfId="12046"/>
    <cellStyle name="쉼표 [0] 5 3 5 5 2" xfId="28750"/>
    <cellStyle name="쉼표 [0] 5 3 5 6" xfId="17614"/>
    <cellStyle name="쉼표 [0] 5 3 6" xfId="1606"/>
    <cellStyle name="쉼표 [0] 5 3 6 2" xfId="4390"/>
    <cellStyle name="쉼표 [0] 5 3 6 2 2" xfId="9958"/>
    <cellStyle name="쉼표 [0] 5 3 6 2 2 2" xfId="26662"/>
    <cellStyle name="쉼표 [0] 5 3 6 2 3" xfId="15526"/>
    <cellStyle name="쉼표 [0] 5 3 6 2 3 2" xfId="32230"/>
    <cellStyle name="쉼표 [0] 5 3 6 2 4" xfId="21094"/>
    <cellStyle name="쉼표 [0] 5 3 6 3" xfId="7174"/>
    <cellStyle name="쉼표 [0] 5 3 6 3 2" xfId="23878"/>
    <cellStyle name="쉼표 [0] 5 3 6 4" xfId="12742"/>
    <cellStyle name="쉼표 [0] 5 3 6 4 2" xfId="29446"/>
    <cellStyle name="쉼표 [0] 5 3 6 5" xfId="18310"/>
    <cellStyle name="쉼표 [0] 5 3 7" xfId="2998"/>
    <cellStyle name="쉼표 [0] 5 3 7 2" xfId="8566"/>
    <cellStyle name="쉼표 [0] 5 3 7 2 2" xfId="25270"/>
    <cellStyle name="쉼표 [0] 5 3 7 3" xfId="14134"/>
    <cellStyle name="쉼표 [0] 5 3 7 3 2" xfId="30838"/>
    <cellStyle name="쉼표 [0] 5 3 7 4" xfId="19702"/>
    <cellStyle name="쉼표 [0] 5 3 8" xfId="5782"/>
    <cellStyle name="쉼표 [0] 5 3 8 2" xfId="22486"/>
    <cellStyle name="쉼표 [0] 5 3 9" xfId="11350"/>
    <cellStyle name="쉼표 [0] 5 3 9 2" xfId="28054"/>
    <cellStyle name="쉼표 [0] 5 4" xfId="272"/>
    <cellStyle name="쉼표 [0] 5 4 2" xfId="504"/>
    <cellStyle name="쉼표 [0] 5 4 2 2" xfId="1200"/>
    <cellStyle name="쉼표 [0] 5 4 2 2 2" xfId="2592"/>
    <cellStyle name="쉼표 [0] 5 4 2 2 2 2" xfId="5376"/>
    <cellStyle name="쉼표 [0] 5 4 2 2 2 2 2" xfId="10944"/>
    <cellStyle name="쉼표 [0] 5 4 2 2 2 2 2 2" xfId="27648"/>
    <cellStyle name="쉼표 [0] 5 4 2 2 2 2 3" xfId="16512"/>
    <cellStyle name="쉼표 [0] 5 4 2 2 2 2 3 2" xfId="33216"/>
    <cellStyle name="쉼표 [0] 5 4 2 2 2 2 4" xfId="22080"/>
    <cellStyle name="쉼표 [0] 5 4 2 2 2 3" xfId="8160"/>
    <cellStyle name="쉼표 [0] 5 4 2 2 2 3 2" xfId="24864"/>
    <cellStyle name="쉼표 [0] 5 4 2 2 2 4" xfId="13728"/>
    <cellStyle name="쉼표 [0] 5 4 2 2 2 4 2" xfId="30432"/>
    <cellStyle name="쉼표 [0] 5 4 2 2 2 5" xfId="19296"/>
    <cellStyle name="쉼표 [0] 5 4 2 2 3" xfId="3984"/>
    <cellStyle name="쉼표 [0] 5 4 2 2 3 2" xfId="9552"/>
    <cellStyle name="쉼표 [0] 5 4 2 2 3 2 2" xfId="26256"/>
    <cellStyle name="쉼표 [0] 5 4 2 2 3 3" xfId="15120"/>
    <cellStyle name="쉼표 [0] 5 4 2 2 3 3 2" xfId="31824"/>
    <cellStyle name="쉼표 [0] 5 4 2 2 3 4" xfId="20688"/>
    <cellStyle name="쉼표 [0] 5 4 2 2 4" xfId="6768"/>
    <cellStyle name="쉼표 [0] 5 4 2 2 4 2" xfId="23472"/>
    <cellStyle name="쉼표 [0] 5 4 2 2 5" xfId="12336"/>
    <cellStyle name="쉼표 [0] 5 4 2 2 5 2" xfId="29040"/>
    <cellStyle name="쉼표 [0] 5 4 2 2 6" xfId="17904"/>
    <cellStyle name="쉼표 [0] 5 4 2 3" xfId="1896"/>
    <cellStyle name="쉼표 [0] 5 4 2 3 2" xfId="4680"/>
    <cellStyle name="쉼표 [0] 5 4 2 3 2 2" xfId="10248"/>
    <cellStyle name="쉼표 [0] 5 4 2 3 2 2 2" xfId="26952"/>
    <cellStyle name="쉼표 [0] 5 4 2 3 2 3" xfId="15816"/>
    <cellStyle name="쉼표 [0] 5 4 2 3 2 3 2" xfId="32520"/>
    <cellStyle name="쉼표 [0] 5 4 2 3 2 4" xfId="21384"/>
    <cellStyle name="쉼표 [0] 5 4 2 3 3" xfId="7464"/>
    <cellStyle name="쉼표 [0] 5 4 2 3 3 2" xfId="24168"/>
    <cellStyle name="쉼표 [0] 5 4 2 3 4" xfId="13032"/>
    <cellStyle name="쉼표 [0] 5 4 2 3 4 2" xfId="29736"/>
    <cellStyle name="쉼표 [0] 5 4 2 3 5" xfId="18600"/>
    <cellStyle name="쉼표 [0] 5 4 2 4" xfId="3288"/>
    <cellStyle name="쉼표 [0] 5 4 2 4 2" xfId="8856"/>
    <cellStyle name="쉼표 [0] 5 4 2 4 2 2" xfId="25560"/>
    <cellStyle name="쉼표 [0] 5 4 2 4 3" xfId="14424"/>
    <cellStyle name="쉼표 [0] 5 4 2 4 3 2" xfId="31128"/>
    <cellStyle name="쉼표 [0] 5 4 2 4 4" xfId="19992"/>
    <cellStyle name="쉼표 [0] 5 4 2 5" xfId="6072"/>
    <cellStyle name="쉼표 [0] 5 4 2 5 2" xfId="22776"/>
    <cellStyle name="쉼표 [0] 5 4 2 6" xfId="11640"/>
    <cellStyle name="쉼표 [0] 5 4 2 6 2" xfId="28344"/>
    <cellStyle name="쉼표 [0] 5 4 2 7" xfId="17208"/>
    <cellStyle name="쉼표 [0] 5 4 3" xfId="736"/>
    <cellStyle name="쉼표 [0] 5 4 3 2" xfId="1432"/>
    <cellStyle name="쉼표 [0] 5 4 3 2 2" xfId="2824"/>
    <cellStyle name="쉼표 [0] 5 4 3 2 2 2" xfId="5608"/>
    <cellStyle name="쉼표 [0] 5 4 3 2 2 2 2" xfId="11176"/>
    <cellStyle name="쉼표 [0] 5 4 3 2 2 2 2 2" xfId="27880"/>
    <cellStyle name="쉼표 [0] 5 4 3 2 2 2 3" xfId="16744"/>
    <cellStyle name="쉼표 [0] 5 4 3 2 2 2 3 2" xfId="33448"/>
    <cellStyle name="쉼표 [0] 5 4 3 2 2 2 4" xfId="22312"/>
    <cellStyle name="쉼표 [0] 5 4 3 2 2 3" xfId="8392"/>
    <cellStyle name="쉼표 [0] 5 4 3 2 2 3 2" xfId="25096"/>
    <cellStyle name="쉼표 [0] 5 4 3 2 2 4" xfId="13960"/>
    <cellStyle name="쉼표 [0] 5 4 3 2 2 4 2" xfId="30664"/>
    <cellStyle name="쉼표 [0] 5 4 3 2 2 5" xfId="19528"/>
    <cellStyle name="쉼표 [0] 5 4 3 2 3" xfId="4216"/>
    <cellStyle name="쉼표 [0] 5 4 3 2 3 2" xfId="9784"/>
    <cellStyle name="쉼표 [0] 5 4 3 2 3 2 2" xfId="26488"/>
    <cellStyle name="쉼표 [0] 5 4 3 2 3 3" xfId="15352"/>
    <cellStyle name="쉼표 [0] 5 4 3 2 3 3 2" xfId="32056"/>
    <cellStyle name="쉼표 [0] 5 4 3 2 3 4" xfId="20920"/>
    <cellStyle name="쉼표 [0] 5 4 3 2 4" xfId="7000"/>
    <cellStyle name="쉼표 [0] 5 4 3 2 4 2" xfId="23704"/>
    <cellStyle name="쉼표 [0] 5 4 3 2 5" xfId="12568"/>
    <cellStyle name="쉼표 [0] 5 4 3 2 5 2" xfId="29272"/>
    <cellStyle name="쉼표 [0] 5 4 3 2 6" xfId="18136"/>
    <cellStyle name="쉼표 [0] 5 4 3 3" xfId="2128"/>
    <cellStyle name="쉼표 [0] 5 4 3 3 2" xfId="4912"/>
    <cellStyle name="쉼표 [0] 5 4 3 3 2 2" xfId="10480"/>
    <cellStyle name="쉼표 [0] 5 4 3 3 2 2 2" xfId="27184"/>
    <cellStyle name="쉼표 [0] 5 4 3 3 2 3" xfId="16048"/>
    <cellStyle name="쉼표 [0] 5 4 3 3 2 3 2" xfId="32752"/>
    <cellStyle name="쉼표 [0] 5 4 3 3 2 4" xfId="21616"/>
    <cellStyle name="쉼표 [0] 5 4 3 3 3" xfId="7696"/>
    <cellStyle name="쉼표 [0] 5 4 3 3 3 2" xfId="24400"/>
    <cellStyle name="쉼표 [0] 5 4 3 3 4" xfId="13264"/>
    <cellStyle name="쉼표 [0] 5 4 3 3 4 2" xfId="29968"/>
    <cellStyle name="쉼표 [0] 5 4 3 3 5" xfId="18832"/>
    <cellStyle name="쉼표 [0] 5 4 3 4" xfId="3520"/>
    <cellStyle name="쉼표 [0] 5 4 3 4 2" xfId="9088"/>
    <cellStyle name="쉼표 [0] 5 4 3 4 2 2" xfId="25792"/>
    <cellStyle name="쉼표 [0] 5 4 3 4 3" xfId="14656"/>
    <cellStyle name="쉼표 [0] 5 4 3 4 3 2" xfId="31360"/>
    <cellStyle name="쉼표 [0] 5 4 3 4 4" xfId="20224"/>
    <cellStyle name="쉼표 [0] 5 4 3 5" xfId="6304"/>
    <cellStyle name="쉼표 [0] 5 4 3 5 2" xfId="23008"/>
    <cellStyle name="쉼표 [0] 5 4 3 6" xfId="11872"/>
    <cellStyle name="쉼표 [0] 5 4 3 6 2" xfId="28576"/>
    <cellStyle name="쉼표 [0] 5 4 3 7" xfId="17440"/>
    <cellStyle name="쉼표 [0] 5 4 4" xfId="968"/>
    <cellStyle name="쉼표 [0] 5 4 4 2" xfId="2360"/>
    <cellStyle name="쉼표 [0] 5 4 4 2 2" xfId="5144"/>
    <cellStyle name="쉼표 [0] 5 4 4 2 2 2" xfId="10712"/>
    <cellStyle name="쉼표 [0] 5 4 4 2 2 2 2" xfId="27416"/>
    <cellStyle name="쉼표 [0] 5 4 4 2 2 3" xfId="16280"/>
    <cellStyle name="쉼표 [0] 5 4 4 2 2 3 2" xfId="32984"/>
    <cellStyle name="쉼표 [0] 5 4 4 2 2 4" xfId="21848"/>
    <cellStyle name="쉼표 [0] 5 4 4 2 3" xfId="7928"/>
    <cellStyle name="쉼표 [0] 5 4 4 2 3 2" xfId="24632"/>
    <cellStyle name="쉼표 [0] 5 4 4 2 4" xfId="13496"/>
    <cellStyle name="쉼표 [0] 5 4 4 2 4 2" xfId="30200"/>
    <cellStyle name="쉼표 [0] 5 4 4 2 5" xfId="19064"/>
    <cellStyle name="쉼표 [0] 5 4 4 3" xfId="3752"/>
    <cellStyle name="쉼표 [0] 5 4 4 3 2" xfId="9320"/>
    <cellStyle name="쉼표 [0] 5 4 4 3 2 2" xfId="26024"/>
    <cellStyle name="쉼표 [0] 5 4 4 3 3" xfId="14888"/>
    <cellStyle name="쉼표 [0] 5 4 4 3 3 2" xfId="31592"/>
    <cellStyle name="쉼표 [0] 5 4 4 3 4" xfId="20456"/>
    <cellStyle name="쉼표 [0] 5 4 4 4" xfId="6536"/>
    <cellStyle name="쉼표 [0] 5 4 4 4 2" xfId="23240"/>
    <cellStyle name="쉼표 [0] 5 4 4 5" xfId="12104"/>
    <cellStyle name="쉼표 [0] 5 4 4 5 2" xfId="28808"/>
    <cellStyle name="쉼표 [0] 5 4 4 6" xfId="17672"/>
    <cellStyle name="쉼표 [0] 5 4 5" xfId="1664"/>
    <cellStyle name="쉼표 [0] 5 4 5 2" xfId="4448"/>
    <cellStyle name="쉼표 [0] 5 4 5 2 2" xfId="10016"/>
    <cellStyle name="쉼표 [0] 5 4 5 2 2 2" xfId="26720"/>
    <cellStyle name="쉼표 [0] 5 4 5 2 3" xfId="15584"/>
    <cellStyle name="쉼표 [0] 5 4 5 2 3 2" xfId="32288"/>
    <cellStyle name="쉼표 [0] 5 4 5 2 4" xfId="21152"/>
    <cellStyle name="쉼표 [0] 5 4 5 3" xfId="7232"/>
    <cellStyle name="쉼표 [0] 5 4 5 3 2" xfId="23936"/>
    <cellStyle name="쉼표 [0] 5 4 5 4" xfId="12800"/>
    <cellStyle name="쉼표 [0] 5 4 5 4 2" xfId="29504"/>
    <cellStyle name="쉼표 [0] 5 4 5 5" xfId="18368"/>
    <cellStyle name="쉼표 [0] 5 4 6" xfId="3056"/>
    <cellStyle name="쉼표 [0] 5 4 6 2" xfId="8624"/>
    <cellStyle name="쉼표 [0] 5 4 6 2 2" xfId="25328"/>
    <cellStyle name="쉼표 [0] 5 4 6 3" xfId="14192"/>
    <cellStyle name="쉼표 [0] 5 4 6 3 2" xfId="30896"/>
    <cellStyle name="쉼표 [0] 5 4 6 4" xfId="19760"/>
    <cellStyle name="쉼표 [0] 5 4 7" xfId="5840"/>
    <cellStyle name="쉼표 [0] 5 4 7 2" xfId="22544"/>
    <cellStyle name="쉼표 [0] 5 4 8" xfId="11408"/>
    <cellStyle name="쉼표 [0] 5 4 8 2" xfId="28112"/>
    <cellStyle name="쉼표 [0] 5 4 9" xfId="16976"/>
    <cellStyle name="쉼표 [0] 5 5" xfId="388"/>
    <cellStyle name="쉼표 [0] 5 5 2" xfId="1084"/>
    <cellStyle name="쉼표 [0] 5 5 2 2" xfId="2476"/>
    <cellStyle name="쉼표 [0] 5 5 2 2 2" xfId="5260"/>
    <cellStyle name="쉼표 [0] 5 5 2 2 2 2" xfId="10828"/>
    <cellStyle name="쉼표 [0] 5 5 2 2 2 2 2" xfId="27532"/>
    <cellStyle name="쉼표 [0] 5 5 2 2 2 3" xfId="16396"/>
    <cellStyle name="쉼표 [0] 5 5 2 2 2 3 2" xfId="33100"/>
    <cellStyle name="쉼표 [0] 5 5 2 2 2 4" xfId="21964"/>
    <cellStyle name="쉼표 [0] 5 5 2 2 3" xfId="8044"/>
    <cellStyle name="쉼표 [0] 5 5 2 2 3 2" xfId="24748"/>
    <cellStyle name="쉼표 [0] 5 5 2 2 4" xfId="13612"/>
    <cellStyle name="쉼표 [0] 5 5 2 2 4 2" xfId="30316"/>
    <cellStyle name="쉼표 [0] 5 5 2 2 5" xfId="19180"/>
    <cellStyle name="쉼표 [0] 5 5 2 3" xfId="3868"/>
    <cellStyle name="쉼표 [0] 5 5 2 3 2" xfId="9436"/>
    <cellStyle name="쉼표 [0] 5 5 2 3 2 2" xfId="26140"/>
    <cellStyle name="쉼표 [0] 5 5 2 3 3" xfId="15004"/>
    <cellStyle name="쉼표 [0] 5 5 2 3 3 2" xfId="31708"/>
    <cellStyle name="쉼표 [0] 5 5 2 3 4" xfId="20572"/>
    <cellStyle name="쉼표 [0] 5 5 2 4" xfId="6652"/>
    <cellStyle name="쉼표 [0] 5 5 2 4 2" xfId="23356"/>
    <cellStyle name="쉼표 [0] 5 5 2 5" xfId="12220"/>
    <cellStyle name="쉼표 [0] 5 5 2 5 2" xfId="28924"/>
    <cellStyle name="쉼표 [0] 5 5 2 6" xfId="17788"/>
    <cellStyle name="쉼표 [0] 5 5 3" xfId="1780"/>
    <cellStyle name="쉼표 [0] 5 5 3 2" xfId="4564"/>
    <cellStyle name="쉼표 [0] 5 5 3 2 2" xfId="10132"/>
    <cellStyle name="쉼표 [0] 5 5 3 2 2 2" xfId="26836"/>
    <cellStyle name="쉼표 [0] 5 5 3 2 3" xfId="15700"/>
    <cellStyle name="쉼표 [0] 5 5 3 2 3 2" xfId="32404"/>
    <cellStyle name="쉼표 [0] 5 5 3 2 4" xfId="21268"/>
    <cellStyle name="쉼표 [0] 5 5 3 3" xfId="7348"/>
    <cellStyle name="쉼표 [0] 5 5 3 3 2" xfId="24052"/>
    <cellStyle name="쉼표 [0] 5 5 3 4" xfId="12916"/>
    <cellStyle name="쉼표 [0] 5 5 3 4 2" xfId="29620"/>
    <cellStyle name="쉼표 [0] 5 5 3 5" xfId="18484"/>
    <cellStyle name="쉼표 [0] 5 5 4" xfId="3172"/>
    <cellStyle name="쉼표 [0] 5 5 4 2" xfId="8740"/>
    <cellStyle name="쉼표 [0] 5 5 4 2 2" xfId="25444"/>
    <cellStyle name="쉼표 [0] 5 5 4 3" xfId="14308"/>
    <cellStyle name="쉼표 [0] 5 5 4 3 2" xfId="31012"/>
    <cellStyle name="쉼표 [0] 5 5 4 4" xfId="19876"/>
    <cellStyle name="쉼표 [0] 5 5 5" xfId="5956"/>
    <cellStyle name="쉼표 [0] 5 5 5 2" xfId="22660"/>
    <cellStyle name="쉼표 [0] 5 5 6" xfId="11524"/>
    <cellStyle name="쉼표 [0] 5 5 6 2" xfId="28228"/>
    <cellStyle name="쉼표 [0] 5 5 7" xfId="17092"/>
    <cellStyle name="쉼표 [0] 5 6" xfId="620"/>
    <cellStyle name="쉼표 [0] 5 6 2" xfId="1316"/>
    <cellStyle name="쉼표 [0] 5 6 2 2" xfId="2708"/>
    <cellStyle name="쉼표 [0] 5 6 2 2 2" xfId="5492"/>
    <cellStyle name="쉼표 [0] 5 6 2 2 2 2" xfId="11060"/>
    <cellStyle name="쉼표 [0] 5 6 2 2 2 2 2" xfId="27764"/>
    <cellStyle name="쉼표 [0] 5 6 2 2 2 3" xfId="16628"/>
    <cellStyle name="쉼표 [0] 5 6 2 2 2 3 2" xfId="33332"/>
    <cellStyle name="쉼표 [0] 5 6 2 2 2 4" xfId="22196"/>
    <cellStyle name="쉼표 [0] 5 6 2 2 3" xfId="8276"/>
    <cellStyle name="쉼표 [0] 5 6 2 2 3 2" xfId="24980"/>
    <cellStyle name="쉼표 [0] 5 6 2 2 4" xfId="13844"/>
    <cellStyle name="쉼표 [0] 5 6 2 2 4 2" xfId="30548"/>
    <cellStyle name="쉼표 [0] 5 6 2 2 5" xfId="19412"/>
    <cellStyle name="쉼표 [0] 5 6 2 3" xfId="4100"/>
    <cellStyle name="쉼표 [0] 5 6 2 3 2" xfId="9668"/>
    <cellStyle name="쉼표 [0] 5 6 2 3 2 2" xfId="26372"/>
    <cellStyle name="쉼표 [0] 5 6 2 3 3" xfId="15236"/>
    <cellStyle name="쉼표 [0] 5 6 2 3 3 2" xfId="31940"/>
    <cellStyle name="쉼표 [0] 5 6 2 3 4" xfId="20804"/>
    <cellStyle name="쉼표 [0] 5 6 2 4" xfId="6884"/>
    <cellStyle name="쉼표 [0] 5 6 2 4 2" xfId="23588"/>
    <cellStyle name="쉼표 [0] 5 6 2 5" xfId="12452"/>
    <cellStyle name="쉼표 [0] 5 6 2 5 2" xfId="29156"/>
    <cellStyle name="쉼표 [0] 5 6 2 6" xfId="18020"/>
    <cellStyle name="쉼표 [0] 5 6 3" xfId="2012"/>
    <cellStyle name="쉼표 [0] 5 6 3 2" xfId="4796"/>
    <cellStyle name="쉼표 [0] 5 6 3 2 2" xfId="10364"/>
    <cellStyle name="쉼표 [0] 5 6 3 2 2 2" xfId="27068"/>
    <cellStyle name="쉼표 [0] 5 6 3 2 3" xfId="15932"/>
    <cellStyle name="쉼표 [0] 5 6 3 2 3 2" xfId="32636"/>
    <cellStyle name="쉼표 [0] 5 6 3 2 4" xfId="21500"/>
    <cellStyle name="쉼표 [0] 5 6 3 3" xfId="7580"/>
    <cellStyle name="쉼표 [0] 5 6 3 3 2" xfId="24284"/>
    <cellStyle name="쉼표 [0] 5 6 3 4" xfId="13148"/>
    <cellStyle name="쉼표 [0] 5 6 3 4 2" xfId="29852"/>
    <cellStyle name="쉼표 [0] 5 6 3 5" xfId="18716"/>
    <cellStyle name="쉼표 [0] 5 6 4" xfId="3404"/>
    <cellStyle name="쉼표 [0] 5 6 4 2" xfId="8972"/>
    <cellStyle name="쉼표 [0] 5 6 4 2 2" xfId="25676"/>
    <cellStyle name="쉼표 [0] 5 6 4 3" xfId="14540"/>
    <cellStyle name="쉼표 [0] 5 6 4 3 2" xfId="31244"/>
    <cellStyle name="쉼표 [0] 5 6 4 4" xfId="20108"/>
    <cellStyle name="쉼표 [0] 5 6 5" xfId="6188"/>
    <cellStyle name="쉼표 [0] 5 6 5 2" xfId="22892"/>
    <cellStyle name="쉼표 [0] 5 6 6" xfId="11756"/>
    <cellStyle name="쉼표 [0] 5 6 6 2" xfId="28460"/>
    <cellStyle name="쉼표 [0] 5 6 7" xfId="17324"/>
    <cellStyle name="쉼표 [0] 5 7" xfId="852"/>
    <cellStyle name="쉼표 [0] 5 7 2" xfId="2244"/>
    <cellStyle name="쉼표 [0] 5 7 2 2" xfId="5028"/>
    <cellStyle name="쉼표 [0] 5 7 2 2 2" xfId="10596"/>
    <cellStyle name="쉼표 [0] 5 7 2 2 2 2" xfId="27300"/>
    <cellStyle name="쉼표 [0] 5 7 2 2 3" xfId="16164"/>
    <cellStyle name="쉼표 [0] 5 7 2 2 3 2" xfId="32868"/>
    <cellStyle name="쉼표 [0] 5 7 2 2 4" xfId="21732"/>
    <cellStyle name="쉼표 [0] 5 7 2 3" xfId="7812"/>
    <cellStyle name="쉼표 [0] 5 7 2 3 2" xfId="24516"/>
    <cellStyle name="쉼표 [0] 5 7 2 4" xfId="13380"/>
    <cellStyle name="쉼표 [0] 5 7 2 4 2" xfId="30084"/>
    <cellStyle name="쉼표 [0] 5 7 2 5" xfId="18948"/>
    <cellStyle name="쉼표 [0] 5 7 3" xfId="3636"/>
    <cellStyle name="쉼표 [0] 5 7 3 2" xfId="9204"/>
    <cellStyle name="쉼표 [0] 5 7 3 2 2" xfId="25908"/>
    <cellStyle name="쉼표 [0] 5 7 3 3" xfId="14772"/>
    <cellStyle name="쉼표 [0] 5 7 3 3 2" xfId="31476"/>
    <cellStyle name="쉼표 [0] 5 7 3 4" xfId="20340"/>
    <cellStyle name="쉼표 [0] 5 7 4" xfId="6420"/>
    <cellStyle name="쉼표 [0] 5 7 4 2" xfId="23124"/>
    <cellStyle name="쉼표 [0] 5 7 5" xfId="11988"/>
    <cellStyle name="쉼표 [0] 5 7 5 2" xfId="28692"/>
    <cellStyle name="쉼표 [0] 5 7 6" xfId="17556"/>
    <cellStyle name="쉼표 [0] 5 8" xfId="1548"/>
    <cellStyle name="쉼표 [0] 5 8 2" xfId="4332"/>
    <cellStyle name="쉼표 [0] 5 8 2 2" xfId="9900"/>
    <cellStyle name="쉼표 [0] 5 8 2 2 2" xfId="26604"/>
    <cellStyle name="쉼표 [0] 5 8 2 3" xfId="15468"/>
    <cellStyle name="쉼표 [0] 5 8 2 3 2" xfId="32172"/>
    <cellStyle name="쉼표 [0] 5 8 2 4" xfId="21036"/>
    <cellStyle name="쉼표 [0] 5 8 3" xfId="7116"/>
    <cellStyle name="쉼표 [0] 5 8 3 2" xfId="23820"/>
    <cellStyle name="쉼표 [0] 5 8 4" xfId="12684"/>
    <cellStyle name="쉼표 [0] 5 8 4 2" xfId="29388"/>
    <cellStyle name="쉼표 [0] 5 8 5" xfId="18252"/>
    <cellStyle name="쉼표 [0] 5 9" xfId="2940"/>
    <cellStyle name="쉼표 [0] 5 9 2" xfId="8508"/>
    <cellStyle name="쉼표 [0] 5 9 2 2" xfId="25212"/>
    <cellStyle name="쉼표 [0] 5 9 3" xfId="14076"/>
    <cellStyle name="쉼표 [0] 5 9 3 2" xfId="30780"/>
    <cellStyle name="쉼표 [0] 5 9 4" xfId="19644"/>
    <cellStyle name="쉼표 [0] 6" xfId="116"/>
    <cellStyle name="쉼표 [0] 6 10" xfId="5725"/>
    <cellStyle name="쉼표 [0] 6 10 2" xfId="22429"/>
    <cellStyle name="쉼표 [0] 6 11" xfId="11293"/>
    <cellStyle name="쉼표 [0] 6 11 2" xfId="27997"/>
    <cellStyle name="쉼표 [0] 6 12" xfId="16861"/>
    <cellStyle name="쉼표 [0] 6 2" xfId="186"/>
    <cellStyle name="쉼표 [0] 6 2 10" xfId="11322"/>
    <cellStyle name="쉼표 [0] 6 2 10 2" xfId="28026"/>
    <cellStyle name="쉼표 [0] 6 2 11" xfId="16890"/>
    <cellStyle name="쉼표 [0] 6 2 2" xfId="244"/>
    <cellStyle name="쉼표 [0] 6 2 2 10" xfId="16948"/>
    <cellStyle name="쉼표 [0] 6 2 2 2" xfId="360"/>
    <cellStyle name="쉼표 [0] 6 2 2 2 2" xfId="592"/>
    <cellStyle name="쉼표 [0] 6 2 2 2 2 2" xfId="1288"/>
    <cellStyle name="쉼표 [0] 6 2 2 2 2 2 2" xfId="2680"/>
    <cellStyle name="쉼표 [0] 6 2 2 2 2 2 2 2" xfId="5464"/>
    <cellStyle name="쉼표 [0] 6 2 2 2 2 2 2 2 2" xfId="11032"/>
    <cellStyle name="쉼표 [0] 6 2 2 2 2 2 2 2 2 2" xfId="27736"/>
    <cellStyle name="쉼표 [0] 6 2 2 2 2 2 2 2 3" xfId="16600"/>
    <cellStyle name="쉼표 [0] 6 2 2 2 2 2 2 2 3 2" xfId="33304"/>
    <cellStyle name="쉼표 [0] 6 2 2 2 2 2 2 2 4" xfId="22168"/>
    <cellStyle name="쉼표 [0] 6 2 2 2 2 2 2 3" xfId="8248"/>
    <cellStyle name="쉼표 [0] 6 2 2 2 2 2 2 3 2" xfId="24952"/>
    <cellStyle name="쉼표 [0] 6 2 2 2 2 2 2 4" xfId="13816"/>
    <cellStyle name="쉼표 [0] 6 2 2 2 2 2 2 4 2" xfId="30520"/>
    <cellStyle name="쉼표 [0] 6 2 2 2 2 2 2 5" xfId="19384"/>
    <cellStyle name="쉼표 [0] 6 2 2 2 2 2 3" xfId="4072"/>
    <cellStyle name="쉼표 [0] 6 2 2 2 2 2 3 2" xfId="9640"/>
    <cellStyle name="쉼표 [0] 6 2 2 2 2 2 3 2 2" xfId="26344"/>
    <cellStyle name="쉼표 [0] 6 2 2 2 2 2 3 3" xfId="15208"/>
    <cellStyle name="쉼표 [0] 6 2 2 2 2 2 3 3 2" xfId="31912"/>
    <cellStyle name="쉼표 [0] 6 2 2 2 2 2 3 4" xfId="20776"/>
    <cellStyle name="쉼표 [0] 6 2 2 2 2 2 4" xfId="6856"/>
    <cellStyle name="쉼표 [0] 6 2 2 2 2 2 4 2" xfId="23560"/>
    <cellStyle name="쉼표 [0] 6 2 2 2 2 2 5" xfId="12424"/>
    <cellStyle name="쉼표 [0] 6 2 2 2 2 2 5 2" xfId="29128"/>
    <cellStyle name="쉼표 [0] 6 2 2 2 2 2 6" xfId="17992"/>
    <cellStyle name="쉼표 [0] 6 2 2 2 2 3" xfId="1984"/>
    <cellStyle name="쉼표 [0] 6 2 2 2 2 3 2" xfId="4768"/>
    <cellStyle name="쉼표 [0] 6 2 2 2 2 3 2 2" xfId="10336"/>
    <cellStyle name="쉼표 [0] 6 2 2 2 2 3 2 2 2" xfId="27040"/>
    <cellStyle name="쉼표 [0] 6 2 2 2 2 3 2 3" xfId="15904"/>
    <cellStyle name="쉼표 [0] 6 2 2 2 2 3 2 3 2" xfId="32608"/>
    <cellStyle name="쉼표 [0] 6 2 2 2 2 3 2 4" xfId="21472"/>
    <cellStyle name="쉼표 [0] 6 2 2 2 2 3 3" xfId="7552"/>
    <cellStyle name="쉼표 [0] 6 2 2 2 2 3 3 2" xfId="24256"/>
    <cellStyle name="쉼표 [0] 6 2 2 2 2 3 4" xfId="13120"/>
    <cellStyle name="쉼표 [0] 6 2 2 2 2 3 4 2" xfId="29824"/>
    <cellStyle name="쉼표 [0] 6 2 2 2 2 3 5" xfId="18688"/>
    <cellStyle name="쉼표 [0] 6 2 2 2 2 4" xfId="3376"/>
    <cellStyle name="쉼표 [0] 6 2 2 2 2 4 2" xfId="8944"/>
    <cellStyle name="쉼표 [0] 6 2 2 2 2 4 2 2" xfId="25648"/>
    <cellStyle name="쉼표 [0] 6 2 2 2 2 4 3" xfId="14512"/>
    <cellStyle name="쉼표 [0] 6 2 2 2 2 4 3 2" xfId="31216"/>
    <cellStyle name="쉼표 [0] 6 2 2 2 2 4 4" xfId="20080"/>
    <cellStyle name="쉼표 [0] 6 2 2 2 2 5" xfId="6160"/>
    <cellStyle name="쉼표 [0] 6 2 2 2 2 5 2" xfId="22864"/>
    <cellStyle name="쉼표 [0] 6 2 2 2 2 6" xfId="11728"/>
    <cellStyle name="쉼표 [0] 6 2 2 2 2 6 2" xfId="28432"/>
    <cellStyle name="쉼표 [0] 6 2 2 2 2 7" xfId="17296"/>
    <cellStyle name="쉼표 [0] 6 2 2 2 3" xfId="824"/>
    <cellStyle name="쉼표 [0] 6 2 2 2 3 2" xfId="1520"/>
    <cellStyle name="쉼표 [0] 6 2 2 2 3 2 2" xfId="2912"/>
    <cellStyle name="쉼표 [0] 6 2 2 2 3 2 2 2" xfId="5696"/>
    <cellStyle name="쉼표 [0] 6 2 2 2 3 2 2 2 2" xfId="11264"/>
    <cellStyle name="쉼표 [0] 6 2 2 2 3 2 2 2 2 2" xfId="27968"/>
    <cellStyle name="쉼표 [0] 6 2 2 2 3 2 2 2 3" xfId="16832"/>
    <cellStyle name="쉼표 [0] 6 2 2 2 3 2 2 2 3 2" xfId="33536"/>
    <cellStyle name="쉼표 [0] 6 2 2 2 3 2 2 2 4" xfId="22400"/>
    <cellStyle name="쉼표 [0] 6 2 2 2 3 2 2 3" xfId="8480"/>
    <cellStyle name="쉼표 [0] 6 2 2 2 3 2 2 3 2" xfId="25184"/>
    <cellStyle name="쉼표 [0] 6 2 2 2 3 2 2 4" xfId="14048"/>
    <cellStyle name="쉼표 [0] 6 2 2 2 3 2 2 4 2" xfId="30752"/>
    <cellStyle name="쉼표 [0] 6 2 2 2 3 2 2 5" xfId="19616"/>
    <cellStyle name="쉼표 [0] 6 2 2 2 3 2 3" xfId="4304"/>
    <cellStyle name="쉼표 [0] 6 2 2 2 3 2 3 2" xfId="9872"/>
    <cellStyle name="쉼표 [0] 6 2 2 2 3 2 3 2 2" xfId="26576"/>
    <cellStyle name="쉼표 [0] 6 2 2 2 3 2 3 3" xfId="15440"/>
    <cellStyle name="쉼표 [0] 6 2 2 2 3 2 3 3 2" xfId="32144"/>
    <cellStyle name="쉼표 [0] 6 2 2 2 3 2 3 4" xfId="21008"/>
    <cellStyle name="쉼표 [0] 6 2 2 2 3 2 4" xfId="7088"/>
    <cellStyle name="쉼표 [0] 6 2 2 2 3 2 4 2" xfId="23792"/>
    <cellStyle name="쉼표 [0] 6 2 2 2 3 2 5" xfId="12656"/>
    <cellStyle name="쉼표 [0] 6 2 2 2 3 2 5 2" xfId="29360"/>
    <cellStyle name="쉼표 [0] 6 2 2 2 3 2 6" xfId="18224"/>
    <cellStyle name="쉼표 [0] 6 2 2 2 3 3" xfId="2216"/>
    <cellStyle name="쉼표 [0] 6 2 2 2 3 3 2" xfId="5000"/>
    <cellStyle name="쉼표 [0] 6 2 2 2 3 3 2 2" xfId="10568"/>
    <cellStyle name="쉼표 [0] 6 2 2 2 3 3 2 2 2" xfId="27272"/>
    <cellStyle name="쉼표 [0] 6 2 2 2 3 3 2 3" xfId="16136"/>
    <cellStyle name="쉼표 [0] 6 2 2 2 3 3 2 3 2" xfId="32840"/>
    <cellStyle name="쉼표 [0] 6 2 2 2 3 3 2 4" xfId="21704"/>
    <cellStyle name="쉼표 [0] 6 2 2 2 3 3 3" xfId="7784"/>
    <cellStyle name="쉼표 [0] 6 2 2 2 3 3 3 2" xfId="24488"/>
    <cellStyle name="쉼표 [0] 6 2 2 2 3 3 4" xfId="13352"/>
    <cellStyle name="쉼표 [0] 6 2 2 2 3 3 4 2" xfId="30056"/>
    <cellStyle name="쉼표 [0] 6 2 2 2 3 3 5" xfId="18920"/>
    <cellStyle name="쉼표 [0] 6 2 2 2 3 4" xfId="3608"/>
    <cellStyle name="쉼표 [0] 6 2 2 2 3 4 2" xfId="9176"/>
    <cellStyle name="쉼표 [0] 6 2 2 2 3 4 2 2" xfId="25880"/>
    <cellStyle name="쉼표 [0] 6 2 2 2 3 4 3" xfId="14744"/>
    <cellStyle name="쉼표 [0] 6 2 2 2 3 4 3 2" xfId="31448"/>
    <cellStyle name="쉼표 [0] 6 2 2 2 3 4 4" xfId="20312"/>
    <cellStyle name="쉼표 [0] 6 2 2 2 3 5" xfId="6392"/>
    <cellStyle name="쉼표 [0] 6 2 2 2 3 5 2" xfId="23096"/>
    <cellStyle name="쉼표 [0] 6 2 2 2 3 6" xfId="11960"/>
    <cellStyle name="쉼표 [0] 6 2 2 2 3 6 2" xfId="28664"/>
    <cellStyle name="쉼표 [0] 6 2 2 2 3 7" xfId="17528"/>
    <cellStyle name="쉼표 [0] 6 2 2 2 4" xfId="1056"/>
    <cellStyle name="쉼표 [0] 6 2 2 2 4 2" xfId="2448"/>
    <cellStyle name="쉼표 [0] 6 2 2 2 4 2 2" xfId="5232"/>
    <cellStyle name="쉼표 [0] 6 2 2 2 4 2 2 2" xfId="10800"/>
    <cellStyle name="쉼표 [0] 6 2 2 2 4 2 2 2 2" xfId="27504"/>
    <cellStyle name="쉼표 [0] 6 2 2 2 4 2 2 3" xfId="16368"/>
    <cellStyle name="쉼표 [0] 6 2 2 2 4 2 2 3 2" xfId="33072"/>
    <cellStyle name="쉼표 [0] 6 2 2 2 4 2 2 4" xfId="21936"/>
    <cellStyle name="쉼표 [0] 6 2 2 2 4 2 3" xfId="8016"/>
    <cellStyle name="쉼표 [0] 6 2 2 2 4 2 3 2" xfId="24720"/>
    <cellStyle name="쉼표 [0] 6 2 2 2 4 2 4" xfId="13584"/>
    <cellStyle name="쉼표 [0] 6 2 2 2 4 2 4 2" xfId="30288"/>
    <cellStyle name="쉼표 [0] 6 2 2 2 4 2 5" xfId="19152"/>
    <cellStyle name="쉼표 [0] 6 2 2 2 4 3" xfId="3840"/>
    <cellStyle name="쉼표 [0] 6 2 2 2 4 3 2" xfId="9408"/>
    <cellStyle name="쉼표 [0] 6 2 2 2 4 3 2 2" xfId="26112"/>
    <cellStyle name="쉼표 [0] 6 2 2 2 4 3 3" xfId="14976"/>
    <cellStyle name="쉼표 [0] 6 2 2 2 4 3 3 2" xfId="31680"/>
    <cellStyle name="쉼표 [0] 6 2 2 2 4 3 4" xfId="20544"/>
    <cellStyle name="쉼표 [0] 6 2 2 2 4 4" xfId="6624"/>
    <cellStyle name="쉼표 [0] 6 2 2 2 4 4 2" xfId="23328"/>
    <cellStyle name="쉼표 [0] 6 2 2 2 4 5" xfId="12192"/>
    <cellStyle name="쉼표 [0] 6 2 2 2 4 5 2" xfId="28896"/>
    <cellStyle name="쉼표 [0] 6 2 2 2 4 6" xfId="17760"/>
    <cellStyle name="쉼표 [0] 6 2 2 2 5" xfId="1752"/>
    <cellStyle name="쉼표 [0] 6 2 2 2 5 2" xfId="4536"/>
    <cellStyle name="쉼표 [0] 6 2 2 2 5 2 2" xfId="10104"/>
    <cellStyle name="쉼표 [0] 6 2 2 2 5 2 2 2" xfId="26808"/>
    <cellStyle name="쉼표 [0] 6 2 2 2 5 2 3" xfId="15672"/>
    <cellStyle name="쉼표 [0] 6 2 2 2 5 2 3 2" xfId="32376"/>
    <cellStyle name="쉼표 [0] 6 2 2 2 5 2 4" xfId="21240"/>
    <cellStyle name="쉼표 [0] 6 2 2 2 5 3" xfId="7320"/>
    <cellStyle name="쉼표 [0] 6 2 2 2 5 3 2" xfId="24024"/>
    <cellStyle name="쉼표 [0] 6 2 2 2 5 4" xfId="12888"/>
    <cellStyle name="쉼표 [0] 6 2 2 2 5 4 2" xfId="29592"/>
    <cellStyle name="쉼표 [0] 6 2 2 2 5 5" xfId="18456"/>
    <cellStyle name="쉼표 [0] 6 2 2 2 6" xfId="3144"/>
    <cellStyle name="쉼표 [0] 6 2 2 2 6 2" xfId="8712"/>
    <cellStyle name="쉼표 [0] 6 2 2 2 6 2 2" xfId="25416"/>
    <cellStyle name="쉼표 [0] 6 2 2 2 6 3" xfId="14280"/>
    <cellStyle name="쉼표 [0] 6 2 2 2 6 3 2" xfId="30984"/>
    <cellStyle name="쉼표 [0] 6 2 2 2 6 4" xfId="19848"/>
    <cellStyle name="쉼표 [0] 6 2 2 2 7" xfId="5928"/>
    <cellStyle name="쉼표 [0] 6 2 2 2 7 2" xfId="22632"/>
    <cellStyle name="쉼표 [0] 6 2 2 2 8" xfId="11496"/>
    <cellStyle name="쉼표 [0] 6 2 2 2 8 2" xfId="28200"/>
    <cellStyle name="쉼표 [0] 6 2 2 2 9" xfId="17064"/>
    <cellStyle name="쉼표 [0] 6 2 2 3" xfId="476"/>
    <cellStyle name="쉼표 [0] 6 2 2 3 2" xfId="1172"/>
    <cellStyle name="쉼표 [0] 6 2 2 3 2 2" xfId="2564"/>
    <cellStyle name="쉼표 [0] 6 2 2 3 2 2 2" xfId="5348"/>
    <cellStyle name="쉼표 [0] 6 2 2 3 2 2 2 2" xfId="10916"/>
    <cellStyle name="쉼표 [0] 6 2 2 3 2 2 2 2 2" xfId="27620"/>
    <cellStyle name="쉼표 [0] 6 2 2 3 2 2 2 3" xfId="16484"/>
    <cellStyle name="쉼표 [0] 6 2 2 3 2 2 2 3 2" xfId="33188"/>
    <cellStyle name="쉼표 [0] 6 2 2 3 2 2 2 4" xfId="22052"/>
    <cellStyle name="쉼표 [0] 6 2 2 3 2 2 3" xfId="8132"/>
    <cellStyle name="쉼표 [0] 6 2 2 3 2 2 3 2" xfId="24836"/>
    <cellStyle name="쉼표 [0] 6 2 2 3 2 2 4" xfId="13700"/>
    <cellStyle name="쉼표 [0] 6 2 2 3 2 2 4 2" xfId="30404"/>
    <cellStyle name="쉼표 [0] 6 2 2 3 2 2 5" xfId="19268"/>
    <cellStyle name="쉼표 [0] 6 2 2 3 2 3" xfId="3956"/>
    <cellStyle name="쉼표 [0] 6 2 2 3 2 3 2" xfId="9524"/>
    <cellStyle name="쉼표 [0] 6 2 2 3 2 3 2 2" xfId="26228"/>
    <cellStyle name="쉼표 [0] 6 2 2 3 2 3 3" xfId="15092"/>
    <cellStyle name="쉼표 [0] 6 2 2 3 2 3 3 2" xfId="31796"/>
    <cellStyle name="쉼표 [0] 6 2 2 3 2 3 4" xfId="20660"/>
    <cellStyle name="쉼표 [0] 6 2 2 3 2 4" xfId="6740"/>
    <cellStyle name="쉼표 [0] 6 2 2 3 2 4 2" xfId="23444"/>
    <cellStyle name="쉼표 [0] 6 2 2 3 2 5" xfId="12308"/>
    <cellStyle name="쉼표 [0] 6 2 2 3 2 5 2" xfId="29012"/>
    <cellStyle name="쉼표 [0] 6 2 2 3 2 6" xfId="17876"/>
    <cellStyle name="쉼표 [0] 6 2 2 3 3" xfId="1868"/>
    <cellStyle name="쉼표 [0] 6 2 2 3 3 2" xfId="4652"/>
    <cellStyle name="쉼표 [0] 6 2 2 3 3 2 2" xfId="10220"/>
    <cellStyle name="쉼표 [0] 6 2 2 3 3 2 2 2" xfId="26924"/>
    <cellStyle name="쉼표 [0] 6 2 2 3 3 2 3" xfId="15788"/>
    <cellStyle name="쉼표 [0] 6 2 2 3 3 2 3 2" xfId="32492"/>
    <cellStyle name="쉼표 [0] 6 2 2 3 3 2 4" xfId="21356"/>
    <cellStyle name="쉼표 [0] 6 2 2 3 3 3" xfId="7436"/>
    <cellStyle name="쉼표 [0] 6 2 2 3 3 3 2" xfId="24140"/>
    <cellStyle name="쉼표 [0] 6 2 2 3 3 4" xfId="13004"/>
    <cellStyle name="쉼표 [0] 6 2 2 3 3 4 2" xfId="29708"/>
    <cellStyle name="쉼표 [0] 6 2 2 3 3 5" xfId="18572"/>
    <cellStyle name="쉼표 [0] 6 2 2 3 4" xfId="3260"/>
    <cellStyle name="쉼표 [0] 6 2 2 3 4 2" xfId="8828"/>
    <cellStyle name="쉼표 [0] 6 2 2 3 4 2 2" xfId="25532"/>
    <cellStyle name="쉼표 [0] 6 2 2 3 4 3" xfId="14396"/>
    <cellStyle name="쉼표 [0] 6 2 2 3 4 3 2" xfId="31100"/>
    <cellStyle name="쉼표 [0] 6 2 2 3 4 4" xfId="19964"/>
    <cellStyle name="쉼표 [0] 6 2 2 3 5" xfId="6044"/>
    <cellStyle name="쉼표 [0] 6 2 2 3 5 2" xfId="22748"/>
    <cellStyle name="쉼표 [0] 6 2 2 3 6" xfId="11612"/>
    <cellStyle name="쉼표 [0] 6 2 2 3 6 2" xfId="28316"/>
    <cellStyle name="쉼표 [0] 6 2 2 3 7" xfId="17180"/>
    <cellStyle name="쉼표 [0] 6 2 2 4" xfId="708"/>
    <cellStyle name="쉼표 [0] 6 2 2 4 2" xfId="1404"/>
    <cellStyle name="쉼표 [0] 6 2 2 4 2 2" xfId="2796"/>
    <cellStyle name="쉼표 [0] 6 2 2 4 2 2 2" xfId="5580"/>
    <cellStyle name="쉼표 [0] 6 2 2 4 2 2 2 2" xfId="11148"/>
    <cellStyle name="쉼표 [0] 6 2 2 4 2 2 2 2 2" xfId="27852"/>
    <cellStyle name="쉼표 [0] 6 2 2 4 2 2 2 3" xfId="16716"/>
    <cellStyle name="쉼표 [0] 6 2 2 4 2 2 2 3 2" xfId="33420"/>
    <cellStyle name="쉼표 [0] 6 2 2 4 2 2 2 4" xfId="22284"/>
    <cellStyle name="쉼표 [0] 6 2 2 4 2 2 3" xfId="8364"/>
    <cellStyle name="쉼표 [0] 6 2 2 4 2 2 3 2" xfId="25068"/>
    <cellStyle name="쉼표 [0] 6 2 2 4 2 2 4" xfId="13932"/>
    <cellStyle name="쉼표 [0] 6 2 2 4 2 2 4 2" xfId="30636"/>
    <cellStyle name="쉼표 [0] 6 2 2 4 2 2 5" xfId="19500"/>
    <cellStyle name="쉼표 [0] 6 2 2 4 2 3" xfId="4188"/>
    <cellStyle name="쉼표 [0] 6 2 2 4 2 3 2" xfId="9756"/>
    <cellStyle name="쉼표 [0] 6 2 2 4 2 3 2 2" xfId="26460"/>
    <cellStyle name="쉼표 [0] 6 2 2 4 2 3 3" xfId="15324"/>
    <cellStyle name="쉼표 [0] 6 2 2 4 2 3 3 2" xfId="32028"/>
    <cellStyle name="쉼표 [0] 6 2 2 4 2 3 4" xfId="20892"/>
    <cellStyle name="쉼표 [0] 6 2 2 4 2 4" xfId="6972"/>
    <cellStyle name="쉼표 [0] 6 2 2 4 2 4 2" xfId="23676"/>
    <cellStyle name="쉼표 [0] 6 2 2 4 2 5" xfId="12540"/>
    <cellStyle name="쉼표 [0] 6 2 2 4 2 5 2" xfId="29244"/>
    <cellStyle name="쉼표 [0] 6 2 2 4 2 6" xfId="18108"/>
    <cellStyle name="쉼표 [0] 6 2 2 4 3" xfId="2100"/>
    <cellStyle name="쉼표 [0] 6 2 2 4 3 2" xfId="4884"/>
    <cellStyle name="쉼표 [0] 6 2 2 4 3 2 2" xfId="10452"/>
    <cellStyle name="쉼표 [0] 6 2 2 4 3 2 2 2" xfId="27156"/>
    <cellStyle name="쉼표 [0] 6 2 2 4 3 2 3" xfId="16020"/>
    <cellStyle name="쉼표 [0] 6 2 2 4 3 2 3 2" xfId="32724"/>
    <cellStyle name="쉼표 [0] 6 2 2 4 3 2 4" xfId="21588"/>
    <cellStyle name="쉼표 [0] 6 2 2 4 3 3" xfId="7668"/>
    <cellStyle name="쉼표 [0] 6 2 2 4 3 3 2" xfId="24372"/>
    <cellStyle name="쉼표 [0] 6 2 2 4 3 4" xfId="13236"/>
    <cellStyle name="쉼표 [0] 6 2 2 4 3 4 2" xfId="29940"/>
    <cellStyle name="쉼표 [0] 6 2 2 4 3 5" xfId="18804"/>
    <cellStyle name="쉼표 [0] 6 2 2 4 4" xfId="3492"/>
    <cellStyle name="쉼표 [0] 6 2 2 4 4 2" xfId="9060"/>
    <cellStyle name="쉼표 [0] 6 2 2 4 4 2 2" xfId="25764"/>
    <cellStyle name="쉼표 [0] 6 2 2 4 4 3" xfId="14628"/>
    <cellStyle name="쉼표 [0] 6 2 2 4 4 3 2" xfId="31332"/>
    <cellStyle name="쉼표 [0] 6 2 2 4 4 4" xfId="20196"/>
    <cellStyle name="쉼표 [0] 6 2 2 4 5" xfId="6276"/>
    <cellStyle name="쉼표 [0] 6 2 2 4 5 2" xfId="22980"/>
    <cellStyle name="쉼표 [0] 6 2 2 4 6" xfId="11844"/>
    <cellStyle name="쉼표 [0] 6 2 2 4 6 2" xfId="28548"/>
    <cellStyle name="쉼표 [0] 6 2 2 4 7" xfId="17412"/>
    <cellStyle name="쉼표 [0] 6 2 2 5" xfId="940"/>
    <cellStyle name="쉼표 [0] 6 2 2 5 2" xfId="2332"/>
    <cellStyle name="쉼표 [0] 6 2 2 5 2 2" xfId="5116"/>
    <cellStyle name="쉼표 [0] 6 2 2 5 2 2 2" xfId="10684"/>
    <cellStyle name="쉼표 [0] 6 2 2 5 2 2 2 2" xfId="27388"/>
    <cellStyle name="쉼표 [0] 6 2 2 5 2 2 3" xfId="16252"/>
    <cellStyle name="쉼표 [0] 6 2 2 5 2 2 3 2" xfId="32956"/>
    <cellStyle name="쉼표 [0] 6 2 2 5 2 2 4" xfId="21820"/>
    <cellStyle name="쉼표 [0] 6 2 2 5 2 3" xfId="7900"/>
    <cellStyle name="쉼표 [0] 6 2 2 5 2 3 2" xfId="24604"/>
    <cellStyle name="쉼표 [0] 6 2 2 5 2 4" xfId="13468"/>
    <cellStyle name="쉼표 [0] 6 2 2 5 2 4 2" xfId="30172"/>
    <cellStyle name="쉼표 [0] 6 2 2 5 2 5" xfId="19036"/>
    <cellStyle name="쉼표 [0] 6 2 2 5 3" xfId="3724"/>
    <cellStyle name="쉼표 [0] 6 2 2 5 3 2" xfId="9292"/>
    <cellStyle name="쉼표 [0] 6 2 2 5 3 2 2" xfId="25996"/>
    <cellStyle name="쉼표 [0] 6 2 2 5 3 3" xfId="14860"/>
    <cellStyle name="쉼표 [0] 6 2 2 5 3 3 2" xfId="31564"/>
    <cellStyle name="쉼표 [0] 6 2 2 5 3 4" xfId="20428"/>
    <cellStyle name="쉼표 [0] 6 2 2 5 4" xfId="6508"/>
    <cellStyle name="쉼표 [0] 6 2 2 5 4 2" xfId="23212"/>
    <cellStyle name="쉼표 [0] 6 2 2 5 5" xfId="12076"/>
    <cellStyle name="쉼표 [0] 6 2 2 5 5 2" xfId="28780"/>
    <cellStyle name="쉼표 [0] 6 2 2 5 6" xfId="17644"/>
    <cellStyle name="쉼표 [0] 6 2 2 6" xfId="1636"/>
    <cellStyle name="쉼표 [0] 6 2 2 6 2" xfId="4420"/>
    <cellStyle name="쉼표 [0] 6 2 2 6 2 2" xfId="9988"/>
    <cellStyle name="쉼표 [0] 6 2 2 6 2 2 2" xfId="26692"/>
    <cellStyle name="쉼표 [0] 6 2 2 6 2 3" xfId="15556"/>
    <cellStyle name="쉼표 [0] 6 2 2 6 2 3 2" xfId="32260"/>
    <cellStyle name="쉼표 [0] 6 2 2 6 2 4" xfId="21124"/>
    <cellStyle name="쉼표 [0] 6 2 2 6 3" xfId="7204"/>
    <cellStyle name="쉼표 [0] 6 2 2 6 3 2" xfId="23908"/>
    <cellStyle name="쉼표 [0] 6 2 2 6 4" xfId="12772"/>
    <cellStyle name="쉼표 [0] 6 2 2 6 4 2" xfId="29476"/>
    <cellStyle name="쉼표 [0] 6 2 2 6 5" xfId="18340"/>
    <cellStyle name="쉼표 [0] 6 2 2 7" xfId="3028"/>
    <cellStyle name="쉼표 [0] 6 2 2 7 2" xfId="8596"/>
    <cellStyle name="쉼표 [0] 6 2 2 7 2 2" xfId="25300"/>
    <cellStyle name="쉼표 [0] 6 2 2 7 3" xfId="14164"/>
    <cellStyle name="쉼표 [0] 6 2 2 7 3 2" xfId="30868"/>
    <cellStyle name="쉼표 [0] 6 2 2 7 4" xfId="19732"/>
    <cellStyle name="쉼표 [0] 6 2 2 8" xfId="5812"/>
    <cellStyle name="쉼표 [0] 6 2 2 8 2" xfId="22516"/>
    <cellStyle name="쉼표 [0] 6 2 2 9" xfId="11380"/>
    <cellStyle name="쉼표 [0] 6 2 2 9 2" xfId="28084"/>
    <cellStyle name="쉼표 [0] 6 2 3" xfId="302"/>
    <cellStyle name="쉼표 [0] 6 2 3 2" xfId="534"/>
    <cellStyle name="쉼표 [0] 6 2 3 2 2" xfId="1230"/>
    <cellStyle name="쉼표 [0] 6 2 3 2 2 2" xfId="2622"/>
    <cellStyle name="쉼표 [0] 6 2 3 2 2 2 2" xfId="5406"/>
    <cellStyle name="쉼표 [0] 6 2 3 2 2 2 2 2" xfId="10974"/>
    <cellStyle name="쉼표 [0] 6 2 3 2 2 2 2 2 2" xfId="27678"/>
    <cellStyle name="쉼표 [0] 6 2 3 2 2 2 2 3" xfId="16542"/>
    <cellStyle name="쉼표 [0] 6 2 3 2 2 2 2 3 2" xfId="33246"/>
    <cellStyle name="쉼표 [0] 6 2 3 2 2 2 2 4" xfId="22110"/>
    <cellStyle name="쉼표 [0] 6 2 3 2 2 2 3" xfId="8190"/>
    <cellStyle name="쉼표 [0] 6 2 3 2 2 2 3 2" xfId="24894"/>
    <cellStyle name="쉼표 [0] 6 2 3 2 2 2 4" xfId="13758"/>
    <cellStyle name="쉼표 [0] 6 2 3 2 2 2 4 2" xfId="30462"/>
    <cellStyle name="쉼표 [0] 6 2 3 2 2 2 5" xfId="19326"/>
    <cellStyle name="쉼표 [0] 6 2 3 2 2 3" xfId="4014"/>
    <cellStyle name="쉼표 [0] 6 2 3 2 2 3 2" xfId="9582"/>
    <cellStyle name="쉼표 [0] 6 2 3 2 2 3 2 2" xfId="26286"/>
    <cellStyle name="쉼표 [0] 6 2 3 2 2 3 3" xfId="15150"/>
    <cellStyle name="쉼표 [0] 6 2 3 2 2 3 3 2" xfId="31854"/>
    <cellStyle name="쉼표 [0] 6 2 3 2 2 3 4" xfId="20718"/>
    <cellStyle name="쉼표 [0] 6 2 3 2 2 4" xfId="6798"/>
    <cellStyle name="쉼표 [0] 6 2 3 2 2 4 2" xfId="23502"/>
    <cellStyle name="쉼표 [0] 6 2 3 2 2 5" xfId="12366"/>
    <cellStyle name="쉼표 [0] 6 2 3 2 2 5 2" xfId="29070"/>
    <cellStyle name="쉼표 [0] 6 2 3 2 2 6" xfId="17934"/>
    <cellStyle name="쉼표 [0] 6 2 3 2 3" xfId="1926"/>
    <cellStyle name="쉼표 [0] 6 2 3 2 3 2" xfId="4710"/>
    <cellStyle name="쉼표 [0] 6 2 3 2 3 2 2" xfId="10278"/>
    <cellStyle name="쉼표 [0] 6 2 3 2 3 2 2 2" xfId="26982"/>
    <cellStyle name="쉼표 [0] 6 2 3 2 3 2 3" xfId="15846"/>
    <cellStyle name="쉼표 [0] 6 2 3 2 3 2 3 2" xfId="32550"/>
    <cellStyle name="쉼표 [0] 6 2 3 2 3 2 4" xfId="21414"/>
    <cellStyle name="쉼표 [0] 6 2 3 2 3 3" xfId="7494"/>
    <cellStyle name="쉼표 [0] 6 2 3 2 3 3 2" xfId="24198"/>
    <cellStyle name="쉼표 [0] 6 2 3 2 3 4" xfId="13062"/>
    <cellStyle name="쉼표 [0] 6 2 3 2 3 4 2" xfId="29766"/>
    <cellStyle name="쉼표 [0] 6 2 3 2 3 5" xfId="18630"/>
    <cellStyle name="쉼표 [0] 6 2 3 2 4" xfId="3318"/>
    <cellStyle name="쉼표 [0] 6 2 3 2 4 2" xfId="8886"/>
    <cellStyle name="쉼표 [0] 6 2 3 2 4 2 2" xfId="25590"/>
    <cellStyle name="쉼표 [0] 6 2 3 2 4 3" xfId="14454"/>
    <cellStyle name="쉼표 [0] 6 2 3 2 4 3 2" xfId="31158"/>
    <cellStyle name="쉼표 [0] 6 2 3 2 4 4" xfId="20022"/>
    <cellStyle name="쉼표 [0] 6 2 3 2 5" xfId="6102"/>
    <cellStyle name="쉼표 [0] 6 2 3 2 5 2" xfId="22806"/>
    <cellStyle name="쉼표 [0] 6 2 3 2 6" xfId="11670"/>
    <cellStyle name="쉼표 [0] 6 2 3 2 6 2" xfId="28374"/>
    <cellStyle name="쉼표 [0] 6 2 3 2 7" xfId="17238"/>
    <cellStyle name="쉼표 [0] 6 2 3 3" xfId="766"/>
    <cellStyle name="쉼표 [0] 6 2 3 3 2" xfId="1462"/>
    <cellStyle name="쉼표 [0] 6 2 3 3 2 2" xfId="2854"/>
    <cellStyle name="쉼표 [0] 6 2 3 3 2 2 2" xfId="5638"/>
    <cellStyle name="쉼표 [0] 6 2 3 3 2 2 2 2" xfId="11206"/>
    <cellStyle name="쉼표 [0] 6 2 3 3 2 2 2 2 2" xfId="27910"/>
    <cellStyle name="쉼표 [0] 6 2 3 3 2 2 2 3" xfId="16774"/>
    <cellStyle name="쉼표 [0] 6 2 3 3 2 2 2 3 2" xfId="33478"/>
    <cellStyle name="쉼표 [0] 6 2 3 3 2 2 2 4" xfId="22342"/>
    <cellStyle name="쉼표 [0] 6 2 3 3 2 2 3" xfId="8422"/>
    <cellStyle name="쉼표 [0] 6 2 3 3 2 2 3 2" xfId="25126"/>
    <cellStyle name="쉼표 [0] 6 2 3 3 2 2 4" xfId="13990"/>
    <cellStyle name="쉼표 [0] 6 2 3 3 2 2 4 2" xfId="30694"/>
    <cellStyle name="쉼표 [0] 6 2 3 3 2 2 5" xfId="19558"/>
    <cellStyle name="쉼표 [0] 6 2 3 3 2 3" xfId="4246"/>
    <cellStyle name="쉼표 [0] 6 2 3 3 2 3 2" xfId="9814"/>
    <cellStyle name="쉼표 [0] 6 2 3 3 2 3 2 2" xfId="26518"/>
    <cellStyle name="쉼표 [0] 6 2 3 3 2 3 3" xfId="15382"/>
    <cellStyle name="쉼표 [0] 6 2 3 3 2 3 3 2" xfId="32086"/>
    <cellStyle name="쉼표 [0] 6 2 3 3 2 3 4" xfId="20950"/>
    <cellStyle name="쉼표 [0] 6 2 3 3 2 4" xfId="7030"/>
    <cellStyle name="쉼표 [0] 6 2 3 3 2 4 2" xfId="23734"/>
    <cellStyle name="쉼표 [0] 6 2 3 3 2 5" xfId="12598"/>
    <cellStyle name="쉼표 [0] 6 2 3 3 2 5 2" xfId="29302"/>
    <cellStyle name="쉼표 [0] 6 2 3 3 2 6" xfId="18166"/>
    <cellStyle name="쉼표 [0] 6 2 3 3 3" xfId="2158"/>
    <cellStyle name="쉼표 [0] 6 2 3 3 3 2" xfId="4942"/>
    <cellStyle name="쉼표 [0] 6 2 3 3 3 2 2" xfId="10510"/>
    <cellStyle name="쉼표 [0] 6 2 3 3 3 2 2 2" xfId="27214"/>
    <cellStyle name="쉼표 [0] 6 2 3 3 3 2 3" xfId="16078"/>
    <cellStyle name="쉼표 [0] 6 2 3 3 3 2 3 2" xfId="32782"/>
    <cellStyle name="쉼표 [0] 6 2 3 3 3 2 4" xfId="21646"/>
    <cellStyle name="쉼표 [0] 6 2 3 3 3 3" xfId="7726"/>
    <cellStyle name="쉼표 [0] 6 2 3 3 3 3 2" xfId="24430"/>
    <cellStyle name="쉼표 [0] 6 2 3 3 3 4" xfId="13294"/>
    <cellStyle name="쉼표 [0] 6 2 3 3 3 4 2" xfId="29998"/>
    <cellStyle name="쉼표 [0] 6 2 3 3 3 5" xfId="18862"/>
    <cellStyle name="쉼표 [0] 6 2 3 3 4" xfId="3550"/>
    <cellStyle name="쉼표 [0] 6 2 3 3 4 2" xfId="9118"/>
    <cellStyle name="쉼표 [0] 6 2 3 3 4 2 2" xfId="25822"/>
    <cellStyle name="쉼표 [0] 6 2 3 3 4 3" xfId="14686"/>
    <cellStyle name="쉼표 [0] 6 2 3 3 4 3 2" xfId="31390"/>
    <cellStyle name="쉼표 [0] 6 2 3 3 4 4" xfId="20254"/>
    <cellStyle name="쉼표 [0] 6 2 3 3 5" xfId="6334"/>
    <cellStyle name="쉼표 [0] 6 2 3 3 5 2" xfId="23038"/>
    <cellStyle name="쉼표 [0] 6 2 3 3 6" xfId="11902"/>
    <cellStyle name="쉼표 [0] 6 2 3 3 6 2" xfId="28606"/>
    <cellStyle name="쉼표 [0] 6 2 3 3 7" xfId="17470"/>
    <cellStyle name="쉼표 [0] 6 2 3 4" xfId="998"/>
    <cellStyle name="쉼표 [0] 6 2 3 4 2" xfId="2390"/>
    <cellStyle name="쉼표 [0] 6 2 3 4 2 2" xfId="5174"/>
    <cellStyle name="쉼표 [0] 6 2 3 4 2 2 2" xfId="10742"/>
    <cellStyle name="쉼표 [0] 6 2 3 4 2 2 2 2" xfId="27446"/>
    <cellStyle name="쉼표 [0] 6 2 3 4 2 2 3" xfId="16310"/>
    <cellStyle name="쉼표 [0] 6 2 3 4 2 2 3 2" xfId="33014"/>
    <cellStyle name="쉼표 [0] 6 2 3 4 2 2 4" xfId="21878"/>
    <cellStyle name="쉼표 [0] 6 2 3 4 2 3" xfId="7958"/>
    <cellStyle name="쉼표 [0] 6 2 3 4 2 3 2" xfId="24662"/>
    <cellStyle name="쉼표 [0] 6 2 3 4 2 4" xfId="13526"/>
    <cellStyle name="쉼표 [0] 6 2 3 4 2 4 2" xfId="30230"/>
    <cellStyle name="쉼표 [0] 6 2 3 4 2 5" xfId="19094"/>
    <cellStyle name="쉼표 [0] 6 2 3 4 3" xfId="3782"/>
    <cellStyle name="쉼표 [0] 6 2 3 4 3 2" xfId="9350"/>
    <cellStyle name="쉼표 [0] 6 2 3 4 3 2 2" xfId="26054"/>
    <cellStyle name="쉼표 [0] 6 2 3 4 3 3" xfId="14918"/>
    <cellStyle name="쉼표 [0] 6 2 3 4 3 3 2" xfId="31622"/>
    <cellStyle name="쉼표 [0] 6 2 3 4 3 4" xfId="20486"/>
    <cellStyle name="쉼표 [0] 6 2 3 4 4" xfId="6566"/>
    <cellStyle name="쉼표 [0] 6 2 3 4 4 2" xfId="23270"/>
    <cellStyle name="쉼표 [0] 6 2 3 4 5" xfId="12134"/>
    <cellStyle name="쉼표 [0] 6 2 3 4 5 2" xfId="28838"/>
    <cellStyle name="쉼표 [0] 6 2 3 4 6" xfId="17702"/>
    <cellStyle name="쉼표 [0] 6 2 3 5" xfId="1694"/>
    <cellStyle name="쉼표 [0] 6 2 3 5 2" xfId="4478"/>
    <cellStyle name="쉼표 [0] 6 2 3 5 2 2" xfId="10046"/>
    <cellStyle name="쉼표 [0] 6 2 3 5 2 2 2" xfId="26750"/>
    <cellStyle name="쉼표 [0] 6 2 3 5 2 3" xfId="15614"/>
    <cellStyle name="쉼표 [0] 6 2 3 5 2 3 2" xfId="32318"/>
    <cellStyle name="쉼표 [0] 6 2 3 5 2 4" xfId="21182"/>
    <cellStyle name="쉼표 [0] 6 2 3 5 3" xfId="7262"/>
    <cellStyle name="쉼표 [0] 6 2 3 5 3 2" xfId="23966"/>
    <cellStyle name="쉼표 [0] 6 2 3 5 4" xfId="12830"/>
    <cellStyle name="쉼표 [0] 6 2 3 5 4 2" xfId="29534"/>
    <cellStyle name="쉼표 [0] 6 2 3 5 5" xfId="18398"/>
    <cellStyle name="쉼표 [0] 6 2 3 6" xfId="3086"/>
    <cellStyle name="쉼표 [0] 6 2 3 6 2" xfId="8654"/>
    <cellStyle name="쉼표 [0] 6 2 3 6 2 2" xfId="25358"/>
    <cellStyle name="쉼표 [0] 6 2 3 6 3" xfId="14222"/>
    <cellStyle name="쉼표 [0] 6 2 3 6 3 2" xfId="30926"/>
    <cellStyle name="쉼표 [0] 6 2 3 6 4" xfId="19790"/>
    <cellStyle name="쉼표 [0] 6 2 3 7" xfId="5870"/>
    <cellStyle name="쉼표 [0] 6 2 3 7 2" xfId="22574"/>
    <cellStyle name="쉼표 [0] 6 2 3 8" xfId="11438"/>
    <cellStyle name="쉼표 [0] 6 2 3 8 2" xfId="28142"/>
    <cellStyle name="쉼표 [0] 6 2 3 9" xfId="17006"/>
    <cellStyle name="쉼표 [0] 6 2 4" xfId="418"/>
    <cellStyle name="쉼표 [0] 6 2 4 2" xfId="1114"/>
    <cellStyle name="쉼표 [0] 6 2 4 2 2" xfId="2506"/>
    <cellStyle name="쉼표 [0] 6 2 4 2 2 2" xfId="5290"/>
    <cellStyle name="쉼표 [0] 6 2 4 2 2 2 2" xfId="10858"/>
    <cellStyle name="쉼표 [0] 6 2 4 2 2 2 2 2" xfId="27562"/>
    <cellStyle name="쉼표 [0] 6 2 4 2 2 2 3" xfId="16426"/>
    <cellStyle name="쉼표 [0] 6 2 4 2 2 2 3 2" xfId="33130"/>
    <cellStyle name="쉼표 [0] 6 2 4 2 2 2 4" xfId="21994"/>
    <cellStyle name="쉼표 [0] 6 2 4 2 2 3" xfId="8074"/>
    <cellStyle name="쉼표 [0] 6 2 4 2 2 3 2" xfId="24778"/>
    <cellStyle name="쉼표 [0] 6 2 4 2 2 4" xfId="13642"/>
    <cellStyle name="쉼표 [0] 6 2 4 2 2 4 2" xfId="30346"/>
    <cellStyle name="쉼표 [0] 6 2 4 2 2 5" xfId="19210"/>
    <cellStyle name="쉼표 [0] 6 2 4 2 3" xfId="3898"/>
    <cellStyle name="쉼표 [0] 6 2 4 2 3 2" xfId="9466"/>
    <cellStyle name="쉼표 [0] 6 2 4 2 3 2 2" xfId="26170"/>
    <cellStyle name="쉼표 [0] 6 2 4 2 3 3" xfId="15034"/>
    <cellStyle name="쉼표 [0] 6 2 4 2 3 3 2" xfId="31738"/>
    <cellStyle name="쉼표 [0] 6 2 4 2 3 4" xfId="20602"/>
    <cellStyle name="쉼표 [0] 6 2 4 2 4" xfId="6682"/>
    <cellStyle name="쉼표 [0] 6 2 4 2 4 2" xfId="23386"/>
    <cellStyle name="쉼표 [0] 6 2 4 2 5" xfId="12250"/>
    <cellStyle name="쉼표 [0] 6 2 4 2 5 2" xfId="28954"/>
    <cellStyle name="쉼표 [0] 6 2 4 2 6" xfId="17818"/>
    <cellStyle name="쉼표 [0] 6 2 4 3" xfId="1810"/>
    <cellStyle name="쉼표 [0] 6 2 4 3 2" xfId="4594"/>
    <cellStyle name="쉼표 [0] 6 2 4 3 2 2" xfId="10162"/>
    <cellStyle name="쉼표 [0] 6 2 4 3 2 2 2" xfId="26866"/>
    <cellStyle name="쉼표 [0] 6 2 4 3 2 3" xfId="15730"/>
    <cellStyle name="쉼표 [0] 6 2 4 3 2 3 2" xfId="32434"/>
    <cellStyle name="쉼표 [0] 6 2 4 3 2 4" xfId="21298"/>
    <cellStyle name="쉼표 [0] 6 2 4 3 3" xfId="7378"/>
    <cellStyle name="쉼표 [0] 6 2 4 3 3 2" xfId="24082"/>
    <cellStyle name="쉼표 [0] 6 2 4 3 4" xfId="12946"/>
    <cellStyle name="쉼표 [0] 6 2 4 3 4 2" xfId="29650"/>
    <cellStyle name="쉼표 [0] 6 2 4 3 5" xfId="18514"/>
    <cellStyle name="쉼표 [0] 6 2 4 4" xfId="3202"/>
    <cellStyle name="쉼표 [0] 6 2 4 4 2" xfId="8770"/>
    <cellStyle name="쉼표 [0] 6 2 4 4 2 2" xfId="25474"/>
    <cellStyle name="쉼표 [0] 6 2 4 4 3" xfId="14338"/>
    <cellStyle name="쉼표 [0] 6 2 4 4 3 2" xfId="31042"/>
    <cellStyle name="쉼표 [0] 6 2 4 4 4" xfId="19906"/>
    <cellStyle name="쉼표 [0] 6 2 4 5" xfId="5986"/>
    <cellStyle name="쉼표 [0] 6 2 4 5 2" xfId="22690"/>
    <cellStyle name="쉼표 [0] 6 2 4 6" xfId="11554"/>
    <cellStyle name="쉼표 [0] 6 2 4 6 2" xfId="28258"/>
    <cellStyle name="쉼표 [0] 6 2 4 7" xfId="17122"/>
    <cellStyle name="쉼표 [0] 6 2 5" xfId="650"/>
    <cellStyle name="쉼표 [0] 6 2 5 2" xfId="1346"/>
    <cellStyle name="쉼표 [0] 6 2 5 2 2" xfId="2738"/>
    <cellStyle name="쉼표 [0] 6 2 5 2 2 2" xfId="5522"/>
    <cellStyle name="쉼표 [0] 6 2 5 2 2 2 2" xfId="11090"/>
    <cellStyle name="쉼표 [0] 6 2 5 2 2 2 2 2" xfId="27794"/>
    <cellStyle name="쉼표 [0] 6 2 5 2 2 2 3" xfId="16658"/>
    <cellStyle name="쉼표 [0] 6 2 5 2 2 2 3 2" xfId="33362"/>
    <cellStyle name="쉼표 [0] 6 2 5 2 2 2 4" xfId="22226"/>
    <cellStyle name="쉼표 [0] 6 2 5 2 2 3" xfId="8306"/>
    <cellStyle name="쉼표 [0] 6 2 5 2 2 3 2" xfId="25010"/>
    <cellStyle name="쉼표 [0] 6 2 5 2 2 4" xfId="13874"/>
    <cellStyle name="쉼표 [0] 6 2 5 2 2 4 2" xfId="30578"/>
    <cellStyle name="쉼표 [0] 6 2 5 2 2 5" xfId="19442"/>
    <cellStyle name="쉼표 [0] 6 2 5 2 3" xfId="4130"/>
    <cellStyle name="쉼표 [0] 6 2 5 2 3 2" xfId="9698"/>
    <cellStyle name="쉼표 [0] 6 2 5 2 3 2 2" xfId="26402"/>
    <cellStyle name="쉼표 [0] 6 2 5 2 3 3" xfId="15266"/>
    <cellStyle name="쉼표 [0] 6 2 5 2 3 3 2" xfId="31970"/>
    <cellStyle name="쉼표 [0] 6 2 5 2 3 4" xfId="20834"/>
    <cellStyle name="쉼표 [0] 6 2 5 2 4" xfId="6914"/>
    <cellStyle name="쉼표 [0] 6 2 5 2 4 2" xfId="23618"/>
    <cellStyle name="쉼표 [0] 6 2 5 2 5" xfId="12482"/>
    <cellStyle name="쉼표 [0] 6 2 5 2 5 2" xfId="29186"/>
    <cellStyle name="쉼표 [0] 6 2 5 2 6" xfId="18050"/>
    <cellStyle name="쉼표 [0] 6 2 5 3" xfId="2042"/>
    <cellStyle name="쉼표 [0] 6 2 5 3 2" xfId="4826"/>
    <cellStyle name="쉼표 [0] 6 2 5 3 2 2" xfId="10394"/>
    <cellStyle name="쉼표 [0] 6 2 5 3 2 2 2" xfId="27098"/>
    <cellStyle name="쉼표 [0] 6 2 5 3 2 3" xfId="15962"/>
    <cellStyle name="쉼표 [0] 6 2 5 3 2 3 2" xfId="32666"/>
    <cellStyle name="쉼표 [0] 6 2 5 3 2 4" xfId="21530"/>
    <cellStyle name="쉼표 [0] 6 2 5 3 3" xfId="7610"/>
    <cellStyle name="쉼표 [0] 6 2 5 3 3 2" xfId="24314"/>
    <cellStyle name="쉼표 [0] 6 2 5 3 4" xfId="13178"/>
    <cellStyle name="쉼표 [0] 6 2 5 3 4 2" xfId="29882"/>
    <cellStyle name="쉼표 [0] 6 2 5 3 5" xfId="18746"/>
    <cellStyle name="쉼표 [0] 6 2 5 4" xfId="3434"/>
    <cellStyle name="쉼표 [0] 6 2 5 4 2" xfId="9002"/>
    <cellStyle name="쉼표 [0] 6 2 5 4 2 2" xfId="25706"/>
    <cellStyle name="쉼표 [0] 6 2 5 4 3" xfId="14570"/>
    <cellStyle name="쉼표 [0] 6 2 5 4 3 2" xfId="31274"/>
    <cellStyle name="쉼표 [0] 6 2 5 4 4" xfId="20138"/>
    <cellStyle name="쉼표 [0] 6 2 5 5" xfId="6218"/>
    <cellStyle name="쉼표 [0] 6 2 5 5 2" xfId="22922"/>
    <cellStyle name="쉼표 [0] 6 2 5 6" xfId="11786"/>
    <cellStyle name="쉼표 [0] 6 2 5 6 2" xfId="28490"/>
    <cellStyle name="쉼표 [0] 6 2 5 7" xfId="17354"/>
    <cellStyle name="쉼표 [0] 6 2 6" xfId="882"/>
    <cellStyle name="쉼표 [0] 6 2 6 2" xfId="2274"/>
    <cellStyle name="쉼표 [0] 6 2 6 2 2" xfId="5058"/>
    <cellStyle name="쉼표 [0] 6 2 6 2 2 2" xfId="10626"/>
    <cellStyle name="쉼표 [0] 6 2 6 2 2 2 2" xfId="27330"/>
    <cellStyle name="쉼표 [0] 6 2 6 2 2 3" xfId="16194"/>
    <cellStyle name="쉼표 [0] 6 2 6 2 2 3 2" xfId="32898"/>
    <cellStyle name="쉼표 [0] 6 2 6 2 2 4" xfId="21762"/>
    <cellStyle name="쉼표 [0] 6 2 6 2 3" xfId="7842"/>
    <cellStyle name="쉼표 [0] 6 2 6 2 3 2" xfId="24546"/>
    <cellStyle name="쉼표 [0] 6 2 6 2 4" xfId="13410"/>
    <cellStyle name="쉼표 [0] 6 2 6 2 4 2" xfId="30114"/>
    <cellStyle name="쉼표 [0] 6 2 6 2 5" xfId="18978"/>
    <cellStyle name="쉼표 [0] 6 2 6 3" xfId="3666"/>
    <cellStyle name="쉼표 [0] 6 2 6 3 2" xfId="9234"/>
    <cellStyle name="쉼표 [0] 6 2 6 3 2 2" xfId="25938"/>
    <cellStyle name="쉼표 [0] 6 2 6 3 3" xfId="14802"/>
    <cellStyle name="쉼표 [0] 6 2 6 3 3 2" xfId="31506"/>
    <cellStyle name="쉼표 [0] 6 2 6 3 4" xfId="20370"/>
    <cellStyle name="쉼표 [0] 6 2 6 4" xfId="6450"/>
    <cellStyle name="쉼표 [0] 6 2 6 4 2" xfId="23154"/>
    <cellStyle name="쉼표 [0] 6 2 6 5" xfId="12018"/>
    <cellStyle name="쉼표 [0] 6 2 6 5 2" xfId="28722"/>
    <cellStyle name="쉼표 [0] 6 2 6 6" xfId="17586"/>
    <cellStyle name="쉼표 [0] 6 2 7" xfId="1578"/>
    <cellStyle name="쉼표 [0] 6 2 7 2" xfId="4362"/>
    <cellStyle name="쉼표 [0] 6 2 7 2 2" xfId="9930"/>
    <cellStyle name="쉼표 [0] 6 2 7 2 2 2" xfId="26634"/>
    <cellStyle name="쉼표 [0] 6 2 7 2 3" xfId="15498"/>
    <cellStyle name="쉼표 [0] 6 2 7 2 3 2" xfId="32202"/>
    <cellStyle name="쉼표 [0] 6 2 7 2 4" xfId="21066"/>
    <cellStyle name="쉼표 [0] 6 2 7 3" xfId="7146"/>
    <cellStyle name="쉼표 [0] 6 2 7 3 2" xfId="23850"/>
    <cellStyle name="쉼표 [0] 6 2 7 4" xfId="12714"/>
    <cellStyle name="쉼표 [0] 6 2 7 4 2" xfId="29418"/>
    <cellStyle name="쉼표 [0] 6 2 7 5" xfId="18282"/>
    <cellStyle name="쉼표 [0] 6 2 8" xfId="2970"/>
    <cellStyle name="쉼표 [0] 6 2 8 2" xfId="8538"/>
    <cellStyle name="쉼표 [0] 6 2 8 2 2" xfId="25242"/>
    <cellStyle name="쉼표 [0] 6 2 8 3" xfId="14106"/>
    <cellStyle name="쉼표 [0] 6 2 8 3 2" xfId="30810"/>
    <cellStyle name="쉼표 [0] 6 2 8 4" xfId="19674"/>
    <cellStyle name="쉼표 [0] 6 2 9" xfId="5754"/>
    <cellStyle name="쉼표 [0] 6 2 9 2" xfId="22458"/>
    <cellStyle name="쉼표 [0] 6 3" xfId="215"/>
    <cellStyle name="쉼표 [0] 6 3 10" xfId="16919"/>
    <cellStyle name="쉼표 [0] 6 3 2" xfId="331"/>
    <cellStyle name="쉼표 [0] 6 3 2 2" xfId="563"/>
    <cellStyle name="쉼표 [0] 6 3 2 2 2" xfId="1259"/>
    <cellStyle name="쉼표 [0] 6 3 2 2 2 2" xfId="2651"/>
    <cellStyle name="쉼표 [0] 6 3 2 2 2 2 2" xfId="5435"/>
    <cellStyle name="쉼표 [0] 6 3 2 2 2 2 2 2" xfId="11003"/>
    <cellStyle name="쉼표 [0] 6 3 2 2 2 2 2 2 2" xfId="27707"/>
    <cellStyle name="쉼표 [0] 6 3 2 2 2 2 2 3" xfId="16571"/>
    <cellStyle name="쉼표 [0] 6 3 2 2 2 2 2 3 2" xfId="33275"/>
    <cellStyle name="쉼표 [0] 6 3 2 2 2 2 2 4" xfId="22139"/>
    <cellStyle name="쉼표 [0] 6 3 2 2 2 2 3" xfId="8219"/>
    <cellStyle name="쉼표 [0] 6 3 2 2 2 2 3 2" xfId="24923"/>
    <cellStyle name="쉼표 [0] 6 3 2 2 2 2 4" xfId="13787"/>
    <cellStyle name="쉼표 [0] 6 3 2 2 2 2 4 2" xfId="30491"/>
    <cellStyle name="쉼표 [0] 6 3 2 2 2 2 5" xfId="19355"/>
    <cellStyle name="쉼표 [0] 6 3 2 2 2 3" xfId="4043"/>
    <cellStyle name="쉼표 [0] 6 3 2 2 2 3 2" xfId="9611"/>
    <cellStyle name="쉼표 [0] 6 3 2 2 2 3 2 2" xfId="26315"/>
    <cellStyle name="쉼표 [0] 6 3 2 2 2 3 3" xfId="15179"/>
    <cellStyle name="쉼표 [0] 6 3 2 2 2 3 3 2" xfId="31883"/>
    <cellStyle name="쉼표 [0] 6 3 2 2 2 3 4" xfId="20747"/>
    <cellStyle name="쉼표 [0] 6 3 2 2 2 4" xfId="6827"/>
    <cellStyle name="쉼표 [0] 6 3 2 2 2 4 2" xfId="23531"/>
    <cellStyle name="쉼표 [0] 6 3 2 2 2 5" xfId="12395"/>
    <cellStyle name="쉼표 [0] 6 3 2 2 2 5 2" xfId="29099"/>
    <cellStyle name="쉼표 [0] 6 3 2 2 2 6" xfId="17963"/>
    <cellStyle name="쉼표 [0] 6 3 2 2 3" xfId="1955"/>
    <cellStyle name="쉼표 [0] 6 3 2 2 3 2" xfId="4739"/>
    <cellStyle name="쉼표 [0] 6 3 2 2 3 2 2" xfId="10307"/>
    <cellStyle name="쉼표 [0] 6 3 2 2 3 2 2 2" xfId="27011"/>
    <cellStyle name="쉼표 [0] 6 3 2 2 3 2 3" xfId="15875"/>
    <cellStyle name="쉼표 [0] 6 3 2 2 3 2 3 2" xfId="32579"/>
    <cellStyle name="쉼표 [0] 6 3 2 2 3 2 4" xfId="21443"/>
    <cellStyle name="쉼표 [0] 6 3 2 2 3 3" xfId="7523"/>
    <cellStyle name="쉼표 [0] 6 3 2 2 3 3 2" xfId="24227"/>
    <cellStyle name="쉼표 [0] 6 3 2 2 3 4" xfId="13091"/>
    <cellStyle name="쉼표 [0] 6 3 2 2 3 4 2" xfId="29795"/>
    <cellStyle name="쉼표 [0] 6 3 2 2 3 5" xfId="18659"/>
    <cellStyle name="쉼표 [0] 6 3 2 2 4" xfId="3347"/>
    <cellStyle name="쉼표 [0] 6 3 2 2 4 2" xfId="8915"/>
    <cellStyle name="쉼표 [0] 6 3 2 2 4 2 2" xfId="25619"/>
    <cellStyle name="쉼표 [0] 6 3 2 2 4 3" xfId="14483"/>
    <cellStyle name="쉼표 [0] 6 3 2 2 4 3 2" xfId="31187"/>
    <cellStyle name="쉼표 [0] 6 3 2 2 4 4" xfId="20051"/>
    <cellStyle name="쉼표 [0] 6 3 2 2 5" xfId="6131"/>
    <cellStyle name="쉼표 [0] 6 3 2 2 5 2" xfId="22835"/>
    <cellStyle name="쉼표 [0] 6 3 2 2 6" xfId="11699"/>
    <cellStyle name="쉼표 [0] 6 3 2 2 6 2" xfId="28403"/>
    <cellStyle name="쉼표 [0] 6 3 2 2 7" xfId="17267"/>
    <cellStyle name="쉼표 [0] 6 3 2 3" xfId="795"/>
    <cellStyle name="쉼표 [0] 6 3 2 3 2" xfId="1491"/>
    <cellStyle name="쉼표 [0] 6 3 2 3 2 2" xfId="2883"/>
    <cellStyle name="쉼표 [0] 6 3 2 3 2 2 2" xfId="5667"/>
    <cellStyle name="쉼표 [0] 6 3 2 3 2 2 2 2" xfId="11235"/>
    <cellStyle name="쉼표 [0] 6 3 2 3 2 2 2 2 2" xfId="27939"/>
    <cellStyle name="쉼표 [0] 6 3 2 3 2 2 2 3" xfId="16803"/>
    <cellStyle name="쉼표 [0] 6 3 2 3 2 2 2 3 2" xfId="33507"/>
    <cellStyle name="쉼표 [0] 6 3 2 3 2 2 2 4" xfId="22371"/>
    <cellStyle name="쉼표 [0] 6 3 2 3 2 2 3" xfId="8451"/>
    <cellStyle name="쉼표 [0] 6 3 2 3 2 2 3 2" xfId="25155"/>
    <cellStyle name="쉼표 [0] 6 3 2 3 2 2 4" xfId="14019"/>
    <cellStyle name="쉼표 [0] 6 3 2 3 2 2 4 2" xfId="30723"/>
    <cellStyle name="쉼표 [0] 6 3 2 3 2 2 5" xfId="19587"/>
    <cellStyle name="쉼표 [0] 6 3 2 3 2 3" xfId="4275"/>
    <cellStyle name="쉼표 [0] 6 3 2 3 2 3 2" xfId="9843"/>
    <cellStyle name="쉼표 [0] 6 3 2 3 2 3 2 2" xfId="26547"/>
    <cellStyle name="쉼표 [0] 6 3 2 3 2 3 3" xfId="15411"/>
    <cellStyle name="쉼표 [0] 6 3 2 3 2 3 3 2" xfId="32115"/>
    <cellStyle name="쉼표 [0] 6 3 2 3 2 3 4" xfId="20979"/>
    <cellStyle name="쉼표 [0] 6 3 2 3 2 4" xfId="7059"/>
    <cellStyle name="쉼표 [0] 6 3 2 3 2 4 2" xfId="23763"/>
    <cellStyle name="쉼표 [0] 6 3 2 3 2 5" xfId="12627"/>
    <cellStyle name="쉼표 [0] 6 3 2 3 2 5 2" xfId="29331"/>
    <cellStyle name="쉼표 [0] 6 3 2 3 2 6" xfId="18195"/>
    <cellStyle name="쉼표 [0] 6 3 2 3 3" xfId="2187"/>
    <cellStyle name="쉼표 [0] 6 3 2 3 3 2" xfId="4971"/>
    <cellStyle name="쉼표 [0] 6 3 2 3 3 2 2" xfId="10539"/>
    <cellStyle name="쉼표 [0] 6 3 2 3 3 2 2 2" xfId="27243"/>
    <cellStyle name="쉼표 [0] 6 3 2 3 3 2 3" xfId="16107"/>
    <cellStyle name="쉼표 [0] 6 3 2 3 3 2 3 2" xfId="32811"/>
    <cellStyle name="쉼표 [0] 6 3 2 3 3 2 4" xfId="21675"/>
    <cellStyle name="쉼표 [0] 6 3 2 3 3 3" xfId="7755"/>
    <cellStyle name="쉼표 [0] 6 3 2 3 3 3 2" xfId="24459"/>
    <cellStyle name="쉼표 [0] 6 3 2 3 3 4" xfId="13323"/>
    <cellStyle name="쉼표 [0] 6 3 2 3 3 4 2" xfId="30027"/>
    <cellStyle name="쉼표 [0] 6 3 2 3 3 5" xfId="18891"/>
    <cellStyle name="쉼표 [0] 6 3 2 3 4" xfId="3579"/>
    <cellStyle name="쉼표 [0] 6 3 2 3 4 2" xfId="9147"/>
    <cellStyle name="쉼표 [0] 6 3 2 3 4 2 2" xfId="25851"/>
    <cellStyle name="쉼표 [0] 6 3 2 3 4 3" xfId="14715"/>
    <cellStyle name="쉼표 [0] 6 3 2 3 4 3 2" xfId="31419"/>
    <cellStyle name="쉼표 [0] 6 3 2 3 4 4" xfId="20283"/>
    <cellStyle name="쉼표 [0] 6 3 2 3 5" xfId="6363"/>
    <cellStyle name="쉼표 [0] 6 3 2 3 5 2" xfId="23067"/>
    <cellStyle name="쉼표 [0] 6 3 2 3 6" xfId="11931"/>
    <cellStyle name="쉼표 [0] 6 3 2 3 6 2" xfId="28635"/>
    <cellStyle name="쉼표 [0] 6 3 2 3 7" xfId="17499"/>
    <cellStyle name="쉼표 [0] 6 3 2 4" xfId="1027"/>
    <cellStyle name="쉼표 [0] 6 3 2 4 2" xfId="2419"/>
    <cellStyle name="쉼표 [0] 6 3 2 4 2 2" xfId="5203"/>
    <cellStyle name="쉼표 [0] 6 3 2 4 2 2 2" xfId="10771"/>
    <cellStyle name="쉼표 [0] 6 3 2 4 2 2 2 2" xfId="27475"/>
    <cellStyle name="쉼표 [0] 6 3 2 4 2 2 3" xfId="16339"/>
    <cellStyle name="쉼표 [0] 6 3 2 4 2 2 3 2" xfId="33043"/>
    <cellStyle name="쉼표 [0] 6 3 2 4 2 2 4" xfId="21907"/>
    <cellStyle name="쉼표 [0] 6 3 2 4 2 3" xfId="7987"/>
    <cellStyle name="쉼표 [0] 6 3 2 4 2 3 2" xfId="24691"/>
    <cellStyle name="쉼표 [0] 6 3 2 4 2 4" xfId="13555"/>
    <cellStyle name="쉼표 [0] 6 3 2 4 2 4 2" xfId="30259"/>
    <cellStyle name="쉼표 [0] 6 3 2 4 2 5" xfId="19123"/>
    <cellStyle name="쉼표 [0] 6 3 2 4 3" xfId="3811"/>
    <cellStyle name="쉼표 [0] 6 3 2 4 3 2" xfId="9379"/>
    <cellStyle name="쉼표 [0] 6 3 2 4 3 2 2" xfId="26083"/>
    <cellStyle name="쉼표 [0] 6 3 2 4 3 3" xfId="14947"/>
    <cellStyle name="쉼표 [0] 6 3 2 4 3 3 2" xfId="31651"/>
    <cellStyle name="쉼표 [0] 6 3 2 4 3 4" xfId="20515"/>
    <cellStyle name="쉼표 [0] 6 3 2 4 4" xfId="6595"/>
    <cellStyle name="쉼표 [0] 6 3 2 4 4 2" xfId="23299"/>
    <cellStyle name="쉼표 [0] 6 3 2 4 5" xfId="12163"/>
    <cellStyle name="쉼표 [0] 6 3 2 4 5 2" xfId="28867"/>
    <cellStyle name="쉼표 [0] 6 3 2 4 6" xfId="17731"/>
    <cellStyle name="쉼표 [0] 6 3 2 5" xfId="1723"/>
    <cellStyle name="쉼표 [0] 6 3 2 5 2" xfId="4507"/>
    <cellStyle name="쉼표 [0] 6 3 2 5 2 2" xfId="10075"/>
    <cellStyle name="쉼표 [0] 6 3 2 5 2 2 2" xfId="26779"/>
    <cellStyle name="쉼표 [0] 6 3 2 5 2 3" xfId="15643"/>
    <cellStyle name="쉼표 [0] 6 3 2 5 2 3 2" xfId="32347"/>
    <cellStyle name="쉼표 [0] 6 3 2 5 2 4" xfId="21211"/>
    <cellStyle name="쉼표 [0] 6 3 2 5 3" xfId="7291"/>
    <cellStyle name="쉼표 [0] 6 3 2 5 3 2" xfId="23995"/>
    <cellStyle name="쉼표 [0] 6 3 2 5 4" xfId="12859"/>
    <cellStyle name="쉼표 [0] 6 3 2 5 4 2" xfId="29563"/>
    <cellStyle name="쉼표 [0] 6 3 2 5 5" xfId="18427"/>
    <cellStyle name="쉼표 [0] 6 3 2 6" xfId="3115"/>
    <cellStyle name="쉼표 [0] 6 3 2 6 2" xfId="8683"/>
    <cellStyle name="쉼표 [0] 6 3 2 6 2 2" xfId="25387"/>
    <cellStyle name="쉼표 [0] 6 3 2 6 3" xfId="14251"/>
    <cellStyle name="쉼표 [0] 6 3 2 6 3 2" xfId="30955"/>
    <cellStyle name="쉼표 [0] 6 3 2 6 4" xfId="19819"/>
    <cellStyle name="쉼표 [0] 6 3 2 7" xfId="5899"/>
    <cellStyle name="쉼표 [0] 6 3 2 7 2" xfId="22603"/>
    <cellStyle name="쉼표 [0] 6 3 2 8" xfId="11467"/>
    <cellStyle name="쉼표 [0] 6 3 2 8 2" xfId="28171"/>
    <cellStyle name="쉼표 [0] 6 3 2 9" xfId="17035"/>
    <cellStyle name="쉼표 [0] 6 3 3" xfId="447"/>
    <cellStyle name="쉼표 [0] 6 3 3 2" xfId="1143"/>
    <cellStyle name="쉼표 [0] 6 3 3 2 2" xfId="2535"/>
    <cellStyle name="쉼표 [0] 6 3 3 2 2 2" xfId="5319"/>
    <cellStyle name="쉼표 [0] 6 3 3 2 2 2 2" xfId="10887"/>
    <cellStyle name="쉼표 [0] 6 3 3 2 2 2 2 2" xfId="27591"/>
    <cellStyle name="쉼표 [0] 6 3 3 2 2 2 3" xfId="16455"/>
    <cellStyle name="쉼표 [0] 6 3 3 2 2 2 3 2" xfId="33159"/>
    <cellStyle name="쉼표 [0] 6 3 3 2 2 2 4" xfId="22023"/>
    <cellStyle name="쉼표 [0] 6 3 3 2 2 3" xfId="8103"/>
    <cellStyle name="쉼표 [0] 6 3 3 2 2 3 2" xfId="24807"/>
    <cellStyle name="쉼표 [0] 6 3 3 2 2 4" xfId="13671"/>
    <cellStyle name="쉼표 [0] 6 3 3 2 2 4 2" xfId="30375"/>
    <cellStyle name="쉼표 [0] 6 3 3 2 2 5" xfId="19239"/>
    <cellStyle name="쉼표 [0] 6 3 3 2 3" xfId="3927"/>
    <cellStyle name="쉼표 [0] 6 3 3 2 3 2" xfId="9495"/>
    <cellStyle name="쉼표 [0] 6 3 3 2 3 2 2" xfId="26199"/>
    <cellStyle name="쉼표 [0] 6 3 3 2 3 3" xfId="15063"/>
    <cellStyle name="쉼표 [0] 6 3 3 2 3 3 2" xfId="31767"/>
    <cellStyle name="쉼표 [0] 6 3 3 2 3 4" xfId="20631"/>
    <cellStyle name="쉼표 [0] 6 3 3 2 4" xfId="6711"/>
    <cellStyle name="쉼표 [0] 6 3 3 2 4 2" xfId="23415"/>
    <cellStyle name="쉼표 [0] 6 3 3 2 5" xfId="12279"/>
    <cellStyle name="쉼표 [0] 6 3 3 2 5 2" xfId="28983"/>
    <cellStyle name="쉼표 [0] 6 3 3 2 6" xfId="17847"/>
    <cellStyle name="쉼표 [0] 6 3 3 3" xfId="1839"/>
    <cellStyle name="쉼표 [0] 6 3 3 3 2" xfId="4623"/>
    <cellStyle name="쉼표 [0] 6 3 3 3 2 2" xfId="10191"/>
    <cellStyle name="쉼표 [0] 6 3 3 3 2 2 2" xfId="26895"/>
    <cellStyle name="쉼표 [0] 6 3 3 3 2 3" xfId="15759"/>
    <cellStyle name="쉼표 [0] 6 3 3 3 2 3 2" xfId="32463"/>
    <cellStyle name="쉼표 [0] 6 3 3 3 2 4" xfId="21327"/>
    <cellStyle name="쉼표 [0] 6 3 3 3 3" xfId="7407"/>
    <cellStyle name="쉼표 [0] 6 3 3 3 3 2" xfId="24111"/>
    <cellStyle name="쉼표 [0] 6 3 3 3 4" xfId="12975"/>
    <cellStyle name="쉼표 [0] 6 3 3 3 4 2" xfId="29679"/>
    <cellStyle name="쉼표 [0] 6 3 3 3 5" xfId="18543"/>
    <cellStyle name="쉼표 [0] 6 3 3 4" xfId="3231"/>
    <cellStyle name="쉼표 [0] 6 3 3 4 2" xfId="8799"/>
    <cellStyle name="쉼표 [0] 6 3 3 4 2 2" xfId="25503"/>
    <cellStyle name="쉼표 [0] 6 3 3 4 3" xfId="14367"/>
    <cellStyle name="쉼표 [0] 6 3 3 4 3 2" xfId="31071"/>
    <cellStyle name="쉼표 [0] 6 3 3 4 4" xfId="19935"/>
    <cellStyle name="쉼표 [0] 6 3 3 5" xfId="6015"/>
    <cellStyle name="쉼표 [0] 6 3 3 5 2" xfId="22719"/>
    <cellStyle name="쉼표 [0] 6 3 3 6" xfId="11583"/>
    <cellStyle name="쉼표 [0] 6 3 3 6 2" xfId="28287"/>
    <cellStyle name="쉼표 [0] 6 3 3 7" xfId="17151"/>
    <cellStyle name="쉼표 [0] 6 3 4" xfId="679"/>
    <cellStyle name="쉼표 [0] 6 3 4 2" xfId="1375"/>
    <cellStyle name="쉼표 [0] 6 3 4 2 2" xfId="2767"/>
    <cellStyle name="쉼표 [0] 6 3 4 2 2 2" xfId="5551"/>
    <cellStyle name="쉼표 [0] 6 3 4 2 2 2 2" xfId="11119"/>
    <cellStyle name="쉼표 [0] 6 3 4 2 2 2 2 2" xfId="27823"/>
    <cellStyle name="쉼표 [0] 6 3 4 2 2 2 3" xfId="16687"/>
    <cellStyle name="쉼표 [0] 6 3 4 2 2 2 3 2" xfId="33391"/>
    <cellStyle name="쉼표 [0] 6 3 4 2 2 2 4" xfId="22255"/>
    <cellStyle name="쉼표 [0] 6 3 4 2 2 3" xfId="8335"/>
    <cellStyle name="쉼표 [0] 6 3 4 2 2 3 2" xfId="25039"/>
    <cellStyle name="쉼표 [0] 6 3 4 2 2 4" xfId="13903"/>
    <cellStyle name="쉼표 [0] 6 3 4 2 2 4 2" xfId="30607"/>
    <cellStyle name="쉼표 [0] 6 3 4 2 2 5" xfId="19471"/>
    <cellStyle name="쉼표 [0] 6 3 4 2 3" xfId="4159"/>
    <cellStyle name="쉼표 [0] 6 3 4 2 3 2" xfId="9727"/>
    <cellStyle name="쉼표 [0] 6 3 4 2 3 2 2" xfId="26431"/>
    <cellStyle name="쉼표 [0] 6 3 4 2 3 3" xfId="15295"/>
    <cellStyle name="쉼표 [0] 6 3 4 2 3 3 2" xfId="31999"/>
    <cellStyle name="쉼표 [0] 6 3 4 2 3 4" xfId="20863"/>
    <cellStyle name="쉼표 [0] 6 3 4 2 4" xfId="6943"/>
    <cellStyle name="쉼표 [0] 6 3 4 2 4 2" xfId="23647"/>
    <cellStyle name="쉼표 [0] 6 3 4 2 5" xfId="12511"/>
    <cellStyle name="쉼표 [0] 6 3 4 2 5 2" xfId="29215"/>
    <cellStyle name="쉼표 [0] 6 3 4 2 6" xfId="18079"/>
    <cellStyle name="쉼표 [0] 6 3 4 3" xfId="2071"/>
    <cellStyle name="쉼표 [0] 6 3 4 3 2" xfId="4855"/>
    <cellStyle name="쉼표 [0] 6 3 4 3 2 2" xfId="10423"/>
    <cellStyle name="쉼표 [0] 6 3 4 3 2 2 2" xfId="27127"/>
    <cellStyle name="쉼표 [0] 6 3 4 3 2 3" xfId="15991"/>
    <cellStyle name="쉼표 [0] 6 3 4 3 2 3 2" xfId="32695"/>
    <cellStyle name="쉼표 [0] 6 3 4 3 2 4" xfId="21559"/>
    <cellStyle name="쉼표 [0] 6 3 4 3 3" xfId="7639"/>
    <cellStyle name="쉼표 [0] 6 3 4 3 3 2" xfId="24343"/>
    <cellStyle name="쉼표 [0] 6 3 4 3 4" xfId="13207"/>
    <cellStyle name="쉼표 [0] 6 3 4 3 4 2" xfId="29911"/>
    <cellStyle name="쉼표 [0] 6 3 4 3 5" xfId="18775"/>
    <cellStyle name="쉼표 [0] 6 3 4 4" xfId="3463"/>
    <cellStyle name="쉼표 [0] 6 3 4 4 2" xfId="9031"/>
    <cellStyle name="쉼표 [0] 6 3 4 4 2 2" xfId="25735"/>
    <cellStyle name="쉼표 [0] 6 3 4 4 3" xfId="14599"/>
    <cellStyle name="쉼표 [0] 6 3 4 4 3 2" xfId="31303"/>
    <cellStyle name="쉼표 [0] 6 3 4 4 4" xfId="20167"/>
    <cellStyle name="쉼표 [0] 6 3 4 5" xfId="6247"/>
    <cellStyle name="쉼표 [0] 6 3 4 5 2" xfId="22951"/>
    <cellStyle name="쉼표 [0] 6 3 4 6" xfId="11815"/>
    <cellStyle name="쉼표 [0] 6 3 4 6 2" xfId="28519"/>
    <cellStyle name="쉼표 [0] 6 3 4 7" xfId="17383"/>
    <cellStyle name="쉼표 [0] 6 3 5" xfId="911"/>
    <cellStyle name="쉼표 [0] 6 3 5 2" xfId="2303"/>
    <cellStyle name="쉼표 [0] 6 3 5 2 2" xfId="5087"/>
    <cellStyle name="쉼표 [0] 6 3 5 2 2 2" xfId="10655"/>
    <cellStyle name="쉼표 [0] 6 3 5 2 2 2 2" xfId="27359"/>
    <cellStyle name="쉼표 [0] 6 3 5 2 2 3" xfId="16223"/>
    <cellStyle name="쉼표 [0] 6 3 5 2 2 3 2" xfId="32927"/>
    <cellStyle name="쉼표 [0] 6 3 5 2 2 4" xfId="21791"/>
    <cellStyle name="쉼표 [0] 6 3 5 2 3" xfId="7871"/>
    <cellStyle name="쉼표 [0] 6 3 5 2 3 2" xfId="24575"/>
    <cellStyle name="쉼표 [0] 6 3 5 2 4" xfId="13439"/>
    <cellStyle name="쉼표 [0] 6 3 5 2 4 2" xfId="30143"/>
    <cellStyle name="쉼표 [0] 6 3 5 2 5" xfId="19007"/>
    <cellStyle name="쉼표 [0] 6 3 5 3" xfId="3695"/>
    <cellStyle name="쉼표 [0] 6 3 5 3 2" xfId="9263"/>
    <cellStyle name="쉼표 [0] 6 3 5 3 2 2" xfId="25967"/>
    <cellStyle name="쉼표 [0] 6 3 5 3 3" xfId="14831"/>
    <cellStyle name="쉼표 [0] 6 3 5 3 3 2" xfId="31535"/>
    <cellStyle name="쉼표 [0] 6 3 5 3 4" xfId="20399"/>
    <cellStyle name="쉼표 [0] 6 3 5 4" xfId="6479"/>
    <cellStyle name="쉼표 [0] 6 3 5 4 2" xfId="23183"/>
    <cellStyle name="쉼표 [0] 6 3 5 5" xfId="12047"/>
    <cellStyle name="쉼표 [0] 6 3 5 5 2" xfId="28751"/>
    <cellStyle name="쉼표 [0] 6 3 5 6" xfId="17615"/>
    <cellStyle name="쉼표 [0] 6 3 6" xfId="1607"/>
    <cellStyle name="쉼표 [0] 6 3 6 2" xfId="4391"/>
    <cellStyle name="쉼표 [0] 6 3 6 2 2" xfId="9959"/>
    <cellStyle name="쉼표 [0] 6 3 6 2 2 2" xfId="26663"/>
    <cellStyle name="쉼표 [0] 6 3 6 2 3" xfId="15527"/>
    <cellStyle name="쉼표 [0] 6 3 6 2 3 2" xfId="32231"/>
    <cellStyle name="쉼표 [0] 6 3 6 2 4" xfId="21095"/>
    <cellStyle name="쉼표 [0] 6 3 6 3" xfId="7175"/>
    <cellStyle name="쉼표 [0] 6 3 6 3 2" xfId="23879"/>
    <cellStyle name="쉼표 [0] 6 3 6 4" xfId="12743"/>
    <cellStyle name="쉼표 [0] 6 3 6 4 2" xfId="29447"/>
    <cellStyle name="쉼표 [0] 6 3 6 5" xfId="18311"/>
    <cellStyle name="쉼표 [0] 6 3 7" xfId="2999"/>
    <cellStyle name="쉼표 [0] 6 3 7 2" xfId="8567"/>
    <cellStyle name="쉼표 [0] 6 3 7 2 2" xfId="25271"/>
    <cellStyle name="쉼표 [0] 6 3 7 3" xfId="14135"/>
    <cellStyle name="쉼표 [0] 6 3 7 3 2" xfId="30839"/>
    <cellStyle name="쉼표 [0] 6 3 7 4" xfId="19703"/>
    <cellStyle name="쉼표 [0] 6 3 8" xfId="5783"/>
    <cellStyle name="쉼표 [0] 6 3 8 2" xfId="22487"/>
    <cellStyle name="쉼표 [0] 6 3 9" xfId="11351"/>
    <cellStyle name="쉼표 [0] 6 3 9 2" xfId="28055"/>
    <cellStyle name="쉼표 [0] 6 4" xfId="273"/>
    <cellStyle name="쉼표 [0] 6 4 2" xfId="505"/>
    <cellStyle name="쉼표 [0] 6 4 2 2" xfId="1201"/>
    <cellStyle name="쉼표 [0] 6 4 2 2 2" xfId="2593"/>
    <cellStyle name="쉼표 [0] 6 4 2 2 2 2" xfId="5377"/>
    <cellStyle name="쉼표 [0] 6 4 2 2 2 2 2" xfId="10945"/>
    <cellStyle name="쉼표 [0] 6 4 2 2 2 2 2 2" xfId="27649"/>
    <cellStyle name="쉼표 [0] 6 4 2 2 2 2 3" xfId="16513"/>
    <cellStyle name="쉼표 [0] 6 4 2 2 2 2 3 2" xfId="33217"/>
    <cellStyle name="쉼표 [0] 6 4 2 2 2 2 4" xfId="22081"/>
    <cellStyle name="쉼표 [0] 6 4 2 2 2 3" xfId="8161"/>
    <cellStyle name="쉼표 [0] 6 4 2 2 2 3 2" xfId="24865"/>
    <cellStyle name="쉼표 [0] 6 4 2 2 2 4" xfId="13729"/>
    <cellStyle name="쉼표 [0] 6 4 2 2 2 4 2" xfId="30433"/>
    <cellStyle name="쉼표 [0] 6 4 2 2 2 5" xfId="19297"/>
    <cellStyle name="쉼표 [0] 6 4 2 2 3" xfId="3985"/>
    <cellStyle name="쉼표 [0] 6 4 2 2 3 2" xfId="9553"/>
    <cellStyle name="쉼표 [0] 6 4 2 2 3 2 2" xfId="26257"/>
    <cellStyle name="쉼표 [0] 6 4 2 2 3 3" xfId="15121"/>
    <cellStyle name="쉼표 [0] 6 4 2 2 3 3 2" xfId="31825"/>
    <cellStyle name="쉼표 [0] 6 4 2 2 3 4" xfId="20689"/>
    <cellStyle name="쉼표 [0] 6 4 2 2 4" xfId="6769"/>
    <cellStyle name="쉼표 [0] 6 4 2 2 4 2" xfId="23473"/>
    <cellStyle name="쉼표 [0] 6 4 2 2 5" xfId="12337"/>
    <cellStyle name="쉼표 [0] 6 4 2 2 5 2" xfId="29041"/>
    <cellStyle name="쉼표 [0] 6 4 2 2 6" xfId="17905"/>
    <cellStyle name="쉼표 [0] 6 4 2 3" xfId="1897"/>
    <cellStyle name="쉼표 [0] 6 4 2 3 2" xfId="4681"/>
    <cellStyle name="쉼표 [0] 6 4 2 3 2 2" xfId="10249"/>
    <cellStyle name="쉼표 [0] 6 4 2 3 2 2 2" xfId="26953"/>
    <cellStyle name="쉼표 [0] 6 4 2 3 2 3" xfId="15817"/>
    <cellStyle name="쉼표 [0] 6 4 2 3 2 3 2" xfId="32521"/>
    <cellStyle name="쉼표 [0] 6 4 2 3 2 4" xfId="21385"/>
    <cellStyle name="쉼표 [0] 6 4 2 3 3" xfId="7465"/>
    <cellStyle name="쉼표 [0] 6 4 2 3 3 2" xfId="24169"/>
    <cellStyle name="쉼표 [0] 6 4 2 3 4" xfId="13033"/>
    <cellStyle name="쉼표 [0] 6 4 2 3 4 2" xfId="29737"/>
    <cellStyle name="쉼표 [0] 6 4 2 3 5" xfId="18601"/>
    <cellStyle name="쉼표 [0] 6 4 2 4" xfId="3289"/>
    <cellStyle name="쉼표 [0] 6 4 2 4 2" xfId="8857"/>
    <cellStyle name="쉼표 [0] 6 4 2 4 2 2" xfId="25561"/>
    <cellStyle name="쉼표 [0] 6 4 2 4 3" xfId="14425"/>
    <cellStyle name="쉼표 [0] 6 4 2 4 3 2" xfId="31129"/>
    <cellStyle name="쉼표 [0] 6 4 2 4 4" xfId="19993"/>
    <cellStyle name="쉼표 [0] 6 4 2 5" xfId="6073"/>
    <cellStyle name="쉼표 [0] 6 4 2 5 2" xfId="22777"/>
    <cellStyle name="쉼표 [0] 6 4 2 6" xfId="11641"/>
    <cellStyle name="쉼표 [0] 6 4 2 6 2" xfId="28345"/>
    <cellStyle name="쉼표 [0] 6 4 2 7" xfId="17209"/>
    <cellStyle name="쉼표 [0] 6 4 3" xfId="737"/>
    <cellStyle name="쉼표 [0] 6 4 3 2" xfId="1433"/>
    <cellStyle name="쉼표 [0] 6 4 3 2 2" xfId="2825"/>
    <cellStyle name="쉼표 [0] 6 4 3 2 2 2" xfId="5609"/>
    <cellStyle name="쉼표 [0] 6 4 3 2 2 2 2" xfId="11177"/>
    <cellStyle name="쉼표 [0] 6 4 3 2 2 2 2 2" xfId="27881"/>
    <cellStyle name="쉼표 [0] 6 4 3 2 2 2 3" xfId="16745"/>
    <cellStyle name="쉼표 [0] 6 4 3 2 2 2 3 2" xfId="33449"/>
    <cellStyle name="쉼표 [0] 6 4 3 2 2 2 4" xfId="22313"/>
    <cellStyle name="쉼표 [0] 6 4 3 2 2 3" xfId="8393"/>
    <cellStyle name="쉼표 [0] 6 4 3 2 2 3 2" xfId="25097"/>
    <cellStyle name="쉼표 [0] 6 4 3 2 2 4" xfId="13961"/>
    <cellStyle name="쉼표 [0] 6 4 3 2 2 4 2" xfId="30665"/>
    <cellStyle name="쉼표 [0] 6 4 3 2 2 5" xfId="19529"/>
    <cellStyle name="쉼표 [0] 6 4 3 2 3" xfId="4217"/>
    <cellStyle name="쉼표 [0] 6 4 3 2 3 2" xfId="9785"/>
    <cellStyle name="쉼표 [0] 6 4 3 2 3 2 2" xfId="26489"/>
    <cellStyle name="쉼표 [0] 6 4 3 2 3 3" xfId="15353"/>
    <cellStyle name="쉼표 [0] 6 4 3 2 3 3 2" xfId="32057"/>
    <cellStyle name="쉼표 [0] 6 4 3 2 3 4" xfId="20921"/>
    <cellStyle name="쉼표 [0] 6 4 3 2 4" xfId="7001"/>
    <cellStyle name="쉼표 [0] 6 4 3 2 4 2" xfId="23705"/>
    <cellStyle name="쉼표 [0] 6 4 3 2 5" xfId="12569"/>
    <cellStyle name="쉼표 [0] 6 4 3 2 5 2" xfId="29273"/>
    <cellStyle name="쉼표 [0] 6 4 3 2 6" xfId="18137"/>
    <cellStyle name="쉼표 [0] 6 4 3 3" xfId="2129"/>
    <cellStyle name="쉼표 [0] 6 4 3 3 2" xfId="4913"/>
    <cellStyle name="쉼표 [0] 6 4 3 3 2 2" xfId="10481"/>
    <cellStyle name="쉼표 [0] 6 4 3 3 2 2 2" xfId="27185"/>
    <cellStyle name="쉼표 [0] 6 4 3 3 2 3" xfId="16049"/>
    <cellStyle name="쉼표 [0] 6 4 3 3 2 3 2" xfId="32753"/>
    <cellStyle name="쉼표 [0] 6 4 3 3 2 4" xfId="21617"/>
    <cellStyle name="쉼표 [0] 6 4 3 3 3" xfId="7697"/>
    <cellStyle name="쉼표 [0] 6 4 3 3 3 2" xfId="24401"/>
    <cellStyle name="쉼표 [0] 6 4 3 3 4" xfId="13265"/>
    <cellStyle name="쉼표 [0] 6 4 3 3 4 2" xfId="29969"/>
    <cellStyle name="쉼표 [0] 6 4 3 3 5" xfId="18833"/>
    <cellStyle name="쉼표 [0] 6 4 3 4" xfId="3521"/>
    <cellStyle name="쉼표 [0] 6 4 3 4 2" xfId="9089"/>
    <cellStyle name="쉼표 [0] 6 4 3 4 2 2" xfId="25793"/>
    <cellStyle name="쉼표 [0] 6 4 3 4 3" xfId="14657"/>
    <cellStyle name="쉼표 [0] 6 4 3 4 3 2" xfId="31361"/>
    <cellStyle name="쉼표 [0] 6 4 3 4 4" xfId="20225"/>
    <cellStyle name="쉼표 [0] 6 4 3 5" xfId="6305"/>
    <cellStyle name="쉼표 [0] 6 4 3 5 2" xfId="23009"/>
    <cellStyle name="쉼표 [0] 6 4 3 6" xfId="11873"/>
    <cellStyle name="쉼표 [0] 6 4 3 6 2" xfId="28577"/>
    <cellStyle name="쉼표 [0] 6 4 3 7" xfId="17441"/>
    <cellStyle name="쉼표 [0] 6 4 4" xfId="969"/>
    <cellStyle name="쉼표 [0] 6 4 4 2" xfId="2361"/>
    <cellStyle name="쉼표 [0] 6 4 4 2 2" xfId="5145"/>
    <cellStyle name="쉼표 [0] 6 4 4 2 2 2" xfId="10713"/>
    <cellStyle name="쉼표 [0] 6 4 4 2 2 2 2" xfId="27417"/>
    <cellStyle name="쉼표 [0] 6 4 4 2 2 3" xfId="16281"/>
    <cellStyle name="쉼표 [0] 6 4 4 2 2 3 2" xfId="32985"/>
    <cellStyle name="쉼표 [0] 6 4 4 2 2 4" xfId="21849"/>
    <cellStyle name="쉼표 [0] 6 4 4 2 3" xfId="7929"/>
    <cellStyle name="쉼표 [0] 6 4 4 2 3 2" xfId="24633"/>
    <cellStyle name="쉼표 [0] 6 4 4 2 4" xfId="13497"/>
    <cellStyle name="쉼표 [0] 6 4 4 2 4 2" xfId="30201"/>
    <cellStyle name="쉼표 [0] 6 4 4 2 5" xfId="19065"/>
    <cellStyle name="쉼표 [0] 6 4 4 3" xfId="3753"/>
    <cellStyle name="쉼표 [0] 6 4 4 3 2" xfId="9321"/>
    <cellStyle name="쉼표 [0] 6 4 4 3 2 2" xfId="26025"/>
    <cellStyle name="쉼표 [0] 6 4 4 3 3" xfId="14889"/>
    <cellStyle name="쉼표 [0] 6 4 4 3 3 2" xfId="31593"/>
    <cellStyle name="쉼표 [0] 6 4 4 3 4" xfId="20457"/>
    <cellStyle name="쉼표 [0] 6 4 4 4" xfId="6537"/>
    <cellStyle name="쉼표 [0] 6 4 4 4 2" xfId="23241"/>
    <cellStyle name="쉼표 [0] 6 4 4 5" xfId="12105"/>
    <cellStyle name="쉼표 [0] 6 4 4 5 2" xfId="28809"/>
    <cellStyle name="쉼표 [0] 6 4 4 6" xfId="17673"/>
    <cellStyle name="쉼표 [0] 6 4 5" xfId="1665"/>
    <cellStyle name="쉼표 [0] 6 4 5 2" xfId="4449"/>
    <cellStyle name="쉼표 [0] 6 4 5 2 2" xfId="10017"/>
    <cellStyle name="쉼표 [0] 6 4 5 2 2 2" xfId="26721"/>
    <cellStyle name="쉼표 [0] 6 4 5 2 3" xfId="15585"/>
    <cellStyle name="쉼표 [0] 6 4 5 2 3 2" xfId="32289"/>
    <cellStyle name="쉼표 [0] 6 4 5 2 4" xfId="21153"/>
    <cellStyle name="쉼표 [0] 6 4 5 3" xfId="7233"/>
    <cellStyle name="쉼표 [0] 6 4 5 3 2" xfId="23937"/>
    <cellStyle name="쉼표 [0] 6 4 5 4" xfId="12801"/>
    <cellStyle name="쉼표 [0] 6 4 5 4 2" xfId="29505"/>
    <cellStyle name="쉼표 [0] 6 4 5 5" xfId="18369"/>
    <cellStyle name="쉼표 [0] 6 4 6" xfId="3057"/>
    <cellStyle name="쉼표 [0] 6 4 6 2" xfId="8625"/>
    <cellStyle name="쉼표 [0] 6 4 6 2 2" xfId="25329"/>
    <cellStyle name="쉼표 [0] 6 4 6 3" xfId="14193"/>
    <cellStyle name="쉼표 [0] 6 4 6 3 2" xfId="30897"/>
    <cellStyle name="쉼표 [0] 6 4 6 4" xfId="19761"/>
    <cellStyle name="쉼표 [0] 6 4 7" xfId="5841"/>
    <cellStyle name="쉼표 [0] 6 4 7 2" xfId="22545"/>
    <cellStyle name="쉼표 [0] 6 4 8" xfId="11409"/>
    <cellStyle name="쉼표 [0] 6 4 8 2" xfId="28113"/>
    <cellStyle name="쉼표 [0] 6 4 9" xfId="16977"/>
    <cellStyle name="쉼표 [0] 6 5" xfId="389"/>
    <cellStyle name="쉼표 [0] 6 5 2" xfId="1085"/>
    <cellStyle name="쉼표 [0] 6 5 2 2" xfId="2477"/>
    <cellStyle name="쉼표 [0] 6 5 2 2 2" xfId="5261"/>
    <cellStyle name="쉼표 [0] 6 5 2 2 2 2" xfId="10829"/>
    <cellStyle name="쉼표 [0] 6 5 2 2 2 2 2" xfId="27533"/>
    <cellStyle name="쉼표 [0] 6 5 2 2 2 3" xfId="16397"/>
    <cellStyle name="쉼표 [0] 6 5 2 2 2 3 2" xfId="33101"/>
    <cellStyle name="쉼표 [0] 6 5 2 2 2 4" xfId="21965"/>
    <cellStyle name="쉼표 [0] 6 5 2 2 3" xfId="8045"/>
    <cellStyle name="쉼표 [0] 6 5 2 2 3 2" xfId="24749"/>
    <cellStyle name="쉼표 [0] 6 5 2 2 4" xfId="13613"/>
    <cellStyle name="쉼표 [0] 6 5 2 2 4 2" xfId="30317"/>
    <cellStyle name="쉼표 [0] 6 5 2 2 5" xfId="19181"/>
    <cellStyle name="쉼표 [0] 6 5 2 3" xfId="3869"/>
    <cellStyle name="쉼표 [0] 6 5 2 3 2" xfId="9437"/>
    <cellStyle name="쉼표 [0] 6 5 2 3 2 2" xfId="26141"/>
    <cellStyle name="쉼표 [0] 6 5 2 3 3" xfId="15005"/>
    <cellStyle name="쉼표 [0] 6 5 2 3 3 2" xfId="31709"/>
    <cellStyle name="쉼표 [0] 6 5 2 3 4" xfId="20573"/>
    <cellStyle name="쉼표 [0] 6 5 2 4" xfId="6653"/>
    <cellStyle name="쉼표 [0] 6 5 2 4 2" xfId="23357"/>
    <cellStyle name="쉼표 [0] 6 5 2 5" xfId="12221"/>
    <cellStyle name="쉼표 [0] 6 5 2 5 2" xfId="28925"/>
    <cellStyle name="쉼표 [0] 6 5 2 6" xfId="17789"/>
    <cellStyle name="쉼표 [0] 6 5 3" xfId="1781"/>
    <cellStyle name="쉼표 [0] 6 5 3 2" xfId="4565"/>
    <cellStyle name="쉼표 [0] 6 5 3 2 2" xfId="10133"/>
    <cellStyle name="쉼표 [0] 6 5 3 2 2 2" xfId="26837"/>
    <cellStyle name="쉼표 [0] 6 5 3 2 3" xfId="15701"/>
    <cellStyle name="쉼표 [0] 6 5 3 2 3 2" xfId="32405"/>
    <cellStyle name="쉼표 [0] 6 5 3 2 4" xfId="21269"/>
    <cellStyle name="쉼표 [0] 6 5 3 3" xfId="7349"/>
    <cellStyle name="쉼표 [0] 6 5 3 3 2" xfId="24053"/>
    <cellStyle name="쉼표 [0] 6 5 3 4" xfId="12917"/>
    <cellStyle name="쉼표 [0] 6 5 3 4 2" xfId="29621"/>
    <cellStyle name="쉼표 [0] 6 5 3 5" xfId="18485"/>
    <cellStyle name="쉼표 [0] 6 5 4" xfId="3173"/>
    <cellStyle name="쉼표 [0] 6 5 4 2" xfId="8741"/>
    <cellStyle name="쉼표 [0] 6 5 4 2 2" xfId="25445"/>
    <cellStyle name="쉼표 [0] 6 5 4 3" xfId="14309"/>
    <cellStyle name="쉼표 [0] 6 5 4 3 2" xfId="31013"/>
    <cellStyle name="쉼표 [0] 6 5 4 4" xfId="19877"/>
    <cellStyle name="쉼표 [0] 6 5 5" xfId="5957"/>
    <cellStyle name="쉼표 [0] 6 5 5 2" xfId="22661"/>
    <cellStyle name="쉼표 [0] 6 5 6" xfId="11525"/>
    <cellStyle name="쉼표 [0] 6 5 6 2" xfId="28229"/>
    <cellStyle name="쉼표 [0] 6 5 7" xfId="17093"/>
    <cellStyle name="쉼표 [0] 6 6" xfId="621"/>
    <cellStyle name="쉼표 [0] 6 6 2" xfId="1317"/>
    <cellStyle name="쉼표 [0] 6 6 2 2" xfId="2709"/>
    <cellStyle name="쉼표 [0] 6 6 2 2 2" xfId="5493"/>
    <cellStyle name="쉼표 [0] 6 6 2 2 2 2" xfId="11061"/>
    <cellStyle name="쉼표 [0] 6 6 2 2 2 2 2" xfId="27765"/>
    <cellStyle name="쉼표 [0] 6 6 2 2 2 3" xfId="16629"/>
    <cellStyle name="쉼표 [0] 6 6 2 2 2 3 2" xfId="33333"/>
    <cellStyle name="쉼표 [0] 6 6 2 2 2 4" xfId="22197"/>
    <cellStyle name="쉼표 [0] 6 6 2 2 3" xfId="8277"/>
    <cellStyle name="쉼표 [0] 6 6 2 2 3 2" xfId="24981"/>
    <cellStyle name="쉼표 [0] 6 6 2 2 4" xfId="13845"/>
    <cellStyle name="쉼표 [0] 6 6 2 2 4 2" xfId="30549"/>
    <cellStyle name="쉼표 [0] 6 6 2 2 5" xfId="19413"/>
    <cellStyle name="쉼표 [0] 6 6 2 3" xfId="4101"/>
    <cellStyle name="쉼표 [0] 6 6 2 3 2" xfId="9669"/>
    <cellStyle name="쉼표 [0] 6 6 2 3 2 2" xfId="26373"/>
    <cellStyle name="쉼표 [0] 6 6 2 3 3" xfId="15237"/>
    <cellStyle name="쉼표 [0] 6 6 2 3 3 2" xfId="31941"/>
    <cellStyle name="쉼표 [0] 6 6 2 3 4" xfId="20805"/>
    <cellStyle name="쉼표 [0] 6 6 2 4" xfId="6885"/>
    <cellStyle name="쉼표 [0] 6 6 2 4 2" xfId="23589"/>
    <cellStyle name="쉼표 [0] 6 6 2 5" xfId="12453"/>
    <cellStyle name="쉼표 [0] 6 6 2 5 2" xfId="29157"/>
    <cellStyle name="쉼표 [0] 6 6 2 6" xfId="18021"/>
    <cellStyle name="쉼표 [0] 6 6 3" xfId="2013"/>
    <cellStyle name="쉼표 [0] 6 6 3 2" xfId="4797"/>
    <cellStyle name="쉼표 [0] 6 6 3 2 2" xfId="10365"/>
    <cellStyle name="쉼표 [0] 6 6 3 2 2 2" xfId="27069"/>
    <cellStyle name="쉼표 [0] 6 6 3 2 3" xfId="15933"/>
    <cellStyle name="쉼표 [0] 6 6 3 2 3 2" xfId="32637"/>
    <cellStyle name="쉼표 [0] 6 6 3 2 4" xfId="21501"/>
    <cellStyle name="쉼표 [0] 6 6 3 3" xfId="7581"/>
    <cellStyle name="쉼표 [0] 6 6 3 3 2" xfId="24285"/>
    <cellStyle name="쉼표 [0] 6 6 3 4" xfId="13149"/>
    <cellStyle name="쉼표 [0] 6 6 3 4 2" xfId="29853"/>
    <cellStyle name="쉼표 [0] 6 6 3 5" xfId="18717"/>
    <cellStyle name="쉼표 [0] 6 6 4" xfId="3405"/>
    <cellStyle name="쉼표 [0] 6 6 4 2" xfId="8973"/>
    <cellStyle name="쉼표 [0] 6 6 4 2 2" xfId="25677"/>
    <cellStyle name="쉼표 [0] 6 6 4 3" xfId="14541"/>
    <cellStyle name="쉼표 [0] 6 6 4 3 2" xfId="31245"/>
    <cellStyle name="쉼표 [0] 6 6 4 4" xfId="20109"/>
    <cellStyle name="쉼표 [0] 6 6 5" xfId="6189"/>
    <cellStyle name="쉼표 [0] 6 6 5 2" xfId="22893"/>
    <cellStyle name="쉼표 [0] 6 6 6" xfId="11757"/>
    <cellStyle name="쉼표 [0] 6 6 6 2" xfId="28461"/>
    <cellStyle name="쉼표 [0] 6 6 7" xfId="17325"/>
    <cellStyle name="쉼표 [0] 6 7" xfId="853"/>
    <cellStyle name="쉼표 [0] 6 7 2" xfId="2245"/>
    <cellStyle name="쉼표 [0] 6 7 2 2" xfId="5029"/>
    <cellStyle name="쉼표 [0] 6 7 2 2 2" xfId="10597"/>
    <cellStyle name="쉼표 [0] 6 7 2 2 2 2" xfId="27301"/>
    <cellStyle name="쉼표 [0] 6 7 2 2 3" xfId="16165"/>
    <cellStyle name="쉼표 [0] 6 7 2 2 3 2" xfId="32869"/>
    <cellStyle name="쉼표 [0] 6 7 2 2 4" xfId="21733"/>
    <cellStyle name="쉼표 [0] 6 7 2 3" xfId="7813"/>
    <cellStyle name="쉼표 [0] 6 7 2 3 2" xfId="24517"/>
    <cellStyle name="쉼표 [0] 6 7 2 4" xfId="13381"/>
    <cellStyle name="쉼표 [0] 6 7 2 4 2" xfId="30085"/>
    <cellStyle name="쉼표 [0] 6 7 2 5" xfId="18949"/>
    <cellStyle name="쉼표 [0] 6 7 3" xfId="3637"/>
    <cellStyle name="쉼표 [0] 6 7 3 2" xfId="9205"/>
    <cellStyle name="쉼표 [0] 6 7 3 2 2" xfId="25909"/>
    <cellStyle name="쉼표 [0] 6 7 3 3" xfId="14773"/>
    <cellStyle name="쉼표 [0] 6 7 3 3 2" xfId="31477"/>
    <cellStyle name="쉼표 [0] 6 7 3 4" xfId="20341"/>
    <cellStyle name="쉼표 [0] 6 7 4" xfId="6421"/>
    <cellStyle name="쉼표 [0] 6 7 4 2" xfId="23125"/>
    <cellStyle name="쉼표 [0] 6 7 5" xfId="11989"/>
    <cellStyle name="쉼표 [0] 6 7 5 2" xfId="28693"/>
    <cellStyle name="쉼표 [0] 6 7 6" xfId="17557"/>
    <cellStyle name="쉼표 [0] 6 8" xfId="1549"/>
    <cellStyle name="쉼표 [0] 6 8 2" xfId="4333"/>
    <cellStyle name="쉼표 [0] 6 8 2 2" xfId="9901"/>
    <cellStyle name="쉼표 [0] 6 8 2 2 2" xfId="26605"/>
    <cellStyle name="쉼표 [0] 6 8 2 3" xfId="15469"/>
    <cellStyle name="쉼표 [0] 6 8 2 3 2" xfId="32173"/>
    <cellStyle name="쉼표 [0] 6 8 2 4" xfId="21037"/>
    <cellStyle name="쉼표 [0] 6 8 3" xfId="7117"/>
    <cellStyle name="쉼표 [0] 6 8 3 2" xfId="23821"/>
    <cellStyle name="쉼표 [0] 6 8 4" xfId="12685"/>
    <cellStyle name="쉼표 [0] 6 8 4 2" xfId="29389"/>
    <cellStyle name="쉼표 [0] 6 8 5" xfId="18253"/>
    <cellStyle name="쉼표 [0] 6 9" xfId="2941"/>
    <cellStyle name="쉼표 [0] 6 9 2" xfId="8509"/>
    <cellStyle name="쉼표 [0] 6 9 2 2" xfId="25213"/>
    <cellStyle name="쉼표 [0] 6 9 3" xfId="14077"/>
    <cellStyle name="쉼표 [0] 6 9 3 2" xfId="30781"/>
    <cellStyle name="쉼표 [0] 6 9 4" xfId="19645"/>
    <cellStyle name="쉼표 [0] 7" xfId="39"/>
    <cellStyle name="쉼표 [0] 7 10" xfId="5715"/>
    <cellStyle name="쉼표 [0] 7 10 2" xfId="22419"/>
    <cellStyle name="쉼표 [0] 7 11" xfId="11283"/>
    <cellStyle name="쉼표 [0] 7 11 2" xfId="27987"/>
    <cellStyle name="쉼표 [0] 7 12" xfId="16851"/>
    <cellStyle name="쉼표 [0] 7 2" xfId="176"/>
    <cellStyle name="쉼표 [0] 7 2 10" xfId="11312"/>
    <cellStyle name="쉼표 [0] 7 2 10 2" xfId="28016"/>
    <cellStyle name="쉼표 [0] 7 2 11" xfId="16880"/>
    <cellStyle name="쉼표 [0] 7 2 2" xfId="234"/>
    <cellStyle name="쉼표 [0] 7 2 2 10" xfId="16938"/>
    <cellStyle name="쉼표 [0] 7 2 2 2" xfId="350"/>
    <cellStyle name="쉼표 [0] 7 2 2 2 2" xfId="582"/>
    <cellStyle name="쉼표 [0] 7 2 2 2 2 2" xfId="1278"/>
    <cellStyle name="쉼표 [0] 7 2 2 2 2 2 2" xfId="2670"/>
    <cellStyle name="쉼표 [0] 7 2 2 2 2 2 2 2" xfId="5454"/>
    <cellStyle name="쉼표 [0] 7 2 2 2 2 2 2 2 2" xfId="11022"/>
    <cellStyle name="쉼표 [0] 7 2 2 2 2 2 2 2 2 2" xfId="27726"/>
    <cellStyle name="쉼표 [0] 7 2 2 2 2 2 2 2 3" xfId="16590"/>
    <cellStyle name="쉼표 [0] 7 2 2 2 2 2 2 2 3 2" xfId="33294"/>
    <cellStyle name="쉼표 [0] 7 2 2 2 2 2 2 2 4" xfId="22158"/>
    <cellStyle name="쉼표 [0] 7 2 2 2 2 2 2 3" xfId="8238"/>
    <cellStyle name="쉼표 [0] 7 2 2 2 2 2 2 3 2" xfId="24942"/>
    <cellStyle name="쉼표 [0] 7 2 2 2 2 2 2 4" xfId="13806"/>
    <cellStyle name="쉼표 [0] 7 2 2 2 2 2 2 4 2" xfId="30510"/>
    <cellStyle name="쉼표 [0] 7 2 2 2 2 2 2 5" xfId="19374"/>
    <cellStyle name="쉼표 [0] 7 2 2 2 2 2 3" xfId="4062"/>
    <cellStyle name="쉼표 [0] 7 2 2 2 2 2 3 2" xfId="9630"/>
    <cellStyle name="쉼표 [0] 7 2 2 2 2 2 3 2 2" xfId="26334"/>
    <cellStyle name="쉼표 [0] 7 2 2 2 2 2 3 3" xfId="15198"/>
    <cellStyle name="쉼표 [0] 7 2 2 2 2 2 3 3 2" xfId="31902"/>
    <cellStyle name="쉼표 [0] 7 2 2 2 2 2 3 4" xfId="20766"/>
    <cellStyle name="쉼표 [0] 7 2 2 2 2 2 4" xfId="6846"/>
    <cellStyle name="쉼표 [0] 7 2 2 2 2 2 4 2" xfId="23550"/>
    <cellStyle name="쉼표 [0] 7 2 2 2 2 2 5" xfId="12414"/>
    <cellStyle name="쉼표 [0] 7 2 2 2 2 2 5 2" xfId="29118"/>
    <cellStyle name="쉼표 [0] 7 2 2 2 2 2 6" xfId="17982"/>
    <cellStyle name="쉼표 [0] 7 2 2 2 2 3" xfId="1974"/>
    <cellStyle name="쉼표 [0] 7 2 2 2 2 3 2" xfId="4758"/>
    <cellStyle name="쉼표 [0] 7 2 2 2 2 3 2 2" xfId="10326"/>
    <cellStyle name="쉼표 [0] 7 2 2 2 2 3 2 2 2" xfId="27030"/>
    <cellStyle name="쉼표 [0] 7 2 2 2 2 3 2 3" xfId="15894"/>
    <cellStyle name="쉼표 [0] 7 2 2 2 2 3 2 3 2" xfId="32598"/>
    <cellStyle name="쉼표 [0] 7 2 2 2 2 3 2 4" xfId="21462"/>
    <cellStyle name="쉼표 [0] 7 2 2 2 2 3 3" xfId="7542"/>
    <cellStyle name="쉼표 [0] 7 2 2 2 2 3 3 2" xfId="24246"/>
    <cellStyle name="쉼표 [0] 7 2 2 2 2 3 4" xfId="13110"/>
    <cellStyle name="쉼표 [0] 7 2 2 2 2 3 4 2" xfId="29814"/>
    <cellStyle name="쉼표 [0] 7 2 2 2 2 3 5" xfId="18678"/>
    <cellStyle name="쉼표 [0] 7 2 2 2 2 4" xfId="3366"/>
    <cellStyle name="쉼표 [0] 7 2 2 2 2 4 2" xfId="8934"/>
    <cellStyle name="쉼표 [0] 7 2 2 2 2 4 2 2" xfId="25638"/>
    <cellStyle name="쉼표 [0] 7 2 2 2 2 4 3" xfId="14502"/>
    <cellStyle name="쉼표 [0] 7 2 2 2 2 4 3 2" xfId="31206"/>
    <cellStyle name="쉼표 [0] 7 2 2 2 2 4 4" xfId="20070"/>
    <cellStyle name="쉼표 [0] 7 2 2 2 2 5" xfId="6150"/>
    <cellStyle name="쉼표 [0] 7 2 2 2 2 5 2" xfId="22854"/>
    <cellStyle name="쉼표 [0] 7 2 2 2 2 6" xfId="11718"/>
    <cellStyle name="쉼표 [0] 7 2 2 2 2 6 2" xfId="28422"/>
    <cellStyle name="쉼표 [0] 7 2 2 2 2 7" xfId="17286"/>
    <cellStyle name="쉼표 [0] 7 2 2 2 3" xfId="814"/>
    <cellStyle name="쉼표 [0] 7 2 2 2 3 2" xfId="1510"/>
    <cellStyle name="쉼표 [0] 7 2 2 2 3 2 2" xfId="2902"/>
    <cellStyle name="쉼표 [0] 7 2 2 2 3 2 2 2" xfId="5686"/>
    <cellStyle name="쉼표 [0] 7 2 2 2 3 2 2 2 2" xfId="11254"/>
    <cellStyle name="쉼표 [0] 7 2 2 2 3 2 2 2 2 2" xfId="27958"/>
    <cellStyle name="쉼표 [0] 7 2 2 2 3 2 2 2 3" xfId="16822"/>
    <cellStyle name="쉼표 [0] 7 2 2 2 3 2 2 2 3 2" xfId="33526"/>
    <cellStyle name="쉼표 [0] 7 2 2 2 3 2 2 2 4" xfId="22390"/>
    <cellStyle name="쉼표 [0] 7 2 2 2 3 2 2 3" xfId="8470"/>
    <cellStyle name="쉼표 [0] 7 2 2 2 3 2 2 3 2" xfId="25174"/>
    <cellStyle name="쉼표 [0] 7 2 2 2 3 2 2 4" xfId="14038"/>
    <cellStyle name="쉼표 [0] 7 2 2 2 3 2 2 4 2" xfId="30742"/>
    <cellStyle name="쉼표 [0] 7 2 2 2 3 2 2 5" xfId="19606"/>
    <cellStyle name="쉼표 [0] 7 2 2 2 3 2 3" xfId="4294"/>
    <cellStyle name="쉼표 [0] 7 2 2 2 3 2 3 2" xfId="9862"/>
    <cellStyle name="쉼표 [0] 7 2 2 2 3 2 3 2 2" xfId="26566"/>
    <cellStyle name="쉼표 [0] 7 2 2 2 3 2 3 3" xfId="15430"/>
    <cellStyle name="쉼표 [0] 7 2 2 2 3 2 3 3 2" xfId="32134"/>
    <cellStyle name="쉼표 [0] 7 2 2 2 3 2 3 4" xfId="20998"/>
    <cellStyle name="쉼표 [0] 7 2 2 2 3 2 4" xfId="7078"/>
    <cellStyle name="쉼표 [0] 7 2 2 2 3 2 4 2" xfId="23782"/>
    <cellStyle name="쉼표 [0] 7 2 2 2 3 2 5" xfId="12646"/>
    <cellStyle name="쉼표 [0] 7 2 2 2 3 2 5 2" xfId="29350"/>
    <cellStyle name="쉼표 [0] 7 2 2 2 3 2 6" xfId="18214"/>
    <cellStyle name="쉼표 [0] 7 2 2 2 3 3" xfId="2206"/>
    <cellStyle name="쉼표 [0] 7 2 2 2 3 3 2" xfId="4990"/>
    <cellStyle name="쉼표 [0] 7 2 2 2 3 3 2 2" xfId="10558"/>
    <cellStyle name="쉼표 [0] 7 2 2 2 3 3 2 2 2" xfId="27262"/>
    <cellStyle name="쉼표 [0] 7 2 2 2 3 3 2 3" xfId="16126"/>
    <cellStyle name="쉼표 [0] 7 2 2 2 3 3 2 3 2" xfId="32830"/>
    <cellStyle name="쉼표 [0] 7 2 2 2 3 3 2 4" xfId="21694"/>
    <cellStyle name="쉼표 [0] 7 2 2 2 3 3 3" xfId="7774"/>
    <cellStyle name="쉼표 [0] 7 2 2 2 3 3 3 2" xfId="24478"/>
    <cellStyle name="쉼표 [0] 7 2 2 2 3 3 4" xfId="13342"/>
    <cellStyle name="쉼표 [0] 7 2 2 2 3 3 4 2" xfId="30046"/>
    <cellStyle name="쉼표 [0] 7 2 2 2 3 3 5" xfId="18910"/>
    <cellStyle name="쉼표 [0] 7 2 2 2 3 4" xfId="3598"/>
    <cellStyle name="쉼표 [0] 7 2 2 2 3 4 2" xfId="9166"/>
    <cellStyle name="쉼표 [0] 7 2 2 2 3 4 2 2" xfId="25870"/>
    <cellStyle name="쉼표 [0] 7 2 2 2 3 4 3" xfId="14734"/>
    <cellStyle name="쉼표 [0] 7 2 2 2 3 4 3 2" xfId="31438"/>
    <cellStyle name="쉼표 [0] 7 2 2 2 3 4 4" xfId="20302"/>
    <cellStyle name="쉼표 [0] 7 2 2 2 3 5" xfId="6382"/>
    <cellStyle name="쉼표 [0] 7 2 2 2 3 5 2" xfId="23086"/>
    <cellStyle name="쉼표 [0] 7 2 2 2 3 6" xfId="11950"/>
    <cellStyle name="쉼표 [0] 7 2 2 2 3 6 2" xfId="28654"/>
    <cellStyle name="쉼표 [0] 7 2 2 2 3 7" xfId="17518"/>
    <cellStyle name="쉼표 [0] 7 2 2 2 4" xfId="1046"/>
    <cellStyle name="쉼표 [0] 7 2 2 2 4 2" xfId="2438"/>
    <cellStyle name="쉼표 [0] 7 2 2 2 4 2 2" xfId="5222"/>
    <cellStyle name="쉼표 [0] 7 2 2 2 4 2 2 2" xfId="10790"/>
    <cellStyle name="쉼표 [0] 7 2 2 2 4 2 2 2 2" xfId="27494"/>
    <cellStyle name="쉼표 [0] 7 2 2 2 4 2 2 3" xfId="16358"/>
    <cellStyle name="쉼표 [0] 7 2 2 2 4 2 2 3 2" xfId="33062"/>
    <cellStyle name="쉼표 [0] 7 2 2 2 4 2 2 4" xfId="21926"/>
    <cellStyle name="쉼표 [0] 7 2 2 2 4 2 3" xfId="8006"/>
    <cellStyle name="쉼표 [0] 7 2 2 2 4 2 3 2" xfId="24710"/>
    <cellStyle name="쉼표 [0] 7 2 2 2 4 2 4" xfId="13574"/>
    <cellStyle name="쉼표 [0] 7 2 2 2 4 2 4 2" xfId="30278"/>
    <cellStyle name="쉼표 [0] 7 2 2 2 4 2 5" xfId="19142"/>
    <cellStyle name="쉼표 [0] 7 2 2 2 4 3" xfId="3830"/>
    <cellStyle name="쉼표 [0] 7 2 2 2 4 3 2" xfId="9398"/>
    <cellStyle name="쉼표 [0] 7 2 2 2 4 3 2 2" xfId="26102"/>
    <cellStyle name="쉼표 [0] 7 2 2 2 4 3 3" xfId="14966"/>
    <cellStyle name="쉼표 [0] 7 2 2 2 4 3 3 2" xfId="31670"/>
    <cellStyle name="쉼표 [0] 7 2 2 2 4 3 4" xfId="20534"/>
    <cellStyle name="쉼표 [0] 7 2 2 2 4 4" xfId="6614"/>
    <cellStyle name="쉼표 [0] 7 2 2 2 4 4 2" xfId="23318"/>
    <cellStyle name="쉼표 [0] 7 2 2 2 4 5" xfId="12182"/>
    <cellStyle name="쉼표 [0] 7 2 2 2 4 5 2" xfId="28886"/>
    <cellStyle name="쉼표 [0] 7 2 2 2 4 6" xfId="17750"/>
    <cellStyle name="쉼표 [0] 7 2 2 2 5" xfId="1742"/>
    <cellStyle name="쉼표 [0] 7 2 2 2 5 2" xfId="4526"/>
    <cellStyle name="쉼표 [0] 7 2 2 2 5 2 2" xfId="10094"/>
    <cellStyle name="쉼표 [0] 7 2 2 2 5 2 2 2" xfId="26798"/>
    <cellStyle name="쉼표 [0] 7 2 2 2 5 2 3" xfId="15662"/>
    <cellStyle name="쉼표 [0] 7 2 2 2 5 2 3 2" xfId="32366"/>
    <cellStyle name="쉼표 [0] 7 2 2 2 5 2 4" xfId="21230"/>
    <cellStyle name="쉼표 [0] 7 2 2 2 5 3" xfId="7310"/>
    <cellStyle name="쉼표 [0] 7 2 2 2 5 3 2" xfId="24014"/>
    <cellStyle name="쉼표 [0] 7 2 2 2 5 4" xfId="12878"/>
    <cellStyle name="쉼표 [0] 7 2 2 2 5 4 2" xfId="29582"/>
    <cellStyle name="쉼표 [0] 7 2 2 2 5 5" xfId="18446"/>
    <cellStyle name="쉼표 [0] 7 2 2 2 6" xfId="3134"/>
    <cellStyle name="쉼표 [0] 7 2 2 2 6 2" xfId="8702"/>
    <cellStyle name="쉼표 [0] 7 2 2 2 6 2 2" xfId="25406"/>
    <cellStyle name="쉼표 [0] 7 2 2 2 6 3" xfId="14270"/>
    <cellStyle name="쉼표 [0] 7 2 2 2 6 3 2" xfId="30974"/>
    <cellStyle name="쉼표 [0] 7 2 2 2 6 4" xfId="19838"/>
    <cellStyle name="쉼표 [0] 7 2 2 2 7" xfId="5918"/>
    <cellStyle name="쉼표 [0] 7 2 2 2 7 2" xfId="22622"/>
    <cellStyle name="쉼표 [0] 7 2 2 2 8" xfId="11486"/>
    <cellStyle name="쉼표 [0] 7 2 2 2 8 2" xfId="28190"/>
    <cellStyle name="쉼표 [0] 7 2 2 2 9" xfId="17054"/>
    <cellStyle name="쉼표 [0] 7 2 2 3" xfId="466"/>
    <cellStyle name="쉼표 [0] 7 2 2 3 2" xfId="1162"/>
    <cellStyle name="쉼표 [0] 7 2 2 3 2 2" xfId="2554"/>
    <cellStyle name="쉼표 [0] 7 2 2 3 2 2 2" xfId="5338"/>
    <cellStyle name="쉼표 [0] 7 2 2 3 2 2 2 2" xfId="10906"/>
    <cellStyle name="쉼표 [0] 7 2 2 3 2 2 2 2 2" xfId="27610"/>
    <cellStyle name="쉼표 [0] 7 2 2 3 2 2 2 3" xfId="16474"/>
    <cellStyle name="쉼표 [0] 7 2 2 3 2 2 2 3 2" xfId="33178"/>
    <cellStyle name="쉼표 [0] 7 2 2 3 2 2 2 4" xfId="22042"/>
    <cellStyle name="쉼표 [0] 7 2 2 3 2 2 3" xfId="8122"/>
    <cellStyle name="쉼표 [0] 7 2 2 3 2 2 3 2" xfId="24826"/>
    <cellStyle name="쉼표 [0] 7 2 2 3 2 2 4" xfId="13690"/>
    <cellStyle name="쉼표 [0] 7 2 2 3 2 2 4 2" xfId="30394"/>
    <cellStyle name="쉼표 [0] 7 2 2 3 2 2 5" xfId="19258"/>
    <cellStyle name="쉼표 [0] 7 2 2 3 2 3" xfId="3946"/>
    <cellStyle name="쉼표 [0] 7 2 2 3 2 3 2" xfId="9514"/>
    <cellStyle name="쉼표 [0] 7 2 2 3 2 3 2 2" xfId="26218"/>
    <cellStyle name="쉼표 [0] 7 2 2 3 2 3 3" xfId="15082"/>
    <cellStyle name="쉼표 [0] 7 2 2 3 2 3 3 2" xfId="31786"/>
    <cellStyle name="쉼표 [0] 7 2 2 3 2 3 4" xfId="20650"/>
    <cellStyle name="쉼표 [0] 7 2 2 3 2 4" xfId="6730"/>
    <cellStyle name="쉼표 [0] 7 2 2 3 2 4 2" xfId="23434"/>
    <cellStyle name="쉼표 [0] 7 2 2 3 2 5" xfId="12298"/>
    <cellStyle name="쉼표 [0] 7 2 2 3 2 5 2" xfId="29002"/>
    <cellStyle name="쉼표 [0] 7 2 2 3 2 6" xfId="17866"/>
    <cellStyle name="쉼표 [0] 7 2 2 3 3" xfId="1858"/>
    <cellStyle name="쉼표 [0] 7 2 2 3 3 2" xfId="4642"/>
    <cellStyle name="쉼표 [0] 7 2 2 3 3 2 2" xfId="10210"/>
    <cellStyle name="쉼표 [0] 7 2 2 3 3 2 2 2" xfId="26914"/>
    <cellStyle name="쉼표 [0] 7 2 2 3 3 2 3" xfId="15778"/>
    <cellStyle name="쉼표 [0] 7 2 2 3 3 2 3 2" xfId="32482"/>
    <cellStyle name="쉼표 [0] 7 2 2 3 3 2 4" xfId="21346"/>
    <cellStyle name="쉼표 [0] 7 2 2 3 3 3" xfId="7426"/>
    <cellStyle name="쉼표 [0] 7 2 2 3 3 3 2" xfId="24130"/>
    <cellStyle name="쉼표 [0] 7 2 2 3 3 4" xfId="12994"/>
    <cellStyle name="쉼표 [0] 7 2 2 3 3 4 2" xfId="29698"/>
    <cellStyle name="쉼표 [0] 7 2 2 3 3 5" xfId="18562"/>
    <cellStyle name="쉼표 [0] 7 2 2 3 4" xfId="3250"/>
    <cellStyle name="쉼표 [0] 7 2 2 3 4 2" xfId="8818"/>
    <cellStyle name="쉼표 [0] 7 2 2 3 4 2 2" xfId="25522"/>
    <cellStyle name="쉼표 [0] 7 2 2 3 4 3" xfId="14386"/>
    <cellStyle name="쉼표 [0] 7 2 2 3 4 3 2" xfId="31090"/>
    <cellStyle name="쉼표 [0] 7 2 2 3 4 4" xfId="19954"/>
    <cellStyle name="쉼표 [0] 7 2 2 3 5" xfId="6034"/>
    <cellStyle name="쉼표 [0] 7 2 2 3 5 2" xfId="22738"/>
    <cellStyle name="쉼표 [0] 7 2 2 3 6" xfId="11602"/>
    <cellStyle name="쉼표 [0] 7 2 2 3 6 2" xfId="28306"/>
    <cellStyle name="쉼표 [0] 7 2 2 3 7" xfId="17170"/>
    <cellStyle name="쉼표 [0] 7 2 2 4" xfId="698"/>
    <cellStyle name="쉼표 [0] 7 2 2 4 2" xfId="1394"/>
    <cellStyle name="쉼표 [0] 7 2 2 4 2 2" xfId="2786"/>
    <cellStyle name="쉼표 [0] 7 2 2 4 2 2 2" xfId="5570"/>
    <cellStyle name="쉼표 [0] 7 2 2 4 2 2 2 2" xfId="11138"/>
    <cellStyle name="쉼표 [0] 7 2 2 4 2 2 2 2 2" xfId="27842"/>
    <cellStyle name="쉼표 [0] 7 2 2 4 2 2 2 3" xfId="16706"/>
    <cellStyle name="쉼표 [0] 7 2 2 4 2 2 2 3 2" xfId="33410"/>
    <cellStyle name="쉼표 [0] 7 2 2 4 2 2 2 4" xfId="22274"/>
    <cellStyle name="쉼표 [0] 7 2 2 4 2 2 3" xfId="8354"/>
    <cellStyle name="쉼표 [0] 7 2 2 4 2 2 3 2" xfId="25058"/>
    <cellStyle name="쉼표 [0] 7 2 2 4 2 2 4" xfId="13922"/>
    <cellStyle name="쉼표 [0] 7 2 2 4 2 2 4 2" xfId="30626"/>
    <cellStyle name="쉼표 [0] 7 2 2 4 2 2 5" xfId="19490"/>
    <cellStyle name="쉼표 [0] 7 2 2 4 2 3" xfId="4178"/>
    <cellStyle name="쉼표 [0] 7 2 2 4 2 3 2" xfId="9746"/>
    <cellStyle name="쉼표 [0] 7 2 2 4 2 3 2 2" xfId="26450"/>
    <cellStyle name="쉼표 [0] 7 2 2 4 2 3 3" xfId="15314"/>
    <cellStyle name="쉼표 [0] 7 2 2 4 2 3 3 2" xfId="32018"/>
    <cellStyle name="쉼표 [0] 7 2 2 4 2 3 4" xfId="20882"/>
    <cellStyle name="쉼표 [0] 7 2 2 4 2 4" xfId="6962"/>
    <cellStyle name="쉼표 [0] 7 2 2 4 2 4 2" xfId="23666"/>
    <cellStyle name="쉼표 [0] 7 2 2 4 2 5" xfId="12530"/>
    <cellStyle name="쉼표 [0] 7 2 2 4 2 5 2" xfId="29234"/>
    <cellStyle name="쉼표 [0] 7 2 2 4 2 6" xfId="18098"/>
    <cellStyle name="쉼표 [0] 7 2 2 4 3" xfId="2090"/>
    <cellStyle name="쉼표 [0] 7 2 2 4 3 2" xfId="4874"/>
    <cellStyle name="쉼표 [0] 7 2 2 4 3 2 2" xfId="10442"/>
    <cellStyle name="쉼표 [0] 7 2 2 4 3 2 2 2" xfId="27146"/>
    <cellStyle name="쉼표 [0] 7 2 2 4 3 2 3" xfId="16010"/>
    <cellStyle name="쉼표 [0] 7 2 2 4 3 2 3 2" xfId="32714"/>
    <cellStyle name="쉼표 [0] 7 2 2 4 3 2 4" xfId="21578"/>
    <cellStyle name="쉼표 [0] 7 2 2 4 3 3" xfId="7658"/>
    <cellStyle name="쉼표 [0] 7 2 2 4 3 3 2" xfId="24362"/>
    <cellStyle name="쉼표 [0] 7 2 2 4 3 4" xfId="13226"/>
    <cellStyle name="쉼표 [0] 7 2 2 4 3 4 2" xfId="29930"/>
    <cellStyle name="쉼표 [0] 7 2 2 4 3 5" xfId="18794"/>
    <cellStyle name="쉼표 [0] 7 2 2 4 4" xfId="3482"/>
    <cellStyle name="쉼표 [0] 7 2 2 4 4 2" xfId="9050"/>
    <cellStyle name="쉼표 [0] 7 2 2 4 4 2 2" xfId="25754"/>
    <cellStyle name="쉼표 [0] 7 2 2 4 4 3" xfId="14618"/>
    <cellStyle name="쉼표 [0] 7 2 2 4 4 3 2" xfId="31322"/>
    <cellStyle name="쉼표 [0] 7 2 2 4 4 4" xfId="20186"/>
    <cellStyle name="쉼표 [0] 7 2 2 4 5" xfId="6266"/>
    <cellStyle name="쉼표 [0] 7 2 2 4 5 2" xfId="22970"/>
    <cellStyle name="쉼표 [0] 7 2 2 4 6" xfId="11834"/>
    <cellStyle name="쉼표 [0] 7 2 2 4 6 2" xfId="28538"/>
    <cellStyle name="쉼표 [0] 7 2 2 4 7" xfId="17402"/>
    <cellStyle name="쉼표 [0] 7 2 2 5" xfId="930"/>
    <cellStyle name="쉼표 [0] 7 2 2 5 2" xfId="2322"/>
    <cellStyle name="쉼표 [0] 7 2 2 5 2 2" xfId="5106"/>
    <cellStyle name="쉼표 [0] 7 2 2 5 2 2 2" xfId="10674"/>
    <cellStyle name="쉼표 [0] 7 2 2 5 2 2 2 2" xfId="27378"/>
    <cellStyle name="쉼표 [0] 7 2 2 5 2 2 3" xfId="16242"/>
    <cellStyle name="쉼표 [0] 7 2 2 5 2 2 3 2" xfId="32946"/>
    <cellStyle name="쉼표 [0] 7 2 2 5 2 2 4" xfId="21810"/>
    <cellStyle name="쉼표 [0] 7 2 2 5 2 3" xfId="7890"/>
    <cellStyle name="쉼표 [0] 7 2 2 5 2 3 2" xfId="24594"/>
    <cellStyle name="쉼표 [0] 7 2 2 5 2 4" xfId="13458"/>
    <cellStyle name="쉼표 [0] 7 2 2 5 2 4 2" xfId="30162"/>
    <cellStyle name="쉼표 [0] 7 2 2 5 2 5" xfId="19026"/>
    <cellStyle name="쉼표 [0] 7 2 2 5 3" xfId="3714"/>
    <cellStyle name="쉼표 [0] 7 2 2 5 3 2" xfId="9282"/>
    <cellStyle name="쉼표 [0] 7 2 2 5 3 2 2" xfId="25986"/>
    <cellStyle name="쉼표 [0] 7 2 2 5 3 3" xfId="14850"/>
    <cellStyle name="쉼표 [0] 7 2 2 5 3 3 2" xfId="31554"/>
    <cellStyle name="쉼표 [0] 7 2 2 5 3 4" xfId="20418"/>
    <cellStyle name="쉼표 [0] 7 2 2 5 4" xfId="6498"/>
    <cellStyle name="쉼표 [0] 7 2 2 5 4 2" xfId="23202"/>
    <cellStyle name="쉼표 [0] 7 2 2 5 5" xfId="12066"/>
    <cellStyle name="쉼표 [0] 7 2 2 5 5 2" xfId="28770"/>
    <cellStyle name="쉼표 [0] 7 2 2 5 6" xfId="17634"/>
    <cellStyle name="쉼표 [0] 7 2 2 6" xfId="1626"/>
    <cellStyle name="쉼표 [0] 7 2 2 6 2" xfId="4410"/>
    <cellStyle name="쉼표 [0] 7 2 2 6 2 2" xfId="9978"/>
    <cellStyle name="쉼표 [0] 7 2 2 6 2 2 2" xfId="26682"/>
    <cellStyle name="쉼표 [0] 7 2 2 6 2 3" xfId="15546"/>
    <cellStyle name="쉼표 [0] 7 2 2 6 2 3 2" xfId="32250"/>
    <cellStyle name="쉼표 [0] 7 2 2 6 2 4" xfId="21114"/>
    <cellStyle name="쉼표 [0] 7 2 2 6 3" xfId="7194"/>
    <cellStyle name="쉼표 [0] 7 2 2 6 3 2" xfId="23898"/>
    <cellStyle name="쉼표 [0] 7 2 2 6 4" xfId="12762"/>
    <cellStyle name="쉼표 [0] 7 2 2 6 4 2" xfId="29466"/>
    <cellStyle name="쉼표 [0] 7 2 2 6 5" xfId="18330"/>
    <cellStyle name="쉼표 [0] 7 2 2 7" xfId="3018"/>
    <cellStyle name="쉼표 [0] 7 2 2 7 2" xfId="8586"/>
    <cellStyle name="쉼표 [0] 7 2 2 7 2 2" xfId="25290"/>
    <cellStyle name="쉼표 [0] 7 2 2 7 3" xfId="14154"/>
    <cellStyle name="쉼표 [0] 7 2 2 7 3 2" xfId="30858"/>
    <cellStyle name="쉼표 [0] 7 2 2 7 4" xfId="19722"/>
    <cellStyle name="쉼표 [0] 7 2 2 8" xfId="5802"/>
    <cellStyle name="쉼표 [0] 7 2 2 8 2" xfId="22506"/>
    <cellStyle name="쉼표 [0] 7 2 2 9" xfId="11370"/>
    <cellStyle name="쉼표 [0] 7 2 2 9 2" xfId="28074"/>
    <cellStyle name="쉼표 [0] 7 2 3" xfId="292"/>
    <cellStyle name="쉼표 [0] 7 2 3 2" xfId="524"/>
    <cellStyle name="쉼표 [0] 7 2 3 2 2" xfId="1220"/>
    <cellStyle name="쉼표 [0] 7 2 3 2 2 2" xfId="2612"/>
    <cellStyle name="쉼표 [0] 7 2 3 2 2 2 2" xfId="5396"/>
    <cellStyle name="쉼표 [0] 7 2 3 2 2 2 2 2" xfId="10964"/>
    <cellStyle name="쉼표 [0] 7 2 3 2 2 2 2 2 2" xfId="27668"/>
    <cellStyle name="쉼표 [0] 7 2 3 2 2 2 2 3" xfId="16532"/>
    <cellStyle name="쉼표 [0] 7 2 3 2 2 2 2 3 2" xfId="33236"/>
    <cellStyle name="쉼표 [0] 7 2 3 2 2 2 2 4" xfId="22100"/>
    <cellStyle name="쉼표 [0] 7 2 3 2 2 2 3" xfId="8180"/>
    <cellStyle name="쉼표 [0] 7 2 3 2 2 2 3 2" xfId="24884"/>
    <cellStyle name="쉼표 [0] 7 2 3 2 2 2 4" xfId="13748"/>
    <cellStyle name="쉼표 [0] 7 2 3 2 2 2 4 2" xfId="30452"/>
    <cellStyle name="쉼표 [0] 7 2 3 2 2 2 5" xfId="19316"/>
    <cellStyle name="쉼표 [0] 7 2 3 2 2 3" xfId="4004"/>
    <cellStyle name="쉼표 [0] 7 2 3 2 2 3 2" xfId="9572"/>
    <cellStyle name="쉼표 [0] 7 2 3 2 2 3 2 2" xfId="26276"/>
    <cellStyle name="쉼표 [0] 7 2 3 2 2 3 3" xfId="15140"/>
    <cellStyle name="쉼표 [0] 7 2 3 2 2 3 3 2" xfId="31844"/>
    <cellStyle name="쉼표 [0] 7 2 3 2 2 3 4" xfId="20708"/>
    <cellStyle name="쉼표 [0] 7 2 3 2 2 4" xfId="6788"/>
    <cellStyle name="쉼표 [0] 7 2 3 2 2 4 2" xfId="23492"/>
    <cellStyle name="쉼표 [0] 7 2 3 2 2 5" xfId="12356"/>
    <cellStyle name="쉼표 [0] 7 2 3 2 2 5 2" xfId="29060"/>
    <cellStyle name="쉼표 [0] 7 2 3 2 2 6" xfId="17924"/>
    <cellStyle name="쉼표 [0] 7 2 3 2 3" xfId="1916"/>
    <cellStyle name="쉼표 [0] 7 2 3 2 3 2" xfId="4700"/>
    <cellStyle name="쉼표 [0] 7 2 3 2 3 2 2" xfId="10268"/>
    <cellStyle name="쉼표 [0] 7 2 3 2 3 2 2 2" xfId="26972"/>
    <cellStyle name="쉼표 [0] 7 2 3 2 3 2 3" xfId="15836"/>
    <cellStyle name="쉼표 [0] 7 2 3 2 3 2 3 2" xfId="32540"/>
    <cellStyle name="쉼표 [0] 7 2 3 2 3 2 4" xfId="21404"/>
    <cellStyle name="쉼표 [0] 7 2 3 2 3 3" xfId="7484"/>
    <cellStyle name="쉼표 [0] 7 2 3 2 3 3 2" xfId="24188"/>
    <cellStyle name="쉼표 [0] 7 2 3 2 3 4" xfId="13052"/>
    <cellStyle name="쉼표 [0] 7 2 3 2 3 4 2" xfId="29756"/>
    <cellStyle name="쉼표 [0] 7 2 3 2 3 5" xfId="18620"/>
    <cellStyle name="쉼표 [0] 7 2 3 2 4" xfId="3308"/>
    <cellStyle name="쉼표 [0] 7 2 3 2 4 2" xfId="8876"/>
    <cellStyle name="쉼표 [0] 7 2 3 2 4 2 2" xfId="25580"/>
    <cellStyle name="쉼표 [0] 7 2 3 2 4 3" xfId="14444"/>
    <cellStyle name="쉼표 [0] 7 2 3 2 4 3 2" xfId="31148"/>
    <cellStyle name="쉼표 [0] 7 2 3 2 4 4" xfId="20012"/>
    <cellStyle name="쉼표 [0] 7 2 3 2 5" xfId="6092"/>
    <cellStyle name="쉼표 [0] 7 2 3 2 5 2" xfId="22796"/>
    <cellStyle name="쉼표 [0] 7 2 3 2 6" xfId="11660"/>
    <cellStyle name="쉼표 [0] 7 2 3 2 6 2" xfId="28364"/>
    <cellStyle name="쉼표 [0] 7 2 3 2 7" xfId="17228"/>
    <cellStyle name="쉼표 [0] 7 2 3 3" xfId="756"/>
    <cellStyle name="쉼표 [0] 7 2 3 3 2" xfId="1452"/>
    <cellStyle name="쉼표 [0] 7 2 3 3 2 2" xfId="2844"/>
    <cellStyle name="쉼표 [0] 7 2 3 3 2 2 2" xfId="5628"/>
    <cellStyle name="쉼표 [0] 7 2 3 3 2 2 2 2" xfId="11196"/>
    <cellStyle name="쉼표 [0] 7 2 3 3 2 2 2 2 2" xfId="27900"/>
    <cellStyle name="쉼표 [0] 7 2 3 3 2 2 2 3" xfId="16764"/>
    <cellStyle name="쉼표 [0] 7 2 3 3 2 2 2 3 2" xfId="33468"/>
    <cellStyle name="쉼표 [0] 7 2 3 3 2 2 2 4" xfId="22332"/>
    <cellStyle name="쉼표 [0] 7 2 3 3 2 2 3" xfId="8412"/>
    <cellStyle name="쉼표 [0] 7 2 3 3 2 2 3 2" xfId="25116"/>
    <cellStyle name="쉼표 [0] 7 2 3 3 2 2 4" xfId="13980"/>
    <cellStyle name="쉼표 [0] 7 2 3 3 2 2 4 2" xfId="30684"/>
    <cellStyle name="쉼표 [0] 7 2 3 3 2 2 5" xfId="19548"/>
    <cellStyle name="쉼표 [0] 7 2 3 3 2 3" xfId="4236"/>
    <cellStyle name="쉼표 [0] 7 2 3 3 2 3 2" xfId="9804"/>
    <cellStyle name="쉼표 [0] 7 2 3 3 2 3 2 2" xfId="26508"/>
    <cellStyle name="쉼표 [0] 7 2 3 3 2 3 3" xfId="15372"/>
    <cellStyle name="쉼표 [0] 7 2 3 3 2 3 3 2" xfId="32076"/>
    <cellStyle name="쉼표 [0] 7 2 3 3 2 3 4" xfId="20940"/>
    <cellStyle name="쉼표 [0] 7 2 3 3 2 4" xfId="7020"/>
    <cellStyle name="쉼표 [0] 7 2 3 3 2 4 2" xfId="23724"/>
    <cellStyle name="쉼표 [0] 7 2 3 3 2 5" xfId="12588"/>
    <cellStyle name="쉼표 [0] 7 2 3 3 2 5 2" xfId="29292"/>
    <cellStyle name="쉼표 [0] 7 2 3 3 2 6" xfId="18156"/>
    <cellStyle name="쉼표 [0] 7 2 3 3 3" xfId="2148"/>
    <cellStyle name="쉼표 [0] 7 2 3 3 3 2" xfId="4932"/>
    <cellStyle name="쉼표 [0] 7 2 3 3 3 2 2" xfId="10500"/>
    <cellStyle name="쉼표 [0] 7 2 3 3 3 2 2 2" xfId="27204"/>
    <cellStyle name="쉼표 [0] 7 2 3 3 3 2 3" xfId="16068"/>
    <cellStyle name="쉼표 [0] 7 2 3 3 3 2 3 2" xfId="32772"/>
    <cellStyle name="쉼표 [0] 7 2 3 3 3 2 4" xfId="21636"/>
    <cellStyle name="쉼표 [0] 7 2 3 3 3 3" xfId="7716"/>
    <cellStyle name="쉼표 [0] 7 2 3 3 3 3 2" xfId="24420"/>
    <cellStyle name="쉼표 [0] 7 2 3 3 3 4" xfId="13284"/>
    <cellStyle name="쉼표 [0] 7 2 3 3 3 4 2" xfId="29988"/>
    <cellStyle name="쉼표 [0] 7 2 3 3 3 5" xfId="18852"/>
    <cellStyle name="쉼표 [0] 7 2 3 3 4" xfId="3540"/>
    <cellStyle name="쉼표 [0] 7 2 3 3 4 2" xfId="9108"/>
    <cellStyle name="쉼표 [0] 7 2 3 3 4 2 2" xfId="25812"/>
    <cellStyle name="쉼표 [0] 7 2 3 3 4 3" xfId="14676"/>
    <cellStyle name="쉼표 [0] 7 2 3 3 4 3 2" xfId="31380"/>
    <cellStyle name="쉼표 [0] 7 2 3 3 4 4" xfId="20244"/>
    <cellStyle name="쉼표 [0] 7 2 3 3 5" xfId="6324"/>
    <cellStyle name="쉼표 [0] 7 2 3 3 5 2" xfId="23028"/>
    <cellStyle name="쉼표 [0] 7 2 3 3 6" xfId="11892"/>
    <cellStyle name="쉼표 [0] 7 2 3 3 6 2" xfId="28596"/>
    <cellStyle name="쉼표 [0] 7 2 3 3 7" xfId="17460"/>
    <cellStyle name="쉼표 [0] 7 2 3 4" xfId="988"/>
    <cellStyle name="쉼표 [0] 7 2 3 4 2" xfId="2380"/>
    <cellStyle name="쉼표 [0] 7 2 3 4 2 2" xfId="5164"/>
    <cellStyle name="쉼표 [0] 7 2 3 4 2 2 2" xfId="10732"/>
    <cellStyle name="쉼표 [0] 7 2 3 4 2 2 2 2" xfId="27436"/>
    <cellStyle name="쉼표 [0] 7 2 3 4 2 2 3" xfId="16300"/>
    <cellStyle name="쉼표 [0] 7 2 3 4 2 2 3 2" xfId="33004"/>
    <cellStyle name="쉼표 [0] 7 2 3 4 2 2 4" xfId="21868"/>
    <cellStyle name="쉼표 [0] 7 2 3 4 2 3" xfId="7948"/>
    <cellStyle name="쉼표 [0] 7 2 3 4 2 3 2" xfId="24652"/>
    <cellStyle name="쉼표 [0] 7 2 3 4 2 4" xfId="13516"/>
    <cellStyle name="쉼표 [0] 7 2 3 4 2 4 2" xfId="30220"/>
    <cellStyle name="쉼표 [0] 7 2 3 4 2 5" xfId="19084"/>
    <cellStyle name="쉼표 [0] 7 2 3 4 3" xfId="3772"/>
    <cellStyle name="쉼표 [0] 7 2 3 4 3 2" xfId="9340"/>
    <cellStyle name="쉼표 [0] 7 2 3 4 3 2 2" xfId="26044"/>
    <cellStyle name="쉼표 [0] 7 2 3 4 3 3" xfId="14908"/>
    <cellStyle name="쉼표 [0] 7 2 3 4 3 3 2" xfId="31612"/>
    <cellStyle name="쉼표 [0] 7 2 3 4 3 4" xfId="20476"/>
    <cellStyle name="쉼표 [0] 7 2 3 4 4" xfId="6556"/>
    <cellStyle name="쉼표 [0] 7 2 3 4 4 2" xfId="23260"/>
    <cellStyle name="쉼표 [0] 7 2 3 4 5" xfId="12124"/>
    <cellStyle name="쉼표 [0] 7 2 3 4 5 2" xfId="28828"/>
    <cellStyle name="쉼표 [0] 7 2 3 4 6" xfId="17692"/>
    <cellStyle name="쉼표 [0] 7 2 3 5" xfId="1684"/>
    <cellStyle name="쉼표 [0] 7 2 3 5 2" xfId="4468"/>
    <cellStyle name="쉼표 [0] 7 2 3 5 2 2" xfId="10036"/>
    <cellStyle name="쉼표 [0] 7 2 3 5 2 2 2" xfId="26740"/>
    <cellStyle name="쉼표 [0] 7 2 3 5 2 3" xfId="15604"/>
    <cellStyle name="쉼표 [0] 7 2 3 5 2 3 2" xfId="32308"/>
    <cellStyle name="쉼표 [0] 7 2 3 5 2 4" xfId="21172"/>
    <cellStyle name="쉼표 [0] 7 2 3 5 3" xfId="7252"/>
    <cellStyle name="쉼표 [0] 7 2 3 5 3 2" xfId="23956"/>
    <cellStyle name="쉼표 [0] 7 2 3 5 4" xfId="12820"/>
    <cellStyle name="쉼표 [0] 7 2 3 5 4 2" xfId="29524"/>
    <cellStyle name="쉼표 [0] 7 2 3 5 5" xfId="18388"/>
    <cellStyle name="쉼표 [0] 7 2 3 6" xfId="3076"/>
    <cellStyle name="쉼표 [0] 7 2 3 6 2" xfId="8644"/>
    <cellStyle name="쉼표 [0] 7 2 3 6 2 2" xfId="25348"/>
    <cellStyle name="쉼표 [0] 7 2 3 6 3" xfId="14212"/>
    <cellStyle name="쉼표 [0] 7 2 3 6 3 2" xfId="30916"/>
    <cellStyle name="쉼표 [0] 7 2 3 6 4" xfId="19780"/>
    <cellStyle name="쉼표 [0] 7 2 3 7" xfId="5860"/>
    <cellStyle name="쉼표 [0] 7 2 3 7 2" xfId="22564"/>
    <cellStyle name="쉼표 [0] 7 2 3 8" xfId="11428"/>
    <cellStyle name="쉼표 [0] 7 2 3 8 2" xfId="28132"/>
    <cellStyle name="쉼표 [0] 7 2 3 9" xfId="16996"/>
    <cellStyle name="쉼표 [0] 7 2 4" xfId="408"/>
    <cellStyle name="쉼표 [0] 7 2 4 2" xfId="1104"/>
    <cellStyle name="쉼표 [0] 7 2 4 2 2" xfId="2496"/>
    <cellStyle name="쉼표 [0] 7 2 4 2 2 2" xfId="5280"/>
    <cellStyle name="쉼표 [0] 7 2 4 2 2 2 2" xfId="10848"/>
    <cellStyle name="쉼표 [0] 7 2 4 2 2 2 2 2" xfId="27552"/>
    <cellStyle name="쉼표 [0] 7 2 4 2 2 2 3" xfId="16416"/>
    <cellStyle name="쉼표 [0] 7 2 4 2 2 2 3 2" xfId="33120"/>
    <cellStyle name="쉼표 [0] 7 2 4 2 2 2 4" xfId="21984"/>
    <cellStyle name="쉼표 [0] 7 2 4 2 2 3" xfId="8064"/>
    <cellStyle name="쉼표 [0] 7 2 4 2 2 3 2" xfId="24768"/>
    <cellStyle name="쉼표 [0] 7 2 4 2 2 4" xfId="13632"/>
    <cellStyle name="쉼표 [0] 7 2 4 2 2 4 2" xfId="30336"/>
    <cellStyle name="쉼표 [0] 7 2 4 2 2 5" xfId="19200"/>
    <cellStyle name="쉼표 [0] 7 2 4 2 3" xfId="3888"/>
    <cellStyle name="쉼표 [0] 7 2 4 2 3 2" xfId="9456"/>
    <cellStyle name="쉼표 [0] 7 2 4 2 3 2 2" xfId="26160"/>
    <cellStyle name="쉼표 [0] 7 2 4 2 3 3" xfId="15024"/>
    <cellStyle name="쉼표 [0] 7 2 4 2 3 3 2" xfId="31728"/>
    <cellStyle name="쉼표 [0] 7 2 4 2 3 4" xfId="20592"/>
    <cellStyle name="쉼표 [0] 7 2 4 2 4" xfId="6672"/>
    <cellStyle name="쉼표 [0] 7 2 4 2 4 2" xfId="23376"/>
    <cellStyle name="쉼표 [0] 7 2 4 2 5" xfId="12240"/>
    <cellStyle name="쉼표 [0] 7 2 4 2 5 2" xfId="28944"/>
    <cellStyle name="쉼표 [0] 7 2 4 2 6" xfId="17808"/>
    <cellStyle name="쉼표 [0] 7 2 4 3" xfId="1800"/>
    <cellStyle name="쉼표 [0] 7 2 4 3 2" xfId="4584"/>
    <cellStyle name="쉼표 [0] 7 2 4 3 2 2" xfId="10152"/>
    <cellStyle name="쉼표 [0] 7 2 4 3 2 2 2" xfId="26856"/>
    <cellStyle name="쉼표 [0] 7 2 4 3 2 3" xfId="15720"/>
    <cellStyle name="쉼표 [0] 7 2 4 3 2 3 2" xfId="32424"/>
    <cellStyle name="쉼표 [0] 7 2 4 3 2 4" xfId="21288"/>
    <cellStyle name="쉼표 [0] 7 2 4 3 3" xfId="7368"/>
    <cellStyle name="쉼표 [0] 7 2 4 3 3 2" xfId="24072"/>
    <cellStyle name="쉼표 [0] 7 2 4 3 4" xfId="12936"/>
    <cellStyle name="쉼표 [0] 7 2 4 3 4 2" xfId="29640"/>
    <cellStyle name="쉼표 [0] 7 2 4 3 5" xfId="18504"/>
    <cellStyle name="쉼표 [0] 7 2 4 4" xfId="3192"/>
    <cellStyle name="쉼표 [0] 7 2 4 4 2" xfId="8760"/>
    <cellStyle name="쉼표 [0] 7 2 4 4 2 2" xfId="25464"/>
    <cellStyle name="쉼표 [0] 7 2 4 4 3" xfId="14328"/>
    <cellStyle name="쉼표 [0] 7 2 4 4 3 2" xfId="31032"/>
    <cellStyle name="쉼표 [0] 7 2 4 4 4" xfId="19896"/>
    <cellStyle name="쉼표 [0] 7 2 4 5" xfId="5976"/>
    <cellStyle name="쉼표 [0] 7 2 4 5 2" xfId="22680"/>
    <cellStyle name="쉼표 [0] 7 2 4 6" xfId="11544"/>
    <cellStyle name="쉼표 [0] 7 2 4 6 2" xfId="28248"/>
    <cellStyle name="쉼표 [0] 7 2 4 7" xfId="17112"/>
    <cellStyle name="쉼표 [0] 7 2 5" xfId="640"/>
    <cellStyle name="쉼표 [0] 7 2 5 2" xfId="1336"/>
    <cellStyle name="쉼표 [0] 7 2 5 2 2" xfId="2728"/>
    <cellStyle name="쉼표 [0] 7 2 5 2 2 2" xfId="5512"/>
    <cellStyle name="쉼표 [0] 7 2 5 2 2 2 2" xfId="11080"/>
    <cellStyle name="쉼표 [0] 7 2 5 2 2 2 2 2" xfId="27784"/>
    <cellStyle name="쉼표 [0] 7 2 5 2 2 2 3" xfId="16648"/>
    <cellStyle name="쉼표 [0] 7 2 5 2 2 2 3 2" xfId="33352"/>
    <cellStyle name="쉼표 [0] 7 2 5 2 2 2 4" xfId="22216"/>
    <cellStyle name="쉼표 [0] 7 2 5 2 2 3" xfId="8296"/>
    <cellStyle name="쉼표 [0] 7 2 5 2 2 3 2" xfId="25000"/>
    <cellStyle name="쉼표 [0] 7 2 5 2 2 4" xfId="13864"/>
    <cellStyle name="쉼표 [0] 7 2 5 2 2 4 2" xfId="30568"/>
    <cellStyle name="쉼표 [0] 7 2 5 2 2 5" xfId="19432"/>
    <cellStyle name="쉼표 [0] 7 2 5 2 3" xfId="4120"/>
    <cellStyle name="쉼표 [0] 7 2 5 2 3 2" xfId="9688"/>
    <cellStyle name="쉼표 [0] 7 2 5 2 3 2 2" xfId="26392"/>
    <cellStyle name="쉼표 [0] 7 2 5 2 3 3" xfId="15256"/>
    <cellStyle name="쉼표 [0] 7 2 5 2 3 3 2" xfId="31960"/>
    <cellStyle name="쉼표 [0] 7 2 5 2 3 4" xfId="20824"/>
    <cellStyle name="쉼표 [0] 7 2 5 2 4" xfId="6904"/>
    <cellStyle name="쉼표 [0] 7 2 5 2 4 2" xfId="23608"/>
    <cellStyle name="쉼표 [0] 7 2 5 2 5" xfId="12472"/>
    <cellStyle name="쉼표 [0] 7 2 5 2 5 2" xfId="29176"/>
    <cellStyle name="쉼표 [0] 7 2 5 2 6" xfId="18040"/>
    <cellStyle name="쉼표 [0] 7 2 5 3" xfId="2032"/>
    <cellStyle name="쉼표 [0] 7 2 5 3 2" xfId="4816"/>
    <cellStyle name="쉼표 [0] 7 2 5 3 2 2" xfId="10384"/>
    <cellStyle name="쉼표 [0] 7 2 5 3 2 2 2" xfId="27088"/>
    <cellStyle name="쉼표 [0] 7 2 5 3 2 3" xfId="15952"/>
    <cellStyle name="쉼표 [0] 7 2 5 3 2 3 2" xfId="32656"/>
    <cellStyle name="쉼표 [0] 7 2 5 3 2 4" xfId="21520"/>
    <cellStyle name="쉼표 [0] 7 2 5 3 3" xfId="7600"/>
    <cellStyle name="쉼표 [0] 7 2 5 3 3 2" xfId="24304"/>
    <cellStyle name="쉼표 [0] 7 2 5 3 4" xfId="13168"/>
    <cellStyle name="쉼표 [0] 7 2 5 3 4 2" xfId="29872"/>
    <cellStyle name="쉼표 [0] 7 2 5 3 5" xfId="18736"/>
    <cellStyle name="쉼표 [0] 7 2 5 4" xfId="3424"/>
    <cellStyle name="쉼표 [0] 7 2 5 4 2" xfId="8992"/>
    <cellStyle name="쉼표 [0] 7 2 5 4 2 2" xfId="25696"/>
    <cellStyle name="쉼표 [0] 7 2 5 4 3" xfId="14560"/>
    <cellStyle name="쉼표 [0] 7 2 5 4 3 2" xfId="31264"/>
    <cellStyle name="쉼표 [0] 7 2 5 4 4" xfId="20128"/>
    <cellStyle name="쉼표 [0] 7 2 5 5" xfId="6208"/>
    <cellStyle name="쉼표 [0] 7 2 5 5 2" xfId="22912"/>
    <cellStyle name="쉼표 [0] 7 2 5 6" xfId="11776"/>
    <cellStyle name="쉼표 [0] 7 2 5 6 2" xfId="28480"/>
    <cellStyle name="쉼표 [0] 7 2 5 7" xfId="17344"/>
    <cellStyle name="쉼표 [0] 7 2 6" xfId="872"/>
    <cellStyle name="쉼표 [0] 7 2 6 2" xfId="2264"/>
    <cellStyle name="쉼표 [0] 7 2 6 2 2" xfId="5048"/>
    <cellStyle name="쉼표 [0] 7 2 6 2 2 2" xfId="10616"/>
    <cellStyle name="쉼표 [0] 7 2 6 2 2 2 2" xfId="27320"/>
    <cellStyle name="쉼표 [0] 7 2 6 2 2 3" xfId="16184"/>
    <cellStyle name="쉼표 [0] 7 2 6 2 2 3 2" xfId="32888"/>
    <cellStyle name="쉼표 [0] 7 2 6 2 2 4" xfId="21752"/>
    <cellStyle name="쉼표 [0] 7 2 6 2 3" xfId="7832"/>
    <cellStyle name="쉼표 [0] 7 2 6 2 3 2" xfId="24536"/>
    <cellStyle name="쉼표 [0] 7 2 6 2 4" xfId="13400"/>
    <cellStyle name="쉼표 [0] 7 2 6 2 4 2" xfId="30104"/>
    <cellStyle name="쉼표 [0] 7 2 6 2 5" xfId="18968"/>
    <cellStyle name="쉼표 [0] 7 2 6 3" xfId="3656"/>
    <cellStyle name="쉼표 [0] 7 2 6 3 2" xfId="9224"/>
    <cellStyle name="쉼표 [0] 7 2 6 3 2 2" xfId="25928"/>
    <cellStyle name="쉼표 [0] 7 2 6 3 3" xfId="14792"/>
    <cellStyle name="쉼표 [0] 7 2 6 3 3 2" xfId="31496"/>
    <cellStyle name="쉼표 [0] 7 2 6 3 4" xfId="20360"/>
    <cellStyle name="쉼표 [0] 7 2 6 4" xfId="6440"/>
    <cellStyle name="쉼표 [0] 7 2 6 4 2" xfId="23144"/>
    <cellStyle name="쉼표 [0] 7 2 6 5" xfId="12008"/>
    <cellStyle name="쉼표 [0] 7 2 6 5 2" xfId="28712"/>
    <cellStyle name="쉼표 [0] 7 2 6 6" xfId="17576"/>
    <cellStyle name="쉼표 [0] 7 2 7" xfId="1568"/>
    <cellStyle name="쉼표 [0] 7 2 7 2" xfId="4352"/>
    <cellStyle name="쉼표 [0] 7 2 7 2 2" xfId="9920"/>
    <cellStyle name="쉼표 [0] 7 2 7 2 2 2" xfId="26624"/>
    <cellStyle name="쉼표 [0] 7 2 7 2 3" xfId="15488"/>
    <cellStyle name="쉼표 [0] 7 2 7 2 3 2" xfId="32192"/>
    <cellStyle name="쉼표 [0] 7 2 7 2 4" xfId="21056"/>
    <cellStyle name="쉼표 [0] 7 2 7 3" xfId="7136"/>
    <cellStyle name="쉼표 [0] 7 2 7 3 2" xfId="23840"/>
    <cellStyle name="쉼표 [0] 7 2 7 4" xfId="12704"/>
    <cellStyle name="쉼표 [0] 7 2 7 4 2" xfId="29408"/>
    <cellStyle name="쉼표 [0] 7 2 7 5" xfId="18272"/>
    <cellStyle name="쉼표 [0] 7 2 8" xfId="2960"/>
    <cellStyle name="쉼표 [0] 7 2 8 2" xfId="8528"/>
    <cellStyle name="쉼표 [0] 7 2 8 2 2" xfId="25232"/>
    <cellStyle name="쉼표 [0] 7 2 8 3" xfId="14096"/>
    <cellStyle name="쉼표 [0] 7 2 8 3 2" xfId="30800"/>
    <cellStyle name="쉼표 [0] 7 2 8 4" xfId="19664"/>
    <cellStyle name="쉼표 [0] 7 2 9" xfId="5744"/>
    <cellStyle name="쉼표 [0] 7 2 9 2" xfId="22448"/>
    <cellStyle name="쉼표 [0] 7 3" xfId="205"/>
    <cellStyle name="쉼표 [0] 7 3 10" xfId="16909"/>
    <cellStyle name="쉼표 [0] 7 3 2" xfId="321"/>
    <cellStyle name="쉼표 [0] 7 3 2 2" xfId="553"/>
    <cellStyle name="쉼표 [0] 7 3 2 2 2" xfId="1249"/>
    <cellStyle name="쉼표 [0] 7 3 2 2 2 2" xfId="2641"/>
    <cellStyle name="쉼표 [0] 7 3 2 2 2 2 2" xfId="5425"/>
    <cellStyle name="쉼표 [0] 7 3 2 2 2 2 2 2" xfId="10993"/>
    <cellStyle name="쉼표 [0] 7 3 2 2 2 2 2 2 2" xfId="27697"/>
    <cellStyle name="쉼표 [0] 7 3 2 2 2 2 2 3" xfId="16561"/>
    <cellStyle name="쉼표 [0] 7 3 2 2 2 2 2 3 2" xfId="33265"/>
    <cellStyle name="쉼표 [0] 7 3 2 2 2 2 2 4" xfId="22129"/>
    <cellStyle name="쉼표 [0] 7 3 2 2 2 2 3" xfId="8209"/>
    <cellStyle name="쉼표 [0] 7 3 2 2 2 2 3 2" xfId="24913"/>
    <cellStyle name="쉼표 [0] 7 3 2 2 2 2 4" xfId="13777"/>
    <cellStyle name="쉼표 [0] 7 3 2 2 2 2 4 2" xfId="30481"/>
    <cellStyle name="쉼표 [0] 7 3 2 2 2 2 5" xfId="19345"/>
    <cellStyle name="쉼표 [0] 7 3 2 2 2 3" xfId="4033"/>
    <cellStyle name="쉼표 [0] 7 3 2 2 2 3 2" xfId="9601"/>
    <cellStyle name="쉼표 [0] 7 3 2 2 2 3 2 2" xfId="26305"/>
    <cellStyle name="쉼표 [0] 7 3 2 2 2 3 3" xfId="15169"/>
    <cellStyle name="쉼표 [0] 7 3 2 2 2 3 3 2" xfId="31873"/>
    <cellStyle name="쉼표 [0] 7 3 2 2 2 3 4" xfId="20737"/>
    <cellStyle name="쉼표 [0] 7 3 2 2 2 4" xfId="6817"/>
    <cellStyle name="쉼표 [0] 7 3 2 2 2 4 2" xfId="23521"/>
    <cellStyle name="쉼표 [0] 7 3 2 2 2 5" xfId="12385"/>
    <cellStyle name="쉼표 [0] 7 3 2 2 2 5 2" xfId="29089"/>
    <cellStyle name="쉼표 [0] 7 3 2 2 2 6" xfId="17953"/>
    <cellStyle name="쉼표 [0] 7 3 2 2 3" xfId="1945"/>
    <cellStyle name="쉼표 [0] 7 3 2 2 3 2" xfId="4729"/>
    <cellStyle name="쉼표 [0] 7 3 2 2 3 2 2" xfId="10297"/>
    <cellStyle name="쉼표 [0] 7 3 2 2 3 2 2 2" xfId="27001"/>
    <cellStyle name="쉼표 [0] 7 3 2 2 3 2 3" xfId="15865"/>
    <cellStyle name="쉼표 [0] 7 3 2 2 3 2 3 2" xfId="32569"/>
    <cellStyle name="쉼표 [0] 7 3 2 2 3 2 4" xfId="21433"/>
    <cellStyle name="쉼표 [0] 7 3 2 2 3 3" xfId="7513"/>
    <cellStyle name="쉼표 [0] 7 3 2 2 3 3 2" xfId="24217"/>
    <cellStyle name="쉼표 [0] 7 3 2 2 3 4" xfId="13081"/>
    <cellStyle name="쉼표 [0] 7 3 2 2 3 4 2" xfId="29785"/>
    <cellStyle name="쉼표 [0] 7 3 2 2 3 5" xfId="18649"/>
    <cellStyle name="쉼표 [0] 7 3 2 2 4" xfId="3337"/>
    <cellStyle name="쉼표 [0] 7 3 2 2 4 2" xfId="8905"/>
    <cellStyle name="쉼표 [0] 7 3 2 2 4 2 2" xfId="25609"/>
    <cellStyle name="쉼표 [0] 7 3 2 2 4 3" xfId="14473"/>
    <cellStyle name="쉼표 [0] 7 3 2 2 4 3 2" xfId="31177"/>
    <cellStyle name="쉼표 [0] 7 3 2 2 4 4" xfId="20041"/>
    <cellStyle name="쉼표 [0] 7 3 2 2 5" xfId="6121"/>
    <cellStyle name="쉼표 [0] 7 3 2 2 5 2" xfId="22825"/>
    <cellStyle name="쉼표 [0] 7 3 2 2 6" xfId="11689"/>
    <cellStyle name="쉼표 [0] 7 3 2 2 6 2" xfId="28393"/>
    <cellStyle name="쉼표 [0] 7 3 2 2 7" xfId="17257"/>
    <cellStyle name="쉼표 [0] 7 3 2 3" xfId="785"/>
    <cellStyle name="쉼표 [0] 7 3 2 3 2" xfId="1481"/>
    <cellStyle name="쉼표 [0] 7 3 2 3 2 2" xfId="2873"/>
    <cellStyle name="쉼표 [0] 7 3 2 3 2 2 2" xfId="5657"/>
    <cellStyle name="쉼표 [0] 7 3 2 3 2 2 2 2" xfId="11225"/>
    <cellStyle name="쉼표 [0] 7 3 2 3 2 2 2 2 2" xfId="27929"/>
    <cellStyle name="쉼표 [0] 7 3 2 3 2 2 2 3" xfId="16793"/>
    <cellStyle name="쉼표 [0] 7 3 2 3 2 2 2 3 2" xfId="33497"/>
    <cellStyle name="쉼표 [0] 7 3 2 3 2 2 2 4" xfId="22361"/>
    <cellStyle name="쉼표 [0] 7 3 2 3 2 2 3" xfId="8441"/>
    <cellStyle name="쉼표 [0] 7 3 2 3 2 2 3 2" xfId="25145"/>
    <cellStyle name="쉼표 [0] 7 3 2 3 2 2 4" xfId="14009"/>
    <cellStyle name="쉼표 [0] 7 3 2 3 2 2 4 2" xfId="30713"/>
    <cellStyle name="쉼표 [0] 7 3 2 3 2 2 5" xfId="19577"/>
    <cellStyle name="쉼표 [0] 7 3 2 3 2 3" xfId="4265"/>
    <cellStyle name="쉼표 [0] 7 3 2 3 2 3 2" xfId="9833"/>
    <cellStyle name="쉼표 [0] 7 3 2 3 2 3 2 2" xfId="26537"/>
    <cellStyle name="쉼표 [0] 7 3 2 3 2 3 3" xfId="15401"/>
    <cellStyle name="쉼표 [0] 7 3 2 3 2 3 3 2" xfId="32105"/>
    <cellStyle name="쉼표 [0] 7 3 2 3 2 3 4" xfId="20969"/>
    <cellStyle name="쉼표 [0] 7 3 2 3 2 4" xfId="7049"/>
    <cellStyle name="쉼표 [0] 7 3 2 3 2 4 2" xfId="23753"/>
    <cellStyle name="쉼표 [0] 7 3 2 3 2 5" xfId="12617"/>
    <cellStyle name="쉼표 [0] 7 3 2 3 2 5 2" xfId="29321"/>
    <cellStyle name="쉼표 [0] 7 3 2 3 2 6" xfId="18185"/>
    <cellStyle name="쉼표 [0] 7 3 2 3 3" xfId="2177"/>
    <cellStyle name="쉼표 [0] 7 3 2 3 3 2" xfId="4961"/>
    <cellStyle name="쉼표 [0] 7 3 2 3 3 2 2" xfId="10529"/>
    <cellStyle name="쉼표 [0] 7 3 2 3 3 2 2 2" xfId="27233"/>
    <cellStyle name="쉼표 [0] 7 3 2 3 3 2 3" xfId="16097"/>
    <cellStyle name="쉼표 [0] 7 3 2 3 3 2 3 2" xfId="32801"/>
    <cellStyle name="쉼표 [0] 7 3 2 3 3 2 4" xfId="21665"/>
    <cellStyle name="쉼표 [0] 7 3 2 3 3 3" xfId="7745"/>
    <cellStyle name="쉼표 [0] 7 3 2 3 3 3 2" xfId="24449"/>
    <cellStyle name="쉼표 [0] 7 3 2 3 3 4" xfId="13313"/>
    <cellStyle name="쉼표 [0] 7 3 2 3 3 4 2" xfId="30017"/>
    <cellStyle name="쉼표 [0] 7 3 2 3 3 5" xfId="18881"/>
    <cellStyle name="쉼표 [0] 7 3 2 3 4" xfId="3569"/>
    <cellStyle name="쉼표 [0] 7 3 2 3 4 2" xfId="9137"/>
    <cellStyle name="쉼표 [0] 7 3 2 3 4 2 2" xfId="25841"/>
    <cellStyle name="쉼표 [0] 7 3 2 3 4 3" xfId="14705"/>
    <cellStyle name="쉼표 [0] 7 3 2 3 4 3 2" xfId="31409"/>
    <cellStyle name="쉼표 [0] 7 3 2 3 4 4" xfId="20273"/>
    <cellStyle name="쉼표 [0] 7 3 2 3 5" xfId="6353"/>
    <cellStyle name="쉼표 [0] 7 3 2 3 5 2" xfId="23057"/>
    <cellStyle name="쉼표 [0] 7 3 2 3 6" xfId="11921"/>
    <cellStyle name="쉼표 [0] 7 3 2 3 6 2" xfId="28625"/>
    <cellStyle name="쉼표 [0] 7 3 2 3 7" xfId="17489"/>
    <cellStyle name="쉼표 [0] 7 3 2 4" xfId="1017"/>
    <cellStyle name="쉼표 [0] 7 3 2 4 2" xfId="2409"/>
    <cellStyle name="쉼표 [0] 7 3 2 4 2 2" xfId="5193"/>
    <cellStyle name="쉼표 [0] 7 3 2 4 2 2 2" xfId="10761"/>
    <cellStyle name="쉼표 [0] 7 3 2 4 2 2 2 2" xfId="27465"/>
    <cellStyle name="쉼표 [0] 7 3 2 4 2 2 3" xfId="16329"/>
    <cellStyle name="쉼표 [0] 7 3 2 4 2 2 3 2" xfId="33033"/>
    <cellStyle name="쉼표 [0] 7 3 2 4 2 2 4" xfId="21897"/>
    <cellStyle name="쉼표 [0] 7 3 2 4 2 3" xfId="7977"/>
    <cellStyle name="쉼표 [0] 7 3 2 4 2 3 2" xfId="24681"/>
    <cellStyle name="쉼표 [0] 7 3 2 4 2 4" xfId="13545"/>
    <cellStyle name="쉼표 [0] 7 3 2 4 2 4 2" xfId="30249"/>
    <cellStyle name="쉼표 [0] 7 3 2 4 2 5" xfId="19113"/>
    <cellStyle name="쉼표 [0] 7 3 2 4 3" xfId="3801"/>
    <cellStyle name="쉼표 [0] 7 3 2 4 3 2" xfId="9369"/>
    <cellStyle name="쉼표 [0] 7 3 2 4 3 2 2" xfId="26073"/>
    <cellStyle name="쉼표 [0] 7 3 2 4 3 3" xfId="14937"/>
    <cellStyle name="쉼표 [0] 7 3 2 4 3 3 2" xfId="31641"/>
    <cellStyle name="쉼표 [0] 7 3 2 4 3 4" xfId="20505"/>
    <cellStyle name="쉼표 [0] 7 3 2 4 4" xfId="6585"/>
    <cellStyle name="쉼표 [0] 7 3 2 4 4 2" xfId="23289"/>
    <cellStyle name="쉼표 [0] 7 3 2 4 5" xfId="12153"/>
    <cellStyle name="쉼표 [0] 7 3 2 4 5 2" xfId="28857"/>
    <cellStyle name="쉼표 [0] 7 3 2 4 6" xfId="17721"/>
    <cellStyle name="쉼표 [0] 7 3 2 5" xfId="1713"/>
    <cellStyle name="쉼표 [0] 7 3 2 5 2" xfId="4497"/>
    <cellStyle name="쉼표 [0] 7 3 2 5 2 2" xfId="10065"/>
    <cellStyle name="쉼표 [0] 7 3 2 5 2 2 2" xfId="26769"/>
    <cellStyle name="쉼표 [0] 7 3 2 5 2 3" xfId="15633"/>
    <cellStyle name="쉼표 [0] 7 3 2 5 2 3 2" xfId="32337"/>
    <cellStyle name="쉼표 [0] 7 3 2 5 2 4" xfId="21201"/>
    <cellStyle name="쉼표 [0] 7 3 2 5 3" xfId="7281"/>
    <cellStyle name="쉼표 [0] 7 3 2 5 3 2" xfId="23985"/>
    <cellStyle name="쉼표 [0] 7 3 2 5 4" xfId="12849"/>
    <cellStyle name="쉼표 [0] 7 3 2 5 4 2" xfId="29553"/>
    <cellStyle name="쉼표 [0] 7 3 2 5 5" xfId="18417"/>
    <cellStyle name="쉼표 [0] 7 3 2 6" xfId="3105"/>
    <cellStyle name="쉼표 [0] 7 3 2 6 2" xfId="8673"/>
    <cellStyle name="쉼표 [0] 7 3 2 6 2 2" xfId="25377"/>
    <cellStyle name="쉼표 [0] 7 3 2 6 3" xfId="14241"/>
    <cellStyle name="쉼표 [0] 7 3 2 6 3 2" xfId="30945"/>
    <cellStyle name="쉼표 [0] 7 3 2 6 4" xfId="19809"/>
    <cellStyle name="쉼표 [0] 7 3 2 7" xfId="5889"/>
    <cellStyle name="쉼표 [0] 7 3 2 7 2" xfId="22593"/>
    <cellStyle name="쉼표 [0] 7 3 2 8" xfId="11457"/>
    <cellStyle name="쉼표 [0] 7 3 2 8 2" xfId="28161"/>
    <cellStyle name="쉼표 [0] 7 3 2 9" xfId="17025"/>
    <cellStyle name="쉼표 [0] 7 3 3" xfId="437"/>
    <cellStyle name="쉼표 [0] 7 3 3 2" xfId="1133"/>
    <cellStyle name="쉼표 [0] 7 3 3 2 2" xfId="2525"/>
    <cellStyle name="쉼표 [0] 7 3 3 2 2 2" xfId="5309"/>
    <cellStyle name="쉼표 [0] 7 3 3 2 2 2 2" xfId="10877"/>
    <cellStyle name="쉼표 [0] 7 3 3 2 2 2 2 2" xfId="27581"/>
    <cellStyle name="쉼표 [0] 7 3 3 2 2 2 3" xfId="16445"/>
    <cellStyle name="쉼표 [0] 7 3 3 2 2 2 3 2" xfId="33149"/>
    <cellStyle name="쉼표 [0] 7 3 3 2 2 2 4" xfId="22013"/>
    <cellStyle name="쉼표 [0] 7 3 3 2 2 3" xfId="8093"/>
    <cellStyle name="쉼표 [0] 7 3 3 2 2 3 2" xfId="24797"/>
    <cellStyle name="쉼표 [0] 7 3 3 2 2 4" xfId="13661"/>
    <cellStyle name="쉼표 [0] 7 3 3 2 2 4 2" xfId="30365"/>
    <cellStyle name="쉼표 [0] 7 3 3 2 2 5" xfId="19229"/>
    <cellStyle name="쉼표 [0] 7 3 3 2 3" xfId="3917"/>
    <cellStyle name="쉼표 [0] 7 3 3 2 3 2" xfId="9485"/>
    <cellStyle name="쉼표 [0] 7 3 3 2 3 2 2" xfId="26189"/>
    <cellStyle name="쉼표 [0] 7 3 3 2 3 3" xfId="15053"/>
    <cellStyle name="쉼표 [0] 7 3 3 2 3 3 2" xfId="31757"/>
    <cellStyle name="쉼표 [0] 7 3 3 2 3 4" xfId="20621"/>
    <cellStyle name="쉼표 [0] 7 3 3 2 4" xfId="6701"/>
    <cellStyle name="쉼표 [0] 7 3 3 2 4 2" xfId="23405"/>
    <cellStyle name="쉼표 [0] 7 3 3 2 5" xfId="12269"/>
    <cellStyle name="쉼표 [0] 7 3 3 2 5 2" xfId="28973"/>
    <cellStyle name="쉼표 [0] 7 3 3 2 6" xfId="17837"/>
    <cellStyle name="쉼표 [0] 7 3 3 3" xfId="1829"/>
    <cellStyle name="쉼표 [0] 7 3 3 3 2" xfId="4613"/>
    <cellStyle name="쉼표 [0] 7 3 3 3 2 2" xfId="10181"/>
    <cellStyle name="쉼표 [0] 7 3 3 3 2 2 2" xfId="26885"/>
    <cellStyle name="쉼표 [0] 7 3 3 3 2 3" xfId="15749"/>
    <cellStyle name="쉼표 [0] 7 3 3 3 2 3 2" xfId="32453"/>
    <cellStyle name="쉼표 [0] 7 3 3 3 2 4" xfId="21317"/>
    <cellStyle name="쉼표 [0] 7 3 3 3 3" xfId="7397"/>
    <cellStyle name="쉼표 [0] 7 3 3 3 3 2" xfId="24101"/>
    <cellStyle name="쉼표 [0] 7 3 3 3 4" xfId="12965"/>
    <cellStyle name="쉼표 [0] 7 3 3 3 4 2" xfId="29669"/>
    <cellStyle name="쉼표 [0] 7 3 3 3 5" xfId="18533"/>
    <cellStyle name="쉼표 [0] 7 3 3 4" xfId="3221"/>
    <cellStyle name="쉼표 [0] 7 3 3 4 2" xfId="8789"/>
    <cellStyle name="쉼표 [0] 7 3 3 4 2 2" xfId="25493"/>
    <cellStyle name="쉼표 [0] 7 3 3 4 3" xfId="14357"/>
    <cellStyle name="쉼표 [0] 7 3 3 4 3 2" xfId="31061"/>
    <cellStyle name="쉼표 [0] 7 3 3 4 4" xfId="19925"/>
    <cellStyle name="쉼표 [0] 7 3 3 5" xfId="6005"/>
    <cellStyle name="쉼표 [0] 7 3 3 5 2" xfId="22709"/>
    <cellStyle name="쉼표 [0] 7 3 3 6" xfId="11573"/>
    <cellStyle name="쉼표 [0] 7 3 3 6 2" xfId="28277"/>
    <cellStyle name="쉼표 [0] 7 3 3 7" xfId="17141"/>
    <cellStyle name="쉼표 [0] 7 3 4" xfId="669"/>
    <cellStyle name="쉼표 [0] 7 3 4 2" xfId="1365"/>
    <cellStyle name="쉼표 [0] 7 3 4 2 2" xfId="2757"/>
    <cellStyle name="쉼표 [0] 7 3 4 2 2 2" xfId="5541"/>
    <cellStyle name="쉼표 [0] 7 3 4 2 2 2 2" xfId="11109"/>
    <cellStyle name="쉼표 [0] 7 3 4 2 2 2 2 2" xfId="27813"/>
    <cellStyle name="쉼표 [0] 7 3 4 2 2 2 3" xfId="16677"/>
    <cellStyle name="쉼표 [0] 7 3 4 2 2 2 3 2" xfId="33381"/>
    <cellStyle name="쉼표 [0] 7 3 4 2 2 2 4" xfId="22245"/>
    <cellStyle name="쉼표 [0] 7 3 4 2 2 3" xfId="8325"/>
    <cellStyle name="쉼표 [0] 7 3 4 2 2 3 2" xfId="25029"/>
    <cellStyle name="쉼표 [0] 7 3 4 2 2 4" xfId="13893"/>
    <cellStyle name="쉼표 [0] 7 3 4 2 2 4 2" xfId="30597"/>
    <cellStyle name="쉼표 [0] 7 3 4 2 2 5" xfId="19461"/>
    <cellStyle name="쉼표 [0] 7 3 4 2 3" xfId="4149"/>
    <cellStyle name="쉼표 [0] 7 3 4 2 3 2" xfId="9717"/>
    <cellStyle name="쉼표 [0] 7 3 4 2 3 2 2" xfId="26421"/>
    <cellStyle name="쉼표 [0] 7 3 4 2 3 3" xfId="15285"/>
    <cellStyle name="쉼표 [0] 7 3 4 2 3 3 2" xfId="31989"/>
    <cellStyle name="쉼표 [0] 7 3 4 2 3 4" xfId="20853"/>
    <cellStyle name="쉼표 [0] 7 3 4 2 4" xfId="6933"/>
    <cellStyle name="쉼표 [0] 7 3 4 2 4 2" xfId="23637"/>
    <cellStyle name="쉼표 [0] 7 3 4 2 5" xfId="12501"/>
    <cellStyle name="쉼표 [0] 7 3 4 2 5 2" xfId="29205"/>
    <cellStyle name="쉼표 [0] 7 3 4 2 6" xfId="18069"/>
    <cellStyle name="쉼표 [0] 7 3 4 3" xfId="2061"/>
    <cellStyle name="쉼표 [0] 7 3 4 3 2" xfId="4845"/>
    <cellStyle name="쉼표 [0] 7 3 4 3 2 2" xfId="10413"/>
    <cellStyle name="쉼표 [0] 7 3 4 3 2 2 2" xfId="27117"/>
    <cellStyle name="쉼표 [0] 7 3 4 3 2 3" xfId="15981"/>
    <cellStyle name="쉼표 [0] 7 3 4 3 2 3 2" xfId="32685"/>
    <cellStyle name="쉼표 [0] 7 3 4 3 2 4" xfId="21549"/>
    <cellStyle name="쉼표 [0] 7 3 4 3 3" xfId="7629"/>
    <cellStyle name="쉼표 [0] 7 3 4 3 3 2" xfId="24333"/>
    <cellStyle name="쉼표 [0] 7 3 4 3 4" xfId="13197"/>
    <cellStyle name="쉼표 [0] 7 3 4 3 4 2" xfId="29901"/>
    <cellStyle name="쉼표 [0] 7 3 4 3 5" xfId="18765"/>
    <cellStyle name="쉼표 [0] 7 3 4 4" xfId="3453"/>
    <cellStyle name="쉼표 [0] 7 3 4 4 2" xfId="9021"/>
    <cellStyle name="쉼표 [0] 7 3 4 4 2 2" xfId="25725"/>
    <cellStyle name="쉼표 [0] 7 3 4 4 3" xfId="14589"/>
    <cellStyle name="쉼표 [0] 7 3 4 4 3 2" xfId="31293"/>
    <cellStyle name="쉼표 [0] 7 3 4 4 4" xfId="20157"/>
    <cellStyle name="쉼표 [0] 7 3 4 5" xfId="6237"/>
    <cellStyle name="쉼표 [0] 7 3 4 5 2" xfId="22941"/>
    <cellStyle name="쉼표 [0] 7 3 4 6" xfId="11805"/>
    <cellStyle name="쉼표 [0] 7 3 4 6 2" xfId="28509"/>
    <cellStyle name="쉼표 [0] 7 3 4 7" xfId="17373"/>
    <cellStyle name="쉼표 [0] 7 3 5" xfId="901"/>
    <cellStyle name="쉼표 [0] 7 3 5 2" xfId="2293"/>
    <cellStyle name="쉼표 [0] 7 3 5 2 2" xfId="5077"/>
    <cellStyle name="쉼표 [0] 7 3 5 2 2 2" xfId="10645"/>
    <cellStyle name="쉼표 [0] 7 3 5 2 2 2 2" xfId="27349"/>
    <cellStyle name="쉼표 [0] 7 3 5 2 2 3" xfId="16213"/>
    <cellStyle name="쉼표 [0] 7 3 5 2 2 3 2" xfId="32917"/>
    <cellStyle name="쉼표 [0] 7 3 5 2 2 4" xfId="21781"/>
    <cellStyle name="쉼표 [0] 7 3 5 2 3" xfId="7861"/>
    <cellStyle name="쉼표 [0] 7 3 5 2 3 2" xfId="24565"/>
    <cellStyle name="쉼표 [0] 7 3 5 2 4" xfId="13429"/>
    <cellStyle name="쉼표 [0] 7 3 5 2 4 2" xfId="30133"/>
    <cellStyle name="쉼표 [0] 7 3 5 2 5" xfId="18997"/>
    <cellStyle name="쉼표 [0] 7 3 5 3" xfId="3685"/>
    <cellStyle name="쉼표 [0] 7 3 5 3 2" xfId="9253"/>
    <cellStyle name="쉼표 [0] 7 3 5 3 2 2" xfId="25957"/>
    <cellStyle name="쉼표 [0] 7 3 5 3 3" xfId="14821"/>
    <cellStyle name="쉼표 [0] 7 3 5 3 3 2" xfId="31525"/>
    <cellStyle name="쉼표 [0] 7 3 5 3 4" xfId="20389"/>
    <cellStyle name="쉼표 [0] 7 3 5 4" xfId="6469"/>
    <cellStyle name="쉼표 [0] 7 3 5 4 2" xfId="23173"/>
    <cellStyle name="쉼표 [0] 7 3 5 5" xfId="12037"/>
    <cellStyle name="쉼표 [0] 7 3 5 5 2" xfId="28741"/>
    <cellStyle name="쉼표 [0] 7 3 5 6" xfId="17605"/>
    <cellStyle name="쉼표 [0] 7 3 6" xfId="1597"/>
    <cellStyle name="쉼표 [0] 7 3 6 2" xfId="4381"/>
    <cellStyle name="쉼표 [0] 7 3 6 2 2" xfId="9949"/>
    <cellStyle name="쉼표 [0] 7 3 6 2 2 2" xfId="26653"/>
    <cellStyle name="쉼표 [0] 7 3 6 2 3" xfId="15517"/>
    <cellStyle name="쉼표 [0] 7 3 6 2 3 2" xfId="32221"/>
    <cellStyle name="쉼표 [0] 7 3 6 2 4" xfId="21085"/>
    <cellStyle name="쉼표 [0] 7 3 6 3" xfId="7165"/>
    <cellStyle name="쉼표 [0] 7 3 6 3 2" xfId="23869"/>
    <cellStyle name="쉼표 [0] 7 3 6 4" xfId="12733"/>
    <cellStyle name="쉼표 [0] 7 3 6 4 2" xfId="29437"/>
    <cellStyle name="쉼표 [0] 7 3 6 5" xfId="18301"/>
    <cellStyle name="쉼표 [0] 7 3 7" xfId="2989"/>
    <cellStyle name="쉼표 [0] 7 3 7 2" xfId="8557"/>
    <cellStyle name="쉼표 [0] 7 3 7 2 2" xfId="25261"/>
    <cellStyle name="쉼표 [0] 7 3 7 3" xfId="14125"/>
    <cellStyle name="쉼표 [0] 7 3 7 3 2" xfId="30829"/>
    <cellStyle name="쉼표 [0] 7 3 7 4" xfId="19693"/>
    <cellStyle name="쉼표 [0] 7 3 8" xfId="5773"/>
    <cellStyle name="쉼표 [0] 7 3 8 2" xfId="22477"/>
    <cellStyle name="쉼표 [0] 7 3 9" xfId="11341"/>
    <cellStyle name="쉼표 [0] 7 3 9 2" xfId="28045"/>
    <cellStyle name="쉼표 [0] 7 4" xfId="263"/>
    <cellStyle name="쉼표 [0] 7 4 2" xfId="495"/>
    <cellStyle name="쉼표 [0] 7 4 2 2" xfId="1191"/>
    <cellStyle name="쉼표 [0] 7 4 2 2 2" xfId="2583"/>
    <cellStyle name="쉼표 [0] 7 4 2 2 2 2" xfId="5367"/>
    <cellStyle name="쉼표 [0] 7 4 2 2 2 2 2" xfId="10935"/>
    <cellStyle name="쉼표 [0] 7 4 2 2 2 2 2 2" xfId="27639"/>
    <cellStyle name="쉼표 [0] 7 4 2 2 2 2 3" xfId="16503"/>
    <cellStyle name="쉼표 [0] 7 4 2 2 2 2 3 2" xfId="33207"/>
    <cellStyle name="쉼표 [0] 7 4 2 2 2 2 4" xfId="22071"/>
    <cellStyle name="쉼표 [0] 7 4 2 2 2 3" xfId="8151"/>
    <cellStyle name="쉼표 [0] 7 4 2 2 2 3 2" xfId="24855"/>
    <cellStyle name="쉼표 [0] 7 4 2 2 2 4" xfId="13719"/>
    <cellStyle name="쉼표 [0] 7 4 2 2 2 4 2" xfId="30423"/>
    <cellStyle name="쉼표 [0] 7 4 2 2 2 5" xfId="19287"/>
    <cellStyle name="쉼표 [0] 7 4 2 2 3" xfId="3975"/>
    <cellStyle name="쉼표 [0] 7 4 2 2 3 2" xfId="9543"/>
    <cellStyle name="쉼표 [0] 7 4 2 2 3 2 2" xfId="26247"/>
    <cellStyle name="쉼표 [0] 7 4 2 2 3 3" xfId="15111"/>
    <cellStyle name="쉼표 [0] 7 4 2 2 3 3 2" xfId="31815"/>
    <cellStyle name="쉼표 [0] 7 4 2 2 3 4" xfId="20679"/>
    <cellStyle name="쉼표 [0] 7 4 2 2 4" xfId="6759"/>
    <cellStyle name="쉼표 [0] 7 4 2 2 4 2" xfId="23463"/>
    <cellStyle name="쉼표 [0] 7 4 2 2 5" xfId="12327"/>
    <cellStyle name="쉼표 [0] 7 4 2 2 5 2" xfId="29031"/>
    <cellStyle name="쉼표 [0] 7 4 2 2 6" xfId="17895"/>
    <cellStyle name="쉼표 [0] 7 4 2 3" xfId="1887"/>
    <cellStyle name="쉼표 [0] 7 4 2 3 2" xfId="4671"/>
    <cellStyle name="쉼표 [0] 7 4 2 3 2 2" xfId="10239"/>
    <cellStyle name="쉼표 [0] 7 4 2 3 2 2 2" xfId="26943"/>
    <cellStyle name="쉼표 [0] 7 4 2 3 2 3" xfId="15807"/>
    <cellStyle name="쉼표 [0] 7 4 2 3 2 3 2" xfId="32511"/>
    <cellStyle name="쉼표 [0] 7 4 2 3 2 4" xfId="21375"/>
    <cellStyle name="쉼표 [0] 7 4 2 3 3" xfId="7455"/>
    <cellStyle name="쉼표 [0] 7 4 2 3 3 2" xfId="24159"/>
    <cellStyle name="쉼표 [0] 7 4 2 3 4" xfId="13023"/>
    <cellStyle name="쉼표 [0] 7 4 2 3 4 2" xfId="29727"/>
    <cellStyle name="쉼표 [0] 7 4 2 3 5" xfId="18591"/>
    <cellStyle name="쉼표 [0] 7 4 2 4" xfId="3279"/>
    <cellStyle name="쉼표 [0] 7 4 2 4 2" xfId="8847"/>
    <cellStyle name="쉼표 [0] 7 4 2 4 2 2" xfId="25551"/>
    <cellStyle name="쉼표 [0] 7 4 2 4 3" xfId="14415"/>
    <cellStyle name="쉼표 [0] 7 4 2 4 3 2" xfId="31119"/>
    <cellStyle name="쉼표 [0] 7 4 2 4 4" xfId="19983"/>
    <cellStyle name="쉼표 [0] 7 4 2 5" xfId="6063"/>
    <cellStyle name="쉼표 [0] 7 4 2 5 2" xfId="22767"/>
    <cellStyle name="쉼표 [0] 7 4 2 6" xfId="11631"/>
    <cellStyle name="쉼표 [0] 7 4 2 6 2" xfId="28335"/>
    <cellStyle name="쉼표 [0] 7 4 2 7" xfId="17199"/>
    <cellStyle name="쉼표 [0] 7 4 3" xfId="727"/>
    <cellStyle name="쉼표 [0] 7 4 3 2" xfId="1423"/>
    <cellStyle name="쉼표 [0] 7 4 3 2 2" xfId="2815"/>
    <cellStyle name="쉼표 [0] 7 4 3 2 2 2" xfId="5599"/>
    <cellStyle name="쉼표 [0] 7 4 3 2 2 2 2" xfId="11167"/>
    <cellStyle name="쉼표 [0] 7 4 3 2 2 2 2 2" xfId="27871"/>
    <cellStyle name="쉼표 [0] 7 4 3 2 2 2 3" xfId="16735"/>
    <cellStyle name="쉼표 [0] 7 4 3 2 2 2 3 2" xfId="33439"/>
    <cellStyle name="쉼표 [0] 7 4 3 2 2 2 4" xfId="22303"/>
    <cellStyle name="쉼표 [0] 7 4 3 2 2 3" xfId="8383"/>
    <cellStyle name="쉼표 [0] 7 4 3 2 2 3 2" xfId="25087"/>
    <cellStyle name="쉼표 [0] 7 4 3 2 2 4" xfId="13951"/>
    <cellStyle name="쉼표 [0] 7 4 3 2 2 4 2" xfId="30655"/>
    <cellStyle name="쉼표 [0] 7 4 3 2 2 5" xfId="19519"/>
    <cellStyle name="쉼표 [0] 7 4 3 2 3" xfId="4207"/>
    <cellStyle name="쉼표 [0] 7 4 3 2 3 2" xfId="9775"/>
    <cellStyle name="쉼표 [0] 7 4 3 2 3 2 2" xfId="26479"/>
    <cellStyle name="쉼표 [0] 7 4 3 2 3 3" xfId="15343"/>
    <cellStyle name="쉼표 [0] 7 4 3 2 3 3 2" xfId="32047"/>
    <cellStyle name="쉼표 [0] 7 4 3 2 3 4" xfId="20911"/>
    <cellStyle name="쉼표 [0] 7 4 3 2 4" xfId="6991"/>
    <cellStyle name="쉼표 [0] 7 4 3 2 4 2" xfId="23695"/>
    <cellStyle name="쉼표 [0] 7 4 3 2 5" xfId="12559"/>
    <cellStyle name="쉼표 [0] 7 4 3 2 5 2" xfId="29263"/>
    <cellStyle name="쉼표 [0] 7 4 3 2 6" xfId="18127"/>
    <cellStyle name="쉼표 [0] 7 4 3 3" xfId="2119"/>
    <cellStyle name="쉼표 [0] 7 4 3 3 2" xfId="4903"/>
    <cellStyle name="쉼표 [0] 7 4 3 3 2 2" xfId="10471"/>
    <cellStyle name="쉼표 [0] 7 4 3 3 2 2 2" xfId="27175"/>
    <cellStyle name="쉼표 [0] 7 4 3 3 2 3" xfId="16039"/>
    <cellStyle name="쉼표 [0] 7 4 3 3 2 3 2" xfId="32743"/>
    <cellStyle name="쉼표 [0] 7 4 3 3 2 4" xfId="21607"/>
    <cellStyle name="쉼표 [0] 7 4 3 3 3" xfId="7687"/>
    <cellStyle name="쉼표 [0] 7 4 3 3 3 2" xfId="24391"/>
    <cellStyle name="쉼표 [0] 7 4 3 3 4" xfId="13255"/>
    <cellStyle name="쉼표 [0] 7 4 3 3 4 2" xfId="29959"/>
    <cellStyle name="쉼표 [0] 7 4 3 3 5" xfId="18823"/>
    <cellStyle name="쉼표 [0] 7 4 3 4" xfId="3511"/>
    <cellStyle name="쉼표 [0] 7 4 3 4 2" xfId="9079"/>
    <cellStyle name="쉼표 [0] 7 4 3 4 2 2" xfId="25783"/>
    <cellStyle name="쉼표 [0] 7 4 3 4 3" xfId="14647"/>
    <cellStyle name="쉼표 [0] 7 4 3 4 3 2" xfId="31351"/>
    <cellStyle name="쉼표 [0] 7 4 3 4 4" xfId="20215"/>
    <cellStyle name="쉼표 [0] 7 4 3 5" xfId="6295"/>
    <cellStyle name="쉼표 [0] 7 4 3 5 2" xfId="22999"/>
    <cellStyle name="쉼표 [0] 7 4 3 6" xfId="11863"/>
    <cellStyle name="쉼표 [0] 7 4 3 6 2" xfId="28567"/>
    <cellStyle name="쉼표 [0] 7 4 3 7" xfId="17431"/>
    <cellStyle name="쉼표 [0] 7 4 4" xfId="959"/>
    <cellStyle name="쉼표 [0] 7 4 4 2" xfId="2351"/>
    <cellStyle name="쉼표 [0] 7 4 4 2 2" xfId="5135"/>
    <cellStyle name="쉼표 [0] 7 4 4 2 2 2" xfId="10703"/>
    <cellStyle name="쉼표 [0] 7 4 4 2 2 2 2" xfId="27407"/>
    <cellStyle name="쉼표 [0] 7 4 4 2 2 3" xfId="16271"/>
    <cellStyle name="쉼표 [0] 7 4 4 2 2 3 2" xfId="32975"/>
    <cellStyle name="쉼표 [0] 7 4 4 2 2 4" xfId="21839"/>
    <cellStyle name="쉼표 [0] 7 4 4 2 3" xfId="7919"/>
    <cellStyle name="쉼표 [0] 7 4 4 2 3 2" xfId="24623"/>
    <cellStyle name="쉼표 [0] 7 4 4 2 4" xfId="13487"/>
    <cellStyle name="쉼표 [0] 7 4 4 2 4 2" xfId="30191"/>
    <cellStyle name="쉼표 [0] 7 4 4 2 5" xfId="19055"/>
    <cellStyle name="쉼표 [0] 7 4 4 3" xfId="3743"/>
    <cellStyle name="쉼표 [0] 7 4 4 3 2" xfId="9311"/>
    <cellStyle name="쉼표 [0] 7 4 4 3 2 2" xfId="26015"/>
    <cellStyle name="쉼표 [0] 7 4 4 3 3" xfId="14879"/>
    <cellStyle name="쉼표 [0] 7 4 4 3 3 2" xfId="31583"/>
    <cellStyle name="쉼표 [0] 7 4 4 3 4" xfId="20447"/>
    <cellStyle name="쉼표 [0] 7 4 4 4" xfId="6527"/>
    <cellStyle name="쉼표 [0] 7 4 4 4 2" xfId="23231"/>
    <cellStyle name="쉼표 [0] 7 4 4 5" xfId="12095"/>
    <cellStyle name="쉼표 [0] 7 4 4 5 2" xfId="28799"/>
    <cellStyle name="쉼표 [0] 7 4 4 6" xfId="17663"/>
    <cellStyle name="쉼표 [0] 7 4 5" xfId="1655"/>
    <cellStyle name="쉼표 [0] 7 4 5 2" xfId="4439"/>
    <cellStyle name="쉼표 [0] 7 4 5 2 2" xfId="10007"/>
    <cellStyle name="쉼표 [0] 7 4 5 2 2 2" xfId="26711"/>
    <cellStyle name="쉼표 [0] 7 4 5 2 3" xfId="15575"/>
    <cellStyle name="쉼표 [0] 7 4 5 2 3 2" xfId="32279"/>
    <cellStyle name="쉼표 [0] 7 4 5 2 4" xfId="21143"/>
    <cellStyle name="쉼표 [0] 7 4 5 3" xfId="7223"/>
    <cellStyle name="쉼표 [0] 7 4 5 3 2" xfId="23927"/>
    <cellStyle name="쉼표 [0] 7 4 5 4" xfId="12791"/>
    <cellStyle name="쉼표 [0] 7 4 5 4 2" xfId="29495"/>
    <cellStyle name="쉼표 [0] 7 4 5 5" xfId="18359"/>
    <cellStyle name="쉼표 [0] 7 4 6" xfId="3047"/>
    <cellStyle name="쉼표 [0] 7 4 6 2" xfId="8615"/>
    <cellStyle name="쉼표 [0] 7 4 6 2 2" xfId="25319"/>
    <cellStyle name="쉼표 [0] 7 4 6 3" xfId="14183"/>
    <cellStyle name="쉼표 [0] 7 4 6 3 2" xfId="30887"/>
    <cellStyle name="쉼표 [0] 7 4 6 4" xfId="19751"/>
    <cellStyle name="쉼표 [0] 7 4 7" xfId="5831"/>
    <cellStyle name="쉼표 [0] 7 4 7 2" xfId="22535"/>
    <cellStyle name="쉼표 [0] 7 4 8" xfId="11399"/>
    <cellStyle name="쉼표 [0] 7 4 8 2" xfId="28103"/>
    <cellStyle name="쉼표 [0] 7 4 9" xfId="16967"/>
    <cellStyle name="쉼표 [0] 7 5" xfId="379"/>
    <cellStyle name="쉼표 [0] 7 5 2" xfId="1075"/>
    <cellStyle name="쉼표 [0] 7 5 2 2" xfId="2467"/>
    <cellStyle name="쉼표 [0] 7 5 2 2 2" xfId="5251"/>
    <cellStyle name="쉼표 [0] 7 5 2 2 2 2" xfId="10819"/>
    <cellStyle name="쉼표 [0] 7 5 2 2 2 2 2" xfId="27523"/>
    <cellStyle name="쉼표 [0] 7 5 2 2 2 3" xfId="16387"/>
    <cellStyle name="쉼표 [0] 7 5 2 2 2 3 2" xfId="33091"/>
    <cellStyle name="쉼표 [0] 7 5 2 2 2 4" xfId="21955"/>
    <cellStyle name="쉼표 [0] 7 5 2 2 3" xfId="8035"/>
    <cellStyle name="쉼표 [0] 7 5 2 2 3 2" xfId="24739"/>
    <cellStyle name="쉼표 [0] 7 5 2 2 4" xfId="13603"/>
    <cellStyle name="쉼표 [0] 7 5 2 2 4 2" xfId="30307"/>
    <cellStyle name="쉼표 [0] 7 5 2 2 5" xfId="19171"/>
    <cellStyle name="쉼표 [0] 7 5 2 3" xfId="3859"/>
    <cellStyle name="쉼표 [0] 7 5 2 3 2" xfId="9427"/>
    <cellStyle name="쉼표 [0] 7 5 2 3 2 2" xfId="26131"/>
    <cellStyle name="쉼표 [0] 7 5 2 3 3" xfId="14995"/>
    <cellStyle name="쉼표 [0] 7 5 2 3 3 2" xfId="31699"/>
    <cellStyle name="쉼표 [0] 7 5 2 3 4" xfId="20563"/>
    <cellStyle name="쉼표 [0] 7 5 2 4" xfId="6643"/>
    <cellStyle name="쉼표 [0] 7 5 2 4 2" xfId="23347"/>
    <cellStyle name="쉼표 [0] 7 5 2 5" xfId="12211"/>
    <cellStyle name="쉼표 [0] 7 5 2 5 2" xfId="28915"/>
    <cellStyle name="쉼표 [0] 7 5 2 6" xfId="17779"/>
    <cellStyle name="쉼표 [0] 7 5 3" xfId="1771"/>
    <cellStyle name="쉼표 [0] 7 5 3 2" xfId="4555"/>
    <cellStyle name="쉼표 [0] 7 5 3 2 2" xfId="10123"/>
    <cellStyle name="쉼표 [0] 7 5 3 2 2 2" xfId="26827"/>
    <cellStyle name="쉼표 [0] 7 5 3 2 3" xfId="15691"/>
    <cellStyle name="쉼표 [0] 7 5 3 2 3 2" xfId="32395"/>
    <cellStyle name="쉼표 [0] 7 5 3 2 4" xfId="21259"/>
    <cellStyle name="쉼표 [0] 7 5 3 3" xfId="7339"/>
    <cellStyle name="쉼표 [0] 7 5 3 3 2" xfId="24043"/>
    <cellStyle name="쉼표 [0] 7 5 3 4" xfId="12907"/>
    <cellStyle name="쉼표 [0] 7 5 3 4 2" xfId="29611"/>
    <cellStyle name="쉼표 [0] 7 5 3 5" xfId="18475"/>
    <cellStyle name="쉼표 [0] 7 5 4" xfId="3163"/>
    <cellStyle name="쉼표 [0] 7 5 4 2" xfId="8731"/>
    <cellStyle name="쉼표 [0] 7 5 4 2 2" xfId="25435"/>
    <cellStyle name="쉼표 [0] 7 5 4 3" xfId="14299"/>
    <cellStyle name="쉼표 [0] 7 5 4 3 2" xfId="31003"/>
    <cellStyle name="쉼표 [0] 7 5 4 4" xfId="19867"/>
    <cellStyle name="쉼표 [0] 7 5 5" xfId="5947"/>
    <cellStyle name="쉼표 [0] 7 5 5 2" xfId="22651"/>
    <cellStyle name="쉼표 [0] 7 5 6" xfId="11515"/>
    <cellStyle name="쉼표 [0] 7 5 6 2" xfId="28219"/>
    <cellStyle name="쉼표 [0] 7 5 7" xfId="17083"/>
    <cellStyle name="쉼표 [0] 7 6" xfId="611"/>
    <cellStyle name="쉼표 [0] 7 6 2" xfId="1307"/>
    <cellStyle name="쉼표 [0] 7 6 2 2" xfId="2699"/>
    <cellStyle name="쉼표 [0] 7 6 2 2 2" xfId="5483"/>
    <cellStyle name="쉼표 [0] 7 6 2 2 2 2" xfId="11051"/>
    <cellStyle name="쉼표 [0] 7 6 2 2 2 2 2" xfId="27755"/>
    <cellStyle name="쉼표 [0] 7 6 2 2 2 3" xfId="16619"/>
    <cellStyle name="쉼표 [0] 7 6 2 2 2 3 2" xfId="33323"/>
    <cellStyle name="쉼표 [0] 7 6 2 2 2 4" xfId="22187"/>
    <cellStyle name="쉼표 [0] 7 6 2 2 3" xfId="8267"/>
    <cellStyle name="쉼표 [0] 7 6 2 2 3 2" xfId="24971"/>
    <cellStyle name="쉼표 [0] 7 6 2 2 4" xfId="13835"/>
    <cellStyle name="쉼표 [0] 7 6 2 2 4 2" xfId="30539"/>
    <cellStyle name="쉼표 [0] 7 6 2 2 5" xfId="19403"/>
    <cellStyle name="쉼표 [0] 7 6 2 3" xfId="4091"/>
    <cellStyle name="쉼표 [0] 7 6 2 3 2" xfId="9659"/>
    <cellStyle name="쉼표 [0] 7 6 2 3 2 2" xfId="26363"/>
    <cellStyle name="쉼표 [0] 7 6 2 3 3" xfId="15227"/>
    <cellStyle name="쉼표 [0] 7 6 2 3 3 2" xfId="31931"/>
    <cellStyle name="쉼표 [0] 7 6 2 3 4" xfId="20795"/>
    <cellStyle name="쉼표 [0] 7 6 2 4" xfId="6875"/>
    <cellStyle name="쉼표 [0] 7 6 2 4 2" xfId="23579"/>
    <cellStyle name="쉼표 [0] 7 6 2 5" xfId="12443"/>
    <cellStyle name="쉼표 [0] 7 6 2 5 2" xfId="29147"/>
    <cellStyle name="쉼표 [0] 7 6 2 6" xfId="18011"/>
    <cellStyle name="쉼표 [0] 7 6 3" xfId="2003"/>
    <cellStyle name="쉼표 [0] 7 6 3 2" xfId="4787"/>
    <cellStyle name="쉼표 [0] 7 6 3 2 2" xfId="10355"/>
    <cellStyle name="쉼표 [0] 7 6 3 2 2 2" xfId="27059"/>
    <cellStyle name="쉼표 [0] 7 6 3 2 3" xfId="15923"/>
    <cellStyle name="쉼표 [0] 7 6 3 2 3 2" xfId="32627"/>
    <cellStyle name="쉼표 [0] 7 6 3 2 4" xfId="21491"/>
    <cellStyle name="쉼표 [0] 7 6 3 3" xfId="7571"/>
    <cellStyle name="쉼표 [0] 7 6 3 3 2" xfId="24275"/>
    <cellStyle name="쉼표 [0] 7 6 3 4" xfId="13139"/>
    <cellStyle name="쉼표 [0] 7 6 3 4 2" xfId="29843"/>
    <cellStyle name="쉼표 [0] 7 6 3 5" xfId="18707"/>
    <cellStyle name="쉼표 [0] 7 6 4" xfId="3395"/>
    <cellStyle name="쉼표 [0] 7 6 4 2" xfId="8963"/>
    <cellStyle name="쉼표 [0] 7 6 4 2 2" xfId="25667"/>
    <cellStyle name="쉼표 [0] 7 6 4 3" xfId="14531"/>
    <cellStyle name="쉼표 [0] 7 6 4 3 2" xfId="31235"/>
    <cellStyle name="쉼표 [0] 7 6 4 4" xfId="20099"/>
    <cellStyle name="쉼표 [0] 7 6 5" xfId="6179"/>
    <cellStyle name="쉼표 [0] 7 6 5 2" xfId="22883"/>
    <cellStyle name="쉼표 [0] 7 6 6" xfId="11747"/>
    <cellStyle name="쉼표 [0] 7 6 6 2" xfId="28451"/>
    <cellStyle name="쉼표 [0] 7 6 7" xfId="17315"/>
    <cellStyle name="쉼표 [0] 7 7" xfId="843"/>
    <cellStyle name="쉼표 [0] 7 7 2" xfId="2235"/>
    <cellStyle name="쉼표 [0] 7 7 2 2" xfId="5019"/>
    <cellStyle name="쉼표 [0] 7 7 2 2 2" xfId="10587"/>
    <cellStyle name="쉼표 [0] 7 7 2 2 2 2" xfId="27291"/>
    <cellStyle name="쉼표 [0] 7 7 2 2 3" xfId="16155"/>
    <cellStyle name="쉼표 [0] 7 7 2 2 3 2" xfId="32859"/>
    <cellStyle name="쉼표 [0] 7 7 2 2 4" xfId="21723"/>
    <cellStyle name="쉼표 [0] 7 7 2 3" xfId="7803"/>
    <cellStyle name="쉼표 [0] 7 7 2 3 2" xfId="24507"/>
    <cellStyle name="쉼표 [0] 7 7 2 4" xfId="13371"/>
    <cellStyle name="쉼표 [0] 7 7 2 4 2" xfId="30075"/>
    <cellStyle name="쉼표 [0] 7 7 2 5" xfId="18939"/>
    <cellStyle name="쉼표 [0] 7 7 3" xfId="3627"/>
    <cellStyle name="쉼표 [0] 7 7 3 2" xfId="9195"/>
    <cellStyle name="쉼표 [0] 7 7 3 2 2" xfId="25899"/>
    <cellStyle name="쉼표 [0] 7 7 3 3" xfId="14763"/>
    <cellStyle name="쉼표 [0] 7 7 3 3 2" xfId="31467"/>
    <cellStyle name="쉼표 [0] 7 7 3 4" xfId="20331"/>
    <cellStyle name="쉼표 [0] 7 7 4" xfId="6411"/>
    <cellStyle name="쉼표 [0] 7 7 4 2" xfId="23115"/>
    <cellStyle name="쉼표 [0] 7 7 5" xfId="11979"/>
    <cellStyle name="쉼표 [0] 7 7 5 2" xfId="28683"/>
    <cellStyle name="쉼표 [0] 7 7 6" xfId="17547"/>
    <cellStyle name="쉼표 [0] 7 8" xfId="1539"/>
    <cellStyle name="쉼표 [0] 7 8 2" xfId="4323"/>
    <cellStyle name="쉼표 [0] 7 8 2 2" xfId="9891"/>
    <cellStyle name="쉼표 [0] 7 8 2 2 2" xfId="26595"/>
    <cellStyle name="쉼표 [0] 7 8 2 3" xfId="15459"/>
    <cellStyle name="쉼표 [0] 7 8 2 3 2" xfId="32163"/>
    <cellStyle name="쉼표 [0] 7 8 2 4" xfId="21027"/>
    <cellStyle name="쉼표 [0] 7 8 3" xfId="7107"/>
    <cellStyle name="쉼표 [0] 7 8 3 2" xfId="23811"/>
    <cellStyle name="쉼표 [0] 7 8 4" xfId="12675"/>
    <cellStyle name="쉼표 [0] 7 8 4 2" xfId="29379"/>
    <cellStyle name="쉼표 [0] 7 8 5" xfId="18243"/>
    <cellStyle name="쉼표 [0] 7 9" xfId="2931"/>
    <cellStyle name="쉼표 [0] 7 9 2" xfId="8499"/>
    <cellStyle name="쉼표 [0] 7 9 2 2" xfId="25203"/>
    <cellStyle name="쉼표 [0] 7 9 3" xfId="14067"/>
    <cellStyle name="쉼표 [0] 7 9 3 2" xfId="30771"/>
    <cellStyle name="쉼표 [0] 7 9 4" xfId="19635"/>
    <cellStyle name="연결된 셀 2" xfId="117"/>
    <cellStyle name="연결된 셀 3" xfId="118"/>
    <cellStyle name="요약 2" xfId="119"/>
    <cellStyle name="요약 3" xfId="120"/>
    <cellStyle name="입력 2" xfId="121"/>
    <cellStyle name="입력 3" xfId="122"/>
    <cellStyle name="제목 1 2" xfId="123"/>
    <cellStyle name="제목 1 3" xfId="124"/>
    <cellStyle name="제목 2 2" xfId="125"/>
    <cellStyle name="제목 2 3" xfId="126"/>
    <cellStyle name="제목 3 2" xfId="127"/>
    <cellStyle name="제목 3 3" xfId="128"/>
    <cellStyle name="제목 4 2" xfId="129"/>
    <cellStyle name="제목 4 3" xfId="130"/>
    <cellStyle name="제목 5" xfId="131"/>
    <cellStyle name="제목 6" xfId="132"/>
    <cellStyle name="좋음 2" xfId="133"/>
    <cellStyle name="좋음 3" xfId="134"/>
    <cellStyle name="출력 2" xfId="135"/>
    <cellStyle name="출력 3" xfId="136"/>
    <cellStyle name="표준" xfId="0" builtinId="0"/>
    <cellStyle name="표준 10" xfId="38"/>
    <cellStyle name="표준 10 10" xfId="23"/>
    <cellStyle name="표준 10 14 3" xfId="24"/>
    <cellStyle name="표준 10 2 2 3 6" xfId="137"/>
    <cellStyle name="표준 100 2" xfId="25"/>
    <cellStyle name="표준 11" xfId="9"/>
    <cellStyle name="표준 11 10" xfId="5712"/>
    <cellStyle name="표준 11 10 2" xfId="22416"/>
    <cellStyle name="표준 11 11" xfId="11280"/>
    <cellStyle name="표준 11 11 2" xfId="27984"/>
    <cellStyle name="표준 11 12" xfId="16848"/>
    <cellStyle name="표준 11 2" xfId="173"/>
    <cellStyle name="표준 11 2 10" xfId="11309"/>
    <cellStyle name="표준 11 2 10 2" xfId="28013"/>
    <cellStyle name="표준 11 2 11" xfId="16877"/>
    <cellStyle name="표준 11 2 2" xfId="231"/>
    <cellStyle name="표준 11 2 2 10" xfId="16935"/>
    <cellStyle name="표준 11 2 2 2" xfId="347"/>
    <cellStyle name="표준 11 2 2 2 2" xfId="579"/>
    <cellStyle name="표준 11 2 2 2 2 2" xfId="1275"/>
    <cellStyle name="표준 11 2 2 2 2 2 2" xfId="2667"/>
    <cellStyle name="표준 11 2 2 2 2 2 2 2" xfId="5451"/>
    <cellStyle name="표준 11 2 2 2 2 2 2 2 2" xfId="11019"/>
    <cellStyle name="표준 11 2 2 2 2 2 2 2 2 2" xfId="27723"/>
    <cellStyle name="표준 11 2 2 2 2 2 2 2 3" xfId="16587"/>
    <cellStyle name="표준 11 2 2 2 2 2 2 2 3 2" xfId="33291"/>
    <cellStyle name="표준 11 2 2 2 2 2 2 2 4" xfId="22155"/>
    <cellStyle name="표준 11 2 2 2 2 2 2 3" xfId="8235"/>
    <cellStyle name="표준 11 2 2 2 2 2 2 3 2" xfId="24939"/>
    <cellStyle name="표준 11 2 2 2 2 2 2 4" xfId="13803"/>
    <cellStyle name="표준 11 2 2 2 2 2 2 4 2" xfId="30507"/>
    <cellStyle name="표준 11 2 2 2 2 2 2 5" xfId="19371"/>
    <cellStyle name="표준 11 2 2 2 2 2 3" xfId="4059"/>
    <cellStyle name="표준 11 2 2 2 2 2 3 2" xfId="9627"/>
    <cellStyle name="표준 11 2 2 2 2 2 3 2 2" xfId="26331"/>
    <cellStyle name="표준 11 2 2 2 2 2 3 3" xfId="15195"/>
    <cellStyle name="표준 11 2 2 2 2 2 3 3 2" xfId="31899"/>
    <cellStyle name="표준 11 2 2 2 2 2 3 4" xfId="20763"/>
    <cellStyle name="표준 11 2 2 2 2 2 4" xfId="6843"/>
    <cellStyle name="표준 11 2 2 2 2 2 4 2" xfId="23547"/>
    <cellStyle name="표준 11 2 2 2 2 2 5" xfId="12411"/>
    <cellStyle name="표준 11 2 2 2 2 2 5 2" xfId="29115"/>
    <cellStyle name="표준 11 2 2 2 2 2 6" xfId="17979"/>
    <cellStyle name="표준 11 2 2 2 2 3" xfId="1971"/>
    <cellStyle name="표준 11 2 2 2 2 3 2" xfId="4755"/>
    <cellStyle name="표준 11 2 2 2 2 3 2 2" xfId="10323"/>
    <cellStyle name="표준 11 2 2 2 2 3 2 2 2" xfId="27027"/>
    <cellStyle name="표준 11 2 2 2 2 3 2 3" xfId="15891"/>
    <cellStyle name="표준 11 2 2 2 2 3 2 3 2" xfId="32595"/>
    <cellStyle name="표준 11 2 2 2 2 3 2 4" xfId="21459"/>
    <cellStyle name="표준 11 2 2 2 2 3 3" xfId="7539"/>
    <cellStyle name="표준 11 2 2 2 2 3 3 2" xfId="24243"/>
    <cellStyle name="표준 11 2 2 2 2 3 4" xfId="13107"/>
    <cellStyle name="표준 11 2 2 2 2 3 4 2" xfId="29811"/>
    <cellStyle name="표준 11 2 2 2 2 3 5" xfId="18675"/>
    <cellStyle name="표준 11 2 2 2 2 4" xfId="3363"/>
    <cellStyle name="표준 11 2 2 2 2 4 2" xfId="8931"/>
    <cellStyle name="표준 11 2 2 2 2 4 2 2" xfId="25635"/>
    <cellStyle name="표준 11 2 2 2 2 4 3" xfId="14499"/>
    <cellStyle name="표준 11 2 2 2 2 4 3 2" xfId="31203"/>
    <cellStyle name="표준 11 2 2 2 2 4 4" xfId="20067"/>
    <cellStyle name="표준 11 2 2 2 2 5" xfId="6147"/>
    <cellStyle name="표준 11 2 2 2 2 5 2" xfId="22851"/>
    <cellStyle name="표준 11 2 2 2 2 6" xfId="11715"/>
    <cellStyle name="표준 11 2 2 2 2 6 2" xfId="28419"/>
    <cellStyle name="표준 11 2 2 2 2 7" xfId="17283"/>
    <cellStyle name="표준 11 2 2 2 3" xfId="811"/>
    <cellStyle name="표준 11 2 2 2 3 2" xfId="1507"/>
    <cellStyle name="표준 11 2 2 2 3 2 2" xfId="2899"/>
    <cellStyle name="표준 11 2 2 2 3 2 2 2" xfId="5683"/>
    <cellStyle name="표준 11 2 2 2 3 2 2 2 2" xfId="11251"/>
    <cellStyle name="표준 11 2 2 2 3 2 2 2 2 2" xfId="27955"/>
    <cellStyle name="표준 11 2 2 2 3 2 2 2 3" xfId="16819"/>
    <cellStyle name="표준 11 2 2 2 3 2 2 2 3 2" xfId="33523"/>
    <cellStyle name="표준 11 2 2 2 3 2 2 2 4" xfId="22387"/>
    <cellStyle name="표준 11 2 2 2 3 2 2 3" xfId="8467"/>
    <cellStyle name="표준 11 2 2 2 3 2 2 3 2" xfId="25171"/>
    <cellStyle name="표준 11 2 2 2 3 2 2 4" xfId="14035"/>
    <cellStyle name="표준 11 2 2 2 3 2 2 4 2" xfId="30739"/>
    <cellStyle name="표준 11 2 2 2 3 2 2 5" xfId="19603"/>
    <cellStyle name="표준 11 2 2 2 3 2 3" xfId="4291"/>
    <cellStyle name="표준 11 2 2 2 3 2 3 2" xfId="9859"/>
    <cellStyle name="표준 11 2 2 2 3 2 3 2 2" xfId="26563"/>
    <cellStyle name="표준 11 2 2 2 3 2 3 3" xfId="15427"/>
    <cellStyle name="표준 11 2 2 2 3 2 3 3 2" xfId="32131"/>
    <cellStyle name="표준 11 2 2 2 3 2 3 4" xfId="20995"/>
    <cellStyle name="표준 11 2 2 2 3 2 4" xfId="7075"/>
    <cellStyle name="표준 11 2 2 2 3 2 4 2" xfId="23779"/>
    <cellStyle name="표준 11 2 2 2 3 2 5" xfId="12643"/>
    <cellStyle name="표준 11 2 2 2 3 2 5 2" xfId="29347"/>
    <cellStyle name="표준 11 2 2 2 3 2 6" xfId="18211"/>
    <cellStyle name="표준 11 2 2 2 3 3" xfId="2203"/>
    <cellStyle name="표준 11 2 2 2 3 3 2" xfId="4987"/>
    <cellStyle name="표준 11 2 2 2 3 3 2 2" xfId="10555"/>
    <cellStyle name="표준 11 2 2 2 3 3 2 2 2" xfId="27259"/>
    <cellStyle name="표준 11 2 2 2 3 3 2 3" xfId="16123"/>
    <cellStyle name="표준 11 2 2 2 3 3 2 3 2" xfId="32827"/>
    <cellStyle name="표준 11 2 2 2 3 3 2 4" xfId="21691"/>
    <cellStyle name="표준 11 2 2 2 3 3 3" xfId="7771"/>
    <cellStyle name="표준 11 2 2 2 3 3 3 2" xfId="24475"/>
    <cellStyle name="표준 11 2 2 2 3 3 4" xfId="13339"/>
    <cellStyle name="표준 11 2 2 2 3 3 4 2" xfId="30043"/>
    <cellStyle name="표준 11 2 2 2 3 3 5" xfId="18907"/>
    <cellStyle name="표준 11 2 2 2 3 4" xfId="3595"/>
    <cellStyle name="표준 11 2 2 2 3 4 2" xfId="9163"/>
    <cellStyle name="표준 11 2 2 2 3 4 2 2" xfId="25867"/>
    <cellStyle name="표준 11 2 2 2 3 4 3" xfId="14731"/>
    <cellStyle name="표준 11 2 2 2 3 4 3 2" xfId="31435"/>
    <cellStyle name="표준 11 2 2 2 3 4 4" xfId="20299"/>
    <cellStyle name="표준 11 2 2 2 3 5" xfId="6379"/>
    <cellStyle name="표준 11 2 2 2 3 5 2" xfId="23083"/>
    <cellStyle name="표준 11 2 2 2 3 6" xfId="11947"/>
    <cellStyle name="표준 11 2 2 2 3 6 2" xfId="28651"/>
    <cellStyle name="표준 11 2 2 2 3 7" xfId="17515"/>
    <cellStyle name="표준 11 2 2 2 4" xfId="1043"/>
    <cellStyle name="표준 11 2 2 2 4 2" xfId="2435"/>
    <cellStyle name="표준 11 2 2 2 4 2 2" xfId="5219"/>
    <cellStyle name="표준 11 2 2 2 4 2 2 2" xfId="10787"/>
    <cellStyle name="표준 11 2 2 2 4 2 2 2 2" xfId="27491"/>
    <cellStyle name="표준 11 2 2 2 4 2 2 3" xfId="16355"/>
    <cellStyle name="표준 11 2 2 2 4 2 2 3 2" xfId="33059"/>
    <cellStyle name="표준 11 2 2 2 4 2 2 4" xfId="21923"/>
    <cellStyle name="표준 11 2 2 2 4 2 3" xfId="8003"/>
    <cellStyle name="표준 11 2 2 2 4 2 3 2" xfId="24707"/>
    <cellStyle name="표준 11 2 2 2 4 2 4" xfId="13571"/>
    <cellStyle name="표준 11 2 2 2 4 2 4 2" xfId="30275"/>
    <cellStyle name="표준 11 2 2 2 4 2 5" xfId="19139"/>
    <cellStyle name="표준 11 2 2 2 4 3" xfId="3827"/>
    <cellStyle name="표준 11 2 2 2 4 3 2" xfId="9395"/>
    <cellStyle name="표준 11 2 2 2 4 3 2 2" xfId="26099"/>
    <cellStyle name="표준 11 2 2 2 4 3 3" xfId="14963"/>
    <cellStyle name="표준 11 2 2 2 4 3 3 2" xfId="31667"/>
    <cellStyle name="표준 11 2 2 2 4 3 4" xfId="20531"/>
    <cellStyle name="표준 11 2 2 2 4 4" xfId="6611"/>
    <cellStyle name="표준 11 2 2 2 4 4 2" xfId="23315"/>
    <cellStyle name="표준 11 2 2 2 4 5" xfId="12179"/>
    <cellStyle name="표준 11 2 2 2 4 5 2" xfId="28883"/>
    <cellStyle name="표준 11 2 2 2 4 6" xfId="17747"/>
    <cellStyle name="표준 11 2 2 2 5" xfId="1739"/>
    <cellStyle name="표준 11 2 2 2 5 2" xfId="4523"/>
    <cellStyle name="표준 11 2 2 2 5 2 2" xfId="10091"/>
    <cellStyle name="표준 11 2 2 2 5 2 2 2" xfId="26795"/>
    <cellStyle name="표준 11 2 2 2 5 2 3" xfId="15659"/>
    <cellStyle name="표준 11 2 2 2 5 2 3 2" xfId="32363"/>
    <cellStyle name="표준 11 2 2 2 5 2 4" xfId="21227"/>
    <cellStyle name="표준 11 2 2 2 5 3" xfId="7307"/>
    <cellStyle name="표준 11 2 2 2 5 3 2" xfId="24011"/>
    <cellStyle name="표준 11 2 2 2 5 4" xfId="12875"/>
    <cellStyle name="표준 11 2 2 2 5 4 2" xfId="29579"/>
    <cellStyle name="표준 11 2 2 2 5 5" xfId="18443"/>
    <cellStyle name="표준 11 2 2 2 6" xfId="3131"/>
    <cellStyle name="표준 11 2 2 2 6 2" xfId="8699"/>
    <cellStyle name="표준 11 2 2 2 6 2 2" xfId="25403"/>
    <cellStyle name="표준 11 2 2 2 6 3" xfId="14267"/>
    <cellStyle name="표준 11 2 2 2 6 3 2" xfId="30971"/>
    <cellStyle name="표준 11 2 2 2 6 4" xfId="19835"/>
    <cellStyle name="표준 11 2 2 2 7" xfId="5915"/>
    <cellStyle name="표준 11 2 2 2 7 2" xfId="22619"/>
    <cellStyle name="표준 11 2 2 2 8" xfId="11483"/>
    <cellStyle name="표준 11 2 2 2 8 2" xfId="28187"/>
    <cellStyle name="표준 11 2 2 2 9" xfId="17051"/>
    <cellStyle name="표준 11 2 2 3" xfId="463"/>
    <cellStyle name="표준 11 2 2 3 2" xfId="1159"/>
    <cellStyle name="표준 11 2 2 3 2 2" xfId="2551"/>
    <cellStyle name="표준 11 2 2 3 2 2 2" xfId="5335"/>
    <cellStyle name="표준 11 2 2 3 2 2 2 2" xfId="10903"/>
    <cellStyle name="표준 11 2 2 3 2 2 2 2 2" xfId="27607"/>
    <cellStyle name="표준 11 2 2 3 2 2 2 3" xfId="16471"/>
    <cellStyle name="표준 11 2 2 3 2 2 2 3 2" xfId="33175"/>
    <cellStyle name="표준 11 2 2 3 2 2 2 4" xfId="22039"/>
    <cellStyle name="표준 11 2 2 3 2 2 3" xfId="8119"/>
    <cellStyle name="표준 11 2 2 3 2 2 3 2" xfId="24823"/>
    <cellStyle name="표준 11 2 2 3 2 2 4" xfId="13687"/>
    <cellStyle name="표준 11 2 2 3 2 2 4 2" xfId="30391"/>
    <cellStyle name="표준 11 2 2 3 2 2 5" xfId="19255"/>
    <cellStyle name="표준 11 2 2 3 2 3" xfId="3943"/>
    <cellStyle name="표준 11 2 2 3 2 3 2" xfId="9511"/>
    <cellStyle name="표준 11 2 2 3 2 3 2 2" xfId="26215"/>
    <cellStyle name="표준 11 2 2 3 2 3 3" xfId="15079"/>
    <cellStyle name="표준 11 2 2 3 2 3 3 2" xfId="31783"/>
    <cellStyle name="표준 11 2 2 3 2 3 4" xfId="20647"/>
    <cellStyle name="표준 11 2 2 3 2 4" xfId="6727"/>
    <cellStyle name="표준 11 2 2 3 2 4 2" xfId="23431"/>
    <cellStyle name="표준 11 2 2 3 2 5" xfId="12295"/>
    <cellStyle name="표준 11 2 2 3 2 5 2" xfId="28999"/>
    <cellStyle name="표준 11 2 2 3 2 6" xfId="17863"/>
    <cellStyle name="표준 11 2 2 3 3" xfId="1855"/>
    <cellStyle name="표준 11 2 2 3 3 2" xfId="4639"/>
    <cellStyle name="표준 11 2 2 3 3 2 2" xfId="10207"/>
    <cellStyle name="표준 11 2 2 3 3 2 2 2" xfId="26911"/>
    <cellStyle name="표준 11 2 2 3 3 2 3" xfId="15775"/>
    <cellStyle name="표준 11 2 2 3 3 2 3 2" xfId="32479"/>
    <cellStyle name="표준 11 2 2 3 3 2 4" xfId="21343"/>
    <cellStyle name="표준 11 2 2 3 3 3" xfId="7423"/>
    <cellStyle name="표준 11 2 2 3 3 3 2" xfId="24127"/>
    <cellStyle name="표준 11 2 2 3 3 4" xfId="12991"/>
    <cellStyle name="표준 11 2 2 3 3 4 2" xfId="29695"/>
    <cellStyle name="표준 11 2 2 3 3 5" xfId="18559"/>
    <cellStyle name="표준 11 2 2 3 4" xfId="3247"/>
    <cellStyle name="표준 11 2 2 3 4 2" xfId="8815"/>
    <cellStyle name="표준 11 2 2 3 4 2 2" xfId="25519"/>
    <cellStyle name="표준 11 2 2 3 4 3" xfId="14383"/>
    <cellStyle name="표준 11 2 2 3 4 3 2" xfId="31087"/>
    <cellStyle name="표준 11 2 2 3 4 4" xfId="19951"/>
    <cellStyle name="표준 11 2 2 3 5" xfId="6031"/>
    <cellStyle name="표준 11 2 2 3 5 2" xfId="22735"/>
    <cellStyle name="표준 11 2 2 3 6" xfId="11599"/>
    <cellStyle name="표준 11 2 2 3 6 2" xfId="28303"/>
    <cellStyle name="표준 11 2 2 3 7" xfId="17167"/>
    <cellStyle name="표준 11 2 2 4" xfId="695"/>
    <cellStyle name="표준 11 2 2 4 2" xfId="1391"/>
    <cellStyle name="표준 11 2 2 4 2 2" xfId="2783"/>
    <cellStyle name="표준 11 2 2 4 2 2 2" xfId="5567"/>
    <cellStyle name="표준 11 2 2 4 2 2 2 2" xfId="11135"/>
    <cellStyle name="표준 11 2 2 4 2 2 2 2 2" xfId="27839"/>
    <cellStyle name="표준 11 2 2 4 2 2 2 3" xfId="16703"/>
    <cellStyle name="표준 11 2 2 4 2 2 2 3 2" xfId="33407"/>
    <cellStyle name="표준 11 2 2 4 2 2 2 4" xfId="22271"/>
    <cellStyle name="표준 11 2 2 4 2 2 3" xfId="8351"/>
    <cellStyle name="표준 11 2 2 4 2 2 3 2" xfId="25055"/>
    <cellStyle name="표준 11 2 2 4 2 2 4" xfId="13919"/>
    <cellStyle name="표준 11 2 2 4 2 2 4 2" xfId="30623"/>
    <cellStyle name="표준 11 2 2 4 2 2 5" xfId="19487"/>
    <cellStyle name="표준 11 2 2 4 2 3" xfId="4175"/>
    <cellStyle name="표준 11 2 2 4 2 3 2" xfId="9743"/>
    <cellStyle name="표준 11 2 2 4 2 3 2 2" xfId="26447"/>
    <cellStyle name="표준 11 2 2 4 2 3 3" xfId="15311"/>
    <cellStyle name="표준 11 2 2 4 2 3 3 2" xfId="32015"/>
    <cellStyle name="표준 11 2 2 4 2 3 4" xfId="20879"/>
    <cellStyle name="표준 11 2 2 4 2 4" xfId="6959"/>
    <cellStyle name="표준 11 2 2 4 2 4 2" xfId="23663"/>
    <cellStyle name="표준 11 2 2 4 2 5" xfId="12527"/>
    <cellStyle name="표준 11 2 2 4 2 5 2" xfId="29231"/>
    <cellStyle name="표준 11 2 2 4 2 6" xfId="18095"/>
    <cellStyle name="표준 11 2 2 4 3" xfId="2087"/>
    <cellStyle name="표준 11 2 2 4 3 2" xfId="4871"/>
    <cellStyle name="표준 11 2 2 4 3 2 2" xfId="10439"/>
    <cellStyle name="표준 11 2 2 4 3 2 2 2" xfId="27143"/>
    <cellStyle name="표준 11 2 2 4 3 2 3" xfId="16007"/>
    <cellStyle name="표준 11 2 2 4 3 2 3 2" xfId="32711"/>
    <cellStyle name="표준 11 2 2 4 3 2 4" xfId="21575"/>
    <cellStyle name="표준 11 2 2 4 3 3" xfId="7655"/>
    <cellStyle name="표준 11 2 2 4 3 3 2" xfId="24359"/>
    <cellStyle name="표준 11 2 2 4 3 4" xfId="13223"/>
    <cellStyle name="표준 11 2 2 4 3 4 2" xfId="29927"/>
    <cellStyle name="표준 11 2 2 4 3 5" xfId="18791"/>
    <cellStyle name="표준 11 2 2 4 4" xfId="3479"/>
    <cellStyle name="표준 11 2 2 4 4 2" xfId="9047"/>
    <cellStyle name="표준 11 2 2 4 4 2 2" xfId="25751"/>
    <cellStyle name="표준 11 2 2 4 4 3" xfId="14615"/>
    <cellStyle name="표준 11 2 2 4 4 3 2" xfId="31319"/>
    <cellStyle name="표준 11 2 2 4 4 4" xfId="20183"/>
    <cellStyle name="표준 11 2 2 4 5" xfId="6263"/>
    <cellStyle name="표준 11 2 2 4 5 2" xfId="22967"/>
    <cellStyle name="표준 11 2 2 4 6" xfId="11831"/>
    <cellStyle name="표준 11 2 2 4 6 2" xfId="28535"/>
    <cellStyle name="표준 11 2 2 4 7" xfId="17399"/>
    <cellStyle name="표준 11 2 2 5" xfId="927"/>
    <cellStyle name="표준 11 2 2 5 2" xfId="2319"/>
    <cellStyle name="표준 11 2 2 5 2 2" xfId="5103"/>
    <cellStyle name="표준 11 2 2 5 2 2 2" xfId="10671"/>
    <cellStyle name="표준 11 2 2 5 2 2 2 2" xfId="27375"/>
    <cellStyle name="표준 11 2 2 5 2 2 3" xfId="16239"/>
    <cellStyle name="표준 11 2 2 5 2 2 3 2" xfId="32943"/>
    <cellStyle name="표준 11 2 2 5 2 2 4" xfId="21807"/>
    <cellStyle name="표준 11 2 2 5 2 3" xfId="7887"/>
    <cellStyle name="표준 11 2 2 5 2 3 2" xfId="24591"/>
    <cellStyle name="표준 11 2 2 5 2 4" xfId="13455"/>
    <cellStyle name="표준 11 2 2 5 2 4 2" xfId="30159"/>
    <cellStyle name="표준 11 2 2 5 2 5" xfId="19023"/>
    <cellStyle name="표준 11 2 2 5 3" xfId="3711"/>
    <cellStyle name="표준 11 2 2 5 3 2" xfId="9279"/>
    <cellStyle name="표준 11 2 2 5 3 2 2" xfId="25983"/>
    <cellStyle name="표준 11 2 2 5 3 3" xfId="14847"/>
    <cellStyle name="표준 11 2 2 5 3 3 2" xfId="31551"/>
    <cellStyle name="표준 11 2 2 5 3 4" xfId="20415"/>
    <cellStyle name="표준 11 2 2 5 4" xfId="6495"/>
    <cellStyle name="표준 11 2 2 5 4 2" xfId="23199"/>
    <cellStyle name="표준 11 2 2 5 5" xfId="12063"/>
    <cellStyle name="표준 11 2 2 5 5 2" xfId="28767"/>
    <cellStyle name="표준 11 2 2 5 6" xfId="17631"/>
    <cellStyle name="표준 11 2 2 6" xfId="1623"/>
    <cellStyle name="표준 11 2 2 6 2" xfId="4407"/>
    <cellStyle name="표준 11 2 2 6 2 2" xfId="9975"/>
    <cellStyle name="표준 11 2 2 6 2 2 2" xfId="26679"/>
    <cellStyle name="표준 11 2 2 6 2 3" xfId="15543"/>
    <cellStyle name="표준 11 2 2 6 2 3 2" xfId="32247"/>
    <cellStyle name="표준 11 2 2 6 2 4" xfId="21111"/>
    <cellStyle name="표준 11 2 2 6 3" xfId="7191"/>
    <cellStyle name="표준 11 2 2 6 3 2" xfId="23895"/>
    <cellStyle name="표준 11 2 2 6 4" xfId="12759"/>
    <cellStyle name="표준 11 2 2 6 4 2" xfId="29463"/>
    <cellStyle name="표준 11 2 2 6 5" xfId="18327"/>
    <cellStyle name="표준 11 2 2 7" xfId="3015"/>
    <cellStyle name="표준 11 2 2 7 2" xfId="8583"/>
    <cellStyle name="표준 11 2 2 7 2 2" xfId="25287"/>
    <cellStyle name="표준 11 2 2 7 3" xfId="14151"/>
    <cellStyle name="표준 11 2 2 7 3 2" xfId="30855"/>
    <cellStyle name="표준 11 2 2 7 4" xfId="19719"/>
    <cellStyle name="표준 11 2 2 8" xfId="5799"/>
    <cellStyle name="표준 11 2 2 8 2" xfId="22503"/>
    <cellStyle name="표준 11 2 2 9" xfId="11367"/>
    <cellStyle name="표준 11 2 2 9 2" xfId="28071"/>
    <cellStyle name="표준 11 2 3" xfId="289"/>
    <cellStyle name="표준 11 2 3 2" xfId="521"/>
    <cellStyle name="표준 11 2 3 2 2" xfId="1217"/>
    <cellStyle name="표준 11 2 3 2 2 2" xfId="2609"/>
    <cellStyle name="표준 11 2 3 2 2 2 2" xfId="5393"/>
    <cellStyle name="표준 11 2 3 2 2 2 2 2" xfId="10961"/>
    <cellStyle name="표준 11 2 3 2 2 2 2 2 2" xfId="27665"/>
    <cellStyle name="표준 11 2 3 2 2 2 2 3" xfId="16529"/>
    <cellStyle name="표준 11 2 3 2 2 2 2 3 2" xfId="33233"/>
    <cellStyle name="표준 11 2 3 2 2 2 2 4" xfId="22097"/>
    <cellStyle name="표준 11 2 3 2 2 2 3" xfId="8177"/>
    <cellStyle name="표준 11 2 3 2 2 2 3 2" xfId="24881"/>
    <cellStyle name="표준 11 2 3 2 2 2 4" xfId="13745"/>
    <cellStyle name="표준 11 2 3 2 2 2 4 2" xfId="30449"/>
    <cellStyle name="표준 11 2 3 2 2 2 5" xfId="19313"/>
    <cellStyle name="표준 11 2 3 2 2 3" xfId="4001"/>
    <cellStyle name="표준 11 2 3 2 2 3 2" xfId="9569"/>
    <cellStyle name="표준 11 2 3 2 2 3 2 2" xfId="26273"/>
    <cellStyle name="표준 11 2 3 2 2 3 3" xfId="15137"/>
    <cellStyle name="표준 11 2 3 2 2 3 3 2" xfId="31841"/>
    <cellStyle name="표준 11 2 3 2 2 3 4" xfId="20705"/>
    <cellStyle name="표준 11 2 3 2 2 4" xfId="6785"/>
    <cellStyle name="표준 11 2 3 2 2 4 2" xfId="23489"/>
    <cellStyle name="표준 11 2 3 2 2 5" xfId="12353"/>
    <cellStyle name="표준 11 2 3 2 2 5 2" xfId="29057"/>
    <cellStyle name="표준 11 2 3 2 2 6" xfId="17921"/>
    <cellStyle name="표준 11 2 3 2 3" xfId="1913"/>
    <cellStyle name="표준 11 2 3 2 3 2" xfId="4697"/>
    <cellStyle name="표준 11 2 3 2 3 2 2" xfId="10265"/>
    <cellStyle name="표준 11 2 3 2 3 2 2 2" xfId="26969"/>
    <cellStyle name="표준 11 2 3 2 3 2 3" xfId="15833"/>
    <cellStyle name="표준 11 2 3 2 3 2 3 2" xfId="32537"/>
    <cellStyle name="표준 11 2 3 2 3 2 4" xfId="21401"/>
    <cellStyle name="표준 11 2 3 2 3 3" xfId="7481"/>
    <cellStyle name="표준 11 2 3 2 3 3 2" xfId="24185"/>
    <cellStyle name="표준 11 2 3 2 3 4" xfId="13049"/>
    <cellStyle name="표준 11 2 3 2 3 4 2" xfId="29753"/>
    <cellStyle name="표준 11 2 3 2 3 5" xfId="18617"/>
    <cellStyle name="표준 11 2 3 2 4" xfId="3305"/>
    <cellStyle name="표준 11 2 3 2 4 2" xfId="8873"/>
    <cellStyle name="표준 11 2 3 2 4 2 2" xfId="25577"/>
    <cellStyle name="표준 11 2 3 2 4 3" xfId="14441"/>
    <cellStyle name="표준 11 2 3 2 4 3 2" xfId="31145"/>
    <cellStyle name="표준 11 2 3 2 4 4" xfId="20009"/>
    <cellStyle name="표준 11 2 3 2 5" xfId="6089"/>
    <cellStyle name="표준 11 2 3 2 5 2" xfId="22793"/>
    <cellStyle name="표준 11 2 3 2 6" xfId="11657"/>
    <cellStyle name="표준 11 2 3 2 6 2" xfId="28361"/>
    <cellStyle name="표준 11 2 3 2 7" xfId="17225"/>
    <cellStyle name="표준 11 2 3 3" xfId="753"/>
    <cellStyle name="표준 11 2 3 3 2" xfId="1449"/>
    <cellStyle name="표준 11 2 3 3 2 2" xfId="2841"/>
    <cellStyle name="표준 11 2 3 3 2 2 2" xfId="5625"/>
    <cellStyle name="표준 11 2 3 3 2 2 2 2" xfId="11193"/>
    <cellStyle name="표준 11 2 3 3 2 2 2 2 2" xfId="27897"/>
    <cellStyle name="표준 11 2 3 3 2 2 2 3" xfId="16761"/>
    <cellStyle name="표준 11 2 3 3 2 2 2 3 2" xfId="33465"/>
    <cellStyle name="표준 11 2 3 3 2 2 2 4" xfId="22329"/>
    <cellStyle name="표준 11 2 3 3 2 2 3" xfId="8409"/>
    <cellStyle name="표준 11 2 3 3 2 2 3 2" xfId="25113"/>
    <cellStyle name="표준 11 2 3 3 2 2 4" xfId="13977"/>
    <cellStyle name="표준 11 2 3 3 2 2 4 2" xfId="30681"/>
    <cellStyle name="표준 11 2 3 3 2 2 5" xfId="19545"/>
    <cellStyle name="표준 11 2 3 3 2 3" xfId="4233"/>
    <cellStyle name="표준 11 2 3 3 2 3 2" xfId="9801"/>
    <cellStyle name="표준 11 2 3 3 2 3 2 2" xfId="26505"/>
    <cellStyle name="표준 11 2 3 3 2 3 3" xfId="15369"/>
    <cellStyle name="표준 11 2 3 3 2 3 3 2" xfId="32073"/>
    <cellStyle name="표준 11 2 3 3 2 3 4" xfId="20937"/>
    <cellStyle name="표준 11 2 3 3 2 4" xfId="7017"/>
    <cellStyle name="표준 11 2 3 3 2 4 2" xfId="23721"/>
    <cellStyle name="표준 11 2 3 3 2 5" xfId="12585"/>
    <cellStyle name="표준 11 2 3 3 2 5 2" xfId="29289"/>
    <cellStyle name="표준 11 2 3 3 2 6" xfId="18153"/>
    <cellStyle name="표준 11 2 3 3 3" xfId="2145"/>
    <cellStyle name="표준 11 2 3 3 3 2" xfId="4929"/>
    <cellStyle name="표준 11 2 3 3 3 2 2" xfId="10497"/>
    <cellStyle name="표준 11 2 3 3 3 2 2 2" xfId="27201"/>
    <cellStyle name="표준 11 2 3 3 3 2 3" xfId="16065"/>
    <cellStyle name="표준 11 2 3 3 3 2 3 2" xfId="32769"/>
    <cellStyle name="표준 11 2 3 3 3 2 4" xfId="21633"/>
    <cellStyle name="표준 11 2 3 3 3 3" xfId="7713"/>
    <cellStyle name="표준 11 2 3 3 3 3 2" xfId="24417"/>
    <cellStyle name="표준 11 2 3 3 3 4" xfId="13281"/>
    <cellStyle name="표준 11 2 3 3 3 4 2" xfId="29985"/>
    <cellStyle name="표준 11 2 3 3 3 5" xfId="18849"/>
    <cellStyle name="표준 11 2 3 3 4" xfId="3537"/>
    <cellStyle name="표준 11 2 3 3 4 2" xfId="9105"/>
    <cellStyle name="표준 11 2 3 3 4 2 2" xfId="25809"/>
    <cellStyle name="표준 11 2 3 3 4 3" xfId="14673"/>
    <cellStyle name="표준 11 2 3 3 4 3 2" xfId="31377"/>
    <cellStyle name="표준 11 2 3 3 4 4" xfId="20241"/>
    <cellStyle name="표준 11 2 3 3 5" xfId="6321"/>
    <cellStyle name="표준 11 2 3 3 5 2" xfId="23025"/>
    <cellStyle name="표준 11 2 3 3 6" xfId="11889"/>
    <cellStyle name="표준 11 2 3 3 6 2" xfId="28593"/>
    <cellStyle name="표준 11 2 3 3 7" xfId="17457"/>
    <cellStyle name="표준 11 2 3 4" xfId="985"/>
    <cellStyle name="표준 11 2 3 4 2" xfId="2377"/>
    <cellStyle name="표준 11 2 3 4 2 2" xfId="5161"/>
    <cellStyle name="표준 11 2 3 4 2 2 2" xfId="10729"/>
    <cellStyle name="표준 11 2 3 4 2 2 2 2" xfId="27433"/>
    <cellStyle name="표준 11 2 3 4 2 2 3" xfId="16297"/>
    <cellStyle name="표준 11 2 3 4 2 2 3 2" xfId="33001"/>
    <cellStyle name="표준 11 2 3 4 2 2 4" xfId="21865"/>
    <cellStyle name="표준 11 2 3 4 2 3" xfId="7945"/>
    <cellStyle name="표준 11 2 3 4 2 3 2" xfId="24649"/>
    <cellStyle name="표준 11 2 3 4 2 4" xfId="13513"/>
    <cellStyle name="표준 11 2 3 4 2 4 2" xfId="30217"/>
    <cellStyle name="표준 11 2 3 4 2 5" xfId="19081"/>
    <cellStyle name="표준 11 2 3 4 3" xfId="3769"/>
    <cellStyle name="표준 11 2 3 4 3 2" xfId="9337"/>
    <cellStyle name="표준 11 2 3 4 3 2 2" xfId="26041"/>
    <cellStyle name="표준 11 2 3 4 3 3" xfId="14905"/>
    <cellStyle name="표준 11 2 3 4 3 3 2" xfId="31609"/>
    <cellStyle name="표준 11 2 3 4 3 4" xfId="20473"/>
    <cellStyle name="표준 11 2 3 4 4" xfId="6553"/>
    <cellStyle name="표준 11 2 3 4 4 2" xfId="23257"/>
    <cellStyle name="표준 11 2 3 4 5" xfId="12121"/>
    <cellStyle name="표준 11 2 3 4 5 2" xfId="28825"/>
    <cellStyle name="표준 11 2 3 4 6" xfId="17689"/>
    <cellStyle name="표준 11 2 3 5" xfId="1681"/>
    <cellStyle name="표준 11 2 3 5 2" xfId="4465"/>
    <cellStyle name="표준 11 2 3 5 2 2" xfId="10033"/>
    <cellStyle name="표준 11 2 3 5 2 2 2" xfId="26737"/>
    <cellStyle name="표준 11 2 3 5 2 3" xfId="15601"/>
    <cellStyle name="표준 11 2 3 5 2 3 2" xfId="32305"/>
    <cellStyle name="표준 11 2 3 5 2 4" xfId="21169"/>
    <cellStyle name="표준 11 2 3 5 3" xfId="7249"/>
    <cellStyle name="표준 11 2 3 5 3 2" xfId="23953"/>
    <cellStyle name="표준 11 2 3 5 4" xfId="12817"/>
    <cellStyle name="표준 11 2 3 5 4 2" xfId="29521"/>
    <cellStyle name="표준 11 2 3 5 5" xfId="18385"/>
    <cellStyle name="표준 11 2 3 6" xfId="3073"/>
    <cellStyle name="표준 11 2 3 6 2" xfId="8641"/>
    <cellStyle name="표준 11 2 3 6 2 2" xfId="25345"/>
    <cellStyle name="표준 11 2 3 6 3" xfId="14209"/>
    <cellStyle name="표준 11 2 3 6 3 2" xfId="30913"/>
    <cellStyle name="표준 11 2 3 6 4" xfId="19777"/>
    <cellStyle name="표준 11 2 3 7" xfId="5857"/>
    <cellStyle name="표준 11 2 3 7 2" xfId="22561"/>
    <cellStyle name="표준 11 2 3 8" xfId="11425"/>
    <cellStyle name="표준 11 2 3 8 2" xfId="28129"/>
    <cellStyle name="표준 11 2 3 9" xfId="16993"/>
    <cellStyle name="표준 11 2 4" xfId="405"/>
    <cellStyle name="표준 11 2 4 2" xfId="1101"/>
    <cellStyle name="표준 11 2 4 2 2" xfId="2493"/>
    <cellStyle name="표준 11 2 4 2 2 2" xfId="5277"/>
    <cellStyle name="표준 11 2 4 2 2 2 2" xfId="10845"/>
    <cellStyle name="표준 11 2 4 2 2 2 2 2" xfId="27549"/>
    <cellStyle name="표준 11 2 4 2 2 2 3" xfId="16413"/>
    <cellStyle name="표준 11 2 4 2 2 2 3 2" xfId="33117"/>
    <cellStyle name="표준 11 2 4 2 2 2 4" xfId="21981"/>
    <cellStyle name="표준 11 2 4 2 2 3" xfId="8061"/>
    <cellStyle name="표준 11 2 4 2 2 3 2" xfId="24765"/>
    <cellStyle name="표준 11 2 4 2 2 4" xfId="13629"/>
    <cellStyle name="표준 11 2 4 2 2 4 2" xfId="30333"/>
    <cellStyle name="표준 11 2 4 2 2 5" xfId="19197"/>
    <cellStyle name="표준 11 2 4 2 3" xfId="3885"/>
    <cellStyle name="표준 11 2 4 2 3 2" xfId="9453"/>
    <cellStyle name="표준 11 2 4 2 3 2 2" xfId="26157"/>
    <cellStyle name="표준 11 2 4 2 3 3" xfId="15021"/>
    <cellStyle name="표준 11 2 4 2 3 3 2" xfId="31725"/>
    <cellStyle name="표준 11 2 4 2 3 4" xfId="20589"/>
    <cellStyle name="표준 11 2 4 2 4" xfId="6669"/>
    <cellStyle name="표준 11 2 4 2 4 2" xfId="23373"/>
    <cellStyle name="표준 11 2 4 2 5" xfId="12237"/>
    <cellStyle name="표준 11 2 4 2 5 2" xfId="28941"/>
    <cellStyle name="표준 11 2 4 2 6" xfId="17805"/>
    <cellStyle name="표준 11 2 4 3" xfId="1797"/>
    <cellStyle name="표준 11 2 4 3 2" xfId="4581"/>
    <cellStyle name="표준 11 2 4 3 2 2" xfId="10149"/>
    <cellStyle name="표준 11 2 4 3 2 2 2" xfId="26853"/>
    <cellStyle name="표준 11 2 4 3 2 3" xfId="15717"/>
    <cellStyle name="표준 11 2 4 3 2 3 2" xfId="32421"/>
    <cellStyle name="표준 11 2 4 3 2 4" xfId="21285"/>
    <cellStyle name="표준 11 2 4 3 3" xfId="7365"/>
    <cellStyle name="표준 11 2 4 3 3 2" xfId="24069"/>
    <cellStyle name="표준 11 2 4 3 4" xfId="12933"/>
    <cellStyle name="표준 11 2 4 3 4 2" xfId="29637"/>
    <cellStyle name="표준 11 2 4 3 5" xfId="18501"/>
    <cellStyle name="표준 11 2 4 4" xfId="3189"/>
    <cellStyle name="표준 11 2 4 4 2" xfId="8757"/>
    <cellStyle name="표준 11 2 4 4 2 2" xfId="25461"/>
    <cellStyle name="표준 11 2 4 4 3" xfId="14325"/>
    <cellStyle name="표준 11 2 4 4 3 2" xfId="31029"/>
    <cellStyle name="표준 11 2 4 4 4" xfId="19893"/>
    <cellStyle name="표준 11 2 4 5" xfId="5973"/>
    <cellStyle name="표준 11 2 4 5 2" xfId="22677"/>
    <cellStyle name="표준 11 2 4 6" xfId="11541"/>
    <cellStyle name="표준 11 2 4 6 2" xfId="28245"/>
    <cellStyle name="표준 11 2 4 7" xfId="17109"/>
    <cellStyle name="표준 11 2 5" xfId="637"/>
    <cellStyle name="표준 11 2 5 2" xfId="1333"/>
    <cellStyle name="표준 11 2 5 2 2" xfId="2725"/>
    <cellStyle name="표준 11 2 5 2 2 2" xfId="5509"/>
    <cellStyle name="표준 11 2 5 2 2 2 2" xfId="11077"/>
    <cellStyle name="표준 11 2 5 2 2 2 2 2" xfId="27781"/>
    <cellStyle name="표준 11 2 5 2 2 2 3" xfId="16645"/>
    <cellStyle name="표준 11 2 5 2 2 2 3 2" xfId="33349"/>
    <cellStyle name="표준 11 2 5 2 2 2 4" xfId="22213"/>
    <cellStyle name="표준 11 2 5 2 2 3" xfId="8293"/>
    <cellStyle name="표준 11 2 5 2 2 3 2" xfId="24997"/>
    <cellStyle name="표준 11 2 5 2 2 4" xfId="13861"/>
    <cellStyle name="표준 11 2 5 2 2 4 2" xfId="30565"/>
    <cellStyle name="표준 11 2 5 2 2 5" xfId="19429"/>
    <cellStyle name="표준 11 2 5 2 3" xfId="4117"/>
    <cellStyle name="표준 11 2 5 2 3 2" xfId="9685"/>
    <cellStyle name="표준 11 2 5 2 3 2 2" xfId="26389"/>
    <cellStyle name="표준 11 2 5 2 3 3" xfId="15253"/>
    <cellStyle name="표준 11 2 5 2 3 3 2" xfId="31957"/>
    <cellStyle name="표준 11 2 5 2 3 4" xfId="20821"/>
    <cellStyle name="표준 11 2 5 2 4" xfId="6901"/>
    <cellStyle name="표준 11 2 5 2 4 2" xfId="23605"/>
    <cellStyle name="표준 11 2 5 2 5" xfId="12469"/>
    <cellStyle name="표준 11 2 5 2 5 2" xfId="29173"/>
    <cellStyle name="표준 11 2 5 2 6" xfId="18037"/>
    <cellStyle name="표준 11 2 5 3" xfId="2029"/>
    <cellStyle name="표준 11 2 5 3 2" xfId="4813"/>
    <cellStyle name="표준 11 2 5 3 2 2" xfId="10381"/>
    <cellStyle name="표준 11 2 5 3 2 2 2" xfId="27085"/>
    <cellStyle name="표준 11 2 5 3 2 3" xfId="15949"/>
    <cellStyle name="표준 11 2 5 3 2 3 2" xfId="32653"/>
    <cellStyle name="표준 11 2 5 3 2 4" xfId="21517"/>
    <cellStyle name="표준 11 2 5 3 3" xfId="7597"/>
    <cellStyle name="표준 11 2 5 3 3 2" xfId="24301"/>
    <cellStyle name="표준 11 2 5 3 4" xfId="13165"/>
    <cellStyle name="표준 11 2 5 3 4 2" xfId="29869"/>
    <cellStyle name="표준 11 2 5 3 5" xfId="18733"/>
    <cellStyle name="표준 11 2 5 4" xfId="3421"/>
    <cellStyle name="표준 11 2 5 4 2" xfId="8989"/>
    <cellStyle name="표준 11 2 5 4 2 2" xfId="25693"/>
    <cellStyle name="표준 11 2 5 4 3" xfId="14557"/>
    <cellStyle name="표준 11 2 5 4 3 2" xfId="31261"/>
    <cellStyle name="표준 11 2 5 4 4" xfId="20125"/>
    <cellStyle name="표준 11 2 5 5" xfId="6205"/>
    <cellStyle name="표준 11 2 5 5 2" xfId="22909"/>
    <cellStyle name="표준 11 2 5 6" xfId="11773"/>
    <cellStyle name="표준 11 2 5 6 2" xfId="28477"/>
    <cellStyle name="표준 11 2 5 7" xfId="17341"/>
    <cellStyle name="표준 11 2 6" xfId="869"/>
    <cellStyle name="표준 11 2 6 2" xfId="2261"/>
    <cellStyle name="표준 11 2 6 2 2" xfId="5045"/>
    <cellStyle name="표준 11 2 6 2 2 2" xfId="10613"/>
    <cellStyle name="표준 11 2 6 2 2 2 2" xfId="27317"/>
    <cellStyle name="표준 11 2 6 2 2 3" xfId="16181"/>
    <cellStyle name="표준 11 2 6 2 2 3 2" xfId="32885"/>
    <cellStyle name="표준 11 2 6 2 2 4" xfId="21749"/>
    <cellStyle name="표준 11 2 6 2 3" xfId="7829"/>
    <cellStyle name="표준 11 2 6 2 3 2" xfId="24533"/>
    <cellStyle name="표준 11 2 6 2 4" xfId="13397"/>
    <cellStyle name="표준 11 2 6 2 4 2" xfId="30101"/>
    <cellStyle name="표준 11 2 6 2 5" xfId="18965"/>
    <cellStyle name="표준 11 2 6 3" xfId="3653"/>
    <cellStyle name="표준 11 2 6 3 2" xfId="9221"/>
    <cellStyle name="표준 11 2 6 3 2 2" xfId="25925"/>
    <cellStyle name="표준 11 2 6 3 3" xfId="14789"/>
    <cellStyle name="표준 11 2 6 3 3 2" xfId="31493"/>
    <cellStyle name="표준 11 2 6 3 4" xfId="20357"/>
    <cellStyle name="표준 11 2 6 4" xfId="6437"/>
    <cellStyle name="표준 11 2 6 4 2" xfId="23141"/>
    <cellStyle name="표준 11 2 6 5" xfId="12005"/>
    <cellStyle name="표준 11 2 6 5 2" xfId="28709"/>
    <cellStyle name="표준 11 2 6 6" xfId="17573"/>
    <cellStyle name="표준 11 2 7" xfId="1565"/>
    <cellStyle name="표준 11 2 7 2" xfId="4349"/>
    <cellStyle name="표준 11 2 7 2 2" xfId="9917"/>
    <cellStyle name="표준 11 2 7 2 2 2" xfId="26621"/>
    <cellStyle name="표준 11 2 7 2 3" xfId="15485"/>
    <cellStyle name="표준 11 2 7 2 3 2" xfId="32189"/>
    <cellStyle name="표준 11 2 7 2 4" xfId="21053"/>
    <cellStyle name="표준 11 2 7 3" xfId="7133"/>
    <cellStyle name="표준 11 2 7 3 2" xfId="23837"/>
    <cellStyle name="표준 11 2 7 4" xfId="12701"/>
    <cellStyle name="표준 11 2 7 4 2" xfId="29405"/>
    <cellStyle name="표준 11 2 7 5" xfId="18269"/>
    <cellStyle name="표준 11 2 8" xfId="2957"/>
    <cellStyle name="표준 11 2 8 2" xfId="8525"/>
    <cellStyle name="표준 11 2 8 2 2" xfId="25229"/>
    <cellStyle name="표준 11 2 8 3" xfId="14093"/>
    <cellStyle name="표준 11 2 8 3 2" xfId="30797"/>
    <cellStyle name="표준 11 2 8 4" xfId="19661"/>
    <cellStyle name="표준 11 2 9" xfId="5741"/>
    <cellStyle name="표준 11 2 9 2" xfId="22445"/>
    <cellStyle name="표준 11 3" xfId="202"/>
    <cellStyle name="표준 11 3 10" xfId="16906"/>
    <cellStyle name="표준 11 3 2" xfId="318"/>
    <cellStyle name="표준 11 3 2 2" xfId="550"/>
    <cellStyle name="표준 11 3 2 2 2" xfId="1246"/>
    <cellStyle name="표준 11 3 2 2 2 2" xfId="2638"/>
    <cellStyle name="표준 11 3 2 2 2 2 2" xfId="5422"/>
    <cellStyle name="표준 11 3 2 2 2 2 2 2" xfId="10990"/>
    <cellStyle name="표준 11 3 2 2 2 2 2 2 2" xfId="27694"/>
    <cellStyle name="표준 11 3 2 2 2 2 2 3" xfId="16558"/>
    <cellStyle name="표준 11 3 2 2 2 2 2 3 2" xfId="33262"/>
    <cellStyle name="표준 11 3 2 2 2 2 2 4" xfId="22126"/>
    <cellStyle name="표준 11 3 2 2 2 2 3" xfId="8206"/>
    <cellStyle name="표준 11 3 2 2 2 2 3 2" xfId="24910"/>
    <cellStyle name="표준 11 3 2 2 2 2 4" xfId="13774"/>
    <cellStyle name="표준 11 3 2 2 2 2 4 2" xfId="30478"/>
    <cellStyle name="표준 11 3 2 2 2 2 5" xfId="19342"/>
    <cellStyle name="표준 11 3 2 2 2 3" xfId="4030"/>
    <cellStyle name="표준 11 3 2 2 2 3 2" xfId="9598"/>
    <cellStyle name="표준 11 3 2 2 2 3 2 2" xfId="26302"/>
    <cellStyle name="표준 11 3 2 2 2 3 3" xfId="15166"/>
    <cellStyle name="표준 11 3 2 2 2 3 3 2" xfId="31870"/>
    <cellStyle name="표준 11 3 2 2 2 3 4" xfId="20734"/>
    <cellStyle name="표준 11 3 2 2 2 4" xfId="6814"/>
    <cellStyle name="표준 11 3 2 2 2 4 2" xfId="23518"/>
    <cellStyle name="표준 11 3 2 2 2 5" xfId="12382"/>
    <cellStyle name="표준 11 3 2 2 2 5 2" xfId="29086"/>
    <cellStyle name="표준 11 3 2 2 2 6" xfId="17950"/>
    <cellStyle name="표준 11 3 2 2 3" xfId="1942"/>
    <cellStyle name="표준 11 3 2 2 3 2" xfId="4726"/>
    <cellStyle name="표준 11 3 2 2 3 2 2" xfId="10294"/>
    <cellStyle name="표준 11 3 2 2 3 2 2 2" xfId="26998"/>
    <cellStyle name="표준 11 3 2 2 3 2 3" xfId="15862"/>
    <cellStyle name="표준 11 3 2 2 3 2 3 2" xfId="32566"/>
    <cellStyle name="표준 11 3 2 2 3 2 4" xfId="21430"/>
    <cellStyle name="표준 11 3 2 2 3 3" xfId="7510"/>
    <cellStyle name="표준 11 3 2 2 3 3 2" xfId="24214"/>
    <cellStyle name="표준 11 3 2 2 3 4" xfId="13078"/>
    <cellStyle name="표준 11 3 2 2 3 4 2" xfId="29782"/>
    <cellStyle name="표준 11 3 2 2 3 5" xfId="18646"/>
    <cellStyle name="표준 11 3 2 2 4" xfId="3334"/>
    <cellStyle name="표준 11 3 2 2 4 2" xfId="8902"/>
    <cellStyle name="표준 11 3 2 2 4 2 2" xfId="25606"/>
    <cellStyle name="표준 11 3 2 2 4 3" xfId="14470"/>
    <cellStyle name="표준 11 3 2 2 4 3 2" xfId="31174"/>
    <cellStyle name="표준 11 3 2 2 4 4" xfId="20038"/>
    <cellStyle name="표준 11 3 2 2 5" xfId="6118"/>
    <cellStyle name="표준 11 3 2 2 5 2" xfId="22822"/>
    <cellStyle name="표준 11 3 2 2 6" xfId="11686"/>
    <cellStyle name="표준 11 3 2 2 6 2" xfId="28390"/>
    <cellStyle name="표준 11 3 2 2 7" xfId="17254"/>
    <cellStyle name="표준 11 3 2 3" xfId="782"/>
    <cellStyle name="표준 11 3 2 3 2" xfId="1478"/>
    <cellStyle name="표준 11 3 2 3 2 2" xfId="2870"/>
    <cellStyle name="표준 11 3 2 3 2 2 2" xfId="5654"/>
    <cellStyle name="표준 11 3 2 3 2 2 2 2" xfId="11222"/>
    <cellStyle name="표준 11 3 2 3 2 2 2 2 2" xfId="27926"/>
    <cellStyle name="표준 11 3 2 3 2 2 2 3" xfId="16790"/>
    <cellStyle name="표준 11 3 2 3 2 2 2 3 2" xfId="33494"/>
    <cellStyle name="표준 11 3 2 3 2 2 2 4" xfId="22358"/>
    <cellStyle name="표준 11 3 2 3 2 2 3" xfId="8438"/>
    <cellStyle name="표준 11 3 2 3 2 2 3 2" xfId="25142"/>
    <cellStyle name="표준 11 3 2 3 2 2 4" xfId="14006"/>
    <cellStyle name="표준 11 3 2 3 2 2 4 2" xfId="30710"/>
    <cellStyle name="표준 11 3 2 3 2 2 5" xfId="19574"/>
    <cellStyle name="표준 11 3 2 3 2 3" xfId="4262"/>
    <cellStyle name="표준 11 3 2 3 2 3 2" xfId="9830"/>
    <cellStyle name="표준 11 3 2 3 2 3 2 2" xfId="26534"/>
    <cellStyle name="표준 11 3 2 3 2 3 3" xfId="15398"/>
    <cellStyle name="표준 11 3 2 3 2 3 3 2" xfId="32102"/>
    <cellStyle name="표준 11 3 2 3 2 3 4" xfId="20966"/>
    <cellStyle name="표준 11 3 2 3 2 4" xfId="7046"/>
    <cellStyle name="표준 11 3 2 3 2 4 2" xfId="23750"/>
    <cellStyle name="표준 11 3 2 3 2 5" xfId="12614"/>
    <cellStyle name="표준 11 3 2 3 2 5 2" xfId="29318"/>
    <cellStyle name="표준 11 3 2 3 2 6" xfId="18182"/>
    <cellStyle name="표준 11 3 2 3 3" xfId="2174"/>
    <cellStyle name="표준 11 3 2 3 3 2" xfId="4958"/>
    <cellStyle name="표준 11 3 2 3 3 2 2" xfId="10526"/>
    <cellStyle name="표준 11 3 2 3 3 2 2 2" xfId="27230"/>
    <cellStyle name="표준 11 3 2 3 3 2 3" xfId="16094"/>
    <cellStyle name="표준 11 3 2 3 3 2 3 2" xfId="32798"/>
    <cellStyle name="표준 11 3 2 3 3 2 4" xfId="21662"/>
    <cellStyle name="표준 11 3 2 3 3 3" xfId="7742"/>
    <cellStyle name="표준 11 3 2 3 3 3 2" xfId="24446"/>
    <cellStyle name="표준 11 3 2 3 3 4" xfId="13310"/>
    <cellStyle name="표준 11 3 2 3 3 4 2" xfId="30014"/>
    <cellStyle name="표준 11 3 2 3 3 5" xfId="18878"/>
    <cellStyle name="표준 11 3 2 3 4" xfId="3566"/>
    <cellStyle name="표준 11 3 2 3 4 2" xfId="9134"/>
    <cellStyle name="표준 11 3 2 3 4 2 2" xfId="25838"/>
    <cellStyle name="표준 11 3 2 3 4 3" xfId="14702"/>
    <cellStyle name="표준 11 3 2 3 4 3 2" xfId="31406"/>
    <cellStyle name="표준 11 3 2 3 4 4" xfId="20270"/>
    <cellStyle name="표준 11 3 2 3 5" xfId="6350"/>
    <cellStyle name="표준 11 3 2 3 5 2" xfId="23054"/>
    <cellStyle name="표준 11 3 2 3 6" xfId="11918"/>
    <cellStyle name="표준 11 3 2 3 6 2" xfId="28622"/>
    <cellStyle name="표준 11 3 2 3 7" xfId="17486"/>
    <cellStyle name="표준 11 3 2 4" xfId="1014"/>
    <cellStyle name="표준 11 3 2 4 2" xfId="2406"/>
    <cellStyle name="표준 11 3 2 4 2 2" xfId="5190"/>
    <cellStyle name="표준 11 3 2 4 2 2 2" xfId="10758"/>
    <cellStyle name="표준 11 3 2 4 2 2 2 2" xfId="27462"/>
    <cellStyle name="표준 11 3 2 4 2 2 3" xfId="16326"/>
    <cellStyle name="표준 11 3 2 4 2 2 3 2" xfId="33030"/>
    <cellStyle name="표준 11 3 2 4 2 2 4" xfId="21894"/>
    <cellStyle name="표준 11 3 2 4 2 3" xfId="7974"/>
    <cellStyle name="표준 11 3 2 4 2 3 2" xfId="24678"/>
    <cellStyle name="표준 11 3 2 4 2 4" xfId="13542"/>
    <cellStyle name="표준 11 3 2 4 2 4 2" xfId="30246"/>
    <cellStyle name="표준 11 3 2 4 2 5" xfId="19110"/>
    <cellStyle name="표준 11 3 2 4 3" xfId="3798"/>
    <cellStyle name="표준 11 3 2 4 3 2" xfId="9366"/>
    <cellStyle name="표준 11 3 2 4 3 2 2" xfId="26070"/>
    <cellStyle name="표준 11 3 2 4 3 3" xfId="14934"/>
    <cellStyle name="표준 11 3 2 4 3 3 2" xfId="31638"/>
    <cellStyle name="표준 11 3 2 4 3 4" xfId="20502"/>
    <cellStyle name="표준 11 3 2 4 4" xfId="6582"/>
    <cellStyle name="표준 11 3 2 4 4 2" xfId="23286"/>
    <cellStyle name="표준 11 3 2 4 5" xfId="12150"/>
    <cellStyle name="표준 11 3 2 4 5 2" xfId="28854"/>
    <cellStyle name="표준 11 3 2 4 6" xfId="17718"/>
    <cellStyle name="표준 11 3 2 5" xfId="1710"/>
    <cellStyle name="표준 11 3 2 5 2" xfId="4494"/>
    <cellStyle name="표준 11 3 2 5 2 2" xfId="10062"/>
    <cellStyle name="표준 11 3 2 5 2 2 2" xfId="26766"/>
    <cellStyle name="표준 11 3 2 5 2 3" xfId="15630"/>
    <cellStyle name="표준 11 3 2 5 2 3 2" xfId="32334"/>
    <cellStyle name="표준 11 3 2 5 2 4" xfId="21198"/>
    <cellStyle name="표준 11 3 2 5 3" xfId="7278"/>
    <cellStyle name="표준 11 3 2 5 3 2" xfId="23982"/>
    <cellStyle name="표준 11 3 2 5 4" xfId="12846"/>
    <cellStyle name="표준 11 3 2 5 4 2" xfId="29550"/>
    <cellStyle name="표준 11 3 2 5 5" xfId="18414"/>
    <cellStyle name="표준 11 3 2 6" xfId="3102"/>
    <cellStyle name="표준 11 3 2 6 2" xfId="8670"/>
    <cellStyle name="표준 11 3 2 6 2 2" xfId="25374"/>
    <cellStyle name="표준 11 3 2 6 3" xfId="14238"/>
    <cellStyle name="표준 11 3 2 6 3 2" xfId="30942"/>
    <cellStyle name="표준 11 3 2 6 4" xfId="19806"/>
    <cellStyle name="표준 11 3 2 7" xfId="5886"/>
    <cellStyle name="표준 11 3 2 7 2" xfId="22590"/>
    <cellStyle name="표준 11 3 2 8" xfId="11454"/>
    <cellStyle name="표준 11 3 2 8 2" xfId="28158"/>
    <cellStyle name="표준 11 3 2 9" xfId="17022"/>
    <cellStyle name="표준 11 3 3" xfId="434"/>
    <cellStyle name="표준 11 3 3 2" xfId="1130"/>
    <cellStyle name="표준 11 3 3 2 2" xfId="2522"/>
    <cellStyle name="표준 11 3 3 2 2 2" xfId="5306"/>
    <cellStyle name="표준 11 3 3 2 2 2 2" xfId="10874"/>
    <cellStyle name="표준 11 3 3 2 2 2 2 2" xfId="27578"/>
    <cellStyle name="표준 11 3 3 2 2 2 3" xfId="16442"/>
    <cellStyle name="표준 11 3 3 2 2 2 3 2" xfId="33146"/>
    <cellStyle name="표준 11 3 3 2 2 2 4" xfId="22010"/>
    <cellStyle name="표준 11 3 3 2 2 3" xfId="8090"/>
    <cellStyle name="표준 11 3 3 2 2 3 2" xfId="24794"/>
    <cellStyle name="표준 11 3 3 2 2 4" xfId="13658"/>
    <cellStyle name="표준 11 3 3 2 2 4 2" xfId="30362"/>
    <cellStyle name="표준 11 3 3 2 2 5" xfId="19226"/>
    <cellStyle name="표준 11 3 3 2 3" xfId="3914"/>
    <cellStyle name="표준 11 3 3 2 3 2" xfId="9482"/>
    <cellStyle name="표준 11 3 3 2 3 2 2" xfId="26186"/>
    <cellStyle name="표준 11 3 3 2 3 3" xfId="15050"/>
    <cellStyle name="표준 11 3 3 2 3 3 2" xfId="31754"/>
    <cellStyle name="표준 11 3 3 2 3 4" xfId="20618"/>
    <cellStyle name="표준 11 3 3 2 4" xfId="6698"/>
    <cellStyle name="표준 11 3 3 2 4 2" xfId="23402"/>
    <cellStyle name="표준 11 3 3 2 5" xfId="12266"/>
    <cellStyle name="표준 11 3 3 2 5 2" xfId="28970"/>
    <cellStyle name="표준 11 3 3 2 6" xfId="17834"/>
    <cellStyle name="표준 11 3 3 3" xfId="1826"/>
    <cellStyle name="표준 11 3 3 3 2" xfId="4610"/>
    <cellStyle name="표준 11 3 3 3 2 2" xfId="10178"/>
    <cellStyle name="표준 11 3 3 3 2 2 2" xfId="26882"/>
    <cellStyle name="표준 11 3 3 3 2 3" xfId="15746"/>
    <cellStyle name="표준 11 3 3 3 2 3 2" xfId="32450"/>
    <cellStyle name="표준 11 3 3 3 2 4" xfId="21314"/>
    <cellStyle name="표준 11 3 3 3 3" xfId="7394"/>
    <cellStyle name="표준 11 3 3 3 3 2" xfId="24098"/>
    <cellStyle name="표준 11 3 3 3 4" xfId="12962"/>
    <cellStyle name="표준 11 3 3 3 4 2" xfId="29666"/>
    <cellStyle name="표준 11 3 3 3 5" xfId="18530"/>
    <cellStyle name="표준 11 3 3 4" xfId="3218"/>
    <cellStyle name="표준 11 3 3 4 2" xfId="8786"/>
    <cellStyle name="표준 11 3 3 4 2 2" xfId="25490"/>
    <cellStyle name="표준 11 3 3 4 3" xfId="14354"/>
    <cellStyle name="표준 11 3 3 4 3 2" xfId="31058"/>
    <cellStyle name="표준 11 3 3 4 4" xfId="19922"/>
    <cellStyle name="표준 11 3 3 5" xfId="6002"/>
    <cellStyle name="표준 11 3 3 5 2" xfId="22706"/>
    <cellStyle name="표준 11 3 3 6" xfId="11570"/>
    <cellStyle name="표준 11 3 3 6 2" xfId="28274"/>
    <cellStyle name="표준 11 3 3 7" xfId="17138"/>
    <cellStyle name="표준 11 3 4" xfId="666"/>
    <cellStyle name="표준 11 3 4 2" xfId="1362"/>
    <cellStyle name="표준 11 3 4 2 2" xfId="2754"/>
    <cellStyle name="표준 11 3 4 2 2 2" xfId="5538"/>
    <cellStyle name="표준 11 3 4 2 2 2 2" xfId="11106"/>
    <cellStyle name="표준 11 3 4 2 2 2 2 2" xfId="27810"/>
    <cellStyle name="표준 11 3 4 2 2 2 3" xfId="16674"/>
    <cellStyle name="표준 11 3 4 2 2 2 3 2" xfId="33378"/>
    <cellStyle name="표준 11 3 4 2 2 2 4" xfId="22242"/>
    <cellStyle name="표준 11 3 4 2 2 3" xfId="8322"/>
    <cellStyle name="표준 11 3 4 2 2 3 2" xfId="25026"/>
    <cellStyle name="표준 11 3 4 2 2 4" xfId="13890"/>
    <cellStyle name="표준 11 3 4 2 2 4 2" xfId="30594"/>
    <cellStyle name="표준 11 3 4 2 2 5" xfId="19458"/>
    <cellStyle name="표준 11 3 4 2 3" xfId="4146"/>
    <cellStyle name="표준 11 3 4 2 3 2" xfId="9714"/>
    <cellStyle name="표준 11 3 4 2 3 2 2" xfId="26418"/>
    <cellStyle name="표준 11 3 4 2 3 3" xfId="15282"/>
    <cellStyle name="표준 11 3 4 2 3 3 2" xfId="31986"/>
    <cellStyle name="표준 11 3 4 2 3 4" xfId="20850"/>
    <cellStyle name="표준 11 3 4 2 4" xfId="6930"/>
    <cellStyle name="표준 11 3 4 2 4 2" xfId="23634"/>
    <cellStyle name="표준 11 3 4 2 5" xfId="12498"/>
    <cellStyle name="표준 11 3 4 2 5 2" xfId="29202"/>
    <cellStyle name="표준 11 3 4 2 6" xfId="18066"/>
    <cellStyle name="표준 11 3 4 3" xfId="2058"/>
    <cellStyle name="표준 11 3 4 3 2" xfId="4842"/>
    <cellStyle name="표준 11 3 4 3 2 2" xfId="10410"/>
    <cellStyle name="표준 11 3 4 3 2 2 2" xfId="27114"/>
    <cellStyle name="표준 11 3 4 3 2 3" xfId="15978"/>
    <cellStyle name="표준 11 3 4 3 2 3 2" xfId="32682"/>
    <cellStyle name="표준 11 3 4 3 2 4" xfId="21546"/>
    <cellStyle name="표준 11 3 4 3 3" xfId="7626"/>
    <cellStyle name="표준 11 3 4 3 3 2" xfId="24330"/>
    <cellStyle name="표준 11 3 4 3 4" xfId="13194"/>
    <cellStyle name="표준 11 3 4 3 4 2" xfId="29898"/>
    <cellStyle name="표준 11 3 4 3 5" xfId="18762"/>
    <cellStyle name="표준 11 3 4 4" xfId="3450"/>
    <cellStyle name="표준 11 3 4 4 2" xfId="9018"/>
    <cellStyle name="표준 11 3 4 4 2 2" xfId="25722"/>
    <cellStyle name="표준 11 3 4 4 3" xfId="14586"/>
    <cellStyle name="표준 11 3 4 4 3 2" xfId="31290"/>
    <cellStyle name="표준 11 3 4 4 4" xfId="20154"/>
    <cellStyle name="표준 11 3 4 5" xfId="6234"/>
    <cellStyle name="표준 11 3 4 5 2" xfId="22938"/>
    <cellStyle name="표준 11 3 4 6" xfId="11802"/>
    <cellStyle name="표준 11 3 4 6 2" xfId="28506"/>
    <cellStyle name="표준 11 3 4 7" xfId="17370"/>
    <cellStyle name="표준 11 3 5" xfId="898"/>
    <cellStyle name="표준 11 3 5 2" xfId="2290"/>
    <cellStyle name="표준 11 3 5 2 2" xfId="5074"/>
    <cellStyle name="표준 11 3 5 2 2 2" xfId="10642"/>
    <cellStyle name="표준 11 3 5 2 2 2 2" xfId="27346"/>
    <cellStyle name="표준 11 3 5 2 2 3" xfId="16210"/>
    <cellStyle name="표준 11 3 5 2 2 3 2" xfId="32914"/>
    <cellStyle name="표준 11 3 5 2 2 4" xfId="21778"/>
    <cellStyle name="표준 11 3 5 2 3" xfId="7858"/>
    <cellStyle name="표준 11 3 5 2 3 2" xfId="24562"/>
    <cellStyle name="표준 11 3 5 2 4" xfId="13426"/>
    <cellStyle name="표준 11 3 5 2 4 2" xfId="30130"/>
    <cellStyle name="표준 11 3 5 2 5" xfId="18994"/>
    <cellStyle name="표준 11 3 5 3" xfId="3682"/>
    <cellStyle name="표준 11 3 5 3 2" xfId="9250"/>
    <cellStyle name="표준 11 3 5 3 2 2" xfId="25954"/>
    <cellStyle name="표준 11 3 5 3 3" xfId="14818"/>
    <cellStyle name="표준 11 3 5 3 3 2" xfId="31522"/>
    <cellStyle name="표준 11 3 5 3 4" xfId="20386"/>
    <cellStyle name="표준 11 3 5 4" xfId="6466"/>
    <cellStyle name="표준 11 3 5 4 2" xfId="23170"/>
    <cellStyle name="표준 11 3 5 5" xfId="12034"/>
    <cellStyle name="표준 11 3 5 5 2" xfId="28738"/>
    <cellStyle name="표준 11 3 5 6" xfId="17602"/>
    <cellStyle name="표준 11 3 6" xfId="1594"/>
    <cellStyle name="표준 11 3 6 2" xfId="4378"/>
    <cellStyle name="표준 11 3 6 2 2" xfId="9946"/>
    <cellStyle name="표준 11 3 6 2 2 2" xfId="26650"/>
    <cellStyle name="표준 11 3 6 2 3" xfId="15514"/>
    <cellStyle name="표준 11 3 6 2 3 2" xfId="32218"/>
    <cellStyle name="표준 11 3 6 2 4" xfId="21082"/>
    <cellStyle name="표준 11 3 6 3" xfId="7162"/>
    <cellStyle name="표준 11 3 6 3 2" xfId="23866"/>
    <cellStyle name="표준 11 3 6 4" xfId="12730"/>
    <cellStyle name="표준 11 3 6 4 2" xfId="29434"/>
    <cellStyle name="표준 11 3 6 5" xfId="18298"/>
    <cellStyle name="표준 11 3 7" xfId="2986"/>
    <cellStyle name="표준 11 3 7 2" xfId="8554"/>
    <cellStyle name="표준 11 3 7 2 2" xfId="25258"/>
    <cellStyle name="표준 11 3 7 3" xfId="14122"/>
    <cellStyle name="표준 11 3 7 3 2" xfId="30826"/>
    <cellStyle name="표준 11 3 7 4" xfId="19690"/>
    <cellStyle name="표준 11 3 8" xfId="5770"/>
    <cellStyle name="표준 11 3 8 2" xfId="22474"/>
    <cellStyle name="표준 11 3 9" xfId="11338"/>
    <cellStyle name="표준 11 3 9 2" xfId="28042"/>
    <cellStyle name="표준 11 4" xfId="260"/>
    <cellStyle name="표준 11 4 2" xfId="492"/>
    <cellStyle name="표준 11 4 2 2" xfId="1188"/>
    <cellStyle name="표준 11 4 2 2 2" xfId="2580"/>
    <cellStyle name="표준 11 4 2 2 2 2" xfId="5364"/>
    <cellStyle name="표준 11 4 2 2 2 2 2" xfId="10932"/>
    <cellStyle name="표준 11 4 2 2 2 2 2 2" xfId="27636"/>
    <cellStyle name="표준 11 4 2 2 2 2 3" xfId="16500"/>
    <cellStyle name="표준 11 4 2 2 2 2 3 2" xfId="33204"/>
    <cellStyle name="표준 11 4 2 2 2 2 4" xfId="22068"/>
    <cellStyle name="표준 11 4 2 2 2 3" xfId="8148"/>
    <cellStyle name="표준 11 4 2 2 2 3 2" xfId="24852"/>
    <cellStyle name="표준 11 4 2 2 2 4" xfId="13716"/>
    <cellStyle name="표준 11 4 2 2 2 4 2" xfId="30420"/>
    <cellStyle name="표준 11 4 2 2 2 5" xfId="19284"/>
    <cellStyle name="표준 11 4 2 2 3" xfId="3972"/>
    <cellStyle name="표준 11 4 2 2 3 2" xfId="9540"/>
    <cellStyle name="표준 11 4 2 2 3 2 2" xfId="26244"/>
    <cellStyle name="표준 11 4 2 2 3 3" xfId="15108"/>
    <cellStyle name="표준 11 4 2 2 3 3 2" xfId="31812"/>
    <cellStyle name="표준 11 4 2 2 3 4" xfId="20676"/>
    <cellStyle name="표준 11 4 2 2 4" xfId="6756"/>
    <cellStyle name="표준 11 4 2 2 4 2" xfId="23460"/>
    <cellStyle name="표준 11 4 2 2 5" xfId="12324"/>
    <cellStyle name="표준 11 4 2 2 5 2" xfId="29028"/>
    <cellStyle name="표준 11 4 2 2 6" xfId="17892"/>
    <cellStyle name="표준 11 4 2 3" xfId="1884"/>
    <cellStyle name="표준 11 4 2 3 2" xfId="4668"/>
    <cellStyle name="표준 11 4 2 3 2 2" xfId="10236"/>
    <cellStyle name="표준 11 4 2 3 2 2 2" xfId="26940"/>
    <cellStyle name="표준 11 4 2 3 2 3" xfId="15804"/>
    <cellStyle name="표준 11 4 2 3 2 3 2" xfId="32508"/>
    <cellStyle name="표준 11 4 2 3 2 4" xfId="21372"/>
    <cellStyle name="표준 11 4 2 3 3" xfId="7452"/>
    <cellStyle name="표준 11 4 2 3 3 2" xfId="24156"/>
    <cellStyle name="표준 11 4 2 3 4" xfId="13020"/>
    <cellStyle name="표준 11 4 2 3 4 2" xfId="29724"/>
    <cellStyle name="표준 11 4 2 3 5" xfId="18588"/>
    <cellStyle name="표준 11 4 2 4" xfId="3276"/>
    <cellStyle name="표준 11 4 2 4 2" xfId="8844"/>
    <cellStyle name="표준 11 4 2 4 2 2" xfId="25548"/>
    <cellStyle name="표준 11 4 2 4 3" xfId="14412"/>
    <cellStyle name="표준 11 4 2 4 3 2" xfId="31116"/>
    <cellStyle name="표준 11 4 2 4 4" xfId="19980"/>
    <cellStyle name="표준 11 4 2 5" xfId="6060"/>
    <cellStyle name="표준 11 4 2 5 2" xfId="22764"/>
    <cellStyle name="표준 11 4 2 6" xfId="11628"/>
    <cellStyle name="표준 11 4 2 6 2" xfId="28332"/>
    <cellStyle name="표준 11 4 2 7" xfId="17196"/>
    <cellStyle name="표준 11 4 3" xfId="724"/>
    <cellStyle name="표준 11 4 3 2" xfId="1420"/>
    <cellStyle name="표준 11 4 3 2 2" xfId="2812"/>
    <cellStyle name="표준 11 4 3 2 2 2" xfId="5596"/>
    <cellStyle name="표준 11 4 3 2 2 2 2" xfId="11164"/>
    <cellStyle name="표준 11 4 3 2 2 2 2 2" xfId="27868"/>
    <cellStyle name="표준 11 4 3 2 2 2 3" xfId="16732"/>
    <cellStyle name="표준 11 4 3 2 2 2 3 2" xfId="33436"/>
    <cellStyle name="표준 11 4 3 2 2 2 4" xfId="22300"/>
    <cellStyle name="표준 11 4 3 2 2 3" xfId="8380"/>
    <cellStyle name="표준 11 4 3 2 2 3 2" xfId="25084"/>
    <cellStyle name="표준 11 4 3 2 2 4" xfId="13948"/>
    <cellStyle name="표준 11 4 3 2 2 4 2" xfId="30652"/>
    <cellStyle name="표준 11 4 3 2 2 5" xfId="19516"/>
    <cellStyle name="표준 11 4 3 2 3" xfId="4204"/>
    <cellStyle name="표준 11 4 3 2 3 2" xfId="9772"/>
    <cellStyle name="표준 11 4 3 2 3 2 2" xfId="26476"/>
    <cellStyle name="표준 11 4 3 2 3 3" xfId="15340"/>
    <cellStyle name="표준 11 4 3 2 3 3 2" xfId="32044"/>
    <cellStyle name="표준 11 4 3 2 3 4" xfId="20908"/>
    <cellStyle name="표준 11 4 3 2 4" xfId="6988"/>
    <cellStyle name="표준 11 4 3 2 4 2" xfId="23692"/>
    <cellStyle name="표준 11 4 3 2 5" xfId="12556"/>
    <cellStyle name="표준 11 4 3 2 5 2" xfId="29260"/>
    <cellStyle name="표준 11 4 3 2 6" xfId="18124"/>
    <cellStyle name="표준 11 4 3 3" xfId="2116"/>
    <cellStyle name="표준 11 4 3 3 2" xfId="4900"/>
    <cellStyle name="표준 11 4 3 3 2 2" xfId="10468"/>
    <cellStyle name="표준 11 4 3 3 2 2 2" xfId="27172"/>
    <cellStyle name="표준 11 4 3 3 2 3" xfId="16036"/>
    <cellStyle name="표준 11 4 3 3 2 3 2" xfId="32740"/>
    <cellStyle name="표준 11 4 3 3 2 4" xfId="21604"/>
    <cellStyle name="표준 11 4 3 3 3" xfId="7684"/>
    <cellStyle name="표준 11 4 3 3 3 2" xfId="24388"/>
    <cellStyle name="표준 11 4 3 3 4" xfId="13252"/>
    <cellStyle name="표준 11 4 3 3 4 2" xfId="29956"/>
    <cellStyle name="표준 11 4 3 3 5" xfId="18820"/>
    <cellStyle name="표준 11 4 3 4" xfId="3508"/>
    <cellStyle name="표준 11 4 3 4 2" xfId="9076"/>
    <cellStyle name="표준 11 4 3 4 2 2" xfId="25780"/>
    <cellStyle name="표준 11 4 3 4 3" xfId="14644"/>
    <cellStyle name="표준 11 4 3 4 3 2" xfId="31348"/>
    <cellStyle name="표준 11 4 3 4 4" xfId="20212"/>
    <cellStyle name="표준 11 4 3 5" xfId="6292"/>
    <cellStyle name="표준 11 4 3 5 2" xfId="22996"/>
    <cellStyle name="표준 11 4 3 6" xfId="11860"/>
    <cellStyle name="표준 11 4 3 6 2" xfId="28564"/>
    <cellStyle name="표준 11 4 3 7" xfId="17428"/>
    <cellStyle name="표준 11 4 4" xfId="956"/>
    <cellStyle name="표준 11 4 4 2" xfId="2348"/>
    <cellStyle name="표준 11 4 4 2 2" xfId="5132"/>
    <cellStyle name="표준 11 4 4 2 2 2" xfId="10700"/>
    <cellStyle name="표준 11 4 4 2 2 2 2" xfId="27404"/>
    <cellStyle name="표준 11 4 4 2 2 3" xfId="16268"/>
    <cellStyle name="표준 11 4 4 2 2 3 2" xfId="32972"/>
    <cellStyle name="표준 11 4 4 2 2 4" xfId="21836"/>
    <cellStyle name="표준 11 4 4 2 3" xfId="7916"/>
    <cellStyle name="표준 11 4 4 2 3 2" xfId="24620"/>
    <cellStyle name="표준 11 4 4 2 4" xfId="13484"/>
    <cellStyle name="표준 11 4 4 2 4 2" xfId="30188"/>
    <cellStyle name="표준 11 4 4 2 5" xfId="19052"/>
    <cellStyle name="표준 11 4 4 3" xfId="3740"/>
    <cellStyle name="표준 11 4 4 3 2" xfId="9308"/>
    <cellStyle name="표준 11 4 4 3 2 2" xfId="26012"/>
    <cellStyle name="표준 11 4 4 3 3" xfId="14876"/>
    <cellStyle name="표준 11 4 4 3 3 2" xfId="31580"/>
    <cellStyle name="표준 11 4 4 3 4" xfId="20444"/>
    <cellStyle name="표준 11 4 4 4" xfId="6524"/>
    <cellStyle name="표준 11 4 4 4 2" xfId="23228"/>
    <cellStyle name="표준 11 4 4 5" xfId="12092"/>
    <cellStyle name="표준 11 4 4 5 2" xfId="28796"/>
    <cellStyle name="표준 11 4 4 6" xfId="17660"/>
    <cellStyle name="표준 11 4 5" xfId="1652"/>
    <cellStyle name="표준 11 4 5 2" xfId="4436"/>
    <cellStyle name="표준 11 4 5 2 2" xfId="10004"/>
    <cellStyle name="표준 11 4 5 2 2 2" xfId="26708"/>
    <cellStyle name="표준 11 4 5 2 3" xfId="15572"/>
    <cellStyle name="표준 11 4 5 2 3 2" xfId="32276"/>
    <cellStyle name="표준 11 4 5 2 4" xfId="21140"/>
    <cellStyle name="표준 11 4 5 3" xfId="7220"/>
    <cellStyle name="표준 11 4 5 3 2" xfId="23924"/>
    <cellStyle name="표준 11 4 5 4" xfId="12788"/>
    <cellStyle name="표준 11 4 5 4 2" xfId="29492"/>
    <cellStyle name="표준 11 4 5 5" xfId="18356"/>
    <cellStyle name="표준 11 4 6" xfId="3044"/>
    <cellStyle name="표준 11 4 6 2" xfId="8612"/>
    <cellStyle name="표준 11 4 6 2 2" xfId="25316"/>
    <cellStyle name="표준 11 4 6 3" xfId="14180"/>
    <cellStyle name="표준 11 4 6 3 2" xfId="30884"/>
    <cellStyle name="표준 11 4 6 4" xfId="19748"/>
    <cellStyle name="표준 11 4 7" xfId="5828"/>
    <cellStyle name="표준 11 4 7 2" xfId="22532"/>
    <cellStyle name="표준 11 4 8" xfId="11396"/>
    <cellStyle name="표준 11 4 8 2" xfId="28100"/>
    <cellStyle name="표준 11 4 9" xfId="16964"/>
    <cellStyle name="표준 11 5" xfId="376"/>
    <cellStyle name="표준 11 5 2" xfId="1072"/>
    <cellStyle name="표준 11 5 2 2" xfId="2464"/>
    <cellStyle name="표준 11 5 2 2 2" xfId="5248"/>
    <cellStyle name="표준 11 5 2 2 2 2" xfId="10816"/>
    <cellStyle name="표준 11 5 2 2 2 2 2" xfId="27520"/>
    <cellStyle name="표준 11 5 2 2 2 3" xfId="16384"/>
    <cellStyle name="표준 11 5 2 2 2 3 2" xfId="33088"/>
    <cellStyle name="표준 11 5 2 2 2 4" xfId="21952"/>
    <cellStyle name="표준 11 5 2 2 3" xfId="8032"/>
    <cellStyle name="표준 11 5 2 2 3 2" xfId="24736"/>
    <cellStyle name="표준 11 5 2 2 4" xfId="13600"/>
    <cellStyle name="표준 11 5 2 2 4 2" xfId="30304"/>
    <cellStyle name="표준 11 5 2 2 5" xfId="19168"/>
    <cellStyle name="표준 11 5 2 3" xfId="3856"/>
    <cellStyle name="표준 11 5 2 3 2" xfId="9424"/>
    <cellStyle name="표준 11 5 2 3 2 2" xfId="26128"/>
    <cellStyle name="표준 11 5 2 3 3" xfId="14992"/>
    <cellStyle name="표준 11 5 2 3 3 2" xfId="31696"/>
    <cellStyle name="표준 11 5 2 3 4" xfId="20560"/>
    <cellStyle name="표준 11 5 2 4" xfId="6640"/>
    <cellStyle name="표준 11 5 2 4 2" xfId="23344"/>
    <cellStyle name="표준 11 5 2 5" xfId="12208"/>
    <cellStyle name="표준 11 5 2 5 2" xfId="28912"/>
    <cellStyle name="표준 11 5 2 6" xfId="17776"/>
    <cellStyle name="표준 11 5 3" xfId="1768"/>
    <cellStyle name="표준 11 5 3 2" xfId="4552"/>
    <cellStyle name="표준 11 5 3 2 2" xfId="10120"/>
    <cellStyle name="표준 11 5 3 2 2 2" xfId="26824"/>
    <cellStyle name="표준 11 5 3 2 3" xfId="15688"/>
    <cellStyle name="표준 11 5 3 2 3 2" xfId="32392"/>
    <cellStyle name="표준 11 5 3 2 4" xfId="21256"/>
    <cellStyle name="표준 11 5 3 3" xfId="7336"/>
    <cellStyle name="표준 11 5 3 3 2" xfId="24040"/>
    <cellStyle name="표준 11 5 3 4" xfId="12904"/>
    <cellStyle name="표준 11 5 3 4 2" xfId="29608"/>
    <cellStyle name="표준 11 5 3 5" xfId="18472"/>
    <cellStyle name="표준 11 5 4" xfId="3160"/>
    <cellStyle name="표준 11 5 4 2" xfId="8728"/>
    <cellStyle name="표준 11 5 4 2 2" xfId="25432"/>
    <cellStyle name="표준 11 5 4 3" xfId="14296"/>
    <cellStyle name="표준 11 5 4 3 2" xfId="31000"/>
    <cellStyle name="표준 11 5 4 4" xfId="19864"/>
    <cellStyle name="표준 11 5 5" xfId="5944"/>
    <cellStyle name="표준 11 5 5 2" xfId="22648"/>
    <cellStyle name="표준 11 5 6" xfId="11512"/>
    <cellStyle name="표준 11 5 6 2" xfId="28216"/>
    <cellStyle name="표준 11 5 7" xfId="17080"/>
    <cellStyle name="표준 11 6" xfId="608"/>
    <cellStyle name="표준 11 6 2" xfId="1304"/>
    <cellStyle name="표준 11 6 2 2" xfId="2696"/>
    <cellStyle name="표준 11 6 2 2 2" xfId="5480"/>
    <cellStyle name="표준 11 6 2 2 2 2" xfId="11048"/>
    <cellStyle name="표준 11 6 2 2 2 2 2" xfId="27752"/>
    <cellStyle name="표준 11 6 2 2 2 3" xfId="16616"/>
    <cellStyle name="표준 11 6 2 2 2 3 2" xfId="33320"/>
    <cellStyle name="표준 11 6 2 2 2 4" xfId="22184"/>
    <cellStyle name="표준 11 6 2 2 3" xfId="8264"/>
    <cellStyle name="표준 11 6 2 2 3 2" xfId="24968"/>
    <cellStyle name="표준 11 6 2 2 4" xfId="13832"/>
    <cellStyle name="표준 11 6 2 2 4 2" xfId="30536"/>
    <cellStyle name="표준 11 6 2 2 5" xfId="19400"/>
    <cellStyle name="표준 11 6 2 3" xfId="4088"/>
    <cellStyle name="표준 11 6 2 3 2" xfId="9656"/>
    <cellStyle name="표준 11 6 2 3 2 2" xfId="26360"/>
    <cellStyle name="표준 11 6 2 3 3" xfId="15224"/>
    <cellStyle name="표준 11 6 2 3 3 2" xfId="31928"/>
    <cellStyle name="표준 11 6 2 3 4" xfId="20792"/>
    <cellStyle name="표준 11 6 2 4" xfId="6872"/>
    <cellStyle name="표준 11 6 2 4 2" xfId="23576"/>
    <cellStyle name="표준 11 6 2 5" xfId="12440"/>
    <cellStyle name="표준 11 6 2 5 2" xfId="29144"/>
    <cellStyle name="표준 11 6 2 6" xfId="18008"/>
    <cellStyle name="표준 11 6 3" xfId="2000"/>
    <cellStyle name="표준 11 6 3 2" xfId="4784"/>
    <cellStyle name="표준 11 6 3 2 2" xfId="10352"/>
    <cellStyle name="표준 11 6 3 2 2 2" xfId="27056"/>
    <cellStyle name="표준 11 6 3 2 3" xfId="15920"/>
    <cellStyle name="표준 11 6 3 2 3 2" xfId="32624"/>
    <cellStyle name="표준 11 6 3 2 4" xfId="21488"/>
    <cellStyle name="표준 11 6 3 3" xfId="7568"/>
    <cellStyle name="표준 11 6 3 3 2" xfId="24272"/>
    <cellStyle name="표준 11 6 3 4" xfId="13136"/>
    <cellStyle name="표준 11 6 3 4 2" xfId="29840"/>
    <cellStyle name="표준 11 6 3 5" xfId="18704"/>
    <cellStyle name="표준 11 6 4" xfId="3392"/>
    <cellStyle name="표준 11 6 4 2" xfId="8960"/>
    <cellStyle name="표준 11 6 4 2 2" xfId="25664"/>
    <cellStyle name="표준 11 6 4 3" xfId="14528"/>
    <cellStyle name="표준 11 6 4 3 2" xfId="31232"/>
    <cellStyle name="표준 11 6 4 4" xfId="20096"/>
    <cellStyle name="표준 11 6 5" xfId="6176"/>
    <cellStyle name="표준 11 6 5 2" xfId="22880"/>
    <cellStyle name="표준 11 6 6" xfId="11744"/>
    <cellStyle name="표준 11 6 6 2" xfId="28448"/>
    <cellStyle name="표준 11 6 7" xfId="17312"/>
    <cellStyle name="표준 11 7" xfId="840"/>
    <cellStyle name="표준 11 7 2" xfId="2232"/>
    <cellStyle name="표준 11 7 2 2" xfId="5016"/>
    <cellStyle name="표준 11 7 2 2 2" xfId="10584"/>
    <cellStyle name="표준 11 7 2 2 2 2" xfId="27288"/>
    <cellStyle name="표준 11 7 2 2 3" xfId="16152"/>
    <cellStyle name="표준 11 7 2 2 3 2" xfId="32856"/>
    <cellStyle name="표준 11 7 2 2 4" xfId="21720"/>
    <cellStyle name="표준 11 7 2 3" xfId="7800"/>
    <cellStyle name="표준 11 7 2 3 2" xfId="24504"/>
    <cellStyle name="표준 11 7 2 4" xfId="13368"/>
    <cellStyle name="표준 11 7 2 4 2" xfId="30072"/>
    <cellStyle name="표준 11 7 2 5" xfId="18936"/>
    <cellStyle name="표준 11 7 3" xfId="3624"/>
    <cellStyle name="표준 11 7 3 2" xfId="9192"/>
    <cellStyle name="표준 11 7 3 2 2" xfId="25896"/>
    <cellStyle name="표준 11 7 3 3" xfId="14760"/>
    <cellStyle name="표준 11 7 3 3 2" xfId="31464"/>
    <cellStyle name="표준 11 7 3 4" xfId="20328"/>
    <cellStyle name="표준 11 7 4" xfId="6408"/>
    <cellStyle name="표준 11 7 4 2" xfId="23112"/>
    <cellStyle name="표준 11 7 5" xfId="11976"/>
    <cellStyle name="표준 11 7 5 2" xfId="28680"/>
    <cellStyle name="표준 11 7 6" xfId="17544"/>
    <cellStyle name="표준 11 8" xfId="1536"/>
    <cellStyle name="표준 11 8 2" xfId="4320"/>
    <cellStyle name="표준 11 8 2 2" xfId="9888"/>
    <cellStyle name="표준 11 8 2 2 2" xfId="26592"/>
    <cellStyle name="표준 11 8 2 3" xfId="15456"/>
    <cellStyle name="표준 11 8 2 3 2" xfId="32160"/>
    <cellStyle name="표준 11 8 2 4" xfId="21024"/>
    <cellStyle name="표준 11 8 3" xfId="7104"/>
    <cellStyle name="표준 11 8 3 2" xfId="23808"/>
    <cellStyle name="표준 11 8 4" xfId="12672"/>
    <cellStyle name="표준 11 8 4 2" xfId="29376"/>
    <cellStyle name="표준 11 8 5" xfId="18240"/>
    <cellStyle name="표준 11 9" xfId="2928"/>
    <cellStyle name="표준 11 9 2" xfId="8496"/>
    <cellStyle name="표준 11 9 2 2" xfId="25200"/>
    <cellStyle name="표준 11 9 3" xfId="14064"/>
    <cellStyle name="표준 11 9 3 2" xfId="30768"/>
    <cellStyle name="표준 11 9 4" xfId="19632"/>
    <cellStyle name="표준 174" xfId="138"/>
    <cellStyle name="표준 174 10" xfId="2942"/>
    <cellStyle name="표준 174 10 2" xfId="8510"/>
    <cellStyle name="표준 174 10 2 2" xfId="25214"/>
    <cellStyle name="표준 174 10 3" xfId="14078"/>
    <cellStyle name="표준 174 10 3 2" xfId="30782"/>
    <cellStyle name="표준 174 10 4" xfId="19646"/>
    <cellStyle name="표준 174 11" xfId="5726"/>
    <cellStyle name="표준 174 11 2" xfId="22430"/>
    <cellStyle name="표준 174 12" xfId="11294"/>
    <cellStyle name="표준 174 12 2" xfId="27998"/>
    <cellStyle name="표준 174 13" xfId="16862"/>
    <cellStyle name="표준 174 2" xfId="164"/>
    <cellStyle name="표준 174 2 10" xfId="5732"/>
    <cellStyle name="표준 174 2 10 2" xfId="22436"/>
    <cellStyle name="표준 174 2 11" xfId="11300"/>
    <cellStyle name="표준 174 2 11 2" xfId="28004"/>
    <cellStyle name="표준 174 2 12" xfId="16868"/>
    <cellStyle name="표준 174 2 2" xfId="193"/>
    <cellStyle name="표준 174 2 2 10" xfId="11329"/>
    <cellStyle name="표준 174 2 2 10 2" xfId="28033"/>
    <cellStyle name="표준 174 2 2 11" xfId="16897"/>
    <cellStyle name="표준 174 2 2 2" xfId="251"/>
    <cellStyle name="표준 174 2 2 2 10" xfId="16955"/>
    <cellStyle name="표준 174 2 2 2 2" xfId="367"/>
    <cellStyle name="표준 174 2 2 2 2 2" xfId="599"/>
    <cellStyle name="표준 174 2 2 2 2 2 2" xfId="1295"/>
    <cellStyle name="표준 174 2 2 2 2 2 2 2" xfId="2687"/>
    <cellStyle name="표준 174 2 2 2 2 2 2 2 2" xfId="5471"/>
    <cellStyle name="표준 174 2 2 2 2 2 2 2 2 2" xfId="11039"/>
    <cellStyle name="표준 174 2 2 2 2 2 2 2 2 2 2" xfId="27743"/>
    <cellStyle name="표준 174 2 2 2 2 2 2 2 2 3" xfId="16607"/>
    <cellStyle name="표준 174 2 2 2 2 2 2 2 2 3 2" xfId="33311"/>
    <cellStyle name="표준 174 2 2 2 2 2 2 2 2 4" xfId="22175"/>
    <cellStyle name="표준 174 2 2 2 2 2 2 2 3" xfId="8255"/>
    <cellStyle name="표준 174 2 2 2 2 2 2 2 3 2" xfId="24959"/>
    <cellStyle name="표준 174 2 2 2 2 2 2 2 4" xfId="13823"/>
    <cellStyle name="표준 174 2 2 2 2 2 2 2 4 2" xfId="30527"/>
    <cellStyle name="표준 174 2 2 2 2 2 2 2 5" xfId="19391"/>
    <cellStyle name="표준 174 2 2 2 2 2 2 3" xfId="4079"/>
    <cellStyle name="표준 174 2 2 2 2 2 2 3 2" xfId="9647"/>
    <cellStyle name="표준 174 2 2 2 2 2 2 3 2 2" xfId="26351"/>
    <cellStyle name="표준 174 2 2 2 2 2 2 3 3" xfId="15215"/>
    <cellStyle name="표준 174 2 2 2 2 2 2 3 3 2" xfId="31919"/>
    <cellStyle name="표준 174 2 2 2 2 2 2 3 4" xfId="20783"/>
    <cellStyle name="표준 174 2 2 2 2 2 2 4" xfId="6863"/>
    <cellStyle name="표준 174 2 2 2 2 2 2 4 2" xfId="23567"/>
    <cellStyle name="표준 174 2 2 2 2 2 2 5" xfId="12431"/>
    <cellStyle name="표준 174 2 2 2 2 2 2 5 2" xfId="29135"/>
    <cellStyle name="표준 174 2 2 2 2 2 2 6" xfId="17999"/>
    <cellStyle name="표준 174 2 2 2 2 2 3" xfId="1991"/>
    <cellStyle name="표준 174 2 2 2 2 2 3 2" xfId="4775"/>
    <cellStyle name="표준 174 2 2 2 2 2 3 2 2" xfId="10343"/>
    <cellStyle name="표준 174 2 2 2 2 2 3 2 2 2" xfId="27047"/>
    <cellStyle name="표준 174 2 2 2 2 2 3 2 3" xfId="15911"/>
    <cellStyle name="표준 174 2 2 2 2 2 3 2 3 2" xfId="32615"/>
    <cellStyle name="표준 174 2 2 2 2 2 3 2 4" xfId="21479"/>
    <cellStyle name="표준 174 2 2 2 2 2 3 3" xfId="7559"/>
    <cellStyle name="표준 174 2 2 2 2 2 3 3 2" xfId="24263"/>
    <cellStyle name="표준 174 2 2 2 2 2 3 4" xfId="13127"/>
    <cellStyle name="표준 174 2 2 2 2 2 3 4 2" xfId="29831"/>
    <cellStyle name="표준 174 2 2 2 2 2 3 5" xfId="18695"/>
    <cellStyle name="표준 174 2 2 2 2 2 4" xfId="3383"/>
    <cellStyle name="표준 174 2 2 2 2 2 4 2" xfId="8951"/>
    <cellStyle name="표준 174 2 2 2 2 2 4 2 2" xfId="25655"/>
    <cellStyle name="표준 174 2 2 2 2 2 4 3" xfId="14519"/>
    <cellStyle name="표준 174 2 2 2 2 2 4 3 2" xfId="31223"/>
    <cellStyle name="표준 174 2 2 2 2 2 4 4" xfId="20087"/>
    <cellStyle name="표준 174 2 2 2 2 2 5" xfId="6167"/>
    <cellStyle name="표준 174 2 2 2 2 2 5 2" xfId="22871"/>
    <cellStyle name="표준 174 2 2 2 2 2 6" xfId="11735"/>
    <cellStyle name="표준 174 2 2 2 2 2 6 2" xfId="28439"/>
    <cellStyle name="표준 174 2 2 2 2 2 7" xfId="17303"/>
    <cellStyle name="표준 174 2 2 2 2 3" xfId="831"/>
    <cellStyle name="표준 174 2 2 2 2 3 2" xfId="1527"/>
    <cellStyle name="표준 174 2 2 2 2 3 2 2" xfId="2919"/>
    <cellStyle name="표준 174 2 2 2 2 3 2 2 2" xfId="5703"/>
    <cellStyle name="표준 174 2 2 2 2 3 2 2 2 2" xfId="11271"/>
    <cellStyle name="표준 174 2 2 2 2 3 2 2 2 2 2" xfId="27975"/>
    <cellStyle name="표준 174 2 2 2 2 3 2 2 2 3" xfId="16839"/>
    <cellStyle name="표준 174 2 2 2 2 3 2 2 2 3 2" xfId="33543"/>
    <cellStyle name="표준 174 2 2 2 2 3 2 2 2 4" xfId="22407"/>
    <cellStyle name="표준 174 2 2 2 2 3 2 2 3" xfId="8487"/>
    <cellStyle name="표준 174 2 2 2 2 3 2 2 3 2" xfId="25191"/>
    <cellStyle name="표준 174 2 2 2 2 3 2 2 4" xfId="14055"/>
    <cellStyle name="표준 174 2 2 2 2 3 2 2 4 2" xfId="30759"/>
    <cellStyle name="표준 174 2 2 2 2 3 2 2 5" xfId="19623"/>
    <cellStyle name="표준 174 2 2 2 2 3 2 3" xfId="4311"/>
    <cellStyle name="표준 174 2 2 2 2 3 2 3 2" xfId="9879"/>
    <cellStyle name="표준 174 2 2 2 2 3 2 3 2 2" xfId="26583"/>
    <cellStyle name="표준 174 2 2 2 2 3 2 3 3" xfId="15447"/>
    <cellStyle name="표준 174 2 2 2 2 3 2 3 3 2" xfId="32151"/>
    <cellStyle name="표준 174 2 2 2 2 3 2 3 4" xfId="21015"/>
    <cellStyle name="표준 174 2 2 2 2 3 2 4" xfId="7095"/>
    <cellStyle name="표준 174 2 2 2 2 3 2 4 2" xfId="23799"/>
    <cellStyle name="표준 174 2 2 2 2 3 2 5" xfId="12663"/>
    <cellStyle name="표준 174 2 2 2 2 3 2 5 2" xfId="29367"/>
    <cellStyle name="표준 174 2 2 2 2 3 2 6" xfId="18231"/>
    <cellStyle name="표준 174 2 2 2 2 3 3" xfId="2223"/>
    <cellStyle name="표준 174 2 2 2 2 3 3 2" xfId="5007"/>
    <cellStyle name="표준 174 2 2 2 2 3 3 2 2" xfId="10575"/>
    <cellStyle name="표준 174 2 2 2 2 3 3 2 2 2" xfId="27279"/>
    <cellStyle name="표준 174 2 2 2 2 3 3 2 3" xfId="16143"/>
    <cellStyle name="표준 174 2 2 2 2 3 3 2 3 2" xfId="32847"/>
    <cellStyle name="표준 174 2 2 2 2 3 3 2 4" xfId="21711"/>
    <cellStyle name="표준 174 2 2 2 2 3 3 3" xfId="7791"/>
    <cellStyle name="표준 174 2 2 2 2 3 3 3 2" xfId="24495"/>
    <cellStyle name="표준 174 2 2 2 2 3 3 4" xfId="13359"/>
    <cellStyle name="표준 174 2 2 2 2 3 3 4 2" xfId="30063"/>
    <cellStyle name="표준 174 2 2 2 2 3 3 5" xfId="18927"/>
    <cellStyle name="표준 174 2 2 2 2 3 4" xfId="3615"/>
    <cellStyle name="표준 174 2 2 2 2 3 4 2" xfId="9183"/>
    <cellStyle name="표준 174 2 2 2 2 3 4 2 2" xfId="25887"/>
    <cellStyle name="표준 174 2 2 2 2 3 4 3" xfId="14751"/>
    <cellStyle name="표준 174 2 2 2 2 3 4 3 2" xfId="31455"/>
    <cellStyle name="표준 174 2 2 2 2 3 4 4" xfId="20319"/>
    <cellStyle name="표준 174 2 2 2 2 3 5" xfId="6399"/>
    <cellStyle name="표준 174 2 2 2 2 3 5 2" xfId="23103"/>
    <cellStyle name="표준 174 2 2 2 2 3 6" xfId="11967"/>
    <cellStyle name="표준 174 2 2 2 2 3 6 2" xfId="28671"/>
    <cellStyle name="표준 174 2 2 2 2 3 7" xfId="17535"/>
    <cellStyle name="표준 174 2 2 2 2 4" xfId="1063"/>
    <cellStyle name="표준 174 2 2 2 2 4 2" xfId="2455"/>
    <cellStyle name="표준 174 2 2 2 2 4 2 2" xfId="5239"/>
    <cellStyle name="표준 174 2 2 2 2 4 2 2 2" xfId="10807"/>
    <cellStyle name="표준 174 2 2 2 2 4 2 2 2 2" xfId="27511"/>
    <cellStyle name="표준 174 2 2 2 2 4 2 2 3" xfId="16375"/>
    <cellStyle name="표준 174 2 2 2 2 4 2 2 3 2" xfId="33079"/>
    <cellStyle name="표준 174 2 2 2 2 4 2 2 4" xfId="21943"/>
    <cellStyle name="표준 174 2 2 2 2 4 2 3" xfId="8023"/>
    <cellStyle name="표준 174 2 2 2 2 4 2 3 2" xfId="24727"/>
    <cellStyle name="표준 174 2 2 2 2 4 2 4" xfId="13591"/>
    <cellStyle name="표준 174 2 2 2 2 4 2 4 2" xfId="30295"/>
    <cellStyle name="표준 174 2 2 2 2 4 2 5" xfId="19159"/>
    <cellStyle name="표준 174 2 2 2 2 4 3" xfId="3847"/>
    <cellStyle name="표준 174 2 2 2 2 4 3 2" xfId="9415"/>
    <cellStyle name="표준 174 2 2 2 2 4 3 2 2" xfId="26119"/>
    <cellStyle name="표준 174 2 2 2 2 4 3 3" xfId="14983"/>
    <cellStyle name="표준 174 2 2 2 2 4 3 3 2" xfId="31687"/>
    <cellStyle name="표준 174 2 2 2 2 4 3 4" xfId="20551"/>
    <cellStyle name="표준 174 2 2 2 2 4 4" xfId="6631"/>
    <cellStyle name="표준 174 2 2 2 2 4 4 2" xfId="23335"/>
    <cellStyle name="표준 174 2 2 2 2 4 5" xfId="12199"/>
    <cellStyle name="표준 174 2 2 2 2 4 5 2" xfId="28903"/>
    <cellStyle name="표준 174 2 2 2 2 4 6" xfId="17767"/>
    <cellStyle name="표준 174 2 2 2 2 5" xfId="1759"/>
    <cellStyle name="표준 174 2 2 2 2 5 2" xfId="4543"/>
    <cellStyle name="표준 174 2 2 2 2 5 2 2" xfId="10111"/>
    <cellStyle name="표준 174 2 2 2 2 5 2 2 2" xfId="26815"/>
    <cellStyle name="표준 174 2 2 2 2 5 2 3" xfId="15679"/>
    <cellStyle name="표준 174 2 2 2 2 5 2 3 2" xfId="32383"/>
    <cellStyle name="표준 174 2 2 2 2 5 2 4" xfId="21247"/>
    <cellStyle name="표준 174 2 2 2 2 5 3" xfId="7327"/>
    <cellStyle name="표준 174 2 2 2 2 5 3 2" xfId="24031"/>
    <cellStyle name="표준 174 2 2 2 2 5 4" xfId="12895"/>
    <cellStyle name="표준 174 2 2 2 2 5 4 2" xfId="29599"/>
    <cellStyle name="표준 174 2 2 2 2 5 5" xfId="18463"/>
    <cellStyle name="표준 174 2 2 2 2 6" xfId="3151"/>
    <cellStyle name="표준 174 2 2 2 2 6 2" xfId="8719"/>
    <cellStyle name="표준 174 2 2 2 2 6 2 2" xfId="25423"/>
    <cellStyle name="표준 174 2 2 2 2 6 3" xfId="14287"/>
    <cellStyle name="표준 174 2 2 2 2 6 3 2" xfId="30991"/>
    <cellStyle name="표준 174 2 2 2 2 6 4" xfId="19855"/>
    <cellStyle name="표준 174 2 2 2 2 7" xfId="5935"/>
    <cellStyle name="표준 174 2 2 2 2 7 2" xfId="22639"/>
    <cellStyle name="표준 174 2 2 2 2 8" xfId="11503"/>
    <cellStyle name="표준 174 2 2 2 2 8 2" xfId="28207"/>
    <cellStyle name="표준 174 2 2 2 2 9" xfId="17071"/>
    <cellStyle name="표준 174 2 2 2 3" xfId="483"/>
    <cellStyle name="표준 174 2 2 2 3 2" xfId="1179"/>
    <cellStyle name="표준 174 2 2 2 3 2 2" xfId="2571"/>
    <cellStyle name="표준 174 2 2 2 3 2 2 2" xfId="5355"/>
    <cellStyle name="표준 174 2 2 2 3 2 2 2 2" xfId="10923"/>
    <cellStyle name="표준 174 2 2 2 3 2 2 2 2 2" xfId="27627"/>
    <cellStyle name="표준 174 2 2 2 3 2 2 2 3" xfId="16491"/>
    <cellStyle name="표준 174 2 2 2 3 2 2 2 3 2" xfId="33195"/>
    <cellStyle name="표준 174 2 2 2 3 2 2 2 4" xfId="22059"/>
    <cellStyle name="표준 174 2 2 2 3 2 2 3" xfId="8139"/>
    <cellStyle name="표준 174 2 2 2 3 2 2 3 2" xfId="24843"/>
    <cellStyle name="표준 174 2 2 2 3 2 2 4" xfId="13707"/>
    <cellStyle name="표준 174 2 2 2 3 2 2 4 2" xfId="30411"/>
    <cellStyle name="표준 174 2 2 2 3 2 2 5" xfId="19275"/>
    <cellStyle name="표준 174 2 2 2 3 2 3" xfId="3963"/>
    <cellStyle name="표준 174 2 2 2 3 2 3 2" xfId="9531"/>
    <cellStyle name="표준 174 2 2 2 3 2 3 2 2" xfId="26235"/>
    <cellStyle name="표준 174 2 2 2 3 2 3 3" xfId="15099"/>
    <cellStyle name="표준 174 2 2 2 3 2 3 3 2" xfId="31803"/>
    <cellStyle name="표준 174 2 2 2 3 2 3 4" xfId="20667"/>
    <cellStyle name="표준 174 2 2 2 3 2 4" xfId="6747"/>
    <cellStyle name="표준 174 2 2 2 3 2 4 2" xfId="23451"/>
    <cellStyle name="표준 174 2 2 2 3 2 5" xfId="12315"/>
    <cellStyle name="표준 174 2 2 2 3 2 5 2" xfId="29019"/>
    <cellStyle name="표준 174 2 2 2 3 2 6" xfId="17883"/>
    <cellStyle name="표준 174 2 2 2 3 3" xfId="1875"/>
    <cellStyle name="표준 174 2 2 2 3 3 2" xfId="4659"/>
    <cellStyle name="표준 174 2 2 2 3 3 2 2" xfId="10227"/>
    <cellStyle name="표준 174 2 2 2 3 3 2 2 2" xfId="26931"/>
    <cellStyle name="표준 174 2 2 2 3 3 2 3" xfId="15795"/>
    <cellStyle name="표준 174 2 2 2 3 3 2 3 2" xfId="32499"/>
    <cellStyle name="표준 174 2 2 2 3 3 2 4" xfId="21363"/>
    <cellStyle name="표준 174 2 2 2 3 3 3" xfId="7443"/>
    <cellStyle name="표준 174 2 2 2 3 3 3 2" xfId="24147"/>
    <cellStyle name="표준 174 2 2 2 3 3 4" xfId="13011"/>
    <cellStyle name="표준 174 2 2 2 3 3 4 2" xfId="29715"/>
    <cellStyle name="표준 174 2 2 2 3 3 5" xfId="18579"/>
    <cellStyle name="표준 174 2 2 2 3 4" xfId="3267"/>
    <cellStyle name="표준 174 2 2 2 3 4 2" xfId="8835"/>
    <cellStyle name="표준 174 2 2 2 3 4 2 2" xfId="25539"/>
    <cellStyle name="표준 174 2 2 2 3 4 3" xfId="14403"/>
    <cellStyle name="표준 174 2 2 2 3 4 3 2" xfId="31107"/>
    <cellStyle name="표준 174 2 2 2 3 4 4" xfId="19971"/>
    <cellStyle name="표준 174 2 2 2 3 5" xfId="6051"/>
    <cellStyle name="표준 174 2 2 2 3 5 2" xfId="22755"/>
    <cellStyle name="표준 174 2 2 2 3 6" xfId="11619"/>
    <cellStyle name="표준 174 2 2 2 3 6 2" xfId="28323"/>
    <cellStyle name="표준 174 2 2 2 3 7" xfId="17187"/>
    <cellStyle name="표준 174 2 2 2 4" xfId="715"/>
    <cellStyle name="표준 174 2 2 2 4 2" xfId="1411"/>
    <cellStyle name="표준 174 2 2 2 4 2 2" xfId="2803"/>
    <cellStyle name="표준 174 2 2 2 4 2 2 2" xfId="5587"/>
    <cellStyle name="표준 174 2 2 2 4 2 2 2 2" xfId="11155"/>
    <cellStyle name="표준 174 2 2 2 4 2 2 2 2 2" xfId="27859"/>
    <cellStyle name="표준 174 2 2 2 4 2 2 2 3" xfId="16723"/>
    <cellStyle name="표준 174 2 2 2 4 2 2 2 3 2" xfId="33427"/>
    <cellStyle name="표준 174 2 2 2 4 2 2 2 4" xfId="22291"/>
    <cellStyle name="표준 174 2 2 2 4 2 2 3" xfId="8371"/>
    <cellStyle name="표준 174 2 2 2 4 2 2 3 2" xfId="25075"/>
    <cellStyle name="표준 174 2 2 2 4 2 2 4" xfId="13939"/>
    <cellStyle name="표준 174 2 2 2 4 2 2 4 2" xfId="30643"/>
    <cellStyle name="표준 174 2 2 2 4 2 2 5" xfId="19507"/>
    <cellStyle name="표준 174 2 2 2 4 2 3" xfId="4195"/>
    <cellStyle name="표준 174 2 2 2 4 2 3 2" xfId="9763"/>
    <cellStyle name="표준 174 2 2 2 4 2 3 2 2" xfId="26467"/>
    <cellStyle name="표준 174 2 2 2 4 2 3 3" xfId="15331"/>
    <cellStyle name="표준 174 2 2 2 4 2 3 3 2" xfId="32035"/>
    <cellStyle name="표준 174 2 2 2 4 2 3 4" xfId="20899"/>
    <cellStyle name="표준 174 2 2 2 4 2 4" xfId="6979"/>
    <cellStyle name="표준 174 2 2 2 4 2 4 2" xfId="23683"/>
    <cellStyle name="표준 174 2 2 2 4 2 5" xfId="12547"/>
    <cellStyle name="표준 174 2 2 2 4 2 5 2" xfId="29251"/>
    <cellStyle name="표준 174 2 2 2 4 2 6" xfId="18115"/>
    <cellStyle name="표준 174 2 2 2 4 3" xfId="2107"/>
    <cellStyle name="표준 174 2 2 2 4 3 2" xfId="4891"/>
    <cellStyle name="표준 174 2 2 2 4 3 2 2" xfId="10459"/>
    <cellStyle name="표준 174 2 2 2 4 3 2 2 2" xfId="27163"/>
    <cellStyle name="표준 174 2 2 2 4 3 2 3" xfId="16027"/>
    <cellStyle name="표준 174 2 2 2 4 3 2 3 2" xfId="32731"/>
    <cellStyle name="표준 174 2 2 2 4 3 2 4" xfId="21595"/>
    <cellStyle name="표준 174 2 2 2 4 3 3" xfId="7675"/>
    <cellStyle name="표준 174 2 2 2 4 3 3 2" xfId="24379"/>
    <cellStyle name="표준 174 2 2 2 4 3 4" xfId="13243"/>
    <cellStyle name="표준 174 2 2 2 4 3 4 2" xfId="29947"/>
    <cellStyle name="표준 174 2 2 2 4 3 5" xfId="18811"/>
    <cellStyle name="표준 174 2 2 2 4 4" xfId="3499"/>
    <cellStyle name="표준 174 2 2 2 4 4 2" xfId="9067"/>
    <cellStyle name="표준 174 2 2 2 4 4 2 2" xfId="25771"/>
    <cellStyle name="표준 174 2 2 2 4 4 3" xfId="14635"/>
    <cellStyle name="표준 174 2 2 2 4 4 3 2" xfId="31339"/>
    <cellStyle name="표준 174 2 2 2 4 4 4" xfId="20203"/>
    <cellStyle name="표준 174 2 2 2 4 5" xfId="6283"/>
    <cellStyle name="표준 174 2 2 2 4 5 2" xfId="22987"/>
    <cellStyle name="표준 174 2 2 2 4 6" xfId="11851"/>
    <cellStyle name="표준 174 2 2 2 4 6 2" xfId="28555"/>
    <cellStyle name="표준 174 2 2 2 4 7" xfId="17419"/>
    <cellStyle name="표준 174 2 2 2 5" xfId="947"/>
    <cellStyle name="표준 174 2 2 2 5 2" xfId="2339"/>
    <cellStyle name="표준 174 2 2 2 5 2 2" xfId="5123"/>
    <cellStyle name="표준 174 2 2 2 5 2 2 2" xfId="10691"/>
    <cellStyle name="표준 174 2 2 2 5 2 2 2 2" xfId="27395"/>
    <cellStyle name="표준 174 2 2 2 5 2 2 3" xfId="16259"/>
    <cellStyle name="표준 174 2 2 2 5 2 2 3 2" xfId="32963"/>
    <cellStyle name="표준 174 2 2 2 5 2 2 4" xfId="21827"/>
    <cellStyle name="표준 174 2 2 2 5 2 3" xfId="7907"/>
    <cellStyle name="표준 174 2 2 2 5 2 3 2" xfId="24611"/>
    <cellStyle name="표준 174 2 2 2 5 2 4" xfId="13475"/>
    <cellStyle name="표준 174 2 2 2 5 2 4 2" xfId="30179"/>
    <cellStyle name="표준 174 2 2 2 5 2 5" xfId="19043"/>
    <cellStyle name="표준 174 2 2 2 5 3" xfId="3731"/>
    <cellStyle name="표준 174 2 2 2 5 3 2" xfId="9299"/>
    <cellStyle name="표준 174 2 2 2 5 3 2 2" xfId="26003"/>
    <cellStyle name="표준 174 2 2 2 5 3 3" xfId="14867"/>
    <cellStyle name="표준 174 2 2 2 5 3 3 2" xfId="31571"/>
    <cellStyle name="표준 174 2 2 2 5 3 4" xfId="20435"/>
    <cellStyle name="표준 174 2 2 2 5 4" xfId="6515"/>
    <cellStyle name="표준 174 2 2 2 5 4 2" xfId="23219"/>
    <cellStyle name="표준 174 2 2 2 5 5" xfId="12083"/>
    <cellStyle name="표준 174 2 2 2 5 5 2" xfId="28787"/>
    <cellStyle name="표준 174 2 2 2 5 6" xfId="17651"/>
    <cellStyle name="표준 174 2 2 2 6" xfId="1643"/>
    <cellStyle name="표준 174 2 2 2 6 2" xfId="4427"/>
    <cellStyle name="표준 174 2 2 2 6 2 2" xfId="9995"/>
    <cellStyle name="표준 174 2 2 2 6 2 2 2" xfId="26699"/>
    <cellStyle name="표준 174 2 2 2 6 2 3" xfId="15563"/>
    <cellStyle name="표준 174 2 2 2 6 2 3 2" xfId="32267"/>
    <cellStyle name="표준 174 2 2 2 6 2 4" xfId="21131"/>
    <cellStyle name="표준 174 2 2 2 6 3" xfId="7211"/>
    <cellStyle name="표준 174 2 2 2 6 3 2" xfId="23915"/>
    <cellStyle name="표준 174 2 2 2 6 4" xfId="12779"/>
    <cellStyle name="표준 174 2 2 2 6 4 2" xfId="29483"/>
    <cellStyle name="표준 174 2 2 2 6 5" xfId="18347"/>
    <cellStyle name="표준 174 2 2 2 7" xfId="3035"/>
    <cellStyle name="표준 174 2 2 2 7 2" xfId="8603"/>
    <cellStyle name="표준 174 2 2 2 7 2 2" xfId="25307"/>
    <cellStyle name="표준 174 2 2 2 7 3" xfId="14171"/>
    <cellStyle name="표준 174 2 2 2 7 3 2" xfId="30875"/>
    <cellStyle name="표준 174 2 2 2 7 4" xfId="19739"/>
    <cellStyle name="표준 174 2 2 2 8" xfId="5819"/>
    <cellStyle name="표준 174 2 2 2 8 2" xfId="22523"/>
    <cellStyle name="표준 174 2 2 2 9" xfId="11387"/>
    <cellStyle name="표준 174 2 2 2 9 2" xfId="28091"/>
    <cellStyle name="표준 174 2 2 3" xfId="309"/>
    <cellStyle name="표준 174 2 2 3 2" xfId="541"/>
    <cellStyle name="표준 174 2 2 3 2 2" xfId="1237"/>
    <cellStyle name="표준 174 2 2 3 2 2 2" xfId="2629"/>
    <cellStyle name="표준 174 2 2 3 2 2 2 2" xfId="5413"/>
    <cellStyle name="표준 174 2 2 3 2 2 2 2 2" xfId="10981"/>
    <cellStyle name="표준 174 2 2 3 2 2 2 2 2 2" xfId="27685"/>
    <cellStyle name="표준 174 2 2 3 2 2 2 2 3" xfId="16549"/>
    <cellStyle name="표준 174 2 2 3 2 2 2 2 3 2" xfId="33253"/>
    <cellStyle name="표준 174 2 2 3 2 2 2 2 4" xfId="22117"/>
    <cellStyle name="표준 174 2 2 3 2 2 2 3" xfId="8197"/>
    <cellStyle name="표준 174 2 2 3 2 2 2 3 2" xfId="24901"/>
    <cellStyle name="표준 174 2 2 3 2 2 2 4" xfId="13765"/>
    <cellStyle name="표준 174 2 2 3 2 2 2 4 2" xfId="30469"/>
    <cellStyle name="표준 174 2 2 3 2 2 2 5" xfId="19333"/>
    <cellStyle name="표준 174 2 2 3 2 2 3" xfId="4021"/>
    <cellStyle name="표준 174 2 2 3 2 2 3 2" xfId="9589"/>
    <cellStyle name="표준 174 2 2 3 2 2 3 2 2" xfId="26293"/>
    <cellStyle name="표준 174 2 2 3 2 2 3 3" xfId="15157"/>
    <cellStyle name="표준 174 2 2 3 2 2 3 3 2" xfId="31861"/>
    <cellStyle name="표준 174 2 2 3 2 2 3 4" xfId="20725"/>
    <cellStyle name="표준 174 2 2 3 2 2 4" xfId="6805"/>
    <cellStyle name="표준 174 2 2 3 2 2 4 2" xfId="23509"/>
    <cellStyle name="표준 174 2 2 3 2 2 5" xfId="12373"/>
    <cellStyle name="표준 174 2 2 3 2 2 5 2" xfId="29077"/>
    <cellStyle name="표준 174 2 2 3 2 2 6" xfId="17941"/>
    <cellStyle name="표준 174 2 2 3 2 3" xfId="1933"/>
    <cellStyle name="표준 174 2 2 3 2 3 2" xfId="4717"/>
    <cellStyle name="표준 174 2 2 3 2 3 2 2" xfId="10285"/>
    <cellStyle name="표준 174 2 2 3 2 3 2 2 2" xfId="26989"/>
    <cellStyle name="표준 174 2 2 3 2 3 2 3" xfId="15853"/>
    <cellStyle name="표준 174 2 2 3 2 3 2 3 2" xfId="32557"/>
    <cellStyle name="표준 174 2 2 3 2 3 2 4" xfId="21421"/>
    <cellStyle name="표준 174 2 2 3 2 3 3" xfId="7501"/>
    <cellStyle name="표준 174 2 2 3 2 3 3 2" xfId="24205"/>
    <cellStyle name="표준 174 2 2 3 2 3 4" xfId="13069"/>
    <cellStyle name="표준 174 2 2 3 2 3 4 2" xfId="29773"/>
    <cellStyle name="표준 174 2 2 3 2 3 5" xfId="18637"/>
    <cellStyle name="표준 174 2 2 3 2 4" xfId="3325"/>
    <cellStyle name="표준 174 2 2 3 2 4 2" xfId="8893"/>
    <cellStyle name="표준 174 2 2 3 2 4 2 2" xfId="25597"/>
    <cellStyle name="표준 174 2 2 3 2 4 3" xfId="14461"/>
    <cellStyle name="표준 174 2 2 3 2 4 3 2" xfId="31165"/>
    <cellStyle name="표준 174 2 2 3 2 4 4" xfId="20029"/>
    <cellStyle name="표준 174 2 2 3 2 5" xfId="6109"/>
    <cellStyle name="표준 174 2 2 3 2 5 2" xfId="22813"/>
    <cellStyle name="표준 174 2 2 3 2 6" xfId="11677"/>
    <cellStyle name="표준 174 2 2 3 2 6 2" xfId="28381"/>
    <cellStyle name="표준 174 2 2 3 2 7" xfId="17245"/>
    <cellStyle name="표준 174 2 2 3 3" xfId="773"/>
    <cellStyle name="표준 174 2 2 3 3 2" xfId="1469"/>
    <cellStyle name="표준 174 2 2 3 3 2 2" xfId="2861"/>
    <cellStyle name="표준 174 2 2 3 3 2 2 2" xfId="5645"/>
    <cellStyle name="표준 174 2 2 3 3 2 2 2 2" xfId="11213"/>
    <cellStyle name="표준 174 2 2 3 3 2 2 2 2 2" xfId="27917"/>
    <cellStyle name="표준 174 2 2 3 3 2 2 2 3" xfId="16781"/>
    <cellStyle name="표준 174 2 2 3 3 2 2 2 3 2" xfId="33485"/>
    <cellStyle name="표준 174 2 2 3 3 2 2 2 4" xfId="22349"/>
    <cellStyle name="표준 174 2 2 3 3 2 2 3" xfId="8429"/>
    <cellStyle name="표준 174 2 2 3 3 2 2 3 2" xfId="25133"/>
    <cellStyle name="표준 174 2 2 3 3 2 2 4" xfId="13997"/>
    <cellStyle name="표준 174 2 2 3 3 2 2 4 2" xfId="30701"/>
    <cellStyle name="표준 174 2 2 3 3 2 2 5" xfId="19565"/>
    <cellStyle name="표준 174 2 2 3 3 2 3" xfId="4253"/>
    <cellStyle name="표준 174 2 2 3 3 2 3 2" xfId="9821"/>
    <cellStyle name="표준 174 2 2 3 3 2 3 2 2" xfId="26525"/>
    <cellStyle name="표준 174 2 2 3 3 2 3 3" xfId="15389"/>
    <cellStyle name="표준 174 2 2 3 3 2 3 3 2" xfId="32093"/>
    <cellStyle name="표준 174 2 2 3 3 2 3 4" xfId="20957"/>
    <cellStyle name="표준 174 2 2 3 3 2 4" xfId="7037"/>
    <cellStyle name="표준 174 2 2 3 3 2 4 2" xfId="23741"/>
    <cellStyle name="표준 174 2 2 3 3 2 5" xfId="12605"/>
    <cellStyle name="표준 174 2 2 3 3 2 5 2" xfId="29309"/>
    <cellStyle name="표준 174 2 2 3 3 2 6" xfId="18173"/>
    <cellStyle name="표준 174 2 2 3 3 3" xfId="2165"/>
    <cellStyle name="표준 174 2 2 3 3 3 2" xfId="4949"/>
    <cellStyle name="표준 174 2 2 3 3 3 2 2" xfId="10517"/>
    <cellStyle name="표준 174 2 2 3 3 3 2 2 2" xfId="27221"/>
    <cellStyle name="표준 174 2 2 3 3 3 2 3" xfId="16085"/>
    <cellStyle name="표준 174 2 2 3 3 3 2 3 2" xfId="32789"/>
    <cellStyle name="표준 174 2 2 3 3 3 2 4" xfId="21653"/>
    <cellStyle name="표준 174 2 2 3 3 3 3" xfId="7733"/>
    <cellStyle name="표준 174 2 2 3 3 3 3 2" xfId="24437"/>
    <cellStyle name="표준 174 2 2 3 3 3 4" xfId="13301"/>
    <cellStyle name="표준 174 2 2 3 3 3 4 2" xfId="30005"/>
    <cellStyle name="표준 174 2 2 3 3 3 5" xfId="18869"/>
    <cellStyle name="표준 174 2 2 3 3 4" xfId="3557"/>
    <cellStyle name="표준 174 2 2 3 3 4 2" xfId="9125"/>
    <cellStyle name="표준 174 2 2 3 3 4 2 2" xfId="25829"/>
    <cellStyle name="표준 174 2 2 3 3 4 3" xfId="14693"/>
    <cellStyle name="표준 174 2 2 3 3 4 3 2" xfId="31397"/>
    <cellStyle name="표준 174 2 2 3 3 4 4" xfId="20261"/>
    <cellStyle name="표준 174 2 2 3 3 5" xfId="6341"/>
    <cellStyle name="표준 174 2 2 3 3 5 2" xfId="23045"/>
    <cellStyle name="표준 174 2 2 3 3 6" xfId="11909"/>
    <cellStyle name="표준 174 2 2 3 3 6 2" xfId="28613"/>
    <cellStyle name="표준 174 2 2 3 3 7" xfId="17477"/>
    <cellStyle name="표준 174 2 2 3 4" xfId="1005"/>
    <cellStyle name="표준 174 2 2 3 4 2" xfId="2397"/>
    <cellStyle name="표준 174 2 2 3 4 2 2" xfId="5181"/>
    <cellStyle name="표준 174 2 2 3 4 2 2 2" xfId="10749"/>
    <cellStyle name="표준 174 2 2 3 4 2 2 2 2" xfId="27453"/>
    <cellStyle name="표준 174 2 2 3 4 2 2 3" xfId="16317"/>
    <cellStyle name="표준 174 2 2 3 4 2 2 3 2" xfId="33021"/>
    <cellStyle name="표준 174 2 2 3 4 2 2 4" xfId="21885"/>
    <cellStyle name="표준 174 2 2 3 4 2 3" xfId="7965"/>
    <cellStyle name="표준 174 2 2 3 4 2 3 2" xfId="24669"/>
    <cellStyle name="표준 174 2 2 3 4 2 4" xfId="13533"/>
    <cellStyle name="표준 174 2 2 3 4 2 4 2" xfId="30237"/>
    <cellStyle name="표준 174 2 2 3 4 2 5" xfId="19101"/>
    <cellStyle name="표준 174 2 2 3 4 3" xfId="3789"/>
    <cellStyle name="표준 174 2 2 3 4 3 2" xfId="9357"/>
    <cellStyle name="표준 174 2 2 3 4 3 2 2" xfId="26061"/>
    <cellStyle name="표준 174 2 2 3 4 3 3" xfId="14925"/>
    <cellStyle name="표준 174 2 2 3 4 3 3 2" xfId="31629"/>
    <cellStyle name="표준 174 2 2 3 4 3 4" xfId="20493"/>
    <cellStyle name="표준 174 2 2 3 4 4" xfId="6573"/>
    <cellStyle name="표준 174 2 2 3 4 4 2" xfId="23277"/>
    <cellStyle name="표준 174 2 2 3 4 5" xfId="12141"/>
    <cellStyle name="표준 174 2 2 3 4 5 2" xfId="28845"/>
    <cellStyle name="표준 174 2 2 3 4 6" xfId="17709"/>
    <cellStyle name="표준 174 2 2 3 5" xfId="1701"/>
    <cellStyle name="표준 174 2 2 3 5 2" xfId="4485"/>
    <cellStyle name="표준 174 2 2 3 5 2 2" xfId="10053"/>
    <cellStyle name="표준 174 2 2 3 5 2 2 2" xfId="26757"/>
    <cellStyle name="표준 174 2 2 3 5 2 3" xfId="15621"/>
    <cellStyle name="표준 174 2 2 3 5 2 3 2" xfId="32325"/>
    <cellStyle name="표준 174 2 2 3 5 2 4" xfId="21189"/>
    <cellStyle name="표준 174 2 2 3 5 3" xfId="7269"/>
    <cellStyle name="표준 174 2 2 3 5 3 2" xfId="23973"/>
    <cellStyle name="표준 174 2 2 3 5 4" xfId="12837"/>
    <cellStyle name="표준 174 2 2 3 5 4 2" xfId="29541"/>
    <cellStyle name="표준 174 2 2 3 5 5" xfId="18405"/>
    <cellStyle name="표준 174 2 2 3 6" xfId="3093"/>
    <cellStyle name="표준 174 2 2 3 6 2" xfId="8661"/>
    <cellStyle name="표준 174 2 2 3 6 2 2" xfId="25365"/>
    <cellStyle name="표준 174 2 2 3 6 3" xfId="14229"/>
    <cellStyle name="표준 174 2 2 3 6 3 2" xfId="30933"/>
    <cellStyle name="표준 174 2 2 3 6 4" xfId="19797"/>
    <cellStyle name="표준 174 2 2 3 7" xfId="5877"/>
    <cellStyle name="표준 174 2 2 3 7 2" xfId="22581"/>
    <cellStyle name="표준 174 2 2 3 8" xfId="11445"/>
    <cellStyle name="표준 174 2 2 3 8 2" xfId="28149"/>
    <cellStyle name="표준 174 2 2 3 9" xfId="17013"/>
    <cellStyle name="표준 174 2 2 4" xfId="425"/>
    <cellStyle name="표준 174 2 2 4 2" xfId="1121"/>
    <cellStyle name="표준 174 2 2 4 2 2" xfId="2513"/>
    <cellStyle name="표준 174 2 2 4 2 2 2" xfId="5297"/>
    <cellStyle name="표준 174 2 2 4 2 2 2 2" xfId="10865"/>
    <cellStyle name="표준 174 2 2 4 2 2 2 2 2" xfId="27569"/>
    <cellStyle name="표준 174 2 2 4 2 2 2 3" xfId="16433"/>
    <cellStyle name="표준 174 2 2 4 2 2 2 3 2" xfId="33137"/>
    <cellStyle name="표준 174 2 2 4 2 2 2 4" xfId="22001"/>
    <cellStyle name="표준 174 2 2 4 2 2 3" xfId="8081"/>
    <cellStyle name="표준 174 2 2 4 2 2 3 2" xfId="24785"/>
    <cellStyle name="표준 174 2 2 4 2 2 4" xfId="13649"/>
    <cellStyle name="표준 174 2 2 4 2 2 4 2" xfId="30353"/>
    <cellStyle name="표준 174 2 2 4 2 2 5" xfId="19217"/>
    <cellStyle name="표준 174 2 2 4 2 3" xfId="3905"/>
    <cellStyle name="표준 174 2 2 4 2 3 2" xfId="9473"/>
    <cellStyle name="표준 174 2 2 4 2 3 2 2" xfId="26177"/>
    <cellStyle name="표준 174 2 2 4 2 3 3" xfId="15041"/>
    <cellStyle name="표준 174 2 2 4 2 3 3 2" xfId="31745"/>
    <cellStyle name="표준 174 2 2 4 2 3 4" xfId="20609"/>
    <cellStyle name="표준 174 2 2 4 2 4" xfId="6689"/>
    <cellStyle name="표준 174 2 2 4 2 4 2" xfId="23393"/>
    <cellStyle name="표준 174 2 2 4 2 5" xfId="12257"/>
    <cellStyle name="표준 174 2 2 4 2 5 2" xfId="28961"/>
    <cellStyle name="표준 174 2 2 4 2 6" xfId="17825"/>
    <cellStyle name="표준 174 2 2 4 3" xfId="1817"/>
    <cellStyle name="표준 174 2 2 4 3 2" xfId="4601"/>
    <cellStyle name="표준 174 2 2 4 3 2 2" xfId="10169"/>
    <cellStyle name="표준 174 2 2 4 3 2 2 2" xfId="26873"/>
    <cellStyle name="표준 174 2 2 4 3 2 3" xfId="15737"/>
    <cellStyle name="표준 174 2 2 4 3 2 3 2" xfId="32441"/>
    <cellStyle name="표준 174 2 2 4 3 2 4" xfId="21305"/>
    <cellStyle name="표준 174 2 2 4 3 3" xfId="7385"/>
    <cellStyle name="표준 174 2 2 4 3 3 2" xfId="24089"/>
    <cellStyle name="표준 174 2 2 4 3 4" xfId="12953"/>
    <cellStyle name="표준 174 2 2 4 3 4 2" xfId="29657"/>
    <cellStyle name="표준 174 2 2 4 3 5" xfId="18521"/>
    <cellStyle name="표준 174 2 2 4 4" xfId="3209"/>
    <cellStyle name="표준 174 2 2 4 4 2" xfId="8777"/>
    <cellStyle name="표준 174 2 2 4 4 2 2" xfId="25481"/>
    <cellStyle name="표준 174 2 2 4 4 3" xfId="14345"/>
    <cellStyle name="표준 174 2 2 4 4 3 2" xfId="31049"/>
    <cellStyle name="표준 174 2 2 4 4 4" xfId="19913"/>
    <cellStyle name="표준 174 2 2 4 5" xfId="5993"/>
    <cellStyle name="표준 174 2 2 4 5 2" xfId="22697"/>
    <cellStyle name="표준 174 2 2 4 6" xfId="11561"/>
    <cellStyle name="표준 174 2 2 4 6 2" xfId="28265"/>
    <cellStyle name="표준 174 2 2 4 7" xfId="17129"/>
    <cellStyle name="표준 174 2 2 5" xfId="657"/>
    <cellStyle name="표준 174 2 2 5 2" xfId="1353"/>
    <cellStyle name="표준 174 2 2 5 2 2" xfId="2745"/>
    <cellStyle name="표준 174 2 2 5 2 2 2" xfId="5529"/>
    <cellStyle name="표준 174 2 2 5 2 2 2 2" xfId="11097"/>
    <cellStyle name="표준 174 2 2 5 2 2 2 2 2" xfId="27801"/>
    <cellStyle name="표준 174 2 2 5 2 2 2 3" xfId="16665"/>
    <cellStyle name="표준 174 2 2 5 2 2 2 3 2" xfId="33369"/>
    <cellStyle name="표준 174 2 2 5 2 2 2 4" xfId="22233"/>
    <cellStyle name="표준 174 2 2 5 2 2 3" xfId="8313"/>
    <cellStyle name="표준 174 2 2 5 2 2 3 2" xfId="25017"/>
    <cellStyle name="표준 174 2 2 5 2 2 4" xfId="13881"/>
    <cellStyle name="표준 174 2 2 5 2 2 4 2" xfId="30585"/>
    <cellStyle name="표준 174 2 2 5 2 2 5" xfId="19449"/>
    <cellStyle name="표준 174 2 2 5 2 3" xfId="4137"/>
    <cellStyle name="표준 174 2 2 5 2 3 2" xfId="9705"/>
    <cellStyle name="표준 174 2 2 5 2 3 2 2" xfId="26409"/>
    <cellStyle name="표준 174 2 2 5 2 3 3" xfId="15273"/>
    <cellStyle name="표준 174 2 2 5 2 3 3 2" xfId="31977"/>
    <cellStyle name="표준 174 2 2 5 2 3 4" xfId="20841"/>
    <cellStyle name="표준 174 2 2 5 2 4" xfId="6921"/>
    <cellStyle name="표준 174 2 2 5 2 4 2" xfId="23625"/>
    <cellStyle name="표준 174 2 2 5 2 5" xfId="12489"/>
    <cellStyle name="표준 174 2 2 5 2 5 2" xfId="29193"/>
    <cellStyle name="표준 174 2 2 5 2 6" xfId="18057"/>
    <cellStyle name="표준 174 2 2 5 3" xfId="2049"/>
    <cellStyle name="표준 174 2 2 5 3 2" xfId="4833"/>
    <cellStyle name="표준 174 2 2 5 3 2 2" xfId="10401"/>
    <cellStyle name="표준 174 2 2 5 3 2 2 2" xfId="27105"/>
    <cellStyle name="표준 174 2 2 5 3 2 3" xfId="15969"/>
    <cellStyle name="표준 174 2 2 5 3 2 3 2" xfId="32673"/>
    <cellStyle name="표준 174 2 2 5 3 2 4" xfId="21537"/>
    <cellStyle name="표준 174 2 2 5 3 3" xfId="7617"/>
    <cellStyle name="표준 174 2 2 5 3 3 2" xfId="24321"/>
    <cellStyle name="표준 174 2 2 5 3 4" xfId="13185"/>
    <cellStyle name="표준 174 2 2 5 3 4 2" xfId="29889"/>
    <cellStyle name="표준 174 2 2 5 3 5" xfId="18753"/>
    <cellStyle name="표준 174 2 2 5 4" xfId="3441"/>
    <cellStyle name="표준 174 2 2 5 4 2" xfId="9009"/>
    <cellStyle name="표준 174 2 2 5 4 2 2" xfId="25713"/>
    <cellStyle name="표준 174 2 2 5 4 3" xfId="14577"/>
    <cellStyle name="표준 174 2 2 5 4 3 2" xfId="31281"/>
    <cellStyle name="표준 174 2 2 5 4 4" xfId="20145"/>
    <cellStyle name="표준 174 2 2 5 5" xfId="6225"/>
    <cellStyle name="표준 174 2 2 5 5 2" xfId="22929"/>
    <cellStyle name="표준 174 2 2 5 6" xfId="11793"/>
    <cellStyle name="표준 174 2 2 5 6 2" xfId="28497"/>
    <cellStyle name="표준 174 2 2 5 7" xfId="17361"/>
    <cellStyle name="표준 174 2 2 6" xfId="889"/>
    <cellStyle name="표준 174 2 2 6 2" xfId="2281"/>
    <cellStyle name="표준 174 2 2 6 2 2" xfId="5065"/>
    <cellStyle name="표준 174 2 2 6 2 2 2" xfId="10633"/>
    <cellStyle name="표준 174 2 2 6 2 2 2 2" xfId="27337"/>
    <cellStyle name="표준 174 2 2 6 2 2 3" xfId="16201"/>
    <cellStyle name="표준 174 2 2 6 2 2 3 2" xfId="32905"/>
    <cellStyle name="표준 174 2 2 6 2 2 4" xfId="21769"/>
    <cellStyle name="표준 174 2 2 6 2 3" xfId="7849"/>
    <cellStyle name="표준 174 2 2 6 2 3 2" xfId="24553"/>
    <cellStyle name="표준 174 2 2 6 2 4" xfId="13417"/>
    <cellStyle name="표준 174 2 2 6 2 4 2" xfId="30121"/>
    <cellStyle name="표준 174 2 2 6 2 5" xfId="18985"/>
    <cellStyle name="표준 174 2 2 6 3" xfId="3673"/>
    <cellStyle name="표준 174 2 2 6 3 2" xfId="9241"/>
    <cellStyle name="표준 174 2 2 6 3 2 2" xfId="25945"/>
    <cellStyle name="표준 174 2 2 6 3 3" xfId="14809"/>
    <cellStyle name="표준 174 2 2 6 3 3 2" xfId="31513"/>
    <cellStyle name="표준 174 2 2 6 3 4" xfId="20377"/>
    <cellStyle name="표준 174 2 2 6 4" xfId="6457"/>
    <cellStyle name="표준 174 2 2 6 4 2" xfId="23161"/>
    <cellStyle name="표준 174 2 2 6 5" xfId="12025"/>
    <cellStyle name="표준 174 2 2 6 5 2" xfId="28729"/>
    <cellStyle name="표준 174 2 2 6 6" xfId="17593"/>
    <cellStyle name="표준 174 2 2 7" xfId="1585"/>
    <cellStyle name="표준 174 2 2 7 2" xfId="4369"/>
    <cellStyle name="표준 174 2 2 7 2 2" xfId="9937"/>
    <cellStyle name="표준 174 2 2 7 2 2 2" xfId="26641"/>
    <cellStyle name="표준 174 2 2 7 2 3" xfId="15505"/>
    <cellStyle name="표준 174 2 2 7 2 3 2" xfId="32209"/>
    <cellStyle name="표준 174 2 2 7 2 4" xfId="21073"/>
    <cellStyle name="표준 174 2 2 7 3" xfId="7153"/>
    <cellStyle name="표준 174 2 2 7 3 2" xfId="23857"/>
    <cellStyle name="표준 174 2 2 7 4" xfId="12721"/>
    <cellStyle name="표준 174 2 2 7 4 2" xfId="29425"/>
    <cellStyle name="표준 174 2 2 7 5" xfId="18289"/>
    <cellStyle name="표준 174 2 2 8" xfId="2977"/>
    <cellStyle name="표준 174 2 2 8 2" xfId="8545"/>
    <cellStyle name="표준 174 2 2 8 2 2" xfId="25249"/>
    <cellStyle name="표준 174 2 2 8 3" xfId="14113"/>
    <cellStyle name="표준 174 2 2 8 3 2" xfId="30817"/>
    <cellStyle name="표준 174 2 2 8 4" xfId="19681"/>
    <cellStyle name="표준 174 2 2 9" xfId="5761"/>
    <cellStyle name="표준 174 2 2 9 2" xfId="22465"/>
    <cellStyle name="표준 174 2 3" xfId="222"/>
    <cellStyle name="표준 174 2 3 10" xfId="16926"/>
    <cellStyle name="표준 174 2 3 2" xfId="338"/>
    <cellStyle name="표준 174 2 3 2 2" xfId="570"/>
    <cellStyle name="표준 174 2 3 2 2 2" xfId="1266"/>
    <cellStyle name="표준 174 2 3 2 2 2 2" xfId="2658"/>
    <cellStyle name="표준 174 2 3 2 2 2 2 2" xfId="5442"/>
    <cellStyle name="표준 174 2 3 2 2 2 2 2 2" xfId="11010"/>
    <cellStyle name="표준 174 2 3 2 2 2 2 2 2 2" xfId="27714"/>
    <cellStyle name="표준 174 2 3 2 2 2 2 2 3" xfId="16578"/>
    <cellStyle name="표준 174 2 3 2 2 2 2 2 3 2" xfId="33282"/>
    <cellStyle name="표준 174 2 3 2 2 2 2 2 4" xfId="22146"/>
    <cellStyle name="표준 174 2 3 2 2 2 2 3" xfId="8226"/>
    <cellStyle name="표준 174 2 3 2 2 2 2 3 2" xfId="24930"/>
    <cellStyle name="표준 174 2 3 2 2 2 2 4" xfId="13794"/>
    <cellStyle name="표준 174 2 3 2 2 2 2 4 2" xfId="30498"/>
    <cellStyle name="표준 174 2 3 2 2 2 2 5" xfId="19362"/>
    <cellStyle name="표준 174 2 3 2 2 2 3" xfId="4050"/>
    <cellStyle name="표준 174 2 3 2 2 2 3 2" xfId="9618"/>
    <cellStyle name="표준 174 2 3 2 2 2 3 2 2" xfId="26322"/>
    <cellStyle name="표준 174 2 3 2 2 2 3 3" xfId="15186"/>
    <cellStyle name="표준 174 2 3 2 2 2 3 3 2" xfId="31890"/>
    <cellStyle name="표준 174 2 3 2 2 2 3 4" xfId="20754"/>
    <cellStyle name="표준 174 2 3 2 2 2 4" xfId="6834"/>
    <cellStyle name="표준 174 2 3 2 2 2 4 2" xfId="23538"/>
    <cellStyle name="표준 174 2 3 2 2 2 5" xfId="12402"/>
    <cellStyle name="표준 174 2 3 2 2 2 5 2" xfId="29106"/>
    <cellStyle name="표준 174 2 3 2 2 2 6" xfId="17970"/>
    <cellStyle name="표준 174 2 3 2 2 3" xfId="1962"/>
    <cellStyle name="표준 174 2 3 2 2 3 2" xfId="4746"/>
    <cellStyle name="표준 174 2 3 2 2 3 2 2" xfId="10314"/>
    <cellStyle name="표준 174 2 3 2 2 3 2 2 2" xfId="27018"/>
    <cellStyle name="표준 174 2 3 2 2 3 2 3" xfId="15882"/>
    <cellStyle name="표준 174 2 3 2 2 3 2 3 2" xfId="32586"/>
    <cellStyle name="표준 174 2 3 2 2 3 2 4" xfId="21450"/>
    <cellStyle name="표준 174 2 3 2 2 3 3" xfId="7530"/>
    <cellStyle name="표준 174 2 3 2 2 3 3 2" xfId="24234"/>
    <cellStyle name="표준 174 2 3 2 2 3 4" xfId="13098"/>
    <cellStyle name="표준 174 2 3 2 2 3 4 2" xfId="29802"/>
    <cellStyle name="표준 174 2 3 2 2 3 5" xfId="18666"/>
    <cellStyle name="표준 174 2 3 2 2 4" xfId="3354"/>
    <cellStyle name="표준 174 2 3 2 2 4 2" xfId="8922"/>
    <cellStyle name="표준 174 2 3 2 2 4 2 2" xfId="25626"/>
    <cellStyle name="표준 174 2 3 2 2 4 3" xfId="14490"/>
    <cellStyle name="표준 174 2 3 2 2 4 3 2" xfId="31194"/>
    <cellStyle name="표준 174 2 3 2 2 4 4" xfId="20058"/>
    <cellStyle name="표준 174 2 3 2 2 5" xfId="6138"/>
    <cellStyle name="표준 174 2 3 2 2 5 2" xfId="22842"/>
    <cellStyle name="표준 174 2 3 2 2 6" xfId="11706"/>
    <cellStyle name="표준 174 2 3 2 2 6 2" xfId="28410"/>
    <cellStyle name="표준 174 2 3 2 2 7" xfId="17274"/>
    <cellStyle name="표준 174 2 3 2 3" xfId="802"/>
    <cellStyle name="표준 174 2 3 2 3 2" xfId="1498"/>
    <cellStyle name="표준 174 2 3 2 3 2 2" xfId="2890"/>
    <cellStyle name="표준 174 2 3 2 3 2 2 2" xfId="5674"/>
    <cellStyle name="표준 174 2 3 2 3 2 2 2 2" xfId="11242"/>
    <cellStyle name="표준 174 2 3 2 3 2 2 2 2 2" xfId="27946"/>
    <cellStyle name="표준 174 2 3 2 3 2 2 2 3" xfId="16810"/>
    <cellStyle name="표준 174 2 3 2 3 2 2 2 3 2" xfId="33514"/>
    <cellStyle name="표준 174 2 3 2 3 2 2 2 4" xfId="22378"/>
    <cellStyle name="표준 174 2 3 2 3 2 2 3" xfId="8458"/>
    <cellStyle name="표준 174 2 3 2 3 2 2 3 2" xfId="25162"/>
    <cellStyle name="표준 174 2 3 2 3 2 2 4" xfId="14026"/>
    <cellStyle name="표준 174 2 3 2 3 2 2 4 2" xfId="30730"/>
    <cellStyle name="표준 174 2 3 2 3 2 2 5" xfId="19594"/>
    <cellStyle name="표준 174 2 3 2 3 2 3" xfId="4282"/>
    <cellStyle name="표준 174 2 3 2 3 2 3 2" xfId="9850"/>
    <cellStyle name="표준 174 2 3 2 3 2 3 2 2" xfId="26554"/>
    <cellStyle name="표준 174 2 3 2 3 2 3 3" xfId="15418"/>
    <cellStyle name="표준 174 2 3 2 3 2 3 3 2" xfId="32122"/>
    <cellStyle name="표준 174 2 3 2 3 2 3 4" xfId="20986"/>
    <cellStyle name="표준 174 2 3 2 3 2 4" xfId="7066"/>
    <cellStyle name="표준 174 2 3 2 3 2 4 2" xfId="23770"/>
    <cellStyle name="표준 174 2 3 2 3 2 5" xfId="12634"/>
    <cellStyle name="표준 174 2 3 2 3 2 5 2" xfId="29338"/>
    <cellStyle name="표준 174 2 3 2 3 2 6" xfId="18202"/>
    <cellStyle name="표준 174 2 3 2 3 3" xfId="2194"/>
    <cellStyle name="표준 174 2 3 2 3 3 2" xfId="4978"/>
    <cellStyle name="표준 174 2 3 2 3 3 2 2" xfId="10546"/>
    <cellStyle name="표준 174 2 3 2 3 3 2 2 2" xfId="27250"/>
    <cellStyle name="표준 174 2 3 2 3 3 2 3" xfId="16114"/>
    <cellStyle name="표준 174 2 3 2 3 3 2 3 2" xfId="32818"/>
    <cellStyle name="표준 174 2 3 2 3 3 2 4" xfId="21682"/>
    <cellStyle name="표준 174 2 3 2 3 3 3" xfId="7762"/>
    <cellStyle name="표준 174 2 3 2 3 3 3 2" xfId="24466"/>
    <cellStyle name="표준 174 2 3 2 3 3 4" xfId="13330"/>
    <cellStyle name="표준 174 2 3 2 3 3 4 2" xfId="30034"/>
    <cellStyle name="표준 174 2 3 2 3 3 5" xfId="18898"/>
    <cellStyle name="표준 174 2 3 2 3 4" xfId="3586"/>
    <cellStyle name="표준 174 2 3 2 3 4 2" xfId="9154"/>
    <cellStyle name="표준 174 2 3 2 3 4 2 2" xfId="25858"/>
    <cellStyle name="표준 174 2 3 2 3 4 3" xfId="14722"/>
    <cellStyle name="표준 174 2 3 2 3 4 3 2" xfId="31426"/>
    <cellStyle name="표준 174 2 3 2 3 4 4" xfId="20290"/>
    <cellStyle name="표준 174 2 3 2 3 5" xfId="6370"/>
    <cellStyle name="표준 174 2 3 2 3 5 2" xfId="23074"/>
    <cellStyle name="표준 174 2 3 2 3 6" xfId="11938"/>
    <cellStyle name="표준 174 2 3 2 3 6 2" xfId="28642"/>
    <cellStyle name="표준 174 2 3 2 3 7" xfId="17506"/>
    <cellStyle name="표준 174 2 3 2 4" xfId="1034"/>
    <cellStyle name="표준 174 2 3 2 4 2" xfId="2426"/>
    <cellStyle name="표준 174 2 3 2 4 2 2" xfId="5210"/>
    <cellStyle name="표준 174 2 3 2 4 2 2 2" xfId="10778"/>
    <cellStyle name="표준 174 2 3 2 4 2 2 2 2" xfId="27482"/>
    <cellStyle name="표준 174 2 3 2 4 2 2 3" xfId="16346"/>
    <cellStyle name="표준 174 2 3 2 4 2 2 3 2" xfId="33050"/>
    <cellStyle name="표준 174 2 3 2 4 2 2 4" xfId="21914"/>
    <cellStyle name="표준 174 2 3 2 4 2 3" xfId="7994"/>
    <cellStyle name="표준 174 2 3 2 4 2 3 2" xfId="24698"/>
    <cellStyle name="표준 174 2 3 2 4 2 4" xfId="13562"/>
    <cellStyle name="표준 174 2 3 2 4 2 4 2" xfId="30266"/>
    <cellStyle name="표준 174 2 3 2 4 2 5" xfId="19130"/>
    <cellStyle name="표준 174 2 3 2 4 3" xfId="3818"/>
    <cellStyle name="표준 174 2 3 2 4 3 2" xfId="9386"/>
    <cellStyle name="표준 174 2 3 2 4 3 2 2" xfId="26090"/>
    <cellStyle name="표준 174 2 3 2 4 3 3" xfId="14954"/>
    <cellStyle name="표준 174 2 3 2 4 3 3 2" xfId="31658"/>
    <cellStyle name="표준 174 2 3 2 4 3 4" xfId="20522"/>
    <cellStyle name="표준 174 2 3 2 4 4" xfId="6602"/>
    <cellStyle name="표준 174 2 3 2 4 4 2" xfId="23306"/>
    <cellStyle name="표준 174 2 3 2 4 5" xfId="12170"/>
    <cellStyle name="표준 174 2 3 2 4 5 2" xfId="28874"/>
    <cellStyle name="표준 174 2 3 2 4 6" xfId="17738"/>
    <cellStyle name="표준 174 2 3 2 5" xfId="1730"/>
    <cellStyle name="표준 174 2 3 2 5 2" xfId="4514"/>
    <cellStyle name="표준 174 2 3 2 5 2 2" xfId="10082"/>
    <cellStyle name="표준 174 2 3 2 5 2 2 2" xfId="26786"/>
    <cellStyle name="표준 174 2 3 2 5 2 3" xfId="15650"/>
    <cellStyle name="표준 174 2 3 2 5 2 3 2" xfId="32354"/>
    <cellStyle name="표준 174 2 3 2 5 2 4" xfId="21218"/>
    <cellStyle name="표준 174 2 3 2 5 3" xfId="7298"/>
    <cellStyle name="표준 174 2 3 2 5 3 2" xfId="24002"/>
    <cellStyle name="표준 174 2 3 2 5 4" xfId="12866"/>
    <cellStyle name="표준 174 2 3 2 5 4 2" xfId="29570"/>
    <cellStyle name="표준 174 2 3 2 5 5" xfId="18434"/>
    <cellStyle name="표준 174 2 3 2 6" xfId="3122"/>
    <cellStyle name="표준 174 2 3 2 6 2" xfId="8690"/>
    <cellStyle name="표준 174 2 3 2 6 2 2" xfId="25394"/>
    <cellStyle name="표준 174 2 3 2 6 3" xfId="14258"/>
    <cellStyle name="표준 174 2 3 2 6 3 2" xfId="30962"/>
    <cellStyle name="표준 174 2 3 2 6 4" xfId="19826"/>
    <cellStyle name="표준 174 2 3 2 7" xfId="5906"/>
    <cellStyle name="표준 174 2 3 2 7 2" xfId="22610"/>
    <cellStyle name="표준 174 2 3 2 8" xfId="11474"/>
    <cellStyle name="표준 174 2 3 2 8 2" xfId="28178"/>
    <cellStyle name="표준 174 2 3 2 9" xfId="17042"/>
    <cellStyle name="표준 174 2 3 3" xfId="454"/>
    <cellStyle name="표준 174 2 3 3 2" xfId="1150"/>
    <cellStyle name="표준 174 2 3 3 2 2" xfId="2542"/>
    <cellStyle name="표준 174 2 3 3 2 2 2" xfId="5326"/>
    <cellStyle name="표준 174 2 3 3 2 2 2 2" xfId="10894"/>
    <cellStyle name="표준 174 2 3 3 2 2 2 2 2" xfId="27598"/>
    <cellStyle name="표준 174 2 3 3 2 2 2 3" xfId="16462"/>
    <cellStyle name="표준 174 2 3 3 2 2 2 3 2" xfId="33166"/>
    <cellStyle name="표준 174 2 3 3 2 2 2 4" xfId="22030"/>
    <cellStyle name="표준 174 2 3 3 2 2 3" xfId="8110"/>
    <cellStyle name="표준 174 2 3 3 2 2 3 2" xfId="24814"/>
    <cellStyle name="표준 174 2 3 3 2 2 4" xfId="13678"/>
    <cellStyle name="표준 174 2 3 3 2 2 4 2" xfId="30382"/>
    <cellStyle name="표준 174 2 3 3 2 2 5" xfId="19246"/>
    <cellStyle name="표준 174 2 3 3 2 3" xfId="3934"/>
    <cellStyle name="표준 174 2 3 3 2 3 2" xfId="9502"/>
    <cellStyle name="표준 174 2 3 3 2 3 2 2" xfId="26206"/>
    <cellStyle name="표준 174 2 3 3 2 3 3" xfId="15070"/>
    <cellStyle name="표준 174 2 3 3 2 3 3 2" xfId="31774"/>
    <cellStyle name="표준 174 2 3 3 2 3 4" xfId="20638"/>
    <cellStyle name="표준 174 2 3 3 2 4" xfId="6718"/>
    <cellStyle name="표준 174 2 3 3 2 4 2" xfId="23422"/>
    <cellStyle name="표준 174 2 3 3 2 5" xfId="12286"/>
    <cellStyle name="표준 174 2 3 3 2 5 2" xfId="28990"/>
    <cellStyle name="표준 174 2 3 3 2 6" xfId="17854"/>
    <cellStyle name="표준 174 2 3 3 3" xfId="1846"/>
    <cellStyle name="표준 174 2 3 3 3 2" xfId="4630"/>
    <cellStyle name="표준 174 2 3 3 3 2 2" xfId="10198"/>
    <cellStyle name="표준 174 2 3 3 3 2 2 2" xfId="26902"/>
    <cellStyle name="표준 174 2 3 3 3 2 3" xfId="15766"/>
    <cellStyle name="표준 174 2 3 3 3 2 3 2" xfId="32470"/>
    <cellStyle name="표준 174 2 3 3 3 2 4" xfId="21334"/>
    <cellStyle name="표준 174 2 3 3 3 3" xfId="7414"/>
    <cellStyle name="표준 174 2 3 3 3 3 2" xfId="24118"/>
    <cellStyle name="표준 174 2 3 3 3 4" xfId="12982"/>
    <cellStyle name="표준 174 2 3 3 3 4 2" xfId="29686"/>
    <cellStyle name="표준 174 2 3 3 3 5" xfId="18550"/>
    <cellStyle name="표준 174 2 3 3 4" xfId="3238"/>
    <cellStyle name="표준 174 2 3 3 4 2" xfId="8806"/>
    <cellStyle name="표준 174 2 3 3 4 2 2" xfId="25510"/>
    <cellStyle name="표준 174 2 3 3 4 3" xfId="14374"/>
    <cellStyle name="표준 174 2 3 3 4 3 2" xfId="31078"/>
    <cellStyle name="표준 174 2 3 3 4 4" xfId="19942"/>
    <cellStyle name="표준 174 2 3 3 5" xfId="6022"/>
    <cellStyle name="표준 174 2 3 3 5 2" xfId="22726"/>
    <cellStyle name="표준 174 2 3 3 6" xfId="11590"/>
    <cellStyle name="표준 174 2 3 3 6 2" xfId="28294"/>
    <cellStyle name="표준 174 2 3 3 7" xfId="17158"/>
    <cellStyle name="표준 174 2 3 4" xfId="686"/>
    <cellStyle name="표준 174 2 3 4 2" xfId="1382"/>
    <cellStyle name="표준 174 2 3 4 2 2" xfId="2774"/>
    <cellStyle name="표준 174 2 3 4 2 2 2" xfId="5558"/>
    <cellStyle name="표준 174 2 3 4 2 2 2 2" xfId="11126"/>
    <cellStyle name="표준 174 2 3 4 2 2 2 2 2" xfId="27830"/>
    <cellStyle name="표준 174 2 3 4 2 2 2 3" xfId="16694"/>
    <cellStyle name="표준 174 2 3 4 2 2 2 3 2" xfId="33398"/>
    <cellStyle name="표준 174 2 3 4 2 2 2 4" xfId="22262"/>
    <cellStyle name="표준 174 2 3 4 2 2 3" xfId="8342"/>
    <cellStyle name="표준 174 2 3 4 2 2 3 2" xfId="25046"/>
    <cellStyle name="표준 174 2 3 4 2 2 4" xfId="13910"/>
    <cellStyle name="표준 174 2 3 4 2 2 4 2" xfId="30614"/>
    <cellStyle name="표준 174 2 3 4 2 2 5" xfId="19478"/>
    <cellStyle name="표준 174 2 3 4 2 3" xfId="4166"/>
    <cellStyle name="표준 174 2 3 4 2 3 2" xfId="9734"/>
    <cellStyle name="표준 174 2 3 4 2 3 2 2" xfId="26438"/>
    <cellStyle name="표준 174 2 3 4 2 3 3" xfId="15302"/>
    <cellStyle name="표준 174 2 3 4 2 3 3 2" xfId="32006"/>
    <cellStyle name="표준 174 2 3 4 2 3 4" xfId="20870"/>
    <cellStyle name="표준 174 2 3 4 2 4" xfId="6950"/>
    <cellStyle name="표준 174 2 3 4 2 4 2" xfId="23654"/>
    <cellStyle name="표준 174 2 3 4 2 5" xfId="12518"/>
    <cellStyle name="표준 174 2 3 4 2 5 2" xfId="29222"/>
    <cellStyle name="표준 174 2 3 4 2 6" xfId="18086"/>
    <cellStyle name="표준 174 2 3 4 3" xfId="2078"/>
    <cellStyle name="표준 174 2 3 4 3 2" xfId="4862"/>
    <cellStyle name="표준 174 2 3 4 3 2 2" xfId="10430"/>
    <cellStyle name="표준 174 2 3 4 3 2 2 2" xfId="27134"/>
    <cellStyle name="표준 174 2 3 4 3 2 3" xfId="15998"/>
    <cellStyle name="표준 174 2 3 4 3 2 3 2" xfId="32702"/>
    <cellStyle name="표준 174 2 3 4 3 2 4" xfId="21566"/>
    <cellStyle name="표준 174 2 3 4 3 3" xfId="7646"/>
    <cellStyle name="표준 174 2 3 4 3 3 2" xfId="24350"/>
    <cellStyle name="표준 174 2 3 4 3 4" xfId="13214"/>
    <cellStyle name="표준 174 2 3 4 3 4 2" xfId="29918"/>
    <cellStyle name="표준 174 2 3 4 3 5" xfId="18782"/>
    <cellStyle name="표준 174 2 3 4 4" xfId="3470"/>
    <cellStyle name="표준 174 2 3 4 4 2" xfId="9038"/>
    <cellStyle name="표준 174 2 3 4 4 2 2" xfId="25742"/>
    <cellStyle name="표준 174 2 3 4 4 3" xfId="14606"/>
    <cellStyle name="표준 174 2 3 4 4 3 2" xfId="31310"/>
    <cellStyle name="표준 174 2 3 4 4 4" xfId="20174"/>
    <cellStyle name="표준 174 2 3 4 5" xfId="6254"/>
    <cellStyle name="표준 174 2 3 4 5 2" xfId="22958"/>
    <cellStyle name="표준 174 2 3 4 6" xfId="11822"/>
    <cellStyle name="표준 174 2 3 4 6 2" xfId="28526"/>
    <cellStyle name="표준 174 2 3 4 7" xfId="17390"/>
    <cellStyle name="표준 174 2 3 5" xfId="918"/>
    <cellStyle name="표준 174 2 3 5 2" xfId="2310"/>
    <cellStyle name="표준 174 2 3 5 2 2" xfId="5094"/>
    <cellStyle name="표준 174 2 3 5 2 2 2" xfId="10662"/>
    <cellStyle name="표준 174 2 3 5 2 2 2 2" xfId="27366"/>
    <cellStyle name="표준 174 2 3 5 2 2 3" xfId="16230"/>
    <cellStyle name="표준 174 2 3 5 2 2 3 2" xfId="32934"/>
    <cellStyle name="표준 174 2 3 5 2 2 4" xfId="21798"/>
    <cellStyle name="표준 174 2 3 5 2 3" xfId="7878"/>
    <cellStyle name="표준 174 2 3 5 2 3 2" xfId="24582"/>
    <cellStyle name="표준 174 2 3 5 2 4" xfId="13446"/>
    <cellStyle name="표준 174 2 3 5 2 4 2" xfId="30150"/>
    <cellStyle name="표준 174 2 3 5 2 5" xfId="19014"/>
    <cellStyle name="표준 174 2 3 5 3" xfId="3702"/>
    <cellStyle name="표준 174 2 3 5 3 2" xfId="9270"/>
    <cellStyle name="표준 174 2 3 5 3 2 2" xfId="25974"/>
    <cellStyle name="표준 174 2 3 5 3 3" xfId="14838"/>
    <cellStyle name="표준 174 2 3 5 3 3 2" xfId="31542"/>
    <cellStyle name="표준 174 2 3 5 3 4" xfId="20406"/>
    <cellStyle name="표준 174 2 3 5 4" xfId="6486"/>
    <cellStyle name="표준 174 2 3 5 4 2" xfId="23190"/>
    <cellStyle name="표준 174 2 3 5 5" xfId="12054"/>
    <cellStyle name="표준 174 2 3 5 5 2" xfId="28758"/>
    <cellStyle name="표준 174 2 3 5 6" xfId="17622"/>
    <cellStyle name="표준 174 2 3 6" xfId="1614"/>
    <cellStyle name="표준 174 2 3 6 2" xfId="4398"/>
    <cellStyle name="표준 174 2 3 6 2 2" xfId="9966"/>
    <cellStyle name="표준 174 2 3 6 2 2 2" xfId="26670"/>
    <cellStyle name="표준 174 2 3 6 2 3" xfId="15534"/>
    <cellStyle name="표준 174 2 3 6 2 3 2" xfId="32238"/>
    <cellStyle name="표준 174 2 3 6 2 4" xfId="21102"/>
    <cellStyle name="표준 174 2 3 6 3" xfId="7182"/>
    <cellStyle name="표준 174 2 3 6 3 2" xfId="23886"/>
    <cellStyle name="표준 174 2 3 6 4" xfId="12750"/>
    <cellStyle name="표준 174 2 3 6 4 2" xfId="29454"/>
    <cellStyle name="표준 174 2 3 6 5" xfId="18318"/>
    <cellStyle name="표준 174 2 3 7" xfId="3006"/>
    <cellStyle name="표준 174 2 3 7 2" xfId="8574"/>
    <cellStyle name="표준 174 2 3 7 2 2" xfId="25278"/>
    <cellStyle name="표준 174 2 3 7 3" xfId="14142"/>
    <cellStyle name="표준 174 2 3 7 3 2" xfId="30846"/>
    <cellStyle name="표준 174 2 3 7 4" xfId="19710"/>
    <cellStyle name="표준 174 2 3 8" xfId="5790"/>
    <cellStyle name="표준 174 2 3 8 2" xfId="22494"/>
    <cellStyle name="표준 174 2 3 9" xfId="11358"/>
    <cellStyle name="표준 174 2 3 9 2" xfId="28062"/>
    <cellStyle name="표준 174 2 4" xfId="280"/>
    <cellStyle name="표준 174 2 4 2" xfId="512"/>
    <cellStyle name="표준 174 2 4 2 2" xfId="1208"/>
    <cellStyle name="표준 174 2 4 2 2 2" xfId="2600"/>
    <cellStyle name="표준 174 2 4 2 2 2 2" xfId="5384"/>
    <cellStyle name="표준 174 2 4 2 2 2 2 2" xfId="10952"/>
    <cellStyle name="표준 174 2 4 2 2 2 2 2 2" xfId="27656"/>
    <cellStyle name="표준 174 2 4 2 2 2 2 3" xfId="16520"/>
    <cellStyle name="표준 174 2 4 2 2 2 2 3 2" xfId="33224"/>
    <cellStyle name="표준 174 2 4 2 2 2 2 4" xfId="22088"/>
    <cellStyle name="표준 174 2 4 2 2 2 3" xfId="8168"/>
    <cellStyle name="표준 174 2 4 2 2 2 3 2" xfId="24872"/>
    <cellStyle name="표준 174 2 4 2 2 2 4" xfId="13736"/>
    <cellStyle name="표준 174 2 4 2 2 2 4 2" xfId="30440"/>
    <cellStyle name="표준 174 2 4 2 2 2 5" xfId="19304"/>
    <cellStyle name="표준 174 2 4 2 2 3" xfId="3992"/>
    <cellStyle name="표준 174 2 4 2 2 3 2" xfId="9560"/>
    <cellStyle name="표준 174 2 4 2 2 3 2 2" xfId="26264"/>
    <cellStyle name="표준 174 2 4 2 2 3 3" xfId="15128"/>
    <cellStyle name="표준 174 2 4 2 2 3 3 2" xfId="31832"/>
    <cellStyle name="표준 174 2 4 2 2 3 4" xfId="20696"/>
    <cellStyle name="표준 174 2 4 2 2 4" xfId="6776"/>
    <cellStyle name="표준 174 2 4 2 2 4 2" xfId="23480"/>
    <cellStyle name="표준 174 2 4 2 2 5" xfId="12344"/>
    <cellStyle name="표준 174 2 4 2 2 5 2" xfId="29048"/>
    <cellStyle name="표준 174 2 4 2 2 6" xfId="17912"/>
    <cellStyle name="표준 174 2 4 2 3" xfId="1904"/>
    <cellStyle name="표준 174 2 4 2 3 2" xfId="4688"/>
    <cellStyle name="표준 174 2 4 2 3 2 2" xfId="10256"/>
    <cellStyle name="표준 174 2 4 2 3 2 2 2" xfId="26960"/>
    <cellStyle name="표준 174 2 4 2 3 2 3" xfId="15824"/>
    <cellStyle name="표준 174 2 4 2 3 2 3 2" xfId="32528"/>
    <cellStyle name="표준 174 2 4 2 3 2 4" xfId="21392"/>
    <cellStyle name="표준 174 2 4 2 3 3" xfId="7472"/>
    <cellStyle name="표준 174 2 4 2 3 3 2" xfId="24176"/>
    <cellStyle name="표준 174 2 4 2 3 4" xfId="13040"/>
    <cellStyle name="표준 174 2 4 2 3 4 2" xfId="29744"/>
    <cellStyle name="표준 174 2 4 2 3 5" xfId="18608"/>
    <cellStyle name="표준 174 2 4 2 4" xfId="3296"/>
    <cellStyle name="표준 174 2 4 2 4 2" xfId="8864"/>
    <cellStyle name="표준 174 2 4 2 4 2 2" xfId="25568"/>
    <cellStyle name="표준 174 2 4 2 4 3" xfId="14432"/>
    <cellStyle name="표준 174 2 4 2 4 3 2" xfId="31136"/>
    <cellStyle name="표준 174 2 4 2 4 4" xfId="20000"/>
    <cellStyle name="표준 174 2 4 2 5" xfId="6080"/>
    <cellStyle name="표준 174 2 4 2 5 2" xfId="22784"/>
    <cellStyle name="표준 174 2 4 2 6" xfId="11648"/>
    <cellStyle name="표준 174 2 4 2 6 2" xfId="28352"/>
    <cellStyle name="표준 174 2 4 2 7" xfId="17216"/>
    <cellStyle name="표준 174 2 4 3" xfId="744"/>
    <cellStyle name="표준 174 2 4 3 2" xfId="1440"/>
    <cellStyle name="표준 174 2 4 3 2 2" xfId="2832"/>
    <cellStyle name="표준 174 2 4 3 2 2 2" xfId="5616"/>
    <cellStyle name="표준 174 2 4 3 2 2 2 2" xfId="11184"/>
    <cellStyle name="표준 174 2 4 3 2 2 2 2 2" xfId="27888"/>
    <cellStyle name="표준 174 2 4 3 2 2 2 3" xfId="16752"/>
    <cellStyle name="표준 174 2 4 3 2 2 2 3 2" xfId="33456"/>
    <cellStyle name="표준 174 2 4 3 2 2 2 4" xfId="22320"/>
    <cellStyle name="표준 174 2 4 3 2 2 3" xfId="8400"/>
    <cellStyle name="표준 174 2 4 3 2 2 3 2" xfId="25104"/>
    <cellStyle name="표준 174 2 4 3 2 2 4" xfId="13968"/>
    <cellStyle name="표준 174 2 4 3 2 2 4 2" xfId="30672"/>
    <cellStyle name="표준 174 2 4 3 2 2 5" xfId="19536"/>
    <cellStyle name="표준 174 2 4 3 2 3" xfId="4224"/>
    <cellStyle name="표준 174 2 4 3 2 3 2" xfId="9792"/>
    <cellStyle name="표준 174 2 4 3 2 3 2 2" xfId="26496"/>
    <cellStyle name="표준 174 2 4 3 2 3 3" xfId="15360"/>
    <cellStyle name="표준 174 2 4 3 2 3 3 2" xfId="32064"/>
    <cellStyle name="표준 174 2 4 3 2 3 4" xfId="20928"/>
    <cellStyle name="표준 174 2 4 3 2 4" xfId="7008"/>
    <cellStyle name="표준 174 2 4 3 2 4 2" xfId="23712"/>
    <cellStyle name="표준 174 2 4 3 2 5" xfId="12576"/>
    <cellStyle name="표준 174 2 4 3 2 5 2" xfId="29280"/>
    <cellStyle name="표준 174 2 4 3 2 6" xfId="18144"/>
    <cellStyle name="표준 174 2 4 3 3" xfId="2136"/>
    <cellStyle name="표준 174 2 4 3 3 2" xfId="4920"/>
    <cellStyle name="표준 174 2 4 3 3 2 2" xfId="10488"/>
    <cellStyle name="표준 174 2 4 3 3 2 2 2" xfId="27192"/>
    <cellStyle name="표준 174 2 4 3 3 2 3" xfId="16056"/>
    <cellStyle name="표준 174 2 4 3 3 2 3 2" xfId="32760"/>
    <cellStyle name="표준 174 2 4 3 3 2 4" xfId="21624"/>
    <cellStyle name="표준 174 2 4 3 3 3" xfId="7704"/>
    <cellStyle name="표준 174 2 4 3 3 3 2" xfId="24408"/>
    <cellStyle name="표준 174 2 4 3 3 4" xfId="13272"/>
    <cellStyle name="표준 174 2 4 3 3 4 2" xfId="29976"/>
    <cellStyle name="표준 174 2 4 3 3 5" xfId="18840"/>
    <cellStyle name="표준 174 2 4 3 4" xfId="3528"/>
    <cellStyle name="표준 174 2 4 3 4 2" xfId="9096"/>
    <cellStyle name="표준 174 2 4 3 4 2 2" xfId="25800"/>
    <cellStyle name="표준 174 2 4 3 4 3" xfId="14664"/>
    <cellStyle name="표준 174 2 4 3 4 3 2" xfId="31368"/>
    <cellStyle name="표준 174 2 4 3 4 4" xfId="20232"/>
    <cellStyle name="표준 174 2 4 3 5" xfId="6312"/>
    <cellStyle name="표준 174 2 4 3 5 2" xfId="23016"/>
    <cellStyle name="표준 174 2 4 3 6" xfId="11880"/>
    <cellStyle name="표준 174 2 4 3 6 2" xfId="28584"/>
    <cellStyle name="표준 174 2 4 3 7" xfId="17448"/>
    <cellStyle name="표준 174 2 4 4" xfId="976"/>
    <cellStyle name="표준 174 2 4 4 2" xfId="2368"/>
    <cellStyle name="표준 174 2 4 4 2 2" xfId="5152"/>
    <cellStyle name="표준 174 2 4 4 2 2 2" xfId="10720"/>
    <cellStyle name="표준 174 2 4 4 2 2 2 2" xfId="27424"/>
    <cellStyle name="표준 174 2 4 4 2 2 3" xfId="16288"/>
    <cellStyle name="표준 174 2 4 4 2 2 3 2" xfId="32992"/>
    <cellStyle name="표준 174 2 4 4 2 2 4" xfId="21856"/>
    <cellStyle name="표준 174 2 4 4 2 3" xfId="7936"/>
    <cellStyle name="표준 174 2 4 4 2 3 2" xfId="24640"/>
    <cellStyle name="표준 174 2 4 4 2 4" xfId="13504"/>
    <cellStyle name="표준 174 2 4 4 2 4 2" xfId="30208"/>
    <cellStyle name="표준 174 2 4 4 2 5" xfId="19072"/>
    <cellStyle name="표준 174 2 4 4 3" xfId="3760"/>
    <cellStyle name="표준 174 2 4 4 3 2" xfId="9328"/>
    <cellStyle name="표준 174 2 4 4 3 2 2" xfId="26032"/>
    <cellStyle name="표준 174 2 4 4 3 3" xfId="14896"/>
    <cellStyle name="표준 174 2 4 4 3 3 2" xfId="31600"/>
    <cellStyle name="표준 174 2 4 4 3 4" xfId="20464"/>
    <cellStyle name="표준 174 2 4 4 4" xfId="6544"/>
    <cellStyle name="표준 174 2 4 4 4 2" xfId="23248"/>
    <cellStyle name="표준 174 2 4 4 5" xfId="12112"/>
    <cellStyle name="표준 174 2 4 4 5 2" xfId="28816"/>
    <cellStyle name="표준 174 2 4 4 6" xfId="17680"/>
    <cellStyle name="표준 174 2 4 5" xfId="1672"/>
    <cellStyle name="표준 174 2 4 5 2" xfId="4456"/>
    <cellStyle name="표준 174 2 4 5 2 2" xfId="10024"/>
    <cellStyle name="표준 174 2 4 5 2 2 2" xfId="26728"/>
    <cellStyle name="표준 174 2 4 5 2 3" xfId="15592"/>
    <cellStyle name="표준 174 2 4 5 2 3 2" xfId="32296"/>
    <cellStyle name="표준 174 2 4 5 2 4" xfId="21160"/>
    <cellStyle name="표준 174 2 4 5 3" xfId="7240"/>
    <cellStyle name="표준 174 2 4 5 3 2" xfId="23944"/>
    <cellStyle name="표준 174 2 4 5 4" xfId="12808"/>
    <cellStyle name="표준 174 2 4 5 4 2" xfId="29512"/>
    <cellStyle name="표준 174 2 4 5 5" xfId="18376"/>
    <cellStyle name="표준 174 2 4 6" xfId="3064"/>
    <cellStyle name="표준 174 2 4 6 2" xfId="8632"/>
    <cellStyle name="표준 174 2 4 6 2 2" xfId="25336"/>
    <cellStyle name="표준 174 2 4 6 3" xfId="14200"/>
    <cellStyle name="표준 174 2 4 6 3 2" xfId="30904"/>
    <cellStyle name="표준 174 2 4 6 4" xfId="19768"/>
    <cellStyle name="표준 174 2 4 7" xfId="5848"/>
    <cellStyle name="표준 174 2 4 7 2" xfId="22552"/>
    <cellStyle name="표준 174 2 4 8" xfId="11416"/>
    <cellStyle name="표준 174 2 4 8 2" xfId="28120"/>
    <cellStyle name="표준 174 2 4 9" xfId="16984"/>
    <cellStyle name="표준 174 2 5" xfId="396"/>
    <cellStyle name="표준 174 2 5 2" xfId="1092"/>
    <cellStyle name="표준 174 2 5 2 2" xfId="2484"/>
    <cellStyle name="표준 174 2 5 2 2 2" xfId="5268"/>
    <cellStyle name="표준 174 2 5 2 2 2 2" xfId="10836"/>
    <cellStyle name="표준 174 2 5 2 2 2 2 2" xfId="27540"/>
    <cellStyle name="표준 174 2 5 2 2 2 3" xfId="16404"/>
    <cellStyle name="표준 174 2 5 2 2 2 3 2" xfId="33108"/>
    <cellStyle name="표준 174 2 5 2 2 2 4" xfId="21972"/>
    <cellStyle name="표준 174 2 5 2 2 3" xfId="8052"/>
    <cellStyle name="표준 174 2 5 2 2 3 2" xfId="24756"/>
    <cellStyle name="표준 174 2 5 2 2 4" xfId="13620"/>
    <cellStyle name="표준 174 2 5 2 2 4 2" xfId="30324"/>
    <cellStyle name="표준 174 2 5 2 2 5" xfId="19188"/>
    <cellStyle name="표준 174 2 5 2 3" xfId="3876"/>
    <cellStyle name="표준 174 2 5 2 3 2" xfId="9444"/>
    <cellStyle name="표준 174 2 5 2 3 2 2" xfId="26148"/>
    <cellStyle name="표준 174 2 5 2 3 3" xfId="15012"/>
    <cellStyle name="표준 174 2 5 2 3 3 2" xfId="31716"/>
    <cellStyle name="표준 174 2 5 2 3 4" xfId="20580"/>
    <cellStyle name="표준 174 2 5 2 4" xfId="6660"/>
    <cellStyle name="표준 174 2 5 2 4 2" xfId="23364"/>
    <cellStyle name="표준 174 2 5 2 5" xfId="12228"/>
    <cellStyle name="표준 174 2 5 2 5 2" xfId="28932"/>
    <cellStyle name="표준 174 2 5 2 6" xfId="17796"/>
    <cellStyle name="표준 174 2 5 3" xfId="1788"/>
    <cellStyle name="표준 174 2 5 3 2" xfId="4572"/>
    <cellStyle name="표준 174 2 5 3 2 2" xfId="10140"/>
    <cellStyle name="표준 174 2 5 3 2 2 2" xfId="26844"/>
    <cellStyle name="표준 174 2 5 3 2 3" xfId="15708"/>
    <cellStyle name="표준 174 2 5 3 2 3 2" xfId="32412"/>
    <cellStyle name="표준 174 2 5 3 2 4" xfId="21276"/>
    <cellStyle name="표준 174 2 5 3 3" xfId="7356"/>
    <cellStyle name="표준 174 2 5 3 3 2" xfId="24060"/>
    <cellStyle name="표준 174 2 5 3 4" xfId="12924"/>
    <cellStyle name="표준 174 2 5 3 4 2" xfId="29628"/>
    <cellStyle name="표준 174 2 5 3 5" xfId="18492"/>
    <cellStyle name="표준 174 2 5 4" xfId="3180"/>
    <cellStyle name="표준 174 2 5 4 2" xfId="8748"/>
    <cellStyle name="표준 174 2 5 4 2 2" xfId="25452"/>
    <cellStyle name="표준 174 2 5 4 3" xfId="14316"/>
    <cellStyle name="표준 174 2 5 4 3 2" xfId="31020"/>
    <cellStyle name="표준 174 2 5 4 4" xfId="19884"/>
    <cellStyle name="표준 174 2 5 5" xfId="5964"/>
    <cellStyle name="표준 174 2 5 5 2" xfId="22668"/>
    <cellStyle name="표준 174 2 5 6" xfId="11532"/>
    <cellStyle name="표준 174 2 5 6 2" xfId="28236"/>
    <cellStyle name="표준 174 2 5 7" xfId="17100"/>
    <cellStyle name="표준 174 2 6" xfId="628"/>
    <cellStyle name="표준 174 2 6 2" xfId="1324"/>
    <cellStyle name="표준 174 2 6 2 2" xfId="2716"/>
    <cellStyle name="표준 174 2 6 2 2 2" xfId="5500"/>
    <cellStyle name="표준 174 2 6 2 2 2 2" xfId="11068"/>
    <cellStyle name="표준 174 2 6 2 2 2 2 2" xfId="27772"/>
    <cellStyle name="표준 174 2 6 2 2 2 3" xfId="16636"/>
    <cellStyle name="표준 174 2 6 2 2 2 3 2" xfId="33340"/>
    <cellStyle name="표준 174 2 6 2 2 2 4" xfId="22204"/>
    <cellStyle name="표준 174 2 6 2 2 3" xfId="8284"/>
    <cellStyle name="표준 174 2 6 2 2 3 2" xfId="24988"/>
    <cellStyle name="표준 174 2 6 2 2 4" xfId="13852"/>
    <cellStyle name="표준 174 2 6 2 2 4 2" xfId="30556"/>
    <cellStyle name="표준 174 2 6 2 2 5" xfId="19420"/>
    <cellStyle name="표준 174 2 6 2 3" xfId="4108"/>
    <cellStyle name="표준 174 2 6 2 3 2" xfId="9676"/>
    <cellStyle name="표준 174 2 6 2 3 2 2" xfId="26380"/>
    <cellStyle name="표준 174 2 6 2 3 3" xfId="15244"/>
    <cellStyle name="표준 174 2 6 2 3 3 2" xfId="31948"/>
    <cellStyle name="표준 174 2 6 2 3 4" xfId="20812"/>
    <cellStyle name="표준 174 2 6 2 4" xfId="6892"/>
    <cellStyle name="표준 174 2 6 2 4 2" xfId="23596"/>
    <cellStyle name="표준 174 2 6 2 5" xfId="12460"/>
    <cellStyle name="표준 174 2 6 2 5 2" xfId="29164"/>
    <cellStyle name="표준 174 2 6 2 6" xfId="18028"/>
    <cellStyle name="표준 174 2 6 3" xfId="2020"/>
    <cellStyle name="표준 174 2 6 3 2" xfId="4804"/>
    <cellStyle name="표준 174 2 6 3 2 2" xfId="10372"/>
    <cellStyle name="표준 174 2 6 3 2 2 2" xfId="27076"/>
    <cellStyle name="표준 174 2 6 3 2 3" xfId="15940"/>
    <cellStyle name="표준 174 2 6 3 2 3 2" xfId="32644"/>
    <cellStyle name="표준 174 2 6 3 2 4" xfId="21508"/>
    <cellStyle name="표준 174 2 6 3 3" xfId="7588"/>
    <cellStyle name="표준 174 2 6 3 3 2" xfId="24292"/>
    <cellStyle name="표준 174 2 6 3 4" xfId="13156"/>
    <cellStyle name="표준 174 2 6 3 4 2" xfId="29860"/>
    <cellStyle name="표준 174 2 6 3 5" xfId="18724"/>
    <cellStyle name="표준 174 2 6 4" xfId="3412"/>
    <cellStyle name="표준 174 2 6 4 2" xfId="8980"/>
    <cellStyle name="표준 174 2 6 4 2 2" xfId="25684"/>
    <cellStyle name="표준 174 2 6 4 3" xfId="14548"/>
    <cellStyle name="표준 174 2 6 4 3 2" xfId="31252"/>
    <cellStyle name="표준 174 2 6 4 4" xfId="20116"/>
    <cellStyle name="표준 174 2 6 5" xfId="6196"/>
    <cellStyle name="표준 174 2 6 5 2" xfId="22900"/>
    <cellStyle name="표준 174 2 6 6" xfId="11764"/>
    <cellStyle name="표준 174 2 6 6 2" xfId="28468"/>
    <cellStyle name="표준 174 2 6 7" xfId="17332"/>
    <cellStyle name="표준 174 2 7" xfId="860"/>
    <cellStyle name="표준 174 2 7 2" xfId="2252"/>
    <cellStyle name="표준 174 2 7 2 2" xfId="5036"/>
    <cellStyle name="표준 174 2 7 2 2 2" xfId="10604"/>
    <cellStyle name="표준 174 2 7 2 2 2 2" xfId="27308"/>
    <cellStyle name="표준 174 2 7 2 2 3" xfId="16172"/>
    <cellStyle name="표준 174 2 7 2 2 3 2" xfId="32876"/>
    <cellStyle name="표준 174 2 7 2 2 4" xfId="21740"/>
    <cellStyle name="표준 174 2 7 2 3" xfId="7820"/>
    <cellStyle name="표준 174 2 7 2 3 2" xfId="24524"/>
    <cellStyle name="표준 174 2 7 2 4" xfId="13388"/>
    <cellStyle name="표준 174 2 7 2 4 2" xfId="30092"/>
    <cellStyle name="표준 174 2 7 2 5" xfId="18956"/>
    <cellStyle name="표준 174 2 7 3" xfId="3644"/>
    <cellStyle name="표준 174 2 7 3 2" xfId="9212"/>
    <cellStyle name="표준 174 2 7 3 2 2" xfId="25916"/>
    <cellStyle name="표준 174 2 7 3 3" xfId="14780"/>
    <cellStyle name="표준 174 2 7 3 3 2" xfId="31484"/>
    <cellStyle name="표준 174 2 7 3 4" xfId="20348"/>
    <cellStyle name="표준 174 2 7 4" xfId="6428"/>
    <cellStyle name="표준 174 2 7 4 2" xfId="23132"/>
    <cellStyle name="표준 174 2 7 5" xfId="11996"/>
    <cellStyle name="표준 174 2 7 5 2" xfId="28700"/>
    <cellStyle name="표준 174 2 7 6" xfId="17564"/>
    <cellStyle name="표준 174 2 8" xfId="1556"/>
    <cellStyle name="표준 174 2 8 2" xfId="4340"/>
    <cellStyle name="표준 174 2 8 2 2" xfId="9908"/>
    <cellStyle name="표준 174 2 8 2 2 2" xfId="26612"/>
    <cellStyle name="표준 174 2 8 2 3" xfId="15476"/>
    <cellStyle name="표준 174 2 8 2 3 2" xfId="32180"/>
    <cellStyle name="표준 174 2 8 2 4" xfId="21044"/>
    <cellStyle name="표준 174 2 8 3" xfId="7124"/>
    <cellStyle name="표준 174 2 8 3 2" xfId="23828"/>
    <cellStyle name="표준 174 2 8 4" xfId="12692"/>
    <cellStyle name="표준 174 2 8 4 2" xfId="29396"/>
    <cellStyle name="표준 174 2 8 5" xfId="18260"/>
    <cellStyle name="표준 174 2 9" xfId="2948"/>
    <cellStyle name="표준 174 2 9 2" xfId="8516"/>
    <cellStyle name="표준 174 2 9 2 2" xfId="25220"/>
    <cellStyle name="표준 174 2 9 3" xfId="14084"/>
    <cellStyle name="표준 174 2 9 3 2" xfId="30788"/>
    <cellStyle name="표준 174 2 9 4" xfId="19652"/>
    <cellStyle name="표준 174 3" xfId="187"/>
    <cellStyle name="표준 174 3 10" xfId="11323"/>
    <cellStyle name="표준 174 3 10 2" xfId="28027"/>
    <cellStyle name="표준 174 3 11" xfId="16891"/>
    <cellStyle name="표준 174 3 2" xfId="245"/>
    <cellStyle name="표준 174 3 2 10" xfId="16949"/>
    <cellStyle name="표준 174 3 2 2" xfId="361"/>
    <cellStyle name="표준 174 3 2 2 2" xfId="593"/>
    <cellStyle name="표준 174 3 2 2 2 2" xfId="1289"/>
    <cellStyle name="표준 174 3 2 2 2 2 2" xfId="2681"/>
    <cellStyle name="표준 174 3 2 2 2 2 2 2" xfId="5465"/>
    <cellStyle name="표준 174 3 2 2 2 2 2 2 2" xfId="11033"/>
    <cellStyle name="표준 174 3 2 2 2 2 2 2 2 2" xfId="27737"/>
    <cellStyle name="표준 174 3 2 2 2 2 2 2 3" xfId="16601"/>
    <cellStyle name="표준 174 3 2 2 2 2 2 2 3 2" xfId="33305"/>
    <cellStyle name="표준 174 3 2 2 2 2 2 2 4" xfId="22169"/>
    <cellStyle name="표준 174 3 2 2 2 2 2 3" xfId="8249"/>
    <cellStyle name="표준 174 3 2 2 2 2 2 3 2" xfId="24953"/>
    <cellStyle name="표준 174 3 2 2 2 2 2 4" xfId="13817"/>
    <cellStyle name="표준 174 3 2 2 2 2 2 4 2" xfId="30521"/>
    <cellStyle name="표준 174 3 2 2 2 2 2 5" xfId="19385"/>
    <cellStyle name="표준 174 3 2 2 2 2 3" xfId="4073"/>
    <cellStyle name="표준 174 3 2 2 2 2 3 2" xfId="9641"/>
    <cellStyle name="표준 174 3 2 2 2 2 3 2 2" xfId="26345"/>
    <cellStyle name="표준 174 3 2 2 2 2 3 3" xfId="15209"/>
    <cellStyle name="표준 174 3 2 2 2 2 3 3 2" xfId="31913"/>
    <cellStyle name="표준 174 3 2 2 2 2 3 4" xfId="20777"/>
    <cellStyle name="표준 174 3 2 2 2 2 4" xfId="6857"/>
    <cellStyle name="표준 174 3 2 2 2 2 4 2" xfId="23561"/>
    <cellStyle name="표준 174 3 2 2 2 2 5" xfId="12425"/>
    <cellStyle name="표준 174 3 2 2 2 2 5 2" xfId="29129"/>
    <cellStyle name="표준 174 3 2 2 2 2 6" xfId="17993"/>
    <cellStyle name="표준 174 3 2 2 2 3" xfId="1985"/>
    <cellStyle name="표준 174 3 2 2 2 3 2" xfId="4769"/>
    <cellStyle name="표준 174 3 2 2 2 3 2 2" xfId="10337"/>
    <cellStyle name="표준 174 3 2 2 2 3 2 2 2" xfId="27041"/>
    <cellStyle name="표준 174 3 2 2 2 3 2 3" xfId="15905"/>
    <cellStyle name="표준 174 3 2 2 2 3 2 3 2" xfId="32609"/>
    <cellStyle name="표준 174 3 2 2 2 3 2 4" xfId="21473"/>
    <cellStyle name="표준 174 3 2 2 2 3 3" xfId="7553"/>
    <cellStyle name="표준 174 3 2 2 2 3 3 2" xfId="24257"/>
    <cellStyle name="표준 174 3 2 2 2 3 4" xfId="13121"/>
    <cellStyle name="표준 174 3 2 2 2 3 4 2" xfId="29825"/>
    <cellStyle name="표준 174 3 2 2 2 3 5" xfId="18689"/>
    <cellStyle name="표준 174 3 2 2 2 4" xfId="3377"/>
    <cellStyle name="표준 174 3 2 2 2 4 2" xfId="8945"/>
    <cellStyle name="표준 174 3 2 2 2 4 2 2" xfId="25649"/>
    <cellStyle name="표준 174 3 2 2 2 4 3" xfId="14513"/>
    <cellStyle name="표준 174 3 2 2 2 4 3 2" xfId="31217"/>
    <cellStyle name="표준 174 3 2 2 2 4 4" xfId="20081"/>
    <cellStyle name="표준 174 3 2 2 2 5" xfId="6161"/>
    <cellStyle name="표준 174 3 2 2 2 5 2" xfId="22865"/>
    <cellStyle name="표준 174 3 2 2 2 6" xfId="11729"/>
    <cellStyle name="표준 174 3 2 2 2 6 2" xfId="28433"/>
    <cellStyle name="표준 174 3 2 2 2 7" xfId="17297"/>
    <cellStyle name="표준 174 3 2 2 3" xfId="825"/>
    <cellStyle name="표준 174 3 2 2 3 2" xfId="1521"/>
    <cellStyle name="표준 174 3 2 2 3 2 2" xfId="2913"/>
    <cellStyle name="표준 174 3 2 2 3 2 2 2" xfId="5697"/>
    <cellStyle name="표준 174 3 2 2 3 2 2 2 2" xfId="11265"/>
    <cellStyle name="표준 174 3 2 2 3 2 2 2 2 2" xfId="27969"/>
    <cellStyle name="표준 174 3 2 2 3 2 2 2 3" xfId="16833"/>
    <cellStyle name="표준 174 3 2 2 3 2 2 2 3 2" xfId="33537"/>
    <cellStyle name="표준 174 3 2 2 3 2 2 2 4" xfId="22401"/>
    <cellStyle name="표준 174 3 2 2 3 2 2 3" xfId="8481"/>
    <cellStyle name="표준 174 3 2 2 3 2 2 3 2" xfId="25185"/>
    <cellStyle name="표준 174 3 2 2 3 2 2 4" xfId="14049"/>
    <cellStyle name="표준 174 3 2 2 3 2 2 4 2" xfId="30753"/>
    <cellStyle name="표준 174 3 2 2 3 2 2 5" xfId="19617"/>
    <cellStyle name="표준 174 3 2 2 3 2 3" xfId="4305"/>
    <cellStyle name="표준 174 3 2 2 3 2 3 2" xfId="9873"/>
    <cellStyle name="표준 174 3 2 2 3 2 3 2 2" xfId="26577"/>
    <cellStyle name="표준 174 3 2 2 3 2 3 3" xfId="15441"/>
    <cellStyle name="표준 174 3 2 2 3 2 3 3 2" xfId="32145"/>
    <cellStyle name="표준 174 3 2 2 3 2 3 4" xfId="21009"/>
    <cellStyle name="표준 174 3 2 2 3 2 4" xfId="7089"/>
    <cellStyle name="표준 174 3 2 2 3 2 4 2" xfId="23793"/>
    <cellStyle name="표준 174 3 2 2 3 2 5" xfId="12657"/>
    <cellStyle name="표준 174 3 2 2 3 2 5 2" xfId="29361"/>
    <cellStyle name="표준 174 3 2 2 3 2 6" xfId="18225"/>
    <cellStyle name="표준 174 3 2 2 3 3" xfId="2217"/>
    <cellStyle name="표준 174 3 2 2 3 3 2" xfId="5001"/>
    <cellStyle name="표준 174 3 2 2 3 3 2 2" xfId="10569"/>
    <cellStyle name="표준 174 3 2 2 3 3 2 2 2" xfId="27273"/>
    <cellStyle name="표준 174 3 2 2 3 3 2 3" xfId="16137"/>
    <cellStyle name="표준 174 3 2 2 3 3 2 3 2" xfId="32841"/>
    <cellStyle name="표준 174 3 2 2 3 3 2 4" xfId="21705"/>
    <cellStyle name="표준 174 3 2 2 3 3 3" xfId="7785"/>
    <cellStyle name="표준 174 3 2 2 3 3 3 2" xfId="24489"/>
    <cellStyle name="표준 174 3 2 2 3 3 4" xfId="13353"/>
    <cellStyle name="표준 174 3 2 2 3 3 4 2" xfId="30057"/>
    <cellStyle name="표준 174 3 2 2 3 3 5" xfId="18921"/>
    <cellStyle name="표준 174 3 2 2 3 4" xfId="3609"/>
    <cellStyle name="표준 174 3 2 2 3 4 2" xfId="9177"/>
    <cellStyle name="표준 174 3 2 2 3 4 2 2" xfId="25881"/>
    <cellStyle name="표준 174 3 2 2 3 4 3" xfId="14745"/>
    <cellStyle name="표준 174 3 2 2 3 4 3 2" xfId="31449"/>
    <cellStyle name="표준 174 3 2 2 3 4 4" xfId="20313"/>
    <cellStyle name="표준 174 3 2 2 3 5" xfId="6393"/>
    <cellStyle name="표준 174 3 2 2 3 5 2" xfId="23097"/>
    <cellStyle name="표준 174 3 2 2 3 6" xfId="11961"/>
    <cellStyle name="표준 174 3 2 2 3 6 2" xfId="28665"/>
    <cellStyle name="표준 174 3 2 2 3 7" xfId="17529"/>
    <cellStyle name="표준 174 3 2 2 4" xfId="1057"/>
    <cellStyle name="표준 174 3 2 2 4 2" xfId="2449"/>
    <cellStyle name="표준 174 3 2 2 4 2 2" xfId="5233"/>
    <cellStyle name="표준 174 3 2 2 4 2 2 2" xfId="10801"/>
    <cellStyle name="표준 174 3 2 2 4 2 2 2 2" xfId="27505"/>
    <cellStyle name="표준 174 3 2 2 4 2 2 3" xfId="16369"/>
    <cellStyle name="표준 174 3 2 2 4 2 2 3 2" xfId="33073"/>
    <cellStyle name="표준 174 3 2 2 4 2 2 4" xfId="21937"/>
    <cellStyle name="표준 174 3 2 2 4 2 3" xfId="8017"/>
    <cellStyle name="표준 174 3 2 2 4 2 3 2" xfId="24721"/>
    <cellStyle name="표준 174 3 2 2 4 2 4" xfId="13585"/>
    <cellStyle name="표준 174 3 2 2 4 2 4 2" xfId="30289"/>
    <cellStyle name="표준 174 3 2 2 4 2 5" xfId="19153"/>
    <cellStyle name="표준 174 3 2 2 4 3" xfId="3841"/>
    <cellStyle name="표준 174 3 2 2 4 3 2" xfId="9409"/>
    <cellStyle name="표준 174 3 2 2 4 3 2 2" xfId="26113"/>
    <cellStyle name="표준 174 3 2 2 4 3 3" xfId="14977"/>
    <cellStyle name="표준 174 3 2 2 4 3 3 2" xfId="31681"/>
    <cellStyle name="표준 174 3 2 2 4 3 4" xfId="20545"/>
    <cellStyle name="표준 174 3 2 2 4 4" xfId="6625"/>
    <cellStyle name="표준 174 3 2 2 4 4 2" xfId="23329"/>
    <cellStyle name="표준 174 3 2 2 4 5" xfId="12193"/>
    <cellStyle name="표준 174 3 2 2 4 5 2" xfId="28897"/>
    <cellStyle name="표준 174 3 2 2 4 6" xfId="17761"/>
    <cellStyle name="표준 174 3 2 2 5" xfId="1753"/>
    <cellStyle name="표준 174 3 2 2 5 2" xfId="4537"/>
    <cellStyle name="표준 174 3 2 2 5 2 2" xfId="10105"/>
    <cellStyle name="표준 174 3 2 2 5 2 2 2" xfId="26809"/>
    <cellStyle name="표준 174 3 2 2 5 2 3" xfId="15673"/>
    <cellStyle name="표준 174 3 2 2 5 2 3 2" xfId="32377"/>
    <cellStyle name="표준 174 3 2 2 5 2 4" xfId="21241"/>
    <cellStyle name="표준 174 3 2 2 5 3" xfId="7321"/>
    <cellStyle name="표준 174 3 2 2 5 3 2" xfId="24025"/>
    <cellStyle name="표준 174 3 2 2 5 4" xfId="12889"/>
    <cellStyle name="표준 174 3 2 2 5 4 2" xfId="29593"/>
    <cellStyle name="표준 174 3 2 2 5 5" xfId="18457"/>
    <cellStyle name="표준 174 3 2 2 6" xfId="3145"/>
    <cellStyle name="표준 174 3 2 2 6 2" xfId="8713"/>
    <cellStyle name="표준 174 3 2 2 6 2 2" xfId="25417"/>
    <cellStyle name="표준 174 3 2 2 6 3" xfId="14281"/>
    <cellStyle name="표준 174 3 2 2 6 3 2" xfId="30985"/>
    <cellStyle name="표준 174 3 2 2 6 4" xfId="19849"/>
    <cellStyle name="표준 174 3 2 2 7" xfId="5929"/>
    <cellStyle name="표준 174 3 2 2 7 2" xfId="22633"/>
    <cellStyle name="표준 174 3 2 2 8" xfId="11497"/>
    <cellStyle name="표준 174 3 2 2 8 2" xfId="28201"/>
    <cellStyle name="표준 174 3 2 2 9" xfId="17065"/>
    <cellStyle name="표준 174 3 2 3" xfId="477"/>
    <cellStyle name="표준 174 3 2 3 2" xfId="1173"/>
    <cellStyle name="표준 174 3 2 3 2 2" xfId="2565"/>
    <cellStyle name="표준 174 3 2 3 2 2 2" xfId="5349"/>
    <cellStyle name="표준 174 3 2 3 2 2 2 2" xfId="10917"/>
    <cellStyle name="표준 174 3 2 3 2 2 2 2 2" xfId="27621"/>
    <cellStyle name="표준 174 3 2 3 2 2 2 3" xfId="16485"/>
    <cellStyle name="표준 174 3 2 3 2 2 2 3 2" xfId="33189"/>
    <cellStyle name="표준 174 3 2 3 2 2 2 4" xfId="22053"/>
    <cellStyle name="표준 174 3 2 3 2 2 3" xfId="8133"/>
    <cellStyle name="표준 174 3 2 3 2 2 3 2" xfId="24837"/>
    <cellStyle name="표준 174 3 2 3 2 2 4" xfId="13701"/>
    <cellStyle name="표준 174 3 2 3 2 2 4 2" xfId="30405"/>
    <cellStyle name="표준 174 3 2 3 2 2 5" xfId="19269"/>
    <cellStyle name="표준 174 3 2 3 2 3" xfId="3957"/>
    <cellStyle name="표준 174 3 2 3 2 3 2" xfId="9525"/>
    <cellStyle name="표준 174 3 2 3 2 3 2 2" xfId="26229"/>
    <cellStyle name="표준 174 3 2 3 2 3 3" xfId="15093"/>
    <cellStyle name="표준 174 3 2 3 2 3 3 2" xfId="31797"/>
    <cellStyle name="표준 174 3 2 3 2 3 4" xfId="20661"/>
    <cellStyle name="표준 174 3 2 3 2 4" xfId="6741"/>
    <cellStyle name="표준 174 3 2 3 2 4 2" xfId="23445"/>
    <cellStyle name="표준 174 3 2 3 2 5" xfId="12309"/>
    <cellStyle name="표준 174 3 2 3 2 5 2" xfId="29013"/>
    <cellStyle name="표준 174 3 2 3 2 6" xfId="17877"/>
    <cellStyle name="표준 174 3 2 3 3" xfId="1869"/>
    <cellStyle name="표준 174 3 2 3 3 2" xfId="4653"/>
    <cellStyle name="표준 174 3 2 3 3 2 2" xfId="10221"/>
    <cellStyle name="표준 174 3 2 3 3 2 2 2" xfId="26925"/>
    <cellStyle name="표준 174 3 2 3 3 2 3" xfId="15789"/>
    <cellStyle name="표준 174 3 2 3 3 2 3 2" xfId="32493"/>
    <cellStyle name="표준 174 3 2 3 3 2 4" xfId="21357"/>
    <cellStyle name="표준 174 3 2 3 3 3" xfId="7437"/>
    <cellStyle name="표준 174 3 2 3 3 3 2" xfId="24141"/>
    <cellStyle name="표준 174 3 2 3 3 4" xfId="13005"/>
    <cellStyle name="표준 174 3 2 3 3 4 2" xfId="29709"/>
    <cellStyle name="표준 174 3 2 3 3 5" xfId="18573"/>
    <cellStyle name="표준 174 3 2 3 4" xfId="3261"/>
    <cellStyle name="표준 174 3 2 3 4 2" xfId="8829"/>
    <cellStyle name="표준 174 3 2 3 4 2 2" xfId="25533"/>
    <cellStyle name="표준 174 3 2 3 4 3" xfId="14397"/>
    <cellStyle name="표준 174 3 2 3 4 3 2" xfId="31101"/>
    <cellStyle name="표준 174 3 2 3 4 4" xfId="19965"/>
    <cellStyle name="표준 174 3 2 3 5" xfId="6045"/>
    <cellStyle name="표준 174 3 2 3 5 2" xfId="22749"/>
    <cellStyle name="표준 174 3 2 3 6" xfId="11613"/>
    <cellStyle name="표준 174 3 2 3 6 2" xfId="28317"/>
    <cellStyle name="표준 174 3 2 3 7" xfId="17181"/>
    <cellStyle name="표준 174 3 2 4" xfId="709"/>
    <cellStyle name="표준 174 3 2 4 2" xfId="1405"/>
    <cellStyle name="표준 174 3 2 4 2 2" xfId="2797"/>
    <cellStyle name="표준 174 3 2 4 2 2 2" xfId="5581"/>
    <cellStyle name="표준 174 3 2 4 2 2 2 2" xfId="11149"/>
    <cellStyle name="표준 174 3 2 4 2 2 2 2 2" xfId="27853"/>
    <cellStyle name="표준 174 3 2 4 2 2 2 3" xfId="16717"/>
    <cellStyle name="표준 174 3 2 4 2 2 2 3 2" xfId="33421"/>
    <cellStyle name="표준 174 3 2 4 2 2 2 4" xfId="22285"/>
    <cellStyle name="표준 174 3 2 4 2 2 3" xfId="8365"/>
    <cellStyle name="표준 174 3 2 4 2 2 3 2" xfId="25069"/>
    <cellStyle name="표준 174 3 2 4 2 2 4" xfId="13933"/>
    <cellStyle name="표준 174 3 2 4 2 2 4 2" xfId="30637"/>
    <cellStyle name="표준 174 3 2 4 2 2 5" xfId="19501"/>
    <cellStyle name="표준 174 3 2 4 2 3" xfId="4189"/>
    <cellStyle name="표준 174 3 2 4 2 3 2" xfId="9757"/>
    <cellStyle name="표준 174 3 2 4 2 3 2 2" xfId="26461"/>
    <cellStyle name="표준 174 3 2 4 2 3 3" xfId="15325"/>
    <cellStyle name="표준 174 3 2 4 2 3 3 2" xfId="32029"/>
    <cellStyle name="표준 174 3 2 4 2 3 4" xfId="20893"/>
    <cellStyle name="표준 174 3 2 4 2 4" xfId="6973"/>
    <cellStyle name="표준 174 3 2 4 2 4 2" xfId="23677"/>
    <cellStyle name="표준 174 3 2 4 2 5" xfId="12541"/>
    <cellStyle name="표준 174 3 2 4 2 5 2" xfId="29245"/>
    <cellStyle name="표준 174 3 2 4 2 6" xfId="18109"/>
    <cellStyle name="표준 174 3 2 4 3" xfId="2101"/>
    <cellStyle name="표준 174 3 2 4 3 2" xfId="4885"/>
    <cellStyle name="표준 174 3 2 4 3 2 2" xfId="10453"/>
    <cellStyle name="표준 174 3 2 4 3 2 2 2" xfId="27157"/>
    <cellStyle name="표준 174 3 2 4 3 2 3" xfId="16021"/>
    <cellStyle name="표준 174 3 2 4 3 2 3 2" xfId="32725"/>
    <cellStyle name="표준 174 3 2 4 3 2 4" xfId="21589"/>
    <cellStyle name="표준 174 3 2 4 3 3" xfId="7669"/>
    <cellStyle name="표준 174 3 2 4 3 3 2" xfId="24373"/>
    <cellStyle name="표준 174 3 2 4 3 4" xfId="13237"/>
    <cellStyle name="표준 174 3 2 4 3 4 2" xfId="29941"/>
    <cellStyle name="표준 174 3 2 4 3 5" xfId="18805"/>
    <cellStyle name="표준 174 3 2 4 4" xfId="3493"/>
    <cellStyle name="표준 174 3 2 4 4 2" xfId="9061"/>
    <cellStyle name="표준 174 3 2 4 4 2 2" xfId="25765"/>
    <cellStyle name="표준 174 3 2 4 4 3" xfId="14629"/>
    <cellStyle name="표준 174 3 2 4 4 3 2" xfId="31333"/>
    <cellStyle name="표준 174 3 2 4 4 4" xfId="20197"/>
    <cellStyle name="표준 174 3 2 4 5" xfId="6277"/>
    <cellStyle name="표준 174 3 2 4 5 2" xfId="22981"/>
    <cellStyle name="표준 174 3 2 4 6" xfId="11845"/>
    <cellStyle name="표준 174 3 2 4 6 2" xfId="28549"/>
    <cellStyle name="표준 174 3 2 4 7" xfId="17413"/>
    <cellStyle name="표준 174 3 2 5" xfId="941"/>
    <cellStyle name="표준 174 3 2 5 2" xfId="2333"/>
    <cellStyle name="표준 174 3 2 5 2 2" xfId="5117"/>
    <cellStyle name="표준 174 3 2 5 2 2 2" xfId="10685"/>
    <cellStyle name="표준 174 3 2 5 2 2 2 2" xfId="27389"/>
    <cellStyle name="표준 174 3 2 5 2 2 3" xfId="16253"/>
    <cellStyle name="표준 174 3 2 5 2 2 3 2" xfId="32957"/>
    <cellStyle name="표준 174 3 2 5 2 2 4" xfId="21821"/>
    <cellStyle name="표준 174 3 2 5 2 3" xfId="7901"/>
    <cellStyle name="표준 174 3 2 5 2 3 2" xfId="24605"/>
    <cellStyle name="표준 174 3 2 5 2 4" xfId="13469"/>
    <cellStyle name="표준 174 3 2 5 2 4 2" xfId="30173"/>
    <cellStyle name="표준 174 3 2 5 2 5" xfId="19037"/>
    <cellStyle name="표준 174 3 2 5 3" xfId="3725"/>
    <cellStyle name="표준 174 3 2 5 3 2" xfId="9293"/>
    <cellStyle name="표준 174 3 2 5 3 2 2" xfId="25997"/>
    <cellStyle name="표준 174 3 2 5 3 3" xfId="14861"/>
    <cellStyle name="표준 174 3 2 5 3 3 2" xfId="31565"/>
    <cellStyle name="표준 174 3 2 5 3 4" xfId="20429"/>
    <cellStyle name="표준 174 3 2 5 4" xfId="6509"/>
    <cellStyle name="표준 174 3 2 5 4 2" xfId="23213"/>
    <cellStyle name="표준 174 3 2 5 5" xfId="12077"/>
    <cellStyle name="표준 174 3 2 5 5 2" xfId="28781"/>
    <cellStyle name="표준 174 3 2 5 6" xfId="17645"/>
    <cellStyle name="표준 174 3 2 6" xfId="1637"/>
    <cellStyle name="표준 174 3 2 6 2" xfId="4421"/>
    <cellStyle name="표준 174 3 2 6 2 2" xfId="9989"/>
    <cellStyle name="표준 174 3 2 6 2 2 2" xfId="26693"/>
    <cellStyle name="표준 174 3 2 6 2 3" xfId="15557"/>
    <cellStyle name="표준 174 3 2 6 2 3 2" xfId="32261"/>
    <cellStyle name="표준 174 3 2 6 2 4" xfId="21125"/>
    <cellStyle name="표준 174 3 2 6 3" xfId="7205"/>
    <cellStyle name="표준 174 3 2 6 3 2" xfId="23909"/>
    <cellStyle name="표준 174 3 2 6 4" xfId="12773"/>
    <cellStyle name="표준 174 3 2 6 4 2" xfId="29477"/>
    <cellStyle name="표준 174 3 2 6 5" xfId="18341"/>
    <cellStyle name="표준 174 3 2 7" xfId="3029"/>
    <cellStyle name="표준 174 3 2 7 2" xfId="8597"/>
    <cellStyle name="표준 174 3 2 7 2 2" xfId="25301"/>
    <cellStyle name="표준 174 3 2 7 3" xfId="14165"/>
    <cellStyle name="표준 174 3 2 7 3 2" xfId="30869"/>
    <cellStyle name="표준 174 3 2 7 4" xfId="19733"/>
    <cellStyle name="표준 174 3 2 8" xfId="5813"/>
    <cellStyle name="표준 174 3 2 8 2" xfId="22517"/>
    <cellStyle name="표준 174 3 2 9" xfId="11381"/>
    <cellStyle name="표준 174 3 2 9 2" xfId="28085"/>
    <cellStyle name="표준 174 3 3" xfId="303"/>
    <cellStyle name="표준 174 3 3 2" xfId="535"/>
    <cellStyle name="표준 174 3 3 2 2" xfId="1231"/>
    <cellStyle name="표준 174 3 3 2 2 2" xfId="2623"/>
    <cellStyle name="표준 174 3 3 2 2 2 2" xfId="5407"/>
    <cellStyle name="표준 174 3 3 2 2 2 2 2" xfId="10975"/>
    <cellStyle name="표준 174 3 3 2 2 2 2 2 2" xfId="27679"/>
    <cellStyle name="표준 174 3 3 2 2 2 2 3" xfId="16543"/>
    <cellStyle name="표준 174 3 3 2 2 2 2 3 2" xfId="33247"/>
    <cellStyle name="표준 174 3 3 2 2 2 2 4" xfId="22111"/>
    <cellStyle name="표준 174 3 3 2 2 2 3" xfId="8191"/>
    <cellStyle name="표준 174 3 3 2 2 2 3 2" xfId="24895"/>
    <cellStyle name="표준 174 3 3 2 2 2 4" xfId="13759"/>
    <cellStyle name="표준 174 3 3 2 2 2 4 2" xfId="30463"/>
    <cellStyle name="표준 174 3 3 2 2 2 5" xfId="19327"/>
    <cellStyle name="표준 174 3 3 2 2 3" xfId="4015"/>
    <cellStyle name="표준 174 3 3 2 2 3 2" xfId="9583"/>
    <cellStyle name="표준 174 3 3 2 2 3 2 2" xfId="26287"/>
    <cellStyle name="표준 174 3 3 2 2 3 3" xfId="15151"/>
    <cellStyle name="표준 174 3 3 2 2 3 3 2" xfId="31855"/>
    <cellStyle name="표준 174 3 3 2 2 3 4" xfId="20719"/>
    <cellStyle name="표준 174 3 3 2 2 4" xfId="6799"/>
    <cellStyle name="표준 174 3 3 2 2 4 2" xfId="23503"/>
    <cellStyle name="표준 174 3 3 2 2 5" xfId="12367"/>
    <cellStyle name="표준 174 3 3 2 2 5 2" xfId="29071"/>
    <cellStyle name="표준 174 3 3 2 2 6" xfId="17935"/>
    <cellStyle name="표준 174 3 3 2 3" xfId="1927"/>
    <cellStyle name="표준 174 3 3 2 3 2" xfId="4711"/>
    <cellStyle name="표준 174 3 3 2 3 2 2" xfId="10279"/>
    <cellStyle name="표준 174 3 3 2 3 2 2 2" xfId="26983"/>
    <cellStyle name="표준 174 3 3 2 3 2 3" xfId="15847"/>
    <cellStyle name="표준 174 3 3 2 3 2 3 2" xfId="32551"/>
    <cellStyle name="표준 174 3 3 2 3 2 4" xfId="21415"/>
    <cellStyle name="표준 174 3 3 2 3 3" xfId="7495"/>
    <cellStyle name="표준 174 3 3 2 3 3 2" xfId="24199"/>
    <cellStyle name="표준 174 3 3 2 3 4" xfId="13063"/>
    <cellStyle name="표준 174 3 3 2 3 4 2" xfId="29767"/>
    <cellStyle name="표준 174 3 3 2 3 5" xfId="18631"/>
    <cellStyle name="표준 174 3 3 2 4" xfId="3319"/>
    <cellStyle name="표준 174 3 3 2 4 2" xfId="8887"/>
    <cellStyle name="표준 174 3 3 2 4 2 2" xfId="25591"/>
    <cellStyle name="표준 174 3 3 2 4 3" xfId="14455"/>
    <cellStyle name="표준 174 3 3 2 4 3 2" xfId="31159"/>
    <cellStyle name="표준 174 3 3 2 4 4" xfId="20023"/>
    <cellStyle name="표준 174 3 3 2 5" xfId="6103"/>
    <cellStyle name="표준 174 3 3 2 5 2" xfId="22807"/>
    <cellStyle name="표준 174 3 3 2 6" xfId="11671"/>
    <cellStyle name="표준 174 3 3 2 6 2" xfId="28375"/>
    <cellStyle name="표준 174 3 3 2 7" xfId="17239"/>
    <cellStyle name="표준 174 3 3 3" xfId="767"/>
    <cellStyle name="표준 174 3 3 3 2" xfId="1463"/>
    <cellStyle name="표준 174 3 3 3 2 2" xfId="2855"/>
    <cellStyle name="표준 174 3 3 3 2 2 2" xfId="5639"/>
    <cellStyle name="표준 174 3 3 3 2 2 2 2" xfId="11207"/>
    <cellStyle name="표준 174 3 3 3 2 2 2 2 2" xfId="27911"/>
    <cellStyle name="표준 174 3 3 3 2 2 2 3" xfId="16775"/>
    <cellStyle name="표준 174 3 3 3 2 2 2 3 2" xfId="33479"/>
    <cellStyle name="표준 174 3 3 3 2 2 2 4" xfId="22343"/>
    <cellStyle name="표준 174 3 3 3 2 2 3" xfId="8423"/>
    <cellStyle name="표준 174 3 3 3 2 2 3 2" xfId="25127"/>
    <cellStyle name="표준 174 3 3 3 2 2 4" xfId="13991"/>
    <cellStyle name="표준 174 3 3 3 2 2 4 2" xfId="30695"/>
    <cellStyle name="표준 174 3 3 3 2 2 5" xfId="19559"/>
    <cellStyle name="표준 174 3 3 3 2 3" xfId="4247"/>
    <cellStyle name="표준 174 3 3 3 2 3 2" xfId="9815"/>
    <cellStyle name="표준 174 3 3 3 2 3 2 2" xfId="26519"/>
    <cellStyle name="표준 174 3 3 3 2 3 3" xfId="15383"/>
    <cellStyle name="표준 174 3 3 3 2 3 3 2" xfId="32087"/>
    <cellStyle name="표준 174 3 3 3 2 3 4" xfId="20951"/>
    <cellStyle name="표준 174 3 3 3 2 4" xfId="7031"/>
    <cellStyle name="표준 174 3 3 3 2 4 2" xfId="23735"/>
    <cellStyle name="표준 174 3 3 3 2 5" xfId="12599"/>
    <cellStyle name="표준 174 3 3 3 2 5 2" xfId="29303"/>
    <cellStyle name="표준 174 3 3 3 2 6" xfId="18167"/>
    <cellStyle name="표준 174 3 3 3 3" xfId="2159"/>
    <cellStyle name="표준 174 3 3 3 3 2" xfId="4943"/>
    <cellStyle name="표준 174 3 3 3 3 2 2" xfId="10511"/>
    <cellStyle name="표준 174 3 3 3 3 2 2 2" xfId="27215"/>
    <cellStyle name="표준 174 3 3 3 3 2 3" xfId="16079"/>
    <cellStyle name="표준 174 3 3 3 3 2 3 2" xfId="32783"/>
    <cellStyle name="표준 174 3 3 3 3 2 4" xfId="21647"/>
    <cellStyle name="표준 174 3 3 3 3 3" xfId="7727"/>
    <cellStyle name="표준 174 3 3 3 3 3 2" xfId="24431"/>
    <cellStyle name="표준 174 3 3 3 3 4" xfId="13295"/>
    <cellStyle name="표준 174 3 3 3 3 4 2" xfId="29999"/>
    <cellStyle name="표준 174 3 3 3 3 5" xfId="18863"/>
    <cellStyle name="표준 174 3 3 3 4" xfId="3551"/>
    <cellStyle name="표준 174 3 3 3 4 2" xfId="9119"/>
    <cellStyle name="표준 174 3 3 3 4 2 2" xfId="25823"/>
    <cellStyle name="표준 174 3 3 3 4 3" xfId="14687"/>
    <cellStyle name="표준 174 3 3 3 4 3 2" xfId="31391"/>
    <cellStyle name="표준 174 3 3 3 4 4" xfId="20255"/>
    <cellStyle name="표준 174 3 3 3 5" xfId="6335"/>
    <cellStyle name="표준 174 3 3 3 5 2" xfId="23039"/>
    <cellStyle name="표준 174 3 3 3 6" xfId="11903"/>
    <cellStyle name="표준 174 3 3 3 6 2" xfId="28607"/>
    <cellStyle name="표준 174 3 3 3 7" xfId="17471"/>
    <cellStyle name="표준 174 3 3 4" xfId="999"/>
    <cellStyle name="표준 174 3 3 4 2" xfId="2391"/>
    <cellStyle name="표준 174 3 3 4 2 2" xfId="5175"/>
    <cellStyle name="표준 174 3 3 4 2 2 2" xfId="10743"/>
    <cellStyle name="표준 174 3 3 4 2 2 2 2" xfId="27447"/>
    <cellStyle name="표준 174 3 3 4 2 2 3" xfId="16311"/>
    <cellStyle name="표준 174 3 3 4 2 2 3 2" xfId="33015"/>
    <cellStyle name="표준 174 3 3 4 2 2 4" xfId="21879"/>
    <cellStyle name="표준 174 3 3 4 2 3" xfId="7959"/>
    <cellStyle name="표준 174 3 3 4 2 3 2" xfId="24663"/>
    <cellStyle name="표준 174 3 3 4 2 4" xfId="13527"/>
    <cellStyle name="표준 174 3 3 4 2 4 2" xfId="30231"/>
    <cellStyle name="표준 174 3 3 4 2 5" xfId="19095"/>
    <cellStyle name="표준 174 3 3 4 3" xfId="3783"/>
    <cellStyle name="표준 174 3 3 4 3 2" xfId="9351"/>
    <cellStyle name="표준 174 3 3 4 3 2 2" xfId="26055"/>
    <cellStyle name="표준 174 3 3 4 3 3" xfId="14919"/>
    <cellStyle name="표준 174 3 3 4 3 3 2" xfId="31623"/>
    <cellStyle name="표준 174 3 3 4 3 4" xfId="20487"/>
    <cellStyle name="표준 174 3 3 4 4" xfId="6567"/>
    <cellStyle name="표준 174 3 3 4 4 2" xfId="23271"/>
    <cellStyle name="표준 174 3 3 4 5" xfId="12135"/>
    <cellStyle name="표준 174 3 3 4 5 2" xfId="28839"/>
    <cellStyle name="표준 174 3 3 4 6" xfId="17703"/>
    <cellStyle name="표준 174 3 3 5" xfId="1695"/>
    <cellStyle name="표준 174 3 3 5 2" xfId="4479"/>
    <cellStyle name="표준 174 3 3 5 2 2" xfId="10047"/>
    <cellStyle name="표준 174 3 3 5 2 2 2" xfId="26751"/>
    <cellStyle name="표준 174 3 3 5 2 3" xfId="15615"/>
    <cellStyle name="표준 174 3 3 5 2 3 2" xfId="32319"/>
    <cellStyle name="표준 174 3 3 5 2 4" xfId="21183"/>
    <cellStyle name="표준 174 3 3 5 3" xfId="7263"/>
    <cellStyle name="표준 174 3 3 5 3 2" xfId="23967"/>
    <cellStyle name="표준 174 3 3 5 4" xfId="12831"/>
    <cellStyle name="표준 174 3 3 5 4 2" xfId="29535"/>
    <cellStyle name="표준 174 3 3 5 5" xfId="18399"/>
    <cellStyle name="표준 174 3 3 6" xfId="3087"/>
    <cellStyle name="표준 174 3 3 6 2" xfId="8655"/>
    <cellStyle name="표준 174 3 3 6 2 2" xfId="25359"/>
    <cellStyle name="표준 174 3 3 6 3" xfId="14223"/>
    <cellStyle name="표준 174 3 3 6 3 2" xfId="30927"/>
    <cellStyle name="표준 174 3 3 6 4" xfId="19791"/>
    <cellStyle name="표준 174 3 3 7" xfId="5871"/>
    <cellStyle name="표준 174 3 3 7 2" xfId="22575"/>
    <cellStyle name="표준 174 3 3 8" xfId="11439"/>
    <cellStyle name="표준 174 3 3 8 2" xfId="28143"/>
    <cellStyle name="표준 174 3 3 9" xfId="17007"/>
    <cellStyle name="표준 174 3 4" xfId="419"/>
    <cellStyle name="표준 174 3 4 2" xfId="1115"/>
    <cellStyle name="표준 174 3 4 2 2" xfId="2507"/>
    <cellStyle name="표준 174 3 4 2 2 2" xfId="5291"/>
    <cellStyle name="표준 174 3 4 2 2 2 2" xfId="10859"/>
    <cellStyle name="표준 174 3 4 2 2 2 2 2" xfId="27563"/>
    <cellStyle name="표준 174 3 4 2 2 2 3" xfId="16427"/>
    <cellStyle name="표준 174 3 4 2 2 2 3 2" xfId="33131"/>
    <cellStyle name="표준 174 3 4 2 2 2 4" xfId="21995"/>
    <cellStyle name="표준 174 3 4 2 2 3" xfId="8075"/>
    <cellStyle name="표준 174 3 4 2 2 3 2" xfId="24779"/>
    <cellStyle name="표준 174 3 4 2 2 4" xfId="13643"/>
    <cellStyle name="표준 174 3 4 2 2 4 2" xfId="30347"/>
    <cellStyle name="표준 174 3 4 2 2 5" xfId="19211"/>
    <cellStyle name="표준 174 3 4 2 3" xfId="3899"/>
    <cellStyle name="표준 174 3 4 2 3 2" xfId="9467"/>
    <cellStyle name="표준 174 3 4 2 3 2 2" xfId="26171"/>
    <cellStyle name="표준 174 3 4 2 3 3" xfId="15035"/>
    <cellStyle name="표준 174 3 4 2 3 3 2" xfId="31739"/>
    <cellStyle name="표준 174 3 4 2 3 4" xfId="20603"/>
    <cellStyle name="표준 174 3 4 2 4" xfId="6683"/>
    <cellStyle name="표준 174 3 4 2 4 2" xfId="23387"/>
    <cellStyle name="표준 174 3 4 2 5" xfId="12251"/>
    <cellStyle name="표준 174 3 4 2 5 2" xfId="28955"/>
    <cellStyle name="표준 174 3 4 2 6" xfId="17819"/>
    <cellStyle name="표준 174 3 4 3" xfId="1811"/>
    <cellStyle name="표준 174 3 4 3 2" xfId="4595"/>
    <cellStyle name="표준 174 3 4 3 2 2" xfId="10163"/>
    <cellStyle name="표준 174 3 4 3 2 2 2" xfId="26867"/>
    <cellStyle name="표준 174 3 4 3 2 3" xfId="15731"/>
    <cellStyle name="표준 174 3 4 3 2 3 2" xfId="32435"/>
    <cellStyle name="표준 174 3 4 3 2 4" xfId="21299"/>
    <cellStyle name="표준 174 3 4 3 3" xfId="7379"/>
    <cellStyle name="표준 174 3 4 3 3 2" xfId="24083"/>
    <cellStyle name="표준 174 3 4 3 4" xfId="12947"/>
    <cellStyle name="표준 174 3 4 3 4 2" xfId="29651"/>
    <cellStyle name="표준 174 3 4 3 5" xfId="18515"/>
    <cellStyle name="표준 174 3 4 4" xfId="3203"/>
    <cellStyle name="표준 174 3 4 4 2" xfId="8771"/>
    <cellStyle name="표준 174 3 4 4 2 2" xfId="25475"/>
    <cellStyle name="표준 174 3 4 4 3" xfId="14339"/>
    <cellStyle name="표준 174 3 4 4 3 2" xfId="31043"/>
    <cellStyle name="표준 174 3 4 4 4" xfId="19907"/>
    <cellStyle name="표준 174 3 4 5" xfId="5987"/>
    <cellStyle name="표준 174 3 4 5 2" xfId="22691"/>
    <cellStyle name="표준 174 3 4 6" xfId="11555"/>
    <cellStyle name="표준 174 3 4 6 2" xfId="28259"/>
    <cellStyle name="표준 174 3 4 7" xfId="17123"/>
    <cellStyle name="표준 174 3 5" xfId="651"/>
    <cellStyle name="표준 174 3 5 2" xfId="1347"/>
    <cellStyle name="표준 174 3 5 2 2" xfId="2739"/>
    <cellStyle name="표준 174 3 5 2 2 2" xfId="5523"/>
    <cellStyle name="표준 174 3 5 2 2 2 2" xfId="11091"/>
    <cellStyle name="표준 174 3 5 2 2 2 2 2" xfId="27795"/>
    <cellStyle name="표준 174 3 5 2 2 2 3" xfId="16659"/>
    <cellStyle name="표준 174 3 5 2 2 2 3 2" xfId="33363"/>
    <cellStyle name="표준 174 3 5 2 2 2 4" xfId="22227"/>
    <cellStyle name="표준 174 3 5 2 2 3" xfId="8307"/>
    <cellStyle name="표준 174 3 5 2 2 3 2" xfId="25011"/>
    <cellStyle name="표준 174 3 5 2 2 4" xfId="13875"/>
    <cellStyle name="표준 174 3 5 2 2 4 2" xfId="30579"/>
    <cellStyle name="표준 174 3 5 2 2 5" xfId="19443"/>
    <cellStyle name="표준 174 3 5 2 3" xfId="4131"/>
    <cellStyle name="표준 174 3 5 2 3 2" xfId="9699"/>
    <cellStyle name="표준 174 3 5 2 3 2 2" xfId="26403"/>
    <cellStyle name="표준 174 3 5 2 3 3" xfId="15267"/>
    <cellStyle name="표준 174 3 5 2 3 3 2" xfId="31971"/>
    <cellStyle name="표준 174 3 5 2 3 4" xfId="20835"/>
    <cellStyle name="표준 174 3 5 2 4" xfId="6915"/>
    <cellStyle name="표준 174 3 5 2 4 2" xfId="23619"/>
    <cellStyle name="표준 174 3 5 2 5" xfId="12483"/>
    <cellStyle name="표준 174 3 5 2 5 2" xfId="29187"/>
    <cellStyle name="표준 174 3 5 2 6" xfId="18051"/>
    <cellStyle name="표준 174 3 5 3" xfId="2043"/>
    <cellStyle name="표준 174 3 5 3 2" xfId="4827"/>
    <cellStyle name="표준 174 3 5 3 2 2" xfId="10395"/>
    <cellStyle name="표준 174 3 5 3 2 2 2" xfId="27099"/>
    <cellStyle name="표준 174 3 5 3 2 3" xfId="15963"/>
    <cellStyle name="표준 174 3 5 3 2 3 2" xfId="32667"/>
    <cellStyle name="표준 174 3 5 3 2 4" xfId="21531"/>
    <cellStyle name="표준 174 3 5 3 3" xfId="7611"/>
    <cellStyle name="표준 174 3 5 3 3 2" xfId="24315"/>
    <cellStyle name="표준 174 3 5 3 4" xfId="13179"/>
    <cellStyle name="표준 174 3 5 3 4 2" xfId="29883"/>
    <cellStyle name="표준 174 3 5 3 5" xfId="18747"/>
    <cellStyle name="표준 174 3 5 4" xfId="3435"/>
    <cellStyle name="표준 174 3 5 4 2" xfId="9003"/>
    <cellStyle name="표준 174 3 5 4 2 2" xfId="25707"/>
    <cellStyle name="표준 174 3 5 4 3" xfId="14571"/>
    <cellStyle name="표준 174 3 5 4 3 2" xfId="31275"/>
    <cellStyle name="표준 174 3 5 4 4" xfId="20139"/>
    <cellStyle name="표준 174 3 5 5" xfId="6219"/>
    <cellStyle name="표준 174 3 5 5 2" xfId="22923"/>
    <cellStyle name="표준 174 3 5 6" xfId="11787"/>
    <cellStyle name="표준 174 3 5 6 2" xfId="28491"/>
    <cellStyle name="표준 174 3 5 7" xfId="17355"/>
    <cellStyle name="표준 174 3 6" xfId="883"/>
    <cellStyle name="표준 174 3 6 2" xfId="2275"/>
    <cellStyle name="표준 174 3 6 2 2" xfId="5059"/>
    <cellStyle name="표준 174 3 6 2 2 2" xfId="10627"/>
    <cellStyle name="표준 174 3 6 2 2 2 2" xfId="27331"/>
    <cellStyle name="표준 174 3 6 2 2 3" xfId="16195"/>
    <cellStyle name="표준 174 3 6 2 2 3 2" xfId="32899"/>
    <cellStyle name="표준 174 3 6 2 2 4" xfId="21763"/>
    <cellStyle name="표준 174 3 6 2 3" xfId="7843"/>
    <cellStyle name="표준 174 3 6 2 3 2" xfId="24547"/>
    <cellStyle name="표준 174 3 6 2 4" xfId="13411"/>
    <cellStyle name="표준 174 3 6 2 4 2" xfId="30115"/>
    <cellStyle name="표준 174 3 6 2 5" xfId="18979"/>
    <cellStyle name="표준 174 3 6 3" xfId="3667"/>
    <cellStyle name="표준 174 3 6 3 2" xfId="9235"/>
    <cellStyle name="표준 174 3 6 3 2 2" xfId="25939"/>
    <cellStyle name="표준 174 3 6 3 3" xfId="14803"/>
    <cellStyle name="표준 174 3 6 3 3 2" xfId="31507"/>
    <cellStyle name="표준 174 3 6 3 4" xfId="20371"/>
    <cellStyle name="표준 174 3 6 4" xfId="6451"/>
    <cellStyle name="표준 174 3 6 4 2" xfId="23155"/>
    <cellStyle name="표준 174 3 6 5" xfId="12019"/>
    <cellStyle name="표준 174 3 6 5 2" xfId="28723"/>
    <cellStyle name="표준 174 3 6 6" xfId="17587"/>
    <cellStyle name="표준 174 3 7" xfId="1579"/>
    <cellStyle name="표준 174 3 7 2" xfId="4363"/>
    <cellStyle name="표준 174 3 7 2 2" xfId="9931"/>
    <cellStyle name="표준 174 3 7 2 2 2" xfId="26635"/>
    <cellStyle name="표준 174 3 7 2 3" xfId="15499"/>
    <cellStyle name="표준 174 3 7 2 3 2" xfId="32203"/>
    <cellStyle name="표준 174 3 7 2 4" xfId="21067"/>
    <cellStyle name="표준 174 3 7 3" xfId="7147"/>
    <cellStyle name="표준 174 3 7 3 2" xfId="23851"/>
    <cellStyle name="표준 174 3 7 4" xfId="12715"/>
    <cellStyle name="표준 174 3 7 4 2" xfId="29419"/>
    <cellStyle name="표준 174 3 7 5" xfId="18283"/>
    <cellStyle name="표준 174 3 8" xfId="2971"/>
    <cellStyle name="표준 174 3 8 2" xfId="8539"/>
    <cellStyle name="표준 174 3 8 2 2" xfId="25243"/>
    <cellStyle name="표준 174 3 8 3" xfId="14107"/>
    <cellStyle name="표준 174 3 8 3 2" xfId="30811"/>
    <cellStyle name="표준 174 3 8 4" xfId="19675"/>
    <cellStyle name="표준 174 3 9" xfId="5755"/>
    <cellStyle name="표준 174 3 9 2" xfId="22459"/>
    <cellStyle name="표준 174 4" xfId="216"/>
    <cellStyle name="표준 174 4 10" xfId="16920"/>
    <cellStyle name="표준 174 4 2" xfId="332"/>
    <cellStyle name="표준 174 4 2 2" xfId="564"/>
    <cellStyle name="표준 174 4 2 2 2" xfId="1260"/>
    <cellStyle name="표준 174 4 2 2 2 2" xfId="2652"/>
    <cellStyle name="표준 174 4 2 2 2 2 2" xfId="5436"/>
    <cellStyle name="표준 174 4 2 2 2 2 2 2" xfId="11004"/>
    <cellStyle name="표준 174 4 2 2 2 2 2 2 2" xfId="27708"/>
    <cellStyle name="표준 174 4 2 2 2 2 2 3" xfId="16572"/>
    <cellStyle name="표준 174 4 2 2 2 2 2 3 2" xfId="33276"/>
    <cellStyle name="표준 174 4 2 2 2 2 2 4" xfId="22140"/>
    <cellStyle name="표준 174 4 2 2 2 2 3" xfId="8220"/>
    <cellStyle name="표준 174 4 2 2 2 2 3 2" xfId="24924"/>
    <cellStyle name="표준 174 4 2 2 2 2 4" xfId="13788"/>
    <cellStyle name="표준 174 4 2 2 2 2 4 2" xfId="30492"/>
    <cellStyle name="표준 174 4 2 2 2 2 5" xfId="19356"/>
    <cellStyle name="표준 174 4 2 2 2 3" xfId="4044"/>
    <cellStyle name="표준 174 4 2 2 2 3 2" xfId="9612"/>
    <cellStyle name="표준 174 4 2 2 2 3 2 2" xfId="26316"/>
    <cellStyle name="표준 174 4 2 2 2 3 3" xfId="15180"/>
    <cellStyle name="표준 174 4 2 2 2 3 3 2" xfId="31884"/>
    <cellStyle name="표준 174 4 2 2 2 3 4" xfId="20748"/>
    <cellStyle name="표준 174 4 2 2 2 4" xfId="6828"/>
    <cellStyle name="표준 174 4 2 2 2 4 2" xfId="23532"/>
    <cellStyle name="표준 174 4 2 2 2 5" xfId="12396"/>
    <cellStyle name="표준 174 4 2 2 2 5 2" xfId="29100"/>
    <cellStyle name="표준 174 4 2 2 2 6" xfId="17964"/>
    <cellStyle name="표준 174 4 2 2 3" xfId="1956"/>
    <cellStyle name="표준 174 4 2 2 3 2" xfId="4740"/>
    <cellStyle name="표준 174 4 2 2 3 2 2" xfId="10308"/>
    <cellStyle name="표준 174 4 2 2 3 2 2 2" xfId="27012"/>
    <cellStyle name="표준 174 4 2 2 3 2 3" xfId="15876"/>
    <cellStyle name="표준 174 4 2 2 3 2 3 2" xfId="32580"/>
    <cellStyle name="표준 174 4 2 2 3 2 4" xfId="21444"/>
    <cellStyle name="표준 174 4 2 2 3 3" xfId="7524"/>
    <cellStyle name="표준 174 4 2 2 3 3 2" xfId="24228"/>
    <cellStyle name="표준 174 4 2 2 3 4" xfId="13092"/>
    <cellStyle name="표준 174 4 2 2 3 4 2" xfId="29796"/>
    <cellStyle name="표준 174 4 2 2 3 5" xfId="18660"/>
    <cellStyle name="표준 174 4 2 2 4" xfId="3348"/>
    <cellStyle name="표준 174 4 2 2 4 2" xfId="8916"/>
    <cellStyle name="표준 174 4 2 2 4 2 2" xfId="25620"/>
    <cellStyle name="표준 174 4 2 2 4 3" xfId="14484"/>
    <cellStyle name="표준 174 4 2 2 4 3 2" xfId="31188"/>
    <cellStyle name="표준 174 4 2 2 4 4" xfId="20052"/>
    <cellStyle name="표준 174 4 2 2 5" xfId="6132"/>
    <cellStyle name="표준 174 4 2 2 5 2" xfId="22836"/>
    <cellStyle name="표준 174 4 2 2 6" xfId="11700"/>
    <cellStyle name="표준 174 4 2 2 6 2" xfId="28404"/>
    <cellStyle name="표준 174 4 2 2 7" xfId="17268"/>
    <cellStyle name="표준 174 4 2 3" xfId="796"/>
    <cellStyle name="표준 174 4 2 3 2" xfId="1492"/>
    <cellStyle name="표준 174 4 2 3 2 2" xfId="2884"/>
    <cellStyle name="표준 174 4 2 3 2 2 2" xfId="5668"/>
    <cellStyle name="표준 174 4 2 3 2 2 2 2" xfId="11236"/>
    <cellStyle name="표준 174 4 2 3 2 2 2 2 2" xfId="27940"/>
    <cellStyle name="표준 174 4 2 3 2 2 2 3" xfId="16804"/>
    <cellStyle name="표준 174 4 2 3 2 2 2 3 2" xfId="33508"/>
    <cellStyle name="표준 174 4 2 3 2 2 2 4" xfId="22372"/>
    <cellStyle name="표준 174 4 2 3 2 2 3" xfId="8452"/>
    <cellStyle name="표준 174 4 2 3 2 2 3 2" xfId="25156"/>
    <cellStyle name="표준 174 4 2 3 2 2 4" xfId="14020"/>
    <cellStyle name="표준 174 4 2 3 2 2 4 2" xfId="30724"/>
    <cellStyle name="표준 174 4 2 3 2 2 5" xfId="19588"/>
    <cellStyle name="표준 174 4 2 3 2 3" xfId="4276"/>
    <cellStyle name="표준 174 4 2 3 2 3 2" xfId="9844"/>
    <cellStyle name="표준 174 4 2 3 2 3 2 2" xfId="26548"/>
    <cellStyle name="표준 174 4 2 3 2 3 3" xfId="15412"/>
    <cellStyle name="표준 174 4 2 3 2 3 3 2" xfId="32116"/>
    <cellStyle name="표준 174 4 2 3 2 3 4" xfId="20980"/>
    <cellStyle name="표준 174 4 2 3 2 4" xfId="7060"/>
    <cellStyle name="표준 174 4 2 3 2 4 2" xfId="23764"/>
    <cellStyle name="표준 174 4 2 3 2 5" xfId="12628"/>
    <cellStyle name="표준 174 4 2 3 2 5 2" xfId="29332"/>
    <cellStyle name="표준 174 4 2 3 2 6" xfId="18196"/>
    <cellStyle name="표준 174 4 2 3 3" xfId="2188"/>
    <cellStyle name="표준 174 4 2 3 3 2" xfId="4972"/>
    <cellStyle name="표준 174 4 2 3 3 2 2" xfId="10540"/>
    <cellStyle name="표준 174 4 2 3 3 2 2 2" xfId="27244"/>
    <cellStyle name="표준 174 4 2 3 3 2 3" xfId="16108"/>
    <cellStyle name="표준 174 4 2 3 3 2 3 2" xfId="32812"/>
    <cellStyle name="표준 174 4 2 3 3 2 4" xfId="21676"/>
    <cellStyle name="표준 174 4 2 3 3 3" xfId="7756"/>
    <cellStyle name="표준 174 4 2 3 3 3 2" xfId="24460"/>
    <cellStyle name="표준 174 4 2 3 3 4" xfId="13324"/>
    <cellStyle name="표준 174 4 2 3 3 4 2" xfId="30028"/>
    <cellStyle name="표준 174 4 2 3 3 5" xfId="18892"/>
    <cellStyle name="표준 174 4 2 3 4" xfId="3580"/>
    <cellStyle name="표준 174 4 2 3 4 2" xfId="9148"/>
    <cellStyle name="표준 174 4 2 3 4 2 2" xfId="25852"/>
    <cellStyle name="표준 174 4 2 3 4 3" xfId="14716"/>
    <cellStyle name="표준 174 4 2 3 4 3 2" xfId="31420"/>
    <cellStyle name="표준 174 4 2 3 4 4" xfId="20284"/>
    <cellStyle name="표준 174 4 2 3 5" xfId="6364"/>
    <cellStyle name="표준 174 4 2 3 5 2" xfId="23068"/>
    <cellStyle name="표준 174 4 2 3 6" xfId="11932"/>
    <cellStyle name="표준 174 4 2 3 6 2" xfId="28636"/>
    <cellStyle name="표준 174 4 2 3 7" xfId="17500"/>
    <cellStyle name="표준 174 4 2 4" xfId="1028"/>
    <cellStyle name="표준 174 4 2 4 2" xfId="2420"/>
    <cellStyle name="표준 174 4 2 4 2 2" xfId="5204"/>
    <cellStyle name="표준 174 4 2 4 2 2 2" xfId="10772"/>
    <cellStyle name="표준 174 4 2 4 2 2 2 2" xfId="27476"/>
    <cellStyle name="표준 174 4 2 4 2 2 3" xfId="16340"/>
    <cellStyle name="표준 174 4 2 4 2 2 3 2" xfId="33044"/>
    <cellStyle name="표준 174 4 2 4 2 2 4" xfId="21908"/>
    <cellStyle name="표준 174 4 2 4 2 3" xfId="7988"/>
    <cellStyle name="표준 174 4 2 4 2 3 2" xfId="24692"/>
    <cellStyle name="표준 174 4 2 4 2 4" xfId="13556"/>
    <cellStyle name="표준 174 4 2 4 2 4 2" xfId="30260"/>
    <cellStyle name="표준 174 4 2 4 2 5" xfId="19124"/>
    <cellStyle name="표준 174 4 2 4 3" xfId="3812"/>
    <cellStyle name="표준 174 4 2 4 3 2" xfId="9380"/>
    <cellStyle name="표준 174 4 2 4 3 2 2" xfId="26084"/>
    <cellStyle name="표준 174 4 2 4 3 3" xfId="14948"/>
    <cellStyle name="표준 174 4 2 4 3 3 2" xfId="31652"/>
    <cellStyle name="표준 174 4 2 4 3 4" xfId="20516"/>
    <cellStyle name="표준 174 4 2 4 4" xfId="6596"/>
    <cellStyle name="표준 174 4 2 4 4 2" xfId="23300"/>
    <cellStyle name="표준 174 4 2 4 5" xfId="12164"/>
    <cellStyle name="표준 174 4 2 4 5 2" xfId="28868"/>
    <cellStyle name="표준 174 4 2 4 6" xfId="17732"/>
    <cellStyle name="표준 174 4 2 5" xfId="1724"/>
    <cellStyle name="표준 174 4 2 5 2" xfId="4508"/>
    <cellStyle name="표준 174 4 2 5 2 2" xfId="10076"/>
    <cellStyle name="표준 174 4 2 5 2 2 2" xfId="26780"/>
    <cellStyle name="표준 174 4 2 5 2 3" xfId="15644"/>
    <cellStyle name="표준 174 4 2 5 2 3 2" xfId="32348"/>
    <cellStyle name="표준 174 4 2 5 2 4" xfId="21212"/>
    <cellStyle name="표준 174 4 2 5 3" xfId="7292"/>
    <cellStyle name="표준 174 4 2 5 3 2" xfId="23996"/>
    <cellStyle name="표준 174 4 2 5 4" xfId="12860"/>
    <cellStyle name="표준 174 4 2 5 4 2" xfId="29564"/>
    <cellStyle name="표준 174 4 2 5 5" xfId="18428"/>
    <cellStyle name="표준 174 4 2 6" xfId="3116"/>
    <cellStyle name="표준 174 4 2 6 2" xfId="8684"/>
    <cellStyle name="표준 174 4 2 6 2 2" xfId="25388"/>
    <cellStyle name="표준 174 4 2 6 3" xfId="14252"/>
    <cellStyle name="표준 174 4 2 6 3 2" xfId="30956"/>
    <cellStyle name="표준 174 4 2 6 4" xfId="19820"/>
    <cellStyle name="표준 174 4 2 7" xfId="5900"/>
    <cellStyle name="표준 174 4 2 7 2" xfId="22604"/>
    <cellStyle name="표준 174 4 2 8" xfId="11468"/>
    <cellStyle name="표준 174 4 2 8 2" xfId="28172"/>
    <cellStyle name="표준 174 4 2 9" xfId="17036"/>
    <cellStyle name="표준 174 4 3" xfId="448"/>
    <cellStyle name="표준 174 4 3 2" xfId="1144"/>
    <cellStyle name="표준 174 4 3 2 2" xfId="2536"/>
    <cellStyle name="표준 174 4 3 2 2 2" xfId="5320"/>
    <cellStyle name="표준 174 4 3 2 2 2 2" xfId="10888"/>
    <cellStyle name="표준 174 4 3 2 2 2 2 2" xfId="27592"/>
    <cellStyle name="표준 174 4 3 2 2 2 3" xfId="16456"/>
    <cellStyle name="표준 174 4 3 2 2 2 3 2" xfId="33160"/>
    <cellStyle name="표준 174 4 3 2 2 2 4" xfId="22024"/>
    <cellStyle name="표준 174 4 3 2 2 3" xfId="8104"/>
    <cellStyle name="표준 174 4 3 2 2 3 2" xfId="24808"/>
    <cellStyle name="표준 174 4 3 2 2 4" xfId="13672"/>
    <cellStyle name="표준 174 4 3 2 2 4 2" xfId="30376"/>
    <cellStyle name="표준 174 4 3 2 2 5" xfId="19240"/>
    <cellStyle name="표준 174 4 3 2 3" xfId="3928"/>
    <cellStyle name="표준 174 4 3 2 3 2" xfId="9496"/>
    <cellStyle name="표준 174 4 3 2 3 2 2" xfId="26200"/>
    <cellStyle name="표준 174 4 3 2 3 3" xfId="15064"/>
    <cellStyle name="표준 174 4 3 2 3 3 2" xfId="31768"/>
    <cellStyle name="표준 174 4 3 2 3 4" xfId="20632"/>
    <cellStyle name="표준 174 4 3 2 4" xfId="6712"/>
    <cellStyle name="표준 174 4 3 2 4 2" xfId="23416"/>
    <cellStyle name="표준 174 4 3 2 5" xfId="12280"/>
    <cellStyle name="표준 174 4 3 2 5 2" xfId="28984"/>
    <cellStyle name="표준 174 4 3 2 6" xfId="17848"/>
    <cellStyle name="표준 174 4 3 3" xfId="1840"/>
    <cellStyle name="표준 174 4 3 3 2" xfId="4624"/>
    <cellStyle name="표준 174 4 3 3 2 2" xfId="10192"/>
    <cellStyle name="표준 174 4 3 3 2 2 2" xfId="26896"/>
    <cellStyle name="표준 174 4 3 3 2 3" xfId="15760"/>
    <cellStyle name="표준 174 4 3 3 2 3 2" xfId="32464"/>
    <cellStyle name="표준 174 4 3 3 2 4" xfId="21328"/>
    <cellStyle name="표준 174 4 3 3 3" xfId="7408"/>
    <cellStyle name="표준 174 4 3 3 3 2" xfId="24112"/>
    <cellStyle name="표준 174 4 3 3 4" xfId="12976"/>
    <cellStyle name="표준 174 4 3 3 4 2" xfId="29680"/>
    <cellStyle name="표준 174 4 3 3 5" xfId="18544"/>
    <cellStyle name="표준 174 4 3 4" xfId="3232"/>
    <cellStyle name="표준 174 4 3 4 2" xfId="8800"/>
    <cellStyle name="표준 174 4 3 4 2 2" xfId="25504"/>
    <cellStyle name="표준 174 4 3 4 3" xfId="14368"/>
    <cellStyle name="표준 174 4 3 4 3 2" xfId="31072"/>
    <cellStyle name="표준 174 4 3 4 4" xfId="19936"/>
    <cellStyle name="표준 174 4 3 5" xfId="6016"/>
    <cellStyle name="표준 174 4 3 5 2" xfId="22720"/>
    <cellStyle name="표준 174 4 3 6" xfId="11584"/>
    <cellStyle name="표준 174 4 3 6 2" xfId="28288"/>
    <cellStyle name="표준 174 4 3 7" xfId="17152"/>
    <cellStyle name="표준 174 4 4" xfId="680"/>
    <cellStyle name="표준 174 4 4 2" xfId="1376"/>
    <cellStyle name="표준 174 4 4 2 2" xfId="2768"/>
    <cellStyle name="표준 174 4 4 2 2 2" xfId="5552"/>
    <cellStyle name="표준 174 4 4 2 2 2 2" xfId="11120"/>
    <cellStyle name="표준 174 4 4 2 2 2 2 2" xfId="27824"/>
    <cellStyle name="표준 174 4 4 2 2 2 3" xfId="16688"/>
    <cellStyle name="표준 174 4 4 2 2 2 3 2" xfId="33392"/>
    <cellStyle name="표준 174 4 4 2 2 2 4" xfId="22256"/>
    <cellStyle name="표준 174 4 4 2 2 3" xfId="8336"/>
    <cellStyle name="표준 174 4 4 2 2 3 2" xfId="25040"/>
    <cellStyle name="표준 174 4 4 2 2 4" xfId="13904"/>
    <cellStyle name="표준 174 4 4 2 2 4 2" xfId="30608"/>
    <cellStyle name="표준 174 4 4 2 2 5" xfId="19472"/>
    <cellStyle name="표준 174 4 4 2 3" xfId="4160"/>
    <cellStyle name="표준 174 4 4 2 3 2" xfId="9728"/>
    <cellStyle name="표준 174 4 4 2 3 2 2" xfId="26432"/>
    <cellStyle name="표준 174 4 4 2 3 3" xfId="15296"/>
    <cellStyle name="표준 174 4 4 2 3 3 2" xfId="32000"/>
    <cellStyle name="표준 174 4 4 2 3 4" xfId="20864"/>
    <cellStyle name="표준 174 4 4 2 4" xfId="6944"/>
    <cellStyle name="표준 174 4 4 2 4 2" xfId="23648"/>
    <cellStyle name="표준 174 4 4 2 5" xfId="12512"/>
    <cellStyle name="표준 174 4 4 2 5 2" xfId="29216"/>
    <cellStyle name="표준 174 4 4 2 6" xfId="18080"/>
    <cellStyle name="표준 174 4 4 3" xfId="2072"/>
    <cellStyle name="표준 174 4 4 3 2" xfId="4856"/>
    <cellStyle name="표준 174 4 4 3 2 2" xfId="10424"/>
    <cellStyle name="표준 174 4 4 3 2 2 2" xfId="27128"/>
    <cellStyle name="표준 174 4 4 3 2 3" xfId="15992"/>
    <cellStyle name="표준 174 4 4 3 2 3 2" xfId="32696"/>
    <cellStyle name="표준 174 4 4 3 2 4" xfId="21560"/>
    <cellStyle name="표준 174 4 4 3 3" xfId="7640"/>
    <cellStyle name="표준 174 4 4 3 3 2" xfId="24344"/>
    <cellStyle name="표준 174 4 4 3 4" xfId="13208"/>
    <cellStyle name="표준 174 4 4 3 4 2" xfId="29912"/>
    <cellStyle name="표준 174 4 4 3 5" xfId="18776"/>
    <cellStyle name="표준 174 4 4 4" xfId="3464"/>
    <cellStyle name="표준 174 4 4 4 2" xfId="9032"/>
    <cellStyle name="표준 174 4 4 4 2 2" xfId="25736"/>
    <cellStyle name="표준 174 4 4 4 3" xfId="14600"/>
    <cellStyle name="표준 174 4 4 4 3 2" xfId="31304"/>
    <cellStyle name="표준 174 4 4 4 4" xfId="20168"/>
    <cellStyle name="표준 174 4 4 5" xfId="6248"/>
    <cellStyle name="표준 174 4 4 5 2" xfId="22952"/>
    <cellStyle name="표준 174 4 4 6" xfId="11816"/>
    <cellStyle name="표준 174 4 4 6 2" xfId="28520"/>
    <cellStyle name="표준 174 4 4 7" xfId="17384"/>
    <cellStyle name="표준 174 4 5" xfId="912"/>
    <cellStyle name="표준 174 4 5 2" xfId="2304"/>
    <cellStyle name="표준 174 4 5 2 2" xfId="5088"/>
    <cellStyle name="표준 174 4 5 2 2 2" xfId="10656"/>
    <cellStyle name="표준 174 4 5 2 2 2 2" xfId="27360"/>
    <cellStyle name="표준 174 4 5 2 2 3" xfId="16224"/>
    <cellStyle name="표준 174 4 5 2 2 3 2" xfId="32928"/>
    <cellStyle name="표준 174 4 5 2 2 4" xfId="21792"/>
    <cellStyle name="표준 174 4 5 2 3" xfId="7872"/>
    <cellStyle name="표준 174 4 5 2 3 2" xfId="24576"/>
    <cellStyle name="표준 174 4 5 2 4" xfId="13440"/>
    <cellStyle name="표준 174 4 5 2 4 2" xfId="30144"/>
    <cellStyle name="표준 174 4 5 2 5" xfId="19008"/>
    <cellStyle name="표준 174 4 5 3" xfId="3696"/>
    <cellStyle name="표준 174 4 5 3 2" xfId="9264"/>
    <cellStyle name="표준 174 4 5 3 2 2" xfId="25968"/>
    <cellStyle name="표준 174 4 5 3 3" xfId="14832"/>
    <cellStyle name="표준 174 4 5 3 3 2" xfId="31536"/>
    <cellStyle name="표준 174 4 5 3 4" xfId="20400"/>
    <cellStyle name="표준 174 4 5 4" xfId="6480"/>
    <cellStyle name="표준 174 4 5 4 2" xfId="23184"/>
    <cellStyle name="표준 174 4 5 5" xfId="12048"/>
    <cellStyle name="표준 174 4 5 5 2" xfId="28752"/>
    <cellStyle name="표준 174 4 5 6" xfId="17616"/>
    <cellStyle name="표준 174 4 6" xfId="1608"/>
    <cellStyle name="표준 174 4 6 2" xfId="4392"/>
    <cellStyle name="표준 174 4 6 2 2" xfId="9960"/>
    <cellStyle name="표준 174 4 6 2 2 2" xfId="26664"/>
    <cellStyle name="표준 174 4 6 2 3" xfId="15528"/>
    <cellStyle name="표준 174 4 6 2 3 2" xfId="32232"/>
    <cellStyle name="표준 174 4 6 2 4" xfId="21096"/>
    <cellStyle name="표준 174 4 6 3" xfId="7176"/>
    <cellStyle name="표준 174 4 6 3 2" xfId="23880"/>
    <cellStyle name="표준 174 4 6 4" xfId="12744"/>
    <cellStyle name="표준 174 4 6 4 2" xfId="29448"/>
    <cellStyle name="표준 174 4 6 5" xfId="18312"/>
    <cellStyle name="표준 174 4 7" xfId="3000"/>
    <cellStyle name="표준 174 4 7 2" xfId="8568"/>
    <cellStyle name="표준 174 4 7 2 2" xfId="25272"/>
    <cellStyle name="표준 174 4 7 3" xfId="14136"/>
    <cellStyle name="표준 174 4 7 3 2" xfId="30840"/>
    <cellStyle name="표준 174 4 7 4" xfId="19704"/>
    <cellStyle name="표준 174 4 8" xfId="5784"/>
    <cellStyle name="표준 174 4 8 2" xfId="22488"/>
    <cellStyle name="표준 174 4 9" xfId="11352"/>
    <cellStyle name="표준 174 4 9 2" xfId="28056"/>
    <cellStyle name="표준 174 5" xfId="274"/>
    <cellStyle name="표준 174 5 2" xfId="506"/>
    <cellStyle name="표준 174 5 2 2" xfId="1202"/>
    <cellStyle name="표준 174 5 2 2 2" xfId="2594"/>
    <cellStyle name="표준 174 5 2 2 2 2" xfId="5378"/>
    <cellStyle name="표준 174 5 2 2 2 2 2" xfId="10946"/>
    <cellStyle name="표준 174 5 2 2 2 2 2 2" xfId="27650"/>
    <cellStyle name="표준 174 5 2 2 2 2 3" xfId="16514"/>
    <cellStyle name="표준 174 5 2 2 2 2 3 2" xfId="33218"/>
    <cellStyle name="표준 174 5 2 2 2 2 4" xfId="22082"/>
    <cellStyle name="표준 174 5 2 2 2 3" xfId="8162"/>
    <cellStyle name="표준 174 5 2 2 2 3 2" xfId="24866"/>
    <cellStyle name="표준 174 5 2 2 2 4" xfId="13730"/>
    <cellStyle name="표준 174 5 2 2 2 4 2" xfId="30434"/>
    <cellStyle name="표준 174 5 2 2 2 5" xfId="19298"/>
    <cellStyle name="표준 174 5 2 2 3" xfId="3986"/>
    <cellStyle name="표준 174 5 2 2 3 2" xfId="9554"/>
    <cellStyle name="표준 174 5 2 2 3 2 2" xfId="26258"/>
    <cellStyle name="표준 174 5 2 2 3 3" xfId="15122"/>
    <cellStyle name="표준 174 5 2 2 3 3 2" xfId="31826"/>
    <cellStyle name="표준 174 5 2 2 3 4" xfId="20690"/>
    <cellStyle name="표준 174 5 2 2 4" xfId="6770"/>
    <cellStyle name="표준 174 5 2 2 4 2" xfId="23474"/>
    <cellStyle name="표준 174 5 2 2 5" xfId="12338"/>
    <cellStyle name="표준 174 5 2 2 5 2" xfId="29042"/>
    <cellStyle name="표준 174 5 2 2 6" xfId="17906"/>
    <cellStyle name="표준 174 5 2 3" xfId="1898"/>
    <cellStyle name="표준 174 5 2 3 2" xfId="4682"/>
    <cellStyle name="표준 174 5 2 3 2 2" xfId="10250"/>
    <cellStyle name="표준 174 5 2 3 2 2 2" xfId="26954"/>
    <cellStyle name="표준 174 5 2 3 2 3" xfId="15818"/>
    <cellStyle name="표준 174 5 2 3 2 3 2" xfId="32522"/>
    <cellStyle name="표준 174 5 2 3 2 4" xfId="21386"/>
    <cellStyle name="표준 174 5 2 3 3" xfId="7466"/>
    <cellStyle name="표준 174 5 2 3 3 2" xfId="24170"/>
    <cellStyle name="표준 174 5 2 3 4" xfId="13034"/>
    <cellStyle name="표준 174 5 2 3 4 2" xfId="29738"/>
    <cellStyle name="표준 174 5 2 3 5" xfId="18602"/>
    <cellStyle name="표준 174 5 2 4" xfId="3290"/>
    <cellStyle name="표준 174 5 2 4 2" xfId="8858"/>
    <cellStyle name="표준 174 5 2 4 2 2" xfId="25562"/>
    <cellStyle name="표준 174 5 2 4 3" xfId="14426"/>
    <cellStyle name="표준 174 5 2 4 3 2" xfId="31130"/>
    <cellStyle name="표준 174 5 2 4 4" xfId="19994"/>
    <cellStyle name="표준 174 5 2 5" xfId="6074"/>
    <cellStyle name="표준 174 5 2 5 2" xfId="22778"/>
    <cellStyle name="표준 174 5 2 6" xfId="11642"/>
    <cellStyle name="표준 174 5 2 6 2" xfId="28346"/>
    <cellStyle name="표준 174 5 2 7" xfId="17210"/>
    <cellStyle name="표준 174 5 3" xfId="738"/>
    <cellStyle name="표준 174 5 3 2" xfId="1434"/>
    <cellStyle name="표준 174 5 3 2 2" xfId="2826"/>
    <cellStyle name="표준 174 5 3 2 2 2" xfId="5610"/>
    <cellStyle name="표준 174 5 3 2 2 2 2" xfId="11178"/>
    <cellStyle name="표준 174 5 3 2 2 2 2 2" xfId="27882"/>
    <cellStyle name="표준 174 5 3 2 2 2 3" xfId="16746"/>
    <cellStyle name="표준 174 5 3 2 2 2 3 2" xfId="33450"/>
    <cellStyle name="표준 174 5 3 2 2 2 4" xfId="22314"/>
    <cellStyle name="표준 174 5 3 2 2 3" xfId="8394"/>
    <cellStyle name="표준 174 5 3 2 2 3 2" xfId="25098"/>
    <cellStyle name="표준 174 5 3 2 2 4" xfId="13962"/>
    <cellStyle name="표준 174 5 3 2 2 4 2" xfId="30666"/>
    <cellStyle name="표준 174 5 3 2 2 5" xfId="19530"/>
    <cellStyle name="표준 174 5 3 2 3" xfId="4218"/>
    <cellStyle name="표준 174 5 3 2 3 2" xfId="9786"/>
    <cellStyle name="표준 174 5 3 2 3 2 2" xfId="26490"/>
    <cellStyle name="표준 174 5 3 2 3 3" xfId="15354"/>
    <cellStyle name="표준 174 5 3 2 3 3 2" xfId="32058"/>
    <cellStyle name="표준 174 5 3 2 3 4" xfId="20922"/>
    <cellStyle name="표준 174 5 3 2 4" xfId="7002"/>
    <cellStyle name="표준 174 5 3 2 4 2" xfId="23706"/>
    <cellStyle name="표준 174 5 3 2 5" xfId="12570"/>
    <cellStyle name="표준 174 5 3 2 5 2" xfId="29274"/>
    <cellStyle name="표준 174 5 3 2 6" xfId="18138"/>
    <cellStyle name="표준 174 5 3 3" xfId="2130"/>
    <cellStyle name="표준 174 5 3 3 2" xfId="4914"/>
    <cellStyle name="표준 174 5 3 3 2 2" xfId="10482"/>
    <cellStyle name="표준 174 5 3 3 2 2 2" xfId="27186"/>
    <cellStyle name="표준 174 5 3 3 2 3" xfId="16050"/>
    <cellStyle name="표준 174 5 3 3 2 3 2" xfId="32754"/>
    <cellStyle name="표준 174 5 3 3 2 4" xfId="21618"/>
    <cellStyle name="표준 174 5 3 3 3" xfId="7698"/>
    <cellStyle name="표준 174 5 3 3 3 2" xfId="24402"/>
    <cellStyle name="표준 174 5 3 3 4" xfId="13266"/>
    <cellStyle name="표준 174 5 3 3 4 2" xfId="29970"/>
    <cellStyle name="표준 174 5 3 3 5" xfId="18834"/>
    <cellStyle name="표준 174 5 3 4" xfId="3522"/>
    <cellStyle name="표준 174 5 3 4 2" xfId="9090"/>
    <cellStyle name="표준 174 5 3 4 2 2" xfId="25794"/>
    <cellStyle name="표준 174 5 3 4 3" xfId="14658"/>
    <cellStyle name="표준 174 5 3 4 3 2" xfId="31362"/>
    <cellStyle name="표준 174 5 3 4 4" xfId="20226"/>
    <cellStyle name="표준 174 5 3 5" xfId="6306"/>
    <cellStyle name="표준 174 5 3 5 2" xfId="23010"/>
    <cellStyle name="표준 174 5 3 6" xfId="11874"/>
    <cellStyle name="표준 174 5 3 6 2" xfId="28578"/>
    <cellStyle name="표준 174 5 3 7" xfId="17442"/>
    <cellStyle name="표준 174 5 4" xfId="970"/>
    <cellStyle name="표준 174 5 4 2" xfId="2362"/>
    <cellStyle name="표준 174 5 4 2 2" xfId="5146"/>
    <cellStyle name="표준 174 5 4 2 2 2" xfId="10714"/>
    <cellStyle name="표준 174 5 4 2 2 2 2" xfId="27418"/>
    <cellStyle name="표준 174 5 4 2 2 3" xfId="16282"/>
    <cellStyle name="표준 174 5 4 2 2 3 2" xfId="32986"/>
    <cellStyle name="표준 174 5 4 2 2 4" xfId="21850"/>
    <cellStyle name="표준 174 5 4 2 3" xfId="7930"/>
    <cellStyle name="표준 174 5 4 2 3 2" xfId="24634"/>
    <cellStyle name="표준 174 5 4 2 4" xfId="13498"/>
    <cellStyle name="표준 174 5 4 2 4 2" xfId="30202"/>
    <cellStyle name="표준 174 5 4 2 5" xfId="19066"/>
    <cellStyle name="표준 174 5 4 3" xfId="3754"/>
    <cellStyle name="표준 174 5 4 3 2" xfId="9322"/>
    <cellStyle name="표준 174 5 4 3 2 2" xfId="26026"/>
    <cellStyle name="표준 174 5 4 3 3" xfId="14890"/>
    <cellStyle name="표준 174 5 4 3 3 2" xfId="31594"/>
    <cellStyle name="표준 174 5 4 3 4" xfId="20458"/>
    <cellStyle name="표준 174 5 4 4" xfId="6538"/>
    <cellStyle name="표준 174 5 4 4 2" xfId="23242"/>
    <cellStyle name="표준 174 5 4 5" xfId="12106"/>
    <cellStyle name="표준 174 5 4 5 2" xfId="28810"/>
    <cellStyle name="표준 174 5 4 6" xfId="17674"/>
    <cellStyle name="표준 174 5 5" xfId="1666"/>
    <cellStyle name="표준 174 5 5 2" xfId="4450"/>
    <cellStyle name="표준 174 5 5 2 2" xfId="10018"/>
    <cellStyle name="표준 174 5 5 2 2 2" xfId="26722"/>
    <cellStyle name="표준 174 5 5 2 3" xfId="15586"/>
    <cellStyle name="표준 174 5 5 2 3 2" xfId="32290"/>
    <cellStyle name="표준 174 5 5 2 4" xfId="21154"/>
    <cellStyle name="표준 174 5 5 3" xfId="7234"/>
    <cellStyle name="표준 174 5 5 3 2" xfId="23938"/>
    <cellStyle name="표준 174 5 5 4" xfId="12802"/>
    <cellStyle name="표준 174 5 5 4 2" xfId="29506"/>
    <cellStyle name="표준 174 5 5 5" xfId="18370"/>
    <cellStyle name="표준 174 5 6" xfId="3058"/>
    <cellStyle name="표준 174 5 6 2" xfId="8626"/>
    <cellStyle name="표준 174 5 6 2 2" xfId="25330"/>
    <cellStyle name="표준 174 5 6 3" xfId="14194"/>
    <cellStyle name="표준 174 5 6 3 2" xfId="30898"/>
    <cellStyle name="표준 174 5 6 4" xfId="19762"/>
    <cellStyle name="표준 174 5 7" xfId="5842"/>
    <cellStyle name="표준 174 5 7 2" xfId="22546"/>
    <cellStyle name="표준 174 5 8" xfId="11410"/>
    <cellStyle name="표준 174 5 8 2" xfId="28114"/>
    <cellStyle name="표준 174 5 9" xfId="16978"/>
    <cellStyle name="표준 174 6" xfId="390"/>
    <cellStyle name="표준 174 6 2" xfId="1086"/>
    <cellStyle name="표준 174 6 2 2" xfId="2478"/>
    <cellStyle name="표준 174 6 2 2 2" xfId="5262"/>
    <cellStyle name="표준 174 6 2 2 2 2" xfId="10830"/>
    <cellStyle name="표준 174 6 2 2 2 2 2" xfId="27534"/>
    <cellStyle name="표준 174 6 2 2 2 3" xfId="16398"/>
    <cellStyle name="표준 174 6 2 2 2 3 2" xfId="33102"/>
    <cellStyle name="표준 174 6 2 2 2 4" xfId="21966"/>
    <cellStyle name="표준 174 6 2 2 3" xfId="8046"/>
    <cellStyle name="표준 174 6 2 2 3 2" xfId="24750"/>
    <cellStyle name="표준 174 6 2 2 4" xfId="13614"/>
    <cellStyle name="표준 174 6 2 2 4 2" xfId="30318"/>
    <cellStyle name="표준 174 6 2 2 5" xfId="19182"/>
    <cellStyle name="표준 174 6 2 3" xfId="3870"/>
    <cellStyle name="표준 174 6 2 3 2" xfId="9438"/>
    <cellStyle name="표준 174 6 2 3 2 2" xfId="26142"/>
    <cellStyle name="표준 174 6 2 3 3" xfId="15006"/>
    <cellStyle name="표준 174 6 2 3 3 2" xfId="31710"/>
    <cellStyle name="표준 174 6 2 3 4" xfId="20574"/>
    <cellStyle name="표준 174 6 2 4" xfId="6654"/>
    <cellStyle name="표준 174 6 2 4 2" xfId="23358"/>
    <cellStyle name="표준 174 6 2 5" xfId="12222"/>
    <cellStyle name="표준 174 6 2 5 2" xfId="28926"/>
    <cellStyle name="표준 174 6 2 6" xfId="17790"/>
    <cellStyle name="표준 174 6 3" xfId="1782"/>
    <cellStyle name="표준 174 6 3 2" xfId="4566"/>
    <cellStyle name="표준 174 6 3 2 2" xfId="10134"/>
    <cellStyle name="표준 174 6 3 2 2 2" xfId="26838"/>
    <cellStyle name="표준 174 6 3 2 3" xfId="15702"/>
    <cellStyle name="표준 174 6 3 2 3 2" xfId="32406"/>
    <cellStyle name="표준 174 6 3 2 4" xfId="21270"/>
    <cellStyle name="표준 174 6 3 3" xfId="7350"/>
    <cellStyle name="표준 174 6 3 3 2" xfId="24054"/>
    <cellStyle name="표준 174 6 3 4" xfId="12918"/>
    <cellStyle name="표준 174 6 3 4 2" xfId="29622"/>
    <cellStyle name="표준 174 6 3 5" xfId="18486"/>
    <cellStyle name="표준 174 6 4" xfId="3174"/>
    <cellStyle name="표준 174 6 4 2" xfId="8742"/>
    <cellStyle name="표준 174 6 4 2 2" xfId="25446"/>
    <cellStyle name="표준 174 6 4 3" xfId="14310"/>
    <cellStyle name="표준 174 6 4 3 2" xfId="31014"/>
    <cellStyle name="표준 174 6 4 4" xfId="19878"/>
    <cellStyle name="표준 174 6 5" xfId="5958"/>
    <cellStyle name="표준 174 6 5 2" xfId="22662"/>
    <cellStyle name="표준 174 6 6" xfId="11526"/>
    <cellStyle name="표준 174 6 6 2" xfId="28230"/>
    <cellStyle name="표준 174 6 7" xfId="17094"/>
    <cellStyle name="표준 174 7" xfId="622"/>
    <cellStyle name="표준 174 7 2" xfId="1318"/>
    <cellStyle name="표준 174 7 2 2" xfId="2710"/>
    <cellStyle name="표준 174 7 2 2 2" xfId="5494"/>
    <cellStyle name="표준 174 7 2 2 2 2" xfId="11062"/>
    <cellStyle name="표준 174 7 2 2 2 2 2" xfId="27766"/>
    <cellStyle name="표준 174 7 2 2 2 3" xfId="16630"/>
    <cellStyle name="표준 174 7 2 2 2 3 2" xfId="33334"/>
    <cellStyle name="표준 174 7 2 2 2 4" xfId="22198"/>
    <cellStyle name="표준 174 7 2 2 3" xfId="8278"/>
    <cellStyle name="표준 174 7 2 2 3 2" xfId="24982"/>
    <cellStyle name="표준 174 7 2 2 4" xfId="13846"/>
    <cellStyle name="표준 174 7 2 2 4 2" xfId="30550"/>
    <cellStyle name="표준 174 7 2 2 5" xfId="19414"/>
    <cellStyle name="표준 174 7 2 3" xfId="4102"/>
    <cellStyle name="표준 174 7 2 3 2" xfId="9670"/>
    <cellStyle name="표준 174 7 2 3 2 2" xfId="26374"/>
    <cellStyle name="표준 174 7 2 3 3" xfId="15238"/>
    <cellStyle name="표준 174 7 2 3 3 2" xfId="31942"/>
    <cellStyle name="표준 174 7 2 3 4" xfId="20806"/>
    <cellStyle name="표준 174 7 2 4" xfId="6886"/>
    <cellStyle name="표준 174 7 2 4 2" xfId="23590"/>
    <cellStyle name="표준 174 7 2 5" xfId="12454"/>
    <cellStyle name="표준 174 7 2 5 2" xfId="29158"/>
    <cellStyle name="표준 174 7 2 6" xfId="18022"/>
    <cellStyle name="표준 174 7 3" xfId="2014"/>
    <cellStyle name="표준 174 7 3 2" xfId="4798"/>
    <cellStyle name="표준 174 7 3 2 2" xfId="10366"/>
    <cellStyle name="표준 174 7 3 2 2 2" xfId="27070"/>
    <cellStyle name="표준 174 7 3 2 3" xfId="15934"/>
    <cellStyle name="표준 174 7 3 2 3 2" xfId="32638"/>
    <cellStyle name="표준 174 7 3 2 4" xfId="21502"/>
    <cellStyle name="표준 174 7 3 3" xfId="7582"/>
    <cellStyle name="표준 174 7 3 3 2" xfId="24286"/>
    <cellStyle name="표준 174 7 3 4" xfId="13150"/>
    <cellStyle name="표준 174 7 3 4 2" xfId="29854"/>
    <cellStyle name="표준 174 7 3 5" xfId="18718"/>
    <cellStyle name="표준 174 7 4" xfId="3406"/>
    <cellStyle name="표준 174 7 4 2" xfId="8974"/>
    <cellStyle name="표준 174 7 4 2 2" xfId="25678"/>
    <cellStyle name="표준 174 7 4 3" xfId="14542"/>
    <cellStyle name="표준 174 7 4 3 2" xfId="31246"/>
    <cellStyle name="표준 174 7 4 4" xfId="20110"/>
    <cellStyle name="표준 174 7 5" xfId="6190"/>
    <cellStyle name="표준 174 7 5 2" xfId="22894"/>
    <cellStyle name="표준 174 7 6" xfId="11758"/>
    <cellStyle name="표준 174 7 6 2" xfId="28462"/>
    <cellStyle name="표준 174 7 7" xfId="17326"/>
    <cellStyle name="표준 174 8" xfId="854"/>
    <cellStyle name="표준 174 8 2" xfId="2246"/>
    <cellStyle name="표준 174 8 2 2" xfId="5030"/>
    <cellStyle name="표준 174 8 2 2 2" xfId="10598"/>
    <cellStyle name="표준 174 8 2 2 2 2" xfId="27302"/>
    <cellStyle name="표준 174 8 2 2 3" xfId="16166"/>
    <cellStyle name="표준 174 8 2 2 3 2" xfId="32870"/>
    <cellStyle name="표준 174 8 2 2 4" xfId="21734"/>
    <cellStyle name="표준 174 8 2 3" xfId="7814"/>
    <cellStyle name="표준 174 8 2 3 2" xfId="24518"/>
    <cellStyle name="표준 174 8 2 4" xfId="13382"/>
    <cellStyle name="표준 174 8 2 4 2" xfId="30086"/>
    <cellStyle name="표준 174 8 2 5" xfId="18950"/>
    <cellStyle name="표준 174 8 3" xfId="3638"/>
    <cellStyle name="표준 174 8 3 2" xfId="9206"/>
    <cellStyle name="표준 174 8 3 2 2" xfId="25910"/>
    <cellStyle name="표준 174 8 3 3" xfId="14774"/>
    <cellStyle name="표준 174 8 3 3 2" xfId="31478"/>
    <cellStyle name="표준 174 8 3 4" xfId="20342"/>
    <cellStyle name="표준 174 8 4" xfId="6422"/>
    <cellStyle name="표준 174 8 4 2" xfId="23126"/>
    <cellStyle name="표준 174 8 5" xfId="11990"/>
    <cellStyle name="표준 174 8 5 2" xfId="28694"/>
    <cellStyle name="표준 174 8 6" xfId="17558"/>
    <cellStyle name="표준 174 9" xfId="1550"/>
    <cellStyle name="표준 174 9 2" xfId="4334"/>
    <cellStyle name="표준 174 9 2 2" xfId="9902"/>
    <cellStyle name="표준 174 9 2 2 2" xfId="26606"/>
    <cellStyle name="표준 174 9 2 3" xfId="15470"/>
    <cellStyle name="표준 174 9 2 3 2" xfId="32174"/>
    <cellStyle name="표준 174 9 2 4" xfId="21038"/>
    <cellStyle name="표준 174 9 3" xfId="7118"/>
    <cellStyle name="표준 174 9 3 2" xfId="23822"/>
    <cellStyle name="표준 174 9 4" xfId="12686"/>
    <cellStyle name="표준 174 9 4 2" xfId="29390"/>
    <cellStyle name="표준 174 9 5" xfId="18254"/>
    <cellStyle name="표준 19 6" xfId="26"/>
    <cellStyle name="표준 196" xfId="139"/>
    <cellStyle name="표준 2" xfId="5"/>
    <cellStyle name="표준 2 10 2" xfId="27"/>
    <cellStyle name="표준 2 10 2 2" xfId="161"/>
    <cellStyle name="표준 2 10 2 3" xfId="141"/>
    <cellStyle name="표준 2 12" xfId="142"/>
    <cellStyle name="표준 2 2" xfId="3"/>
    <cellStyle name="표준 2 2 2" xfId="14"/>
    <cellStyle name="표준 2 2 2 2" xfId="162"/>
    <cellStyle name="표준 2 2 2 3" xfId="143"/>
    <cellStyle name="표준 2 2 2 4" xfId="28"/>
    <cellStyle name="표준 2 3" xfId="11"/>
    <cellStyle name="표준 2 3 2" xfId="144"/>
    <cellStyle name="표준 2 3 2 2" xfId="168"/>
    <cellStyle name="표준 2 3 2 2 10" xfId="5736"/>
    <cellStyle name="표준 2 3 2 2 10 2" xfId="22440"/>
    <cellStyle name="표준 2 3 2 2 11" xfId="11304"/>
    <cellStyle name="표준 2 3 2 2 11 2" xfId="28008"/>
    <cellStyle name="표준 2 3 2 2 12" xfId="16872"/>
    <cellStyle name="표준 2 3 2 2 2" xfId="197"/>
    <cellStyle name="표준 2 3 2 2 2 10" xfId="11333"/>
    <cellStyle name="표준 2 3 2 2 2 10 2" xfId="28037"/>
    <cellStyle name="표준 2 3 2 2 2 11" xfId="16901"/>
    <cellStyle name="표준 2 3 2 2 2 2" xfId="255"/>
    <cellStyle name="표준 2 3 2 2 2 2 10" xfId="16959"/>
    <cellStyle name="표준 2 3 2 2 2 2 2" xfId="371"/>
    <cellStyle name="표준 2 3 2 2 2 2 2 2" xfId="603"/>
    <cellStyle name="표준 2 3 2 2 2 2 2 2 2" xfId="1299"/>
    <cellStyle name="표준 2 3 2 2 2 2 2 2 2 2" xfId="2691"/>
    <cellStyle name="표준 2 3 2 2 2 2 2 2 2 2 2" xfId="5475"/>
    <cellStyle name="표준 2 3 2 2 2 2 2 2 2 2 2 2" xfId="11043"/>
    <cellStyle name="표준 2 3 2 2 2 2 2 2 2 2 2 2 2" xfId="27747"/>
    <cellStyle name="표준 2 3 2 2 2 2 2 2 2 2 2 3" xfId="16611"/>
    <cellStyle name="표준 2 3 2 2 2 2 2 2 2 2 2 3 2" xfId="33315"/>
    <cellStyle name="표준 2 3 2 2 2 2 2 2 2 2 2 4" xfId="22179"/>
    <cellStyle name="표준 2 3 2 2 2 2 2 2 2 2 3" xfId="8259"/>
    <cellStyle name="표준 2 3 2 2 2 2 2 2 2 2 3 2" xfId="24963"/>
    <cellStyle name="표준 2 3 2 2 2 2 2 2 2 2 4" xfId="13827"/>
    <cellStyle name="표준 2 3 2 2 2 2 2 2 2 2 4 2" xfId="30531"/>
    <cellStyle name="표준 2 3 2 2 2 2 2 2 2 2 5" xfId="19395"/>
    <cellStyle name="표준 2 3 2 2 2 2 2 2 2 3" xfId="4083"/>
    <cellStyle name="표준 2 3 2 2 2 2 2 2 2 3 2" xfId="9651"/>
    <cellStyle name="표준 2 3 2 2 2 2 2 2 2 3 2 2" xfId="26355"/>
    <cellStyle name="표준 2 3 2 2 2 2 2 2 2 3 3" xfId="15219"/>
    <cellStyle name="표준 2 3 2 2 2 2 2 2 2 3 3 2" xfId="31923"/>
    <cellStyle name="표준 2 3 2 2 2 2 2 2 2 3 4" xfId="20787"/>
    <cellStyle name="표준 2 3 2 2 2 2 2 2 2 4" xfId="6867"/>
    <cellStyle name="표준 2 3 2 2 2 2 2 2 2 4 2" xfId="23571"/>
    <cellStyle name="표준 2 3 2 2 2 2 2 2 2 5" xfId="12435"/>
    <cellStyle name="표준 2 3 2 2 2 2 2 2 2 5 2" xfId="29139"/>
    <cellStyle name="표준 2 3 2 2 2 2 2 2 2 6" xfId="18003"/>
    <cellStyle name="표준 2 3 2 2 2 2 2 2 3" xfId="1995"/>
    <cellStyle name="표준 2 3 2 2 2 2 2 2 3 2" xfId="4779"/>
    <cellStyle name="표준 2 3 2 2 2 2 2 2 3 2 2" xfId="10347"/>
    <cellStyle name="표준 2 3 2 2 2 2 2 2 3 2 2 2" xfId="27051"/>
    <cellStyle name="표준 2 3 2 2 2 2 2 2 3 2 3" xfId="15915"/>
    <cellStyle name="표준 2 3 2 2 2 2 2 2 3 2 3 2" xfId="32619"/>
    <cellStyle name="표준 2 3 2 2 2 2 2 2 3 2 4" xfId="21483"/>
    <cellStyle name="표준 2 3 2 2 2 2 2 2 3 3" xfId="7563"/>
    <cellStyle name="표준 2 3 2 2 2 2 2 2 3 3 2" xfId="24267"/>
    <cellStyle name="표준 2 3 2 2 2 2 2 2 3 4" xfId="13131"/>
    <cellStyle name="표준 2 3 2 2 2 2 2 2 3 4 2" xfId="29835"/>
    <cellStyle name="표준 2 3 2 2 2 2 2 2 3 5" xfId="18699"/>
    <cellStyle name="표준 2 3 2 2 2 2 2 2 4" xfId="3387"/>
    <cellStyle name="표준 2 3 2 2 2 2 2 2 4 2" xfId="8955"/>
    <cellStyle name="표준 2 3 2 2 2 2 2 2 4 2 2" xfId="25659"/>
    <cellStyle name="표준 2 3 2 2 2 2 2 2 4 3" xfId="14523"/>
    <cellStyle name="표준 2 3 2 2 2 2 2 2 4 3 2" xfId="31227"/>
    <cellStyle name="표준 2 3 2 2 2 2 2 2 4 4" xfId="20091"/>
    <cellStyle name="표준 2 3 2 2 2 2 2 2 5" xfId="6171"/>
    <cellStyle name="표준 2 3 2 2 2 2 2 2 5 2" xfId="22875"/>
    <cellStyle name="표준 2 3 2 2 2 2 2 2 6" xfId="11739"/>
    <cellStyle name="표준 2 3 2 2 2 2 2 2 6 2" xfId="28443"/>
    <cellStyle name="표준 2 3 2 2 2 2 2 2 7" xfId="17307"/>
    <cellStyle name="표준 2 3 2 2 2 2 2 3" xfId="835"/>
    <cellStyle name="표준 2 3 2 2 2 2 2 3 2" xfId="1531"/>
    <cellStyle name="표준 2 3 2 2 2 2 2 3 2 2" xfId="2923"/>
    <cellStyle name="표준 2 3 2 2 2 2 2 3 2 2 2" xfId="5707"/>
    <cellStyle name="표준 2 3 2 2 2 2 2 3 2 2 2 2" xfId="11275"/>
    <cellStyle name="표준 2 3 2 2 2 2 2 3 2 2 2 2 2" xfId="27979"/>
    <cellStyle name="표준 2 3 2 2 2 2 2 3 2 2 2 3" xfId="16843"/>
    <cellStyle name="표준 2 3 2 2 2 2 2 3 2 2 2 3 2" xfId="33547"/>
    <cellStyle name="표준 2 3 2 2 2 2 2 3 2 2 2 4" xfId="22411"/>
    <cellStyle name="표준 2 3 2 2 2 2 2 3 2 2 3" xfId="8491"/>
    <cellStyle name="표준 2 3 2 2 2 2 2 3 2 2 3 2" xfId="25195"/>
    <cellStyle name="표준 2 3 2 2 2 2 2 3 2 2 4" xfId="14059"/>
    <cellStyle name="표준 2 3 2 2 2 2 2 3 2 2 4 2" xfId="30763"/>
    <cellStyle name="표준 2 3 2 2 2 2 2 3 2 2 5" xfId="19627"/>
    <cellStyle name="표준 2 3 2 2 2 2 2 3 2 3" xfId="4315"/>
    <cellStyle name="표준 2 3 2 2 2 2 2 3 2 3 2" xfId="9883"/>
    <cellStyle name="표준 2 3 2 2 2 2 2 3 2 3 2 2" xfId="26587"/>
    <cellStyle name="표준 2 3 2 2 2 2 2 3 2 3 3" xfId="15451"/>
    <cellStyle name="표준 2 3 2 2 2 2 2 3 2 3 3 2" xfId="32155"/>
    <cellStyle name="표준 2 3 2 2 2 2 2 3 2 3 4" xfId="21019"/>
    <cellStyle name="표준 2 3 2 2 2 2 2 3 2 4" xfId="7099"/>
    <cellStyle name="표준 2 3 2 2 2 2 2 3 2 4 2" xfId="23803"/>
    <cellStyle name="표준 2 3 2 2 2 2 2 3 2 5" xfId="12667"/>
    <cellStyle name="표준 2 3 2 2 2 2 2 3 2 5 2" xfId="29371"/>
    <cellStyle name="표준 2 3 2 2 2 2 2 3 2 6" xfId="18235"/>
    <cellStyle name="표준 2 3 2 2 2 2 2 3 3" xfId="2227"/>
    <cellStyle name="표준 2 3 2 2 2 2 2 3 3 2" xfId="5011"/>
    <cellStyle name="표준 2 3 2 2 2 2 2 3 3 2 2" xfId="10579"/>
    <cellStyle name="표준 2 3 2 2 2 2 2 3 3 2 2 2" xfId="27283"/>
    <cellStyle name="표준 2 3 2 2 2 2 2 3 3 2 3" xfId="16147"/>
    <cellStyle name="표준 2 3 2 2 2 2 2 3 3 2 3 2" xfId="32851"/>
    <cellStyle name="표준 2 3 2 2 2 2 2 3 3 2 4" xfId="21715"/>
    <cellStyle name="표준 2 3 2 2 2 2 2 3 3 3" xfId="7795"/>
    <cellStyle name="표준 2 3 2 2 2 2 2 3 3 3 2" xfId="24499"/>
    <cellStyle name="표준 2 3 2 2 2 2 2 3 3 4" xfId="13363"/>
    <cellStyle name="표준 2 3 2 2 2 2 2 3 3 4 2" xfId="30067"/>
    <cellStyle name="표준 2 3 2 2 2 2 2 3 3 5" xfId="18931"/>
    <cellStyle name="표준 2 3 2 2 2 2 2 3 4" xfId="3619"/>
    <cellStyle name="표준 2 3 2 2 2 2 2 3 4 2" xfId="9187"/>
    <cellStyle name="표준 2 3 2 2 2 2 2 3 4 2 2" xfId="25891"/>
    <cellStyle name="표준 2 3 2 2 2 2 2 3 4 3" xfId="14755"/>
    <cellStyle name="표준 2 3 2 2 2 2 2 3 4 3 2" xfId="31459"/>
    <cellStyle name="표준 2 3 2 2 2 2 2 3 4 4" xfId="20323"/>
    <cellStyle name="표준 2 3 2 2 2 2 2 3 5" xfId="6403"/>
    <cellStyle name="표준 2 3 2 2 2 2 2 3 5 2" xfId="23107"/>
    <cellStyle name="표준 2 3 2 2 2 2 2 3 6" xfId="11971"/>
    <cellStyle name="표준 2 3 2 2 2 2 2 3 6 2" xfId="28675"/>
    <cellStyle name="표준 2 3 2 2 2 2 2 3 7" xfId="17539"/>
    <cellStyle name="표준 2 3 2 2 2 2 2 4" xfId="1067"/>
    <cellStyle name="표준 2 3 2 2 2 2 2 4 2" xfId="2459"/>
    <cellStyle name="표준 2 3 2 2 2 2 2 4 2 2" xfId="5243"/>
    <cellStyle name="표준 2 3 2 2 2 2 2 4 2 2 2" xfId="10811"/>
    <cellStyle name="표준 2 3 2 2 2 2 2 4 2 2 2 2" xfId="27515"/>
    <cellStyle name="표준 2 3 2 2 2 2 2 4 2 2 3" xfId="16379"/>
    <cellStyle name="표준 2 3 2 2 2 2 2 4 2 2 3 2" xfId="33083"/>
    <cellStyle name="표준 2 3 2 2 2 2 2 4 2 2 4" xfId="21947"/>
    <cellStyle name="표준 2 3 2 2 2 2 2 4 2 3" xfId="8027"/>
    <cellStyle name="표준 2 3 2 2 2 2 2 4 2 3 2" xfId="24731"/>
    <cellStyle name="표준 2 3 2 2 2 2 2 4 2 4" xfId="13595"/>
    <cellStyle name="표준 2 3 2 2 2 2 2 4 2 4 2" xfId="30299"/>
    <cellStyle name="표준 2 3 2 2 2 2 2 4 2 5" xfId="19163"/>
    <cellStyle name="표준 2 3 2 2 2 2 2 4 3" xfId="3851"/>
    <cellStyle name="표준 2 3 2 2 2 2 2 4 3 2" xfId="9419"/>
    <cellStyle name="표준 2 3 2 2 2 2 2 4 3 2 2" xfId="26123"/>
    <cellStyle name="표준 2 3 2 2 2 2 2 4 3 3" xfId="14987"/>
    <cellStyle name="표준 2 3 2 2 2 2 2 4 3 3 2" xfId="31691"/>
    <cellStyle name="표준 2 3 2 2 2 2 2 4 3 4" xfId="20555"/>
    <cellStyle name="표준 2 3 2 2 2 2 2 4 4" xfId="6635"/>
    <cellStyle name="표준 2 3 2 2 2 2 2 4 4 2" xfId="23339"/>
    <cellStyle name="표준 2 3 2 2 2 2 2 4 5" xfId="12203"/>
    <cellStyle name="표준 2 3 2 2 2 2 2 4 5 2" xfId="28907"/>
    <cellStyle name="표준 2 3 2 2 2 2 2 4 6" xfId="17771"/>
    <cellStyle name="표준 2 3 2 2 2 2 2 5" xfId="1763"/>
    <cellStyle name="표준 2 3 2 2 2 2 2 5 2" xfId="4547"/>
    <cellStyle name="표준 2 3 2 2 2 2 2 5 2 2" xfId="10115"/>
    <cellStyle name="표준 2 3 2 2 2 2 2 5 2 2 2" xfId="26819"/>
    <cellStyle name="표준 2 3 2 2 2 2 2 5 2 3" xfId="15683"/>
    <cellStyle name="표준 2 3 2 2 2 2 2 5 2 3 2" xfId="32387"/>
    <cellStyle name="표준 2 3 2 2 2 2 2 5 2 4" xfId="21251"/>
    <cellStyle name="표준 2 3 2 2 2 2 2 5 3" xfId="7331"/>
    <cellStyle name="표준 2 3 2 2 2 2 2 5 3 2" xfId="24035"/>
    <cellStyle name="표준 2 3 2 2 2 2 2 5 4" xfId="12899"/>
    <cellStyle name="표준 2 3 2 2 2 2 2 5 4 2" xfId="29603"/>
    <cellStyle name="표준 2 3 2 2 2 2 2 5 5" xfId="18467"/>
    <cellStyle name="표준 2 3 2 2 2 2 2 6" xfId="3155"/>
    <cellStyle name="표준 2 3 2 2 2 2 2 6 2" xfId="8723"/>
    <cellStyle name="표준 2 3 2 2 2 2 2 6 2 2" xfId="25427"/>
    <cellStyle name="표준 2 3 2 2 2 2 2 6 3" xfId="14291"/>
    <cellStyle name="표준 2 3 2 2 2 2 2 6 3 2" xfId="30995"/>
    <cellStyle name="표준 2 3 2 2 2 2 2 6 4" xfId="19859"/>
    <cellStyle name="표준 2 3 2 2 2 2 2 7" xfId="5939"/>
    <cellStyle name="표준 2 3 2 2 2 2 2 7 2" xfId="22643"/>
    <cellStyle name="표준 2 3 2 2 2 2 2 8" xfId="11507"/>
    <cellStyle name="표준 2 3 2 2 2 2 2 8 2" xfId="28211"/>
    <cellStyle name="표준 2 3 2 2 2 2 2 9" xfId="17075"/>
    <cellStyle name="표준 2 3 2 2 2 2 3" xfId="487"/>
    <cellStyle name="표준 2 3 2 2 2 2 3 2" xfId="1183"/>
    <cellStyle name="표준 2 3 2 2 2 2 3 2 2" xfId="2575"/>
    <cellStyle name="표준 2 3 2 2 2 2 3 2 2 2" xfId="5359"/>
    <cellStyle name="표준 2 3 2 2 2 2 3 2 2 2 2" xfId="10927"/>
    <cellStyle name="표준 2 3 2 2 2 2 3 2 2 2 2 2" xfId="27631"/>
    <cellStyle name="표준 2 3 2 2 2 2 3 2 2 2 3" xfId="16495"/>
    <cellStyle name="표준 2 3 2 2 2 2 3 2 2 2 3 2" xfId="33199"/>
    <cellStyle name="표준 2 3 2 2 2 2 3 2 2 2 4" xfId="22063"/>
    <cellStyle name="표준 2 3 2 2 2 2 3 2 2 3" xfId="8143"/>
    <cellStyle name="표준 2 3 2 2 2 2 3 2 2 3 2" xfId="24847"/>
    <cellStyle name="표준 2 3 2 2 2 2 3 2 2 4" xfId="13711"/>
    <cellStyle name="표준 2 3 2 2 2 2 3 2 2 4 2" xfId="30415"/>
    <cellStyle name="표준 2 3 2 2 2 2 3 2 2 5" xfId="19279"/>
    <cellStyle name="표준 2 3 2 2 2 2 3 2 3" xfId="3967"/>
    <cellStyle name="표준 2 3 2 2 2 2 3 2 3 2" xfId="9535"/>
    <cellStyle name="표준 2 3 2 2 2 2 3 2 3 2 2" xfId="26239"/>
    <cellStyle name="표준 2 3 2 2 2 2 3 2 3 3" xfId="15103"/>
    <cellStyle name="표준 2 3 2 2 2 2 3 2 3 3 2" xfId="31807"/>
    <cellStyle name="표준 2 3 2 2 2 2 3 2 3 4" xfId="20671"/>
    <cellStyle name="표준 2 3 2 2 2 2 3 2 4" xfId="6751"/>
    <cellStyle name="표준 2 3 2 2 2 2 3 2 4 2" xfId="23455"/>
    <cellStyle name="표준 2 3 2 2 2 2 3 2 5" xfId="12319"/>
    <cellStyle name="표준 2 3 2 2 2 2 3 2 5 2" xfId="29023"/>
    <cellStyle name="표준 2 3 2 2 2 2 3 2 6" xfId="17887"/>
    <cellStyle name="표준 2 3 2 2 2 2 3 3" xfId="1879"/>
    <cellStyle name="표준 2 3 2 2 2 2 3 3 2" xfId="4663"/>
    <cellStyle name="표준 2 3 2 2 2 2 3 3 2 2" xfId="10231"/>
    <cellStyle name="표준 2 3 2 2 2 2 3 3 2 2 2" xfId="26935"/>
    <cellStyle name="표준 2 3 2 2 2 2 3 3 2 3" xfId="15799"/>
    <cellStyle name="표준 2 3 2 2 2 2 3 3 2 3 2" xfId="32503"/>
    <cellStyle name="표준 2 3 2 2 2 2 3 3 2 4" xfId="21367"/>
    <cellStyle name="표준 2 3 2 2 2 2 3 3 3" xfId="7447"/>
    <cellStyle name="표준 2 3 2 2 2 2 3 3 3 2" xfId="24151"/>
    <cellStyle name="표준 2 3 2 2 2 2 3 3 4" xfId="13015"/>
    <cellStyle name="표준 2 3 2 2 2 2 3 3 4 2" xfId="29719"/>
    <cellStyle name="표준 2 3 2 2 2 2 3 3 5" xfId="18583"/>
    <cellStyle name="표준 2 3 2 2 2 2 3 4" xfId="3271"/>
    <cellStyle name="표준 2 3 2 2 2 2 3 4 2" xfId="8839"/>
    <cellStyle name="표준 2 3 2 2 2 2 3 4 2 2" xfId="25543"/>
    <cellStyle name="표준 2 3 2 2 2 2 3 4 3" xfId="14407"/>
    <cellStyle name="표준 2 3 2 2 2 2 3 4 3 2" xfId="31111"/>
    <cellStyle name="표준 2 3 2 2 2 2 3 4 4" xfId="19975"/>
    <cellStyle name="표준 2 3 2 2 2 2 3 5" xfId="6055"/>
    <cellStyle name="표준 2 3 2 2 2 2 3 5 2" xfId="22759"/>
    <cellStyle name="표준 2 3 2 2 2 2 3 6" xfId="11623"/>
    <cellStyle name="표준 2 3 2 2 2 2 3 6 2" xfId="28327"/>
    <cellStyle name="표준 2 3 2 2 2 2 3 7" xfId="17191"/>
    <cellStyle name="표준 2 3 2 2 2 2 4" xfId="719"/>
    <cellStyle name="표준 2 3 2 2 2 2 4 2" xfId="1415"/>
    <cellStyle name="표준 2 3 2 2 2 2 4 2 2" xfId="2807"/>
    <cellStyle name="표준 2 3 2 2 2 2 4 2 2 2" xfId="5591"/>
    <cellStyle name="표준 2 3 2 2 2 2 4 2 2 2 2" xfId="11159"/>
    <cellStyle name="표준 2 3 2 2 2 2 4 2 2 2 2 2" xfId="27863"/>
    <cellStyle name="표준 2 3 2 2 2 2 4 2 2 2 3" xfId="16727"/>
    <cellStyle name="표준 2 3 2 2 2 2 4 2 2 2 3 2" xfId="33431"/>
    <cellStyle name="표준 2 3 2 2 2 2 4 2 2 2 4" xfId="22295"/>
    <cellStyle name="표준 2 3 2 2 2 2 4 2 2 3" xfId="8375"/>
    <cellStyle name="표준 2 3 2 2 2 2 4 2 2 3 2" xfId="25079"/>
    <cellStyle name="표준 2 3 2 2 2 2 4 2 2 4" xfId="13943"/>
    <cellStyle name="표준 2 3 2 2 2 2 4 2 2 4 2" xfId="30647"/>
    <cellStyle name="표준 2 3 2 2 2 2 4 2 2 5" xfId="19511"/>
    <cellStyle name="표준 2 3 2 2 2 2 4 2 3" xfId="4199"/>
    <cellStyle name="표준 2 3 2 2 2 2 4 2 3 2" xfId="9767"/>
    <cellStyle name="표준 2 3 2 2 2 2 4 2 3 2 2" xfId="26471"/>
    <cellStyle name="표준 2 3 2 2 2 2 4 2 3 3" xfId="15335"/>
    <cellStyle name="표준 2 3 2 2 2 2 4 2 3 3 2" xfId="32039"/>
    <cellStyle name="표준 2 3 2 2 2 2 4 2 3 4" xfId="20903"/>
    <cellStyle name="표준 2 3 2 2 2 2 4 2 4" xfId="6983"/>
    <cellStyle name="표준 2 3 2 2 2 2 4 2 4 2" xfId="23687"/>
    <cellStyle name="표준 2 3 2 2 2 2 4 2 5" xfId="12551"/>
    <cellStyle name="표준 2 3 2 2 2 2 4 2 5 2" xfId="29255"/>
    <cellStyle name="표준 2 3 2 2 2 2 4 2 6" xfId="18119"/>
    <cellStyle name="표준 2 3 2 2 2 2 4 3" xfId="2111"/>
    <cellStyle name="표준 2 3 2 2 2 2 4 3 2" xfId="4895"/>
    <cellStyle name="표준 2 3 2 2 2 2 4 3 2 2" xfId="10463"/>
    <cellStyle name="표준 2 3 2 2 2 2 4 3 2 2 2" xfId="27167"/>
    <cellStyle name="표준 2 3 2 2 2 2 4 3 2 3" xfId="16031"/>
    <cellStyle name="표준 2 3 2 2 2 2 4 3 2 3 2" xfId="32735"/>
    <cellStyle name="표준 2 3 2 2 2 2 4 3 2 4" xfId="21599"/>
    <cellStyle name="표준 2 3 2 2 2 2 4 3 3" xfId="7679"/>
    <cellStyle name="표준 2 3 2 2 2 2 4 3 3 2" xfId="24383"/>
    <cellStyle name="표준 2 3 2 2 2 2 4 3 4" xfId="13247"/>
    <cellStyle name="표준 2 3 2 2 2 2 4 3 4 2" xfId="29951"/>
    <cellStyle name="표준 2 3 2 2 2 2 4 3 5" xfId="18815"/>
    <cellStyle name="표준 2 3 2 2 2 2 4 4" xfId="3503"/>
    <cellStyle name="표준 2 3 2 2 2 2 4 4 2" xfId="9071"/>
    <cellStyle name="표준 2 3 2 2 2 2 4 4 2 2" xfId="25775"/>
    <cellStyle name="표준 2 3 2 2 2 2 4 4 3" xfId="14639"/>
    <cellStyle name="표준 2 3 2 2 2 2 4 4 3 2" xfId="31343"/>
    <cellStyle name="표준 2 3 2 2 2 2 4 4 4" xfId="20207"/>
    <cellStyle name="표준 2 3 2 2 2 2 4 5" xfId="6287"/>
    <cellStyle name="표준 2 3 2 2 2 2 4 5 2" xfId="22991"/>
    <cellStyle name="표준 2 3 2 2 2 2 4 6" xfId="11855"/>
    <cellStyle name="표준 2 3 2 2 2 2 4 6 2" xfId="28559"/>
    <cellStyle name="표준 2 3 2 2 2 2 4 7" xfId="17423"/>
    <cellStyle name="표준 2 3 2 2 2 2 5" xfId="951"/>
    <cellStyle name="표준 2 3 2 2 2 2 5 2" xfId="2343"/>
    <cellStyle name="표준 2 3 2 2 2 2 5 2 2" xfId="5127"/>
    <cellStyle name="표준 2 3 2 2 2 2 5 2 2 2" xfId="10695"/>
    <cellStyle name="표준 2 3 2 2 2 2 5 2 2 2 2" xfId="27399"/>
    <cellStyle name="표준 2 3 2 2 2 2 5 2 2 3" xfId="16263"/>
    <cellStyle name="표준 2 3 2 2 2 2 5 2 2 3 2" xfId="32967"/>
    <cellStyle name="표준 2 3 2 2 2 2 5 2 2 4" xfId="21831"/>
    <cellStyle name="표준 2 3 2 2 2 2 5 2 3" xfId="7911"/>
    <cellStyle name="표준 2 3 2 2 2 2 5 2 3 2" xfId="24615"/>
    <cellStyle name="표준 2 3 2 2 2 2 5 2 4" xfId="13479"/>
    <cellStyle name="표준 2 3 2 2 2 2 5 2 4 2" xfId="30183"/>
    <cellStyle name="표준 2 3 2 2 2 2 5 2 5" xfId="19047"/>
    <cellStyle name="표준 2 3 2 2 2 2 5 3" xfId="3735"/>
    <cellStyle name="표준 2 3 2 2 2 2 5 3 2" xfId="9303"/>
    <cellStyle name="표준 2 3 2 2 2 2 5 3 2 2" xfId="26007"/>
    <cellStyle name="표준 2 3 2 2 2 2 5 3 3" xfId="14871"/>
    <cellStyle name="표준 2 3 2 2 2 2 5 3 3 2" xfId="31575"/>
    <cellStyle name="표준 2 3 2 2 2 2 5 3 4" xfId="20439"/>
    <cellStyle name="표준 2 3 2 2 2 2 5 4" xfId="6519"/>
    <cellStyle name="표준 2 3 2 2 2 2 5 4 2" xfId="23223"/>
    <cellStyle name="표준 2 3 2 2 2 2 5 5" xfId="12087"/>
    <cellStyle name="표준 2 3 2 2 2 2 5 5 2" xfId="28791"/>
    <cellStyle name="표준 2 3 2 2 2 2 5 6" xfId="17655"/>
    <cellStyle name="표준 2 3 2 2 2 2 6" xfId="1647"/>
    <cellStyle name="표준 2 3 2 2 2 2 6 2" xfId="4431"/>
    <cellStyle name="표준 2 3 2 2 2 2 6 2 2" xfId="9999"/>
    <cellStyle name="표준 2 3 2 2 2 2 6 2 2 2" xfId="26703"/>
    <cellStyle name="표준 2 3 2 2 2 2 6 2 3" xfId="15567"/>
    <cellStyle name="표준 2 3 2 2 2 2 6 2 3 2" xfId="32271"/>
    <cellStyle name="표준 2 3 2 2 2 2 6 2 4" xfId="21135"/>
    <cellStyle name="표준 2 3 2 2 2 2 6 3" xfId="7215"/>
    <cellStyle name="표준 2 3 2 2 2 2 6 3 2" xfId="23919"/>
    <cellStyle name="표준 2 3 2 2 2 2 6 4" xfId="12783"/>
    <cellStyle name="표준 2 3 2 2 2 2 6 4 2" xfId="29487"/>
    <cellStyle name="표준 2 3 2 2 2 2 6 5" xfId="18351"/>
    <cellStyle name="표준 2 3 2 2 2 2 7" xfId="3039"/>
    <cellStyle name="표준 2 3 2 2 2 2 7 2" xfId="8607"/>
    <cellStyle name="표준 2 3 2 2 2 2 7 2 2" xfId="25311"/>
    <cellStyle name="표준 2 3 2 2 2 2 7 3" xfId="14175"/>
    <cellStyle name="표준 2 3 2 2 2 2 7 3 2" xfId="30879"/>
    <cellStyle name="표준 2 3 2 2 2 2 7 4" xfId="19743"/>
    <cellStyle name="표준 2 3 2 2 2 2 8" xfId="5823"/>
    <cellStyle name="표준 2 3 2 2 2 2 8 2" xfId="22527"/>
    <cellStyle name="표준 2 3 2 2 2 2 9" xfId="11391"/>
    <cellStyle name="표준 2 3 2 2 2 2 9 2" xfId="28095"/>
    <cellStyle name="표준 2 3 2 2 2 3" xfId="313"/>
    <cellStyle name="표준 2 3 2 2 2 3 2" xfId="545"/>
    <cellStyle name="표준 2 3 2 2 2 3 2 2" xfId="1241"/>
    <cellStyle name="표준 2 3 2 2 2 3 2 2 2" xfId="2633"/>
    <cellStyle name="표준 2 3 2 2 2 3 2 2 2 2" xfId="5417"/>
    <cellStyle name="표준 2 3 2 2 2 3 2 2 2 2 2" xfId="10985"/>
    <cellStyle name="표준 2 3 2 2 2 3 2 2 2 2 2 2" xfId="27689"/>
    <cellStyle name="표준 2 3 2 2 2 3 2 2 2 2 3" xfId="16553"/>
    <cellStyle name="표준 2 3 2 2 2 3 2 2 2 2 3 2" xfId="33257"/>
    <cellStyle name="표준 2 3 2 2 2 3 2 2 2 2 4" xfId="22121"/>
    <cellStyle name="표준 2 3 2 2 2 3 2 2 2 3" xfId="8201"/>
    <cellStyle name="표준 2 3 2 2 2 3 2 2 2 3 2" xfId="24905"/>
    <cellStyle name="표준 2 3 2 2 2 3 2 2 2 4" xfId="13769"/>
    <cellStyle name="표준 2 3 2 2 2 3 2 2 2 4 2" xfId="30473"/>
    <cellStyle name="표준 2 3 2 2 2 3 2 2 2 5" xfId="19337"/>
    <cellStyle name="표준 2 3 2 2 2 3 2 2 3" xfId="4025"/>
    <cellStyle name="표준 2 3 2 2 2 3 2 2 3 2" xfId="9593"/>
    <cellStyle name="표준 2 3 2 2 2 3 2 2 3 2 2" xfId="26297"/>
    <cellStyle name="표준 2 3 2 2 2 3 2 2 3 3" xfId="15161"/>
    <cellStyle name="표준 2 3 2 2 2 3 2 2 3 3 2" xfId="31865"/>
    <cellStyle name="표준 2 3 2 2 2 3 2 2 3 4" xfId="20729"/>
    <cellStyle name="표준 2 3 2 2 2 3 2 2 4" xfId="6809"/>
    <cellStyle name="표준 2 3 2 2 2 3 2 2 4 2" xfId="23513"/>
    <cellStyle name="표준 2 3 2 2 2 3 2 2 5" xfId="12377"/>
    <cellStyle name="표준 2 3 2 2 2 3 2 2 5 2" xfId="29081"/>
    <cellStyle name="표준 2 3 2 2 2 3 2 2 6" xfId="17945"/>
    <cellStyle name="표준 2 3 2 2 2 3 2 3" xfId="1937"/>
    <cellStyle name="표준 2 3 2 2 2 3 2 3 2" xfId="4721"/>
    <cellStyle name="표준 2 3 2 2 2 3 2 3 2 2" xfId="10289"/>
    <cellStyle name="표준 2 3 2 2 2 3 2 3 2 2 2" xfId="26993"/>
    <cellStyle name="표준 2 3 2 2 2 3 2 3 2 3" xfId="15857"/>
    <cellStyle name="표준 2 3 2 2 2 3 2 3 2 3 2" xfId="32561"/>
    <cellStyle name="표준 2 3 2 2 2 3 2 3 2 4" xfId="21425"/>
    <cellStyle name="표준 2 3 2 2 2 3 2 3 3" xfId="7505"/>
    <cellStyle name="표준 2 3 2 2 2 3 2 3 3 2" xfId="24209"/>
    <cellStyle name="표준 2 3 2 2 2 3 2 3 4" xfId="13073"/>
    <cellStyle name="표준 2 3 2 2 2 3 2 3 4 2" xfId="29777"/>
    <cellStyle name="표준 2 3 2 2 2 3 2 3 5" xfId="18641"/>
    <cellStyle name="표준 2 3 2 2 2 3 2 4" xfId="3329"/>
    <cellStyle name="표준 2 3 2 2 2 3 2 4 2" xfId="8897"/>
    <cellStyle name="표준 2 3 2 2 2 3 2 4 2 2" xfId="25601"/>
    <cellStyle name="표준 2 3 2 2 2 3 2 4 3" xfId="14465"/>
    <cellStyle name="표준 2 3 2 2 2 3 2 4 3 2" xfId="31169"/>
    <cellStyle name="표준 2 3 2 2 2 3 2 4 4" xfId="20033"/>
    <cellStyle name="표준 2 3 2 2 2 3 2 5" xfId="6113"/>
    <cellStyle name="표준 2 3 2 2 2 3 2 5 2" xfId="22817"/>
    <cellStyle name="표준 2 3 2 2 2 3 2 6" xfId="11681"/>
    <cellStyle name="표준 2 3 2 2 2 3 2 6 2" xfId="28385"/>
    <cellStyle name="표준 2 3 2 2 2 3 2 7" xfId="17249"/>
    <cellStyle name="표준 2 3 2 2 2 3 3" xfId="777"/>
    <cellStyle name="표준 2 3 2 2 2 3 3 2" xfId="1473"/>
    <cellStyle name="표준 2 3 2 2 2 3 3 2 2" xfId="2865"/>
    <cellStyle name="표준 2 3 2 2 2 3 3 2 2 2" xfId="5649"/>
    <cellStyle name="표준 2 3 2 2 2 3 3 2 2 2 2" xfId="11217"/>
    <cellStyle name="표준 2 3 2 2 2 3 3 2 2 2 2 2" xfId="27921"/>
    <cellStyle name="표준 2 3 2 2 2 3 3 2 2 2 3" xfId="16785"/>
    <cellStyle name="표준 2 3 2 2 2 3 3 2 2 2 3 2" xfId="33489"/>
    <cellStyle name="표준 2 3 2 2 2 3 3 2 2 2 4" xfId="22353"/>
    <cellStyle name="표준 2 3 2 2 2 3 3 2 2 3" xfId="8433"/>
    <cellStyle name="표준 2 3 2 2 2 3 3 2 2 3 2" xfId="25137"/>
    <cellStyle name="표준 2 3 2 2 2 3 3 2 2 4" xfId="14001"/>
    <cellStyle name="표준 2 3 2 2 2 3 3 2 2 4 2" xfId="30705"/>
    <cellStyle name="표준 2 3 2 2 2 3 3 2 2 5" xfId="19569"/>
    <cellStyle name="표준 2 3 2 2 2 3 3 2 3" xfId="4257"/>
    <cellStyle name="표준 2 3 2 2 2 3 3 2 3 2" xfId="9825"/>
    <cellStyle name="표준 2 3 2 2 2 3 3 2 3 2 2" xfId="26529"/>
    <cellStyle name="표준 2 3 2 2 2 3 3 2 3 3" xfId="15393"/>
    <cellStyle name="표준 2 3 2 2 2 3 3 2 3 3 2" xfId="32097"/>
    <cellStyle name="표준 2 3 2 2 2 3 3 2 3 4" xfId="20961"/>
    <cellStyle name="표준 2 3 2 2 2 3 3 2 4" xfId="7041"/>
    <cellStyle name="표준 2 3 2 2 2 3 3 2 4 2" xfId="23745"/>
    <cellStyle name="표준 2 3 2 2 2 3 3 2 5" xfId="12609"/>
    <cellStyle name="표준 2 3 2 2 2 3 3 2 5 2" xfId="29313"/>
    <cellStyle name="표준 2 3 2 2 2 3 3 2 6" xfId="18177"/>
    <cellStyle name="표준 2 3 2 2 2 3 3 3" xfId="2169"/>
    <cellStyle name="표준 2 3 2 2 2 3 3 3 2" xfId="4953"/>
    <cellStyle name="표준 2 3 2 2 2 3 3 3 2 2" xfId="10521"/>
    <cellStyle name="표준 2 3 2 2 2 3 3 3 2 2 2" xfId="27225"/>
    <cellStyle name="표준 2 3 2 2 2 3 3 3 2 3" xfId="16089"/>
    <cellStyle name="표준 2 3 2 2 2 3 3 3 2 3 2" xfId="32793"/>
    <cellStyle name="표준 2 3 2 2 2 3 3 3 2 4" xfId="21657"/>
    <cellStyle name="표준 2 3 2 2 2 3 3 3 3" xfId="7737"/>
    <cellStyle name="표준 2 3 2 2 2 3 3 3 3 2" xfId="24441"/>
    <cellStyle name="표준 2 3 2 2 2 3 3 3 4" xfId="13305"/>
    <cellStyle name="표준 2 3 2 2 2 3 3 3 4 2" xfId="30009"/>
    <cellStyle name="표준 2 3 2 2 2 3 3 3 5" xfId="18873"/>
    <cellStyle name="표준 2 3 2 2 2 3 3 4" xfId="3561"/>
    <cellStyle name="표준 2 3 2 2 2 3 3 4 2" xfId="9129"/>
    <cellStyle name="표준 2 3 2 2 2 3 3 4 2 2" xfId="25833"/>
    <cellStyle name="표준 2 3 2 2 2 3 3 4 3" xfId="14697"/>
    <cellStyle name="표준 2 3 2 2 2 3 3 4 3 2" xfId="31401"/>
    <cellStyle name="표준 2 3 2 2 2 3 3 4 4" xfId="20265"/>
    <cellStyle name="표준 2 3 2 2 2 3 3 5" xfId="6345"/>
    <cellStyle name="표준 2 3 2 2 2 3 3 5 2" xfId="23049"/>
    <cellStyle name="표준 2 3 2 2 2 3 3 6" xfId="11913"/>
    <cellStyle name="표준 2 3 2 2 2 3 3 6 2" xfId="28617"/>
    <cellStyle name="표준 2 3 2 2 2 3 3 7" xfId="17481"/>
    <cellStyle name="표준 2 3 2 2 2 3 4" xfId="1009"/>
    <cellStyle name="표준 2 3 2 2 2 3 4 2" xfId="2401"/>
    <cellStyle name="표준 2 3 2 2 2 3 4 2 2" xfId="5185"/>
    <cellStyle name="표준 2 3 2 2 2 3 4 2 2 2" xfId="10753"/>
    <cellStyle name="표준 2 3 2 2 2 3 4 2 2 2 2" xfId="27457"/>
    <cellStyle name="표준 2 3 2 2 2 3 4 2 2 3" xfId="16321"/>
    <cellStyle name="표준 2 3 2 2 2 3 4 2 2 3 2" xfId="33025"/>
    <cellStyle name="표준 2 3 2 2 2 3 4 2 2 4" xfId="21889"/>
    <cellStyle name="표준 2 3 2 2 2 3 4 2 3" xfId="7969"/>
    <cellStyle name="표준 2 3 2 2 2 3 4 2 3 2" xfId="24673"/>
    <cellStyle name="표준 2 3 2 2 2 3 4 2 4" xfId="13537"/>
    <cellStyle name="표준 2 3 2 2 2 3 4 2 4 2" xfId="30241"/>
    <cellStyle name="표준 2 3 2 2 2 3 4 2 5" xfId="19105"/>
    <cellStyle name="표준 2 3 2 2 2 3 4 3" xfId="3793"/>
    <cellStyle name="표준 2 3 2 2 2 3 4 3 2" xfId="9361"/>
    <cellStyle name="표준 2 3 2 2 2 3 4 3 2 2" xfId="26065"/>
    <cellStyle name="표준 2 3 2 2 2 3 4 3 3" xfId="14929"/>
    <cellStyle name="표준 2 3 2 2 2 3 4 3 3 2" xfId="31633"/>
    <cellStyle name="표준 2 3 2 2 2 3 4 3 4" xfId="20497"/>
    <cellStyle name="표준 2 3 2 2 2 3 4 4" xfId="6577"/>
    <cellStyle name="표준 2 3 2 2 2 3 4 4 2" xfId="23281"/>
    <cellStyle name="표준 2 3 2 2 2 3 4 5" xfId="12145"/>
    <cellStyle name="표준 2 3 2 2 2 3 4 5 2" xfId="28849"/>
    <cellStyle name="표준 2 3 2 2 2 3 4 6" xfId="17713"/>
    <cellStyle name="표준 2 3 2 2 2 3 5" xfId="1705"/>
    <cellStyle name="표준 2 3 2 2 2 3 5 2" xfId="4489"/>
    <cellStyle name="표준 2 3 2 2 2 3 5 2 2" xfId="10057"/>
    <cellStyle name="표준 2 3 2 2 2 3 5 2 2 2" xfId="26761"/>
    <cellStyle name="표준 2 3 2 2 2 3 5 2 3" xfId="15625"/>
    <cellStyle name="표준 2 3 2 2 2 3 5 2 3 2" xfId="32329"/>
    <cellStyle name="표준 2 3 2 2 2 3 5 2 4" xfId="21193"/>
    <cellStyle name="표준 2 3 2 2 2 3 5 3" xfId="7273"/>
    <cellStyle name="표준 2 3 2 2 2 3 5 3 2" xfId="23977"/>
    <cellStyle name="표준 2 3 2 2 2 3 5 4" xfId="12841"/>
    <cellStyle name="표준 2 3 2 2 2 3 5 4 2" xfId="29545"/>
    <cellStyle name="표준 2 3 2 2 2 3 5 5" xfId="18409"/>
    <cellStyle name="표준 2 3 2 2 2 3 6" xfId="3097"/>
    <cellStyle name="표준 2 3 2 2 2 3 6 2" xfId="8665"/>
    <cellStyle name="표준 2 3 2 2 2 3 6 2 2" xfId="25369"/>
    <cellStyle name="표준 2 3 2 2 2 3 6 3" xfId="14233"/>
    <cellStyle name="표준 2 3 2 2 2 3 6 3 2" xfId="30937"/>
    <cellStyle name="표준 2 3 2 2 2 3 6 4" xfId="19801"/>
    <cellStyle name="표준 2 3 2 2 2 3 7" xfId="5881"/>
    <cellStyle name="표준 2 3 2 2 2 3 7 2" xfId="22585"/>
    <cellStyle name="표준 2 3 2 2 2 3 8" xfId="11449"/>
    <cellStyle name="표준 2 3 2 2 2 3 8 2" xfId="28153"/>
    <cellStyle name="표준 2 3 2 2 2 3 9" xfId="17017"/>
    <cellStyle name="표준 2 3 2 2 2 4" xfId="429"/>
    <cellStyle name="표준 2 3 2 2 2 4 2" xfId="1125"/>
    <cellStyle name="표준 2 3 2 2 2 4 2 2" xfId="2517"/>
    <cellStyle name="표준 2 3 2 2 2 4 2 2 2" xfId="5301"/>
    <cellStyle name="표준 2 3 2 2 2 4 2 2 2 2" xfId="10869"/>
    <cellStyle name="표준 2 3 2 2 2 4 2 2 2 2 2" xfId="27573"/>
    <cellStyle name="표준 2 3 2 2 2 4 2 2 2 3" xfId="16437"/>
    <cellStyle name="표준 2 3 2 2 2 4 2 2 2 3 2" xfId="33141"/>
    <cellStyle name="표준 2 3 2 2 2 4 2 2 2 4" xfId="22005"/>
    <cellStyle name="표준 2 3 2 2 2 4 2 2 3" xfId="8085"/>
    <cellStyle name="표준 2 3 2 2 2 4 2 2 3 2" xfId="24789"/>
    <cellStyle name="표준 2 3 2 2 2 4 2 2 4" xfId="13653"/>
    <cellStyle name="표준 2 3 2 2 2 4 2 2 4 2" xfId="30357"/>
    <cellStyle name="표준 2 3 2 2 2 4 2 2 5" xfId="19221"/>
    <cellStyle name="표준 2 3 2 2 2 4 2 3" xfId="3909"/>
    <cellStyle name="표준 2 3 2 2 2 4 2 3 2" xfId="9477"/>
    <cellStyle name="표준 2 3 2 2 2 4 2 3 2 2" xfId="26181"/>
    <cellStyle name="표준 2 3 2 2 2 4 2 3 3" xfId="15045"/>
    <cellStyle name="표준 2 3 2 2 2 4 2 3 3 2" xfId="31749"/>
    <cellStyle name="표준 2 3 2 2 2 4 2 3 4" xfId="20613"/>
    <cellStyle name="표준 2 3 2 2 2 4 2 4" xfId="6693"/>
    <cellStyle name="표준 2 3 2 2 2 4 2 4 2" xfId="23397"/>
    <cellStyle name="표준 2 3 2 2 2 4 2 5" xfId="12261"/>
    <cellStyle name="표준 2 3 2 2 2 4 2 5 2" xfId="28965"/>
    <cellStyle name="표준 2 3 2 2 2 4 2 6" xfId="17829"/>
    <cellStyle name="표준 2 3 2 2 2 4 3" xfId="1821"/>
    <cellStyle name="표준 2 3 2 2 2 4 3 2" xfId="4605"/>
    <cellStyle name="표준 2 3 2 2 2 4 3 2 2" xfId="10173"/>
    <cellStyle name="표준 2 3 2 2 2 4 3 2 2 2" xfId="26877"/>
    <cellStyle name="표준 2 3 2 2 2 4 3 2 3" xfId="15741"/>
    <cellStyle name="표준 2 3 2 2 2 4 3 2 3 2" xfId="32445"/>
    <cellStyle name="표준 2 3 2 2 2 4 3 2 4" xfId="21309"/>
    <cellStyle name="표준 2 3 2 2 2 4 3 3" xfId="7389"/>
    <cellStyle name="표준 2 3 2 2 2 4 3 3 2" xfId="24093"/>
    <cellStyle name="표준 2 3 2 2 2 4 3 4" xfId="12957"/>
    <cellStyle name="표준 2 3 2 2 2 4 3 4 2" xfId="29661"/>
    <cellStyle name="표준 2 3 2 2 2 4 3 5" xfId="18525"/>
    <cellStyle name="표준 2 3 2 2 2 4 4" xfId="3213"/>
    <cellStyle name="표준 2 3 2 2 2 4 4 2" xfId="8781"/>
    <cellStyle name="표준 2 3 2 2 2 4 4 2 2" xfId="25485"/>
    <cellStyle name="표준 2 3 2 2 2 4 4 3" xfId="14349"/>
    <cellStyle name="표준 2 3 2 2 2 4 4 3 2" xfId="31053"/>
    <cellStyle name="표준 2 3 2 2 2 4 4 4" xfId="19917"/>
    <cellStyle name="표준 2 3 2 2 2 4 5" xfId="5997"/>
    <cellStyle name="표준 2 3 2 2 2 4 5 2" xfId="22701"/>
    <cellStyle name="표준 2 3 2 2 2 4 6" xfId="11565"/>
    <cellStyle name="표준 2 3 2 2 2 4 6 2" xfId="28269"/>
    <cellStyle name="표준 2 3 2 2 2 4 7" xfId="17133"/>
    <cellStyle name="표준 2 3 2 2 2 5" xfId="661"/>
    <cellStyle name="표준 2 3 2 2 2 5 2" xfId="1357"/>
    <cellStyle name="표준 2 3 2 2 2 5 2 2" xfId="2749"/>
    <cellStyle name="표준 2 3 2 2 2 5 2 2 2" xfId="5533"/>
    <cellStyle name="표준 2 3 2 2 2 5 2 2 2 2" xfId="11101"/>
    <cellStyle name="표준 2 3 2 2 2 5 2 2 2 2 2" xfId="27805"/>
    <cellStyle name="표준 2 3 2 2 2 5 2 2 2 3" xfId="16669"/>
    <cellStyle name="표준 2 3 2 2 2 5 2 2 2 3 2" xfId="33373"/>
    <cellStyle name="표준 2 3 2 2 2 5 2 2 2 4" xfId="22237"/>
    <cellStyle name="표준 2 3 2 2 2 5 2 2 3" xfId="8317"/>
    <cellStyle name="표준 2 3 2 2 2 5 2 2 3 2" xfId="25021"/>
    <cellStyle name="표준 2 3 2 2 2 5 2 2 4" xfId="13885"/>
    <cellStyle name="표준 2 3 2 2 2 5 2 2 4 2" xfId="30589"/>
    <cellStyle name="표준 2 3 2 2 2 5 2 2 5" xfId="19453"/>
    <cellStyle name="표준 2 3 2 2 2 5 2 3" xfId="4141"/>
    <cellStyle name="표준 2 3 2 2 2 5 2 3 2" xfId="9709"/>
    <cellStyle name="표준 2 3 2 2 2 5 2 3 2 2" xfId="26413"/>
    <cellStyle name="표준 2 3 2 2 2 5 2 3 3" xfId="15277"/>
    <cellStyle name="표준 2 3 2 2 2 5 2 3 3 2" xfId="31981"/>
    <cellStyle name="표준 2 3 2 2 2 5 2 3 4" xfId="20845"/>
    <cellStyle name="표준 2 3 2 2 2 5 2 4" xfId="6925"/>
    <cellStyle name="표준 2 3 2 2 2 5 2 4 2" xfId="23629"/>
    <cellStyle name="표준 2 3 2 2 2 5 2 5" xfId="12493"/>
    <cellStyle name="표준 2 3 2 2 2 5 2 5 2" xfId="29197"/>
    <cellStyle name="표준 2 3 2 2 2 5 2 6" xfId="18061"/>
    <cellStyle name="표준 2 3 2 2 2 5 3" xfId="2053"/>
    <cellStyle name="표준 2 3 2 2 2 5 3 2" xfId="4837"/>
    <cellStyle name="표준 2 3 2 2 2 5 3 2 2" xfId="10405"/>
    <cellStyle name="표준 2 3 2 2 2 5 3 2 2 2" xfId="27109"/>
    <cellStyle name="표준 2 3 2 2 2 5 3 2 3" xfId="15973"/>
    <cellStyle name="표준 2 3 2 2 2 5 3 2 3 2" xfId="32677"/>
    <cellStyle name="표준 2 3 2 2 2 5 3 2 4" xfId="21541"/>
    <cellStyle name="표준 2 3 2 2 2 5 3 3" xfId="7621"/>
    <cellStyle name="표준 2 3 2 2 2 5 3 3 2" xfId="24325"/>
    <cellStyle name="표준 2 3 2 2 2 5 3 4" xfId="13189"/>
    <cellStyle name="표준 2 3 2 2 2 5 3 4 2" xfId="29893"/>
    <cellStyle name="표준 2 3 2 2 2 5 3 5" xfId="18757"/>
    <cellStyle name="표준 2 3 2 2 2 5 4" xfId="3445"/>
    <cellStyle name="표준 2 3 2 2 2 5 4 2" xfId="9013"/>
    <cellStyle name="표준 2 3 2 2 2 5 4 2 2" xfId="25717"/>
    <cellStyle name="표준 2 3 2 2 2 5 4 3" xfId="14581"/>
    <cellStyle name="표준 2 3 2 2 2 5 4 3 2" xfId="31285"/>
    <cellStyle name="표준 2 3 2 2 2 5 4 4" xfId="20149"/>
    <cellStyle name="표준 2 3 2 2 2 5 5" xfId="6229"/>
    <cellStyle name="표준 2 3 2 2 2 5 5 2" xfId="22933"/>
    <cellStyle name="표준 2 3 2 2 2 5 6" xfId="11797"/>
    <cellStyle name="표준 2 3 2 2 2 5 6 2" xfId="28501"/>
    <cellStyle name="표준 2 3 2 2 2 5 7" xfId="17365"/>
    <cellStyle name="표준 2 3 2 2 2 6" xfId="893"/>
    <cellStyle name="표준 2 3 2 2 2 6 2" xfId="2285"/>
    <cellStyle name="표준 2 3 2 2 2 6 2 2" xfId="5069"/>
    <cellStyle name="표준 2 3 2 2 2 6 2 2 2" xfId="10637"/>
    <cellStyle name="표준 2 3 2 2 2 6 2 2 2 2" xfId="27341"/>
    <cellStyle name="표준 2 3 2 2 2 6 2 2 3" xfId="16205"/>
    <cellStyle name="표준 2 3 2 2 2 6 2 2 3 2" xfId="32909"/>
    <cellStyle name="표준 2 3 2 2 2 6 2 2 4" xfId="21773"/>
    <cellStyle name="표준 2 3 2 2 2 6 2 3" xfId="7853"/>
    <cellStyle name="표준 2 3 2 2 2 6 2 3 2" xfId="24557"/>
    <cellStyle name="표준 2 3 2 2 2 6 2 4" xfId="13421"/>
    <cellStyle name="표준 2 3 2 2 2 6 2 4 2" xfId="30125"/>
    <cellStyle name="표준 2 3 2 2 2 6 2 5" xfId="18989"/>
    <cellStyle name="표준 2 3 2 2 2 6 3" xfId="3677"/>
    <cellStyle name="표준 2 3 2 2 2 6 3 2" xfId="9245"/>
    <cellStyle name="표준 2 3 2 2 2 6 3 2 2" xfId="25949"/>
    <cellStyle name="표준 2 3 2 2 2 6 3 3" xfId="14813"/>
    <cellStyle name="표준 2 3 2 2 2 6 3 3 2" xfId="31517"/>
    <cellStyle name="표준 2 3 2 2 2 6 3 4" xfId="20381"/>
    <cellStyle name="표준 2 3 2 2 2 6 4" xfId="6461"/>
    <cellStyle name="표준 2 3 2 2 2 6 4 2" xfId="23165"/>
    <cellStyle name="표준 2 3 2 2 2 6 5" xfId="12029"/>
    <cellStyle name="표준 2 3 2 2 2 6 5 2" xfId="28733"/>
    <cellStyle name="표준 2 3 2 2 2 6 6" xfId="17597"/>
    <cellStyle name="표준 2 3 2 2 2 7" xfId="1589"/>
    <cellStyle name="표준 2 3 2 2 2 7 2" xfId="4373"/>
    <cellStyle name="표준 2 3 2 2 2 7 2 2" xfId="9941"/>
    <cellStyle name="표준 2 3 2 2 2 7 2 2 2" xfId="26645"/>
    <cellStyle name="표준 2 3 2 2 2 7 2 3" xfId="15509"/>
    <cellStyle name="표준 2 3 2 2 2 7 2 3 2" xfId="32213"/>
    <cellStyle name="표준 2 3 2 2 2 7 2 4" xfId="21077"/>
    <cellStyle name="표준 2 3 2 2 2 7 3" xfId="7157"/>
    <cellStyle name="표준 2 3 2 2 2 7 3 2" xfId="23861"/>
    <cellStyle name="표준 2 3 2 2 2 7 4" xfId="12725"/>
    <cellStyle name="표준 2 3 2 2 2 7 4 2" xfId="29429"/>
    <cellStyle name="표준 2 3 2 2 2 7 5" xfId="18293"/>
    <cellStyle name="표준 2 3 2 2 2 8" xfId="2981"/>
    <cellStyle name="표준 2 3 2 2 2 8 2" xfId="8549"/>
    <cellStyle name="표준 2 3 2 2 2 8 2 2" xfId="25253"/>
    <cellStyle name="표준 2 3 2 2 2 8 3" xfId="14117"/>
    <cellStyle name="표준 2 3 2 2 2 8 3 2" xfId="30821"/>
    <cellStyle name="표준 2 3 2 2 2 8 4" xfId="19685"/>
    <cellStyle name="표준 2 3 2 2 2 9" xfId="5765"/>
    <cellStyle name="표준 2 3 2 2 2 9 2" xfId="22469"/>
    <cellStyle name="표준 2 3 2 2 3" xfId="226"/>
    <cellStyle name="표준 2 3 2 2 3 10" xfId="16930"/>
    <cellStyle name="표준 2 3 2 2 3 2" xfId="342"/>
    <cellStyle name="표준 2 3 2 2 3 2 2" xfId="574"/>
    <cellStyle name="표준 2 3 2 2 3 2 2 2" xfId="1270"/>
    <cellStyle name="표준 2 3 2 2 3 2 2 2 2" xfId="2662"/>
    <cellStyle name="표준 2 3 2 2 3 2 2 2 2 2" xfId="5446"/>
    <cellStyle name="표준 2 3 2 2 3 2 2 2 2 2 2" xfId="11014"/>
    <cellStyle name="표준 2 3 2 2 3 2 2 2 2 2 2 2" xfId="27718"/>
    <cellStyle name="표준 2 3 2 2 3 2 2 2 2 2 3" xfId="16582"/>
    <cellStyle name="표준 2 3 2 2 3 2 2 2 2 2 3 2" xfId="33286"/>
    <cellStyle name="표준 2 3 2 2 3 2 2 2 2 2 4" xfId="22150"/>
    <cellStyle name="표준 2 3 2 2 3 2 2 2 2 3" xfId="8230"/>
    <cellStyle name="표준 2 3 2 2 3 2 2 2 2 3 2" xfId="24934"/>
    <cellStyle name="표준 2 3 2 2 3 2 2 2 2 4" xfId="13798"/>
    <cellStyle name="표준 2 3 2 2 3 2 2 2 2 4 2" xfId="30502"/>
    <cellStyle name="표준 2 3 2 2 3 2 2 2 2 5" xfId="19366"/>
    <cellStyle name="표준 2 3 2 2 3 2 2 2 3" xfId="4054"/>
    <cellStyle name="표준 2 3 2 2 3 2 2 2 3 2" xfId="9622"/>
    <cellStyle name="표준 2 3 2 2 3 2 2 2 3 2 2" xfId="26326"/>
    <cellStyle name="표준 2 3 2 2 3 2 2 2 3 3" xfId="15190"/>
    <cellStyle name="표준 2 3 2 2 3 2 2 2 3 3 2" xfId="31894"/>
    <cellStyle name="표준 2 3 2 2 3 2 2 2 3 4" xfId="20758"/>
    <cellStyle name="표준 2 3 2 2 3 2 2 2 4" xfId="6838"/>
    <cellStyle name="표준 2 3 2 2 3 2 2 2 4 2" xfId="23542"/>
    <cellStyle name="표준 2 3 2 2 3 2 2 2 5" xfId="12406"/>
    <cellStyle name="표준 2 3 2 2 3 2 2 2 5 2" xfId="29110"/>
    <cellStyle name="표준 2 3 2 2 3 2 2 2 6" xfId="17974"/>
    <cellStyle name="표준 2 3 2 2 3 2 2 3" xfId="1966"/>
    <cellStyle name="표준 2 3 2 2 3 2 2 3 2" xfId="4750"/>
    <cellStyle name="표준 2 3 2 2 3 2 2 3 2 2" xfId="10318"/>
    <cellStyle name="표준 2 3 2 2 3 2 2 3 2 2 2" xfId="27022"/>
    <cellStyle name="표준 2 3 2 2 3 2 2 3 2 3" xfId="15886"/>
    <cellStyle name="표준 2 3 2 2 3 2 2 3 2 3 2" xfId="32590"/>
    <cellStyle name="표준 2 3 2 2 3 2 2 3 2 4" xfId="21454"/>
    <cellStyle name="표준 2 3 2 2 3 2 2 3 3" xfId="7534"/>
    <cellStyle name="표준 2 3 2 2 3 2 2 3 3 2" xfId="24238"/>
    <cellStyle name="표준 2 3 2 2 3 2 2 3 4" xfId="13102"/>
    <cellStyle name="표준 2 3 2 2 3 2 2 3 4 2" xfId="29806"/>
    <cellStyle name="표준 2 3 2 2 3 2 2 3 5" xfId="18670"/>
    <cellStyle name="표준 2 3 2 2 3 2 2 4" xfId="3358"/>
    <cellStyle name="표준 2 3 2 2 3 2 2 4 2" xfId="8926"/>
    <cellStyle name="표준 2 3 2 2 3 2 2 4 2 2" xfId="25630"/>
    <cellStyle name="표준 2 3 2 2 3 2 2 4 3" xfId="14494"/>
    <cellStyle name="표준 2 3 2 2 3 2 2 4 3 2" xfId="31198"/>
    <cellStyle name="표준 2 3 2 2 3 2 2 4 4" xfId="20062"/>
    <cellStyle name="표준 2 3 2 2 3 2 2 5" xfId="6142"/>
    <cellStyle name="표준 2 3 2 2 3 2 2 5 2" xfId="22846"/>
    <cellStyle name="표준 2 3 2 2 3 2 2 6" xfId="11710"/>
    <cellStyle name="표준 2 3 2 2 3 2 2 6 2" xfId="28414"/>
    <cellStyle name="표준 2 3 2 2 3 2 2 7" xfId="17278"/>
    <cellStyle name="표준 2 3 2 2 3 2 3" xfId="806"/>
    <cellStyle name="표준 2 3 2 2 3 2 3 2" xfId="1502"/>
    <cellStyle name="표준 2 3 2 2 3 2 3 2 2" xfId="2894"/>
    <cellStyle name="표준 2 3 2 2 3 2 3 2 2 2" xfId="5678"/>
    <cellStyle name="표준 2 3 2 2 3 2 3 2 2 2 2" xfId="11246"/>
    <cellStyle name="표준 2 3 2 2 3 2 3 2 2 2 2 2" xfId="27950"/>
    <cellStyle name="표준 2 3 2 2 3 2 3 2 2 2 3" xfId="16814"/>
    <cellStyle name="표준 2 3 2 2 3 2 3 2 2 2 3 2" xfId="33518"/>
    <cellStyle name="표준 2 3 2 2 3 2 3 2 2 2 4" xfId="22382"/>
    <cellStyle name="표준 2 3 2 2 3 2 3 2 2 3" xfId="8462"/>
    <cellStyle name="표준 2 3 2 2 3 2 3 2 2 3 2" xfId="25166"/>
    <cellStyle name="표준 2 3 2 2 3 2 3 2 2 4" xfId="14030"/>
    <cellStyle name="표준 2 3 2 2 3 2 3 2 2 4 2" xfId="30734"/>
    <cellStyle name="표준 2 3 2 2 3 2 3 2 2 5" xfId="19598"/>
    <cellStyle name="표준 2 3 2 2 3 2 3 2 3" xfId="4286"/>
    <cellStyle name="표준 2 3 2 2 3 2 3 2 3 2" xfId="9854"/>
    <cellStyle name="표준 2 3 2 2 3 2 3 2 3 2 2" xfId="26558"/>
    <cellStyle name="표준 2 3 2 2 3 2 3 2 3 3" xfId="15422"/>
    <cellStyle name="표준 2 3 2 2 3 2 3 2 3 3 2" xfId="32126"/>
    <cellStyle name="표준 2 3 2 2 3 2 3 2 3 4" xfId="20990"/>
    <cellStyle name="표준 2 3 2 2 3 2 3 2 4" xfId="7070"/>
    <cellStyle name="표준 2 3 2 2 3 2 3 2 4 2" xfId="23774"/>
    <cellStyle name="표준 2 3 2 2 3 2 3 2 5" xfId="12638"/>
    <cellStyle name="표준 2 3 2 2 3 2 3 2 5 2" xfId="29342"/>
    <cellStyle name="표준 2 3 2 2 3 2 3 2 6" xfId="18206"/>
    <cellStyle name="표준 2 3 2 2 3 2 3 3" xfId="2198"/>
    <cellStyle name="표준 2 3 2 2 3 2 3 3 2" xfId="4982"/>
    <cellStyle name="표준 2 3 2 2 3 2 3 3 2 2" xfId="10550"/>
    <cellStyle name="표준 2 3 2 2 3 2 3 3 2 2 2" xfId="27254"/>
    <cellStyle name="표준 2 3 2 2 3 2 3 3 2 3" xfId="16118"/>
    <cellStyle name="표준 2 3 2 2 3 2 3 3 2 3 2" xfId="32822"/>
    <cellStyle name="표준 2 3 2 2 3 2 3 3 2 4" xfId="21686"/>
    <cellStyle name="표준 2 3 2 2 3 2 3 3 3" xfId="7766"/>
    <cellStyle name="표준 2 3 2 2 3 2 3 3 3 2" xfId="24470"/>
    <cellStyle name="표준 2 3 2 2 3 2 3 3 4" xfId="13334"/>
    <cellStyle name="표준 2 3 2 2 3 2 3 3 4 2" xfId="30038"/>
    <cellStyle name="표준 2 3 2 2 3 2 3 3 5" xfId="18902"/>
    <cellStyle name="표준 2 3 2 2 3 2 3 4" xfId="3590"/>
    <cellStyle name="표준 2 3 2 2 3 2 3 4 2" xfId="9158"/>
    <cellStyle name="표준 2 3 2 2 3 2 3 4 2 2" xfId="25862"/>
    <cellStyle name="표준 2 3 2 2 3 2 3 4 3" xfId="14726"/>
    <cellStyle name="표준 2 3 2 2 3 2 3 4 3 2" xfId="31430"/>
    <cellStyle name="표준 2 3 2 2 3 2 3 4 4" xfId="20294"/>
    <cellStyle name="표준 2 3 2 2 3 2 3 5" xfId="6374"/>
    <cellStyle name="표준 2 3 2 2 3 2 3 5 2" xfId="23078"/>
    <cellStyle name="표준 2 3 2 2 3 2 3 6" xfId="11942"/>
    <cellStyle name="표준 2 3 2 2 3 2 3 6 2" xfId="28646"/>
    <cellStyle name="표준 2 3 2 2 3 2 3 7" xfId="17510"/>
    <cellStyle name="표준 2 3 2 2 3 2 4" xfId="1038"/>
    <cellStyle name="표준 2 3 2 2 3 2 4 2" xfId="2430"/>
    <cellStyle name="표준 2 3 2 2 3 2 4 2 2" xfId="5214"/>
    <cellStyle name="표준 2 3 2 2 3 2 4 2 2 2" xfId="10782"/>
    <cellStyle name="표준 2 3 2 2 3 2 4 2 2 2 2" xfId="27486"/>
    <cellStyle name="표준 2 3 2 2 3 2 4 2 2 3" xfId="16350"/>
    <cellStyle name="표준 2 3 2 2 3 2 4 2 2 3 2" xfId="33054"/>
    <cellStyle name="표준 2 3 2 2 3 2 4 2 2 4" xfId="21918"/>
    <cellStyle name="표준 2 3 2 2 3 2 4 2 3" xfId="7998"/>
    <cellStyle name="표준 2 3 2 2 3 2 4 2 3 2" xfId="24702"/>
    <cellStyle name="표준 2 3 2 2 3 2 4 2 4" xfId="13566"/>
    <cellStyle name="표준 2 3 2 2 3 2 4 2 4 2" xfId="30270"/>
    <cellStyle name="표준 2 3 2 2 3 2 4 2 5" xfId="19134"/>
    <cellStyle name="표준 2 3 2 2 3 2 4 3" xfId="3822"/>
    <cellStyle name="표준 2 3 2 2 3 2 4 3 2" xfId="9390"/>
    <cellStyle name="표준 2 3 2 2 3 2 4 3 2 2" xfId="26094"/>
    <cellStyle name="표준 2 3 2 2 3 2 4 3 3" xfId="14958"/>
    <cellStyle name="표준 2 3 2 2 3 2 4 3 3 2" xfId="31662"/>
    <cellStyle name="표준 2 3 2 2 3 2 4 3 4" xfId="20526"/>
    <cellStyle name="표준 2 3 2 2 3 2 4 4" xfId="6606"/>
    <cellStyle name="표준 2 3 2 2 3 2 4 4 2" xfId="23310"/>
    <cellStyle name="표준 2 3 2 2 3 2 4 5" xfId="12174"/>
    <cellStyle name="표준 2 3 2 2 3 2 4 5 2" xfId="28878"/>
    <cellStyle name="표준 2 3 2 2 3 2 4 6" xfId="17742"/>
    <cellStyle name="표준 2 3 2 2 3 2 5" xfId="1734"/>
    <cellStyle name="표준 2 3 2 2 3 2 5 2" xfId="4518"/>
    <cellStyle name="표준 2 3 2 2 3 2 5 2 2" xfId="10086"/>
    <cellStyle name="표준 2 3 2 2 3 2 5 2 2 2" xfId="26790"/>
    <cellStyle name="표준 2 3 2 2 3 2 5 2 3" xfId="15654"/>
    <cellStyle name="표준 2 3 2 2 3 2 5 2 3 2" xfId="32358"/>
    <cellStyle name="표준 2 3 2 2 3 2 5 2 4" xfId="21222"/>
    <cellStyle name="표준 2 3 2 2 3 2 5 3" xfId="7302"/>
    <cellStyle name="표준 2 3 2 2 3 2 5 3 2" xfId="24006"/>
    <cellStyle name="표준 2 3 2 2 3 2 5 4" xfId="12870"/>
    <cellStyle name="표준 2 3 2 2 3 2 5 4 2" xfId="29574"/>
    <cellStyle name="표준 2 3 2 2 3 2 5 5" xfId="18438"/>
    <cellStyle name="표준 2 3 2 2 3 2 6" xfId="3126"/>
    <cellStyle name="표준 2 3 2 2 3 2 6 2" xfId="8694"/>
    <cellStyle name="표준 2 3 2 2 3 2 6 2 2" xfId="25398"/>
    <cellStyle name="표준 2 3 2 2 3 2 6 3" xfId="14262"/>
    <cellStyle name="표준 2 3 2 2 3 2 6 3 2" xfId="30966"/>
    <cellStyle name="표준 2 3 2 2 3 2 6 4" xfId="19830"/>
    <cellStyle name="표준 2 3 2 2 3 2 7" xfId="5910"/>
    <cellStyle name="표준 2 3 2 2 3 2 7 2" xfId="22614"/>
    <cellStyle name="표준 2 3 2 2 3 2 8" xfId="11478"/>
    <cellStyle name="표준 2 3 2 2 3 2 8 2" xfId="28182"/>
    <cellStyle name="표준 2 3 2 2 3 2 9" xfId="17046"/>
    <cellStyle name="표준 2 3 2 2 3 3" xfId="458"/>
    <cellStyle name="표준 2 3 2 2 3 3 2" xfId="1154"/>
    <cellStyle name="표준 2 3 2 2 3 3 2 2" xfId="2546"/>
    <cellStyle name="표준 2 3 2 2 3 3 2 2 2" xfId="5330"/>
    <cellStyle name="표준 2 3 2 2 3 3 2 2 2 2" xfId="10898"/>
    <cellStyle name="표준 2 3 2 2 3 3 2 2 2 2 2" xfId="27602"/>
    <cellStyle name="표준 2 3 2 2 3 3 2 2 2 3" xfId="16466"/>
    <cellStyle name="표준 2 3 2 2 3 3 2 2 2 3 2" xfId="33170"/>
    <cellStyle name="표준 2 3 2 2 3 3 2 2 2 4" xfId="22034"/>
    <cellStyle name="표준 2 3 2 2 3 3 2 2 3" xfId="8114"/>
    <cellStyle name="표준 2 3 2 2 3 3 2 2 3 2" xfId="24818"/>
    <cellStyle name="표준 2 3 2 2 3 3 2 2 4" xfId="13682"/>
    <cellStyle name="표준 2 3 2 2 3 3 2 2 4 2" xfId="30386"/>
    <cellStyle name="표준 2 3 2 2 3 3 2 2 5" xfId="19250"/>
    <cellStyle name="표준 2 3 2 2 3 3 2 3" xfId="3938"/>
    <cellStyle name="표준 2 3 2 2 3 3 2 3 2" xfId="9506"/>
    <cellStyle name="표준 2 3 2 2 3 3 2 3 2 2" xfId="26210"/>
    <cellStyle name="표준 2 3 2 2 3 3 2 3 3" xfId="15074"/>
    <cellStyle name="표준 2 3 2 2 3 3 2 3 3 2" xfId="31778"/>
    <cellStyle name="표준 2 3 2 2 3 3 2 3 4" xfId="20642"/>
    <cellStyle name="표준 2 3 2 2 3 3 2 4" xfId="6722"/>
    <cellStyle name="표준 2 3 2 2 3 3 2 4 2" xfId="23426"/>
    <cellStyle name="표준 2 3 2 2 3 3 2 5" xfId="12290"/>
    <cellStyle name="표준 2 3 2 2 3 3 2 5 2" xfId="28994"/>
    <cellStyle name="표준 2 3 2 2 3 3 2 6" xfId="17858"/>
    <cellStyle name="표준 2 3 2 2 3 3 3" xfId="1850"/>
    <cellStyle name="표준 2 3 2 2 3 3 3 2" xfId="4634"/>
    <cellStyle name="표준 2 3 2 2 3 3 3 2 2" xfId="10202"/>
    <cellStyle name="표준 2 3 2 2 3 3 3 2 2 2" xfId="26906"/>
    <cellStyle name="표준 2 3 2 2 3 3 3 2 3" xfId="15770"/>
    <cellStyle name="표준 2 3 2 2 3 3 3 2 3 2" xfId="32474"/>
    <cellStyle name="표준 2 3 2 2 3 3 3 2 4" xfId="21338"/>
    <cellStyle name="표준 2 3 2 2 3 3 3 3" xfId="7418"/>
    <cellStyle name="표준 2 3 2 2 3 3 3 3 2" xfId="24122"/>
    <cellStyle name="표준 2 3 2 2 3 3 3 4" xfId="12986"/>
    <cellStyle name="표준 2 3 2 2 3 3 3 4 2" xfId="29690"/>
    <cellStyle name="표준 2 3 2 2 3 3 3 5" xfId="18554"/>
    <cellStyle name="표준 2 3 2 2 3 3 4" xfId="3242"/>
    <cellStyle name="표준 2 3 2 2 3 3 4 2" xfId="8810"/>
    <cellStyle name="표준 2 3 2 2 3 3 4 2 2" xfId="25514"/>
    <cellStyle name="표준 2 3 2 2 3 3 4 3" xfId="14378"/>
    <cellStyle name="표준 2 3 2 2 3 3 4 3 2" xfId="31082"/>
    <cellStyle name="표준 2 3 2 2 3 3 4 4" xfId="19946"/>
    <cellStyle name="표준 2 3 2 2 3 3 5" xfId="6026"/>
    <cellStyle name="표준 2 3 2 2 3 3 5 2" xfId="22730"/>
    <cellStyle name="표준 2 3 2 2 3 3 6" xfId="11594"/>
    <cellStyle name="표준 2 3 2 2 3 3 6 2" xfId="28298"/>
    <cellStyle name="표준 2 3 2 2 3 3 7" xfId="17162"/>
    <cellStyle name="표준 2 3 2 2 3 4" xfId="690"/>
    <cellStyle name="표준 2 3 2 2 3 4 2" xfId="1386"/>
    <cellStyle name="표준 2 3 2 2 3 4 2 2" xfId="2778"/>
    <cellStyle name="표준 2 3 2 2 3 4 2 2 2" xfId="5562"/>
    <cellStyle name="표준 2 3 2 2 3 4 2 2 2 2" xfId="11130"/>
    <cellStyle name="표준 2 3 2 2 3 4 2 2 2 2 2" xfId="27834"/>
    <cellStyle name="표준 2 3 2 2 3 4 2 2 2 3" xfId="16698"/>
    <cellStyle name="표준 2 3 2 2 3 4 2 2 2 3 2" xfId="33402"/>
    <cellStyle name="표준 2 3 2 2 3 4 2 2 2 4" xfId="22266"/>
    <cellStyle name="표준 2 3 2 2 3 4 2 2 3" xfId="8346"/>
    <cellStyle name="표준 2 3 2 2 3 4 2 2 3 2" xfId="25050"/>
    <cellStyle name="표준 2 3 2 2 3 4 2 2 4" xfId="13914"/>
    <cellStyle name="표준 2 3 2 2 3 4 2 2 4 2" xfId="30618"/>
    <cellStyle name="표준 2 3 2 2 3 4 2 2 5" xfId="19482"/>
    <cellStyle name="표준 2 3 2 2 3 4 2 3" xfId="4170"/>
    <cellStyle name="표준 2 3 2 2 3 4 2 3 2" xfId="9738"/>
    <cellStyle name="표준 2 3 2 2 3 4 2 3 2 2" xfId="26442"/>
    <cellStyle name="표준 2 3 2 2 3 4 2 3 3" xfId="15306"/>
    <cellStyle name="표준 2 3 2 2 3 4 2 3 3 2" xfId="32010"/>
    <cellStyle name="표준 2 3 2 2 3 4 2 3 4" xfId="20874"/>
    <cellStyle name="표준 2 3 2 2 3 4 2 4" xfId="6954"/>
    <cellStyle name="표준 2 3 2 2 3 4 2 4 2" xfId="23658"/>
    <cellStyle name="표준 2 3 2 2 3 4 2 5" xfId="12522"/>
    <cellStyle name="표준 2 3 2 2 3 4 2 5 2" xfId="29226"/>
    <cellStyle name="표준 2 3 2 2 3 4 2 6" xfId="18090"/>
    <cellStyle name="표준 2 3 2 2 3 4 3" xfId="2082"/>
    <cellStyle name="표준 2 3 2 2 3 4 3 2" xfId="4866"/>
    <cellStyle name="표준 2 3 2 2 3 4 3 2 2" xfId="10434"/>
    <cellStyle name="표준 2 3 2 2 3 4 3 2 2 2" xfId="27138"/>
    <cellStyle name="표준 2 3 2 2 3 4 3 2 3" xfId="16002"/>
    <cellStyle name="표준 2 3 2 2 3 4 3 2 3 2" xfId="32706"/>
    <cellStyle name="표준 2 3 2 2 3 4 3 2 4" xfId="21570"/>
    <cellStyle name="표준 2 3 2 2 3 4 3 3" xfId="7650"/>
    <cellStyle name="표준 2 3 2 2 3 4 3 3 2" xfId="24354"/>
    <cellStyle name="표준 2 3 2 2 3 4 3 4" xfId="13218"/>
    <cellStyle name="표준 2 3 2 2 3 4 3 4 2" xfId="29922"/>
    <cellStyle name="표준 2 3 2 2 3 4 3 5" xfId="18786"/>
    <cellStyle name="표준 2 3 2 2 3 4 4" xfId="3474"/>
    <cellStyle name="표준 2 3 2 2 3 4 4 2" xfId="9042"/>
    <cellStyle name="표준 2 3 2 2 3 4 4 2 2" xfId="25746"/>
    <cellStyle name="표준 2 3 2 2 3 4 4 3" xfId="14610"/>
    <cellStyle name="표준 2 3 2 2 3 4 4 3 2" xfId="31314"/>
    <cellStyle name="표준 2 3 2 2 3 4 4 4" xfId="20178"/>
    <cellStyle name="표준 2 3 2 2 3 4 5" xfId="6258"/>
    <cellStyle name="표준 2 3 2 2 3 4 5 2" xfId="22962"/>
    <cellStyle name="표준 2 3 2 2 3 4 6" xfId="11826"/>
    <cellStyle name="표준 2 3 2 2 3 4 6 2" xfId="28530"/>
    <cellStyle name="표준 2 3 2 2 3 4 7" xfId="17394"/>
    <cellStyle name="표준 2 3 2 2 3 5" xfId="922"/>
    <cellStyle name="표준 2 3 2 2 3 5 2" xfId="2314"/>
    <cellStyle name="표준 2 3 2 2 3 5 2 2" xfId="5098"/>
    <cellStyle name="표준 2 3 2 2 3 5 2 2 2" xfId="10666"/>
    <cellStyle name="표준 2 3 2 2 3 5 2 2 2 2" xfId="27370"/>
    <cellStyle name="표준 2 3 2 2 3 5 2 2 3" xfId="16234"/>
    <cellStyle name="표준 2 3 2 2 3 5 2 2 3 2" xfId="32938"/>
    <cellStyle name="표준 2 3 2 2 3 5 2 2 4" xfId="21802"/>
    <cellStyle name="표준 2 3 2 2 3 5 2 3" xfId="7882"/>
    <cellStyle name="표준 2 3 2 2 3 5 2 3 2" xfId="24586"/>
    <cellStyle name="표준 2 3 2 2 3 5 2 4" xfId="13450"/>
    <cellStyle name="표준 2 3 2 2 3 5 2 4 2" xfId="30154"/>
    <cellStyle name="표준 2 3 2 2 3 5 2 5" xfId="19018"/>
    <cellStyle name="표준 2 3 2 2 3 5 3" xfId="3706"/>
    <cellStyle name="표준 2 3 2 2 3 5 3 2" xfId="9274"/>
    <cellStyle name="표준 2 3 2 2 3 5 3 2 2" xfId="25978"/>
    <cellStyle name="표준 2 3 2 2 3 5 3 3" xfId="14842"/>
    <cellStyle name="표준 2 3 2 2 3 5 3 3 2" xfId="31546"/>
    <cellStyle name="표준 2 3 2 2 3 5 3 4" xfId="20410"/>
    <cellStyle name="표준 2 3 2 2 3 5 4" xfId="6490"/>
    <cellStyle name="표준 2 3 2 2 3 5 4 2" xfId="23194"/>
    <cellStyle name="표준 2 3 2 2 3 5 5" xfId="12058"/>
    <cellStyle name="표준 2 3 2 2 3 5 5 2" xfId="28762"/>
    <cellStyle name="표준 2 3 2 2 3 5 6" xfId="17626"/>
    <cellStyle name="표준 2 3 2 2 3 6" xfId="1618"/>
    <cellStyle name="표준 2 3 2 2 3 6 2" xfId="4402"/>
    <cellStyle name="표준 2 3 2 2 3 6 2 2" xfId="9970"/>
    <cellStyle name="표준 2 3 2 2 3 6 2 2 2" xfId="26674"/>
    <cellStyle name="표준 2 3 2 2 3 6 2 3" xfId="15538"/>
    <cellStyle name="표준 2 3 2 2 3 6 2 3 2" xfId="32242"/>
    <cellStyle name="표준 2 3 2 2 3 6 2 4" xfId="21106"/>
    <cellStyle name="표준 2 3 2 2 3 6 3" xfId="7186"/>
    <cellStyle name="표준 2 3 2 2 3 6 3 2" xfId="23890"/>
    <cellStyle name="표준 2 3 2 2 3 6 4" xfId="12754"/>
    <cellStyle name="표준 2 3 2 2 3 6 4 2" xfId="29458"/>
    <cellStyle name="표준 2 3 2 2 3 6 5" xfId="18322"/>
    <cellStyle name="표준 2 3 2 2 3 7" xfId="3010"/>
    <cellStyle name="표준 2 3 2 2 3 7 2" xfId="8578"/>
    <cellStyle name="표준 2 3 2 2 3 7 2 2" xfId="25282"/>
    <cellStyle name="표준 2 3 2 2 3 7 3" xfId="14146"/>
    <cellStyle name="표준 2 3 2 2 3 7 3 2" xfId="30850"/>
    <cellStyle name="표준 2 3 2 2 3 7 4" xfId="19714"/>
    <cellStyle name="표준 2 3 2 2 3 8" xfId="5794"/>
    <cellStyle name="표준 2 3 2 2 3 8 2" xfId="22498"/>
    <cellStyle name="표준 2 3 2 2 3 9" xfId="11362"/>
    <cellStyle name="표준 2 3 2 2 3 9 2" xfId="28066"/>
    <cellStyle name="표준 2 3 2 2 4" xfId="284"/>
    <cellStyle name="표준 2 3 2 2 4 2" xfId="516"/>
    <cellStyle name="표준 2 3 2 2 4 2 2" xfId="1212"/>
    <cellStyle name="표준 2 3 2 2 4 2 2 2" xfId="2604"/>
    <cellStyle name="표준 2 3 2 2 4 2 2 2 2" xfId="5388"/>
    <cellStyle name="표준 2 3 2 2 4 2 2 2 2 2" xfId="10956"/>
    <cellStyle name="표준 2 3 2 2 4 2 2 2 2 2 2" xfId="27660"/>
    <cellStyle name="표준 2 3 2 2 4 2 2 2 2 3" xfId="16524"/>
    <cellStyle name="표준 2 3 2 2 4 2 2 2 2 3 2" xfId="33228"/>
    <cellStyle name="표준 2 3 2 2 4 2 2 2 2 4" xfId="22092"/>
    <cellStyle name="표준 2 3 2 2 4 2 2 2 3" xfId="8172"/>
    <cellStyle name="표준 2 3 2 2 4 2 2 2 3 2" xfId="24876"/>
    <cellStyle name="표준 2 3 2 2 4 2 2 2 4" xfId="13740"/>
    <cellStyle name="표준 2 3 2 2 4 2 2 2 4 2" xfId="30444"/>
    <cellStyle name="표준 2 3 2 2 4 2 2 2 5" xfId="19308"/>
    <cellStyle name="표준 2 3 2 2 4 2 2 3" xfId="3996"/>
    <cellStyle name="표준 2 3 2 2 4 2 2 3 2" xfId="9564"/>
    <cellStyle name="표준 2 3 2 2 4 2 2 3 2 2" xfId="26268"/>
    <cellStyle name="표준 2 3 2 2 4 2 2 3 3" xfId="15132"/>
    <cellStyle name="표준 2 3 2 2 4 2 2 3 3 2" xfId="31836"/>
    <cellStyle name="표준 2 3 2 2 4 2 2 3 4" xfId="20700"/>
    <cellStyle name="표준 2 3 2 2 4 2 2 4" xfId="6780"/>
    <cellStyle name="표준 2 3 2 2 4 2 2 4 2" xfId="23484"/>
    <cellStyle name="표준 2 3 2 2 4 2 2 5" xfId="12348"/>
    <cellStyle name="표준 2 3 2 2 4 2 2 5 2" xfId="29052"/>
    <cellStyle name="표준 2 3 2 2 4 2 2 6" xfId="17916"/>
    <cellStyle name="표준 2 3 2 2 4 2 3" xfId="1908"/>
    <cellStyle name="표준 2 3 2 2 4 2 3 2" xfId="4692"/>
    <cellStyle name="표준 2 3 2 2 4 2 3 2 2" xfId="10260"/>
    <cellStyle name="표준 2 3 2 2 4 2 3 2 2 2" xfId="26964"/>
    <cellStyle name="표준 2 3 2 2 4 2 3 2 3" xfId="15828"/>
    <cellStyle name="표준 2 3 2 2 4 2 3 2 3 2" xfId="32532"/>
    <cellStyle name="표준 2 3 2 2 4 2 3 2 4" xfId="21396"/>
    <cellStyle name="표준 2 3 2 2 4 2 3 3" xfId="7476"/>
    <cellStyle name="표준 2 3 2 2 4 2 3 3 2" xfId="24180"/>
    <cellStyle name="표준 2 3 2 2 4 2 3 4" xfId="13044"/>
    <cellStyle name="표준 2 3 2 2 4 2 3 4 2" xfId="29748"/>
    <cellStyle name="표준 2 3 2 2 4 2 3 5" xfId="18612"/>
    <cellStyle name="표준 2 3 2 2 4 2 4" xfId="3300"/>
    <cellStyle name="표준 2 3 2 2 4 2 4 2" xfId="8868"/>
    <cellStyle name="표준 2 3 2 2 4 2 4 2 2" xfId="25572"/>
    <cellStyle name="표준 2 3 2 2 4 2 4 3" xfId="14436"/>
    <cellStyle name="표준 2 3 2 2 4 2 4 3 2" xfId="31140"/>
    <cellStyle name="표준 2 3 2 2 4 2 4 4" xfId="20004"/>
    <cellStyle name="표준 2 3 2 2 4 2 5" xfId="6084"/>
    <cellStyle name="표준 2 3 2 2 4 2 5 2" xfId="22788"/>
    <cellStyle name="표준 2 3 2 2 4 2 6" xfId="11652"/>
    <cellStyle name="표준 2 3 2 2 4 2 6 2" xfId="28356"/>
    <cellStyle name="표준 2 3 2 2 4 2 7" xfId="17220"/>
    <cellStyle name="표준 2 3 2 2 4 3" xfId="748"/>
    <cellStyle name="표준 2 3 2 2 4 3 2" xfId="1444"/>
    <cellStyle name="표준 2 3 2 2 4 3 2 2" xfId="2836"/>
    <cellStyle name="표준 2 3 2 2 4 3 2 2 2" xfId="5620"/>
    <cellStyle name="표준 2 3 2 2 4 3 2 2 2 2" xfId="11188"/>
    <cellStyle name="표준 2 3 2 2 4 3 2 2 2 2 2" xfId="27892"/>
    <cellStyle name="표준 2 3 2 2 4 3 2 2 2 3" xfId="16756"/>
    <cellStyle name="표준 2 3 2 2 4 3 2 2 2 3 2" xfId="33460"/>
    <cellStyle name="표준 2 3 2 2 4 3 2 2 2 4" xfId="22324"/>
    <cellStyle name="표준 2 3 2 2 4 3 2 2 3" xfId="8404"/>
    <cellStyle name="표준 2 3 2 2 4 3 2 2 3 2" xfId="25108"/>
    <cellStyle name="표준 2 3 2 2 4 3 2 2 4" xfId="13972"/>
    <cellStyle name="표준 2 3 2 2 4 3 2 2 4 2" xfId="30676"/>
    <cellStyle name="표준 2 3 2 2 4 3 2 2 5" xfId="19540"/>
    <cellStyle name="표준 2 3 2 2 4 3 2 3" xfId="4228"/>
    <cellStyle name="표준 2 3 2 2 4 3 2 3 2" xfId="9796"/>
    <cellStyle name="표준 2 3 2 2 4 3 2 3 2 2" xfId="26500"/>
    <cellStyle name="표준 2 3 2 2 4 3 2 3 3" xfId="15364"/>
    <cellStyle name="표준 2 3 2 2 4 3 2 3 3 2" xfId="32068"/>
    <cellStyle name="표준 2 3 2 2 4 3 2 3 4" xfId="20932"/>
    <cellStyle name="표준 2 3 2 2 4 3 2 4" xfId="7012"/>
    <cellStyle name="표준 2 3 2 2 4 3 2 4 2" xfId="23716"/>
    <cellStyle name="표준 2 3 2 2 4 3 2 5" xfId="12580"/>
    <cellStyle name="표준 2 3 2 2 4 3 2 5 2" xfId="29284"/>
    <cellStyle name="표준 2 3 2 2 4 3 2 6" xfId="18148"/>
    <cellStyle name="표준 2 3 2 2 4 3 3" xfId="2140"/>
    <cellStyle name="표준 2 3 2 2 4 3 3 2" xfId="4924"/>
    <cellStyle name="표준 2 3 2 2 4 3 3 2 2" xfId="10492"/>
    <cellStyle name="표준 2 3 2 2 4 3 3 2 2 2" xfId="27196"/>
    <cellStyle name="표준 2 3 2 2 4 3 3 2 3" xfId="16060"/>
    <cellStyle name="표준 2 3 2 2 4 3 3 2 3 2" xfId="32764"/>
    <cellStyle name="표준 2 3 2 2 4 3 3 2 4" xfId="21628"/>
    <cellStyle name="표준 2 3 2 2 4 3 3 3" xfId="7708"/>
    <cellStyle name="표준 2 3 2 2 4 3 3 3 2" xfId="24412"/>
    <cellStyle name="표준 2 3 2 2 4 3 3 4" xfId="13276"/>
    <cellStyle name="표준 2 3 2 2 4 3 3 4 2" xfId="29980"/>
    <cellStyle name="표준 2 3 2 2 4 3 3 5" xfId="18844"/>
    <cellStyle name="표준 2 3 2 2 4 3 4" xfId="3532"/>
    <cellStyle name="표준 2 3 2 2 4 3 4 2" xfId="9100"/>
    <cellStyle name="표준 2 3 2 2 4 3 4 2 2" xfId="25804"/>
    <cellStyle name="표준 2 3 2 2 4 3 4 3" xfId="14668"/>
    <cellStyle name="표준 2 3 2 2 4 3 4 3 2" xfId="31372"/>
    <cellStyle name="표준 2 3 2 2 4 3 4 4" xfId="20236"/>
    <cellStyle name="표준 2 3 2 2 4 3 5" xfId="6316"/>
    <cellStyle name="표준 2 3 2 2 4 3 5 2" xfId="23020"/>
    <cellStyle name="표준 2 3 2 2 4 3 6" xfId="11884"/>
    <cellStyle name="표준 2 3 2 2 4 3 6 2" xfId="28588"/>
    <cellStyle name="표준 2 3 2 2 4 3 7" xfId="17452"/>
    <cellStyle name="표준 2 3 2 2 4 4" xfId="980"/>
    <cellStyle name="표준 2 3 2 2 4 4 2" xfId="2372"/>
    <cellStyle name="표준 2 3 2 2 4 4 2 2" xfId="5156"/>
    <cellStyle name="표준 2 3 2 2 4 4 2 2 2" xfId="10724"/>
    <cellStyle name="표준 2 3 2 2 4 4 2 2 2 2" xfId="27428"/>
    <cellStyle name="표준 2 3 2 2 4 4 2 2 3" xfId="16292"/>
    <cellStyle name="표준 2 3 2 2 4 4 2 2 3 2" xfId="32996"/>
    <cellStyle name="표준 2 3 2 2 4 4 2 2 4" xfId="21860"/>
    <cellStyle name="표준 2 3 2 2 4 4 2 3" xfId="7940"/>
    <cellStyle name="표준 2 3 2 2 4 4 2 3 2" xfId="24644"/>
    <cellStyle name="표준 2 3 2 2 4 4 2 4" xfId="13508"/>
    <cellStyle name="표준 2 3 2 2 4 4 2 4 2" xfId="30212"/>
    <cellStyle name="표준 2 3 2 2 4 4 2 5" xfId="19076"/>
    <cellStyle name="표준 2 3 2 2 4 4 3" xfId="3764"/>
    <cellStyle name="표준 2 3 2 2 4 4 3 2" xfId="9332"/>
    <cellStyle name="표준 2 3 2 2 4 4 3 2 2" xfId="26036"/>
    <cellStyle name="표준 2 3 2 2 4 4 3 3" xfId="14900"/>
    <cellStyle name="표준 2 3 2 2 4 4 3 3 2" xfId="31604"/>
    <cellStyle name="표준 2 3 2 2 4 4 3 4" xfId="20468"/>
    <cellStyle name="표준 2 3 2 2 4 4 4" xfId="6548"/>
    <cellStyle name="표준 2 3 2 2 4 4 4 2" xfId="23252"/>
    <cellStyle name="표준 2 3 2 2 4 4 5" xfId="12116"/>
    <cellStyle name="표준 2 3 2 2 4 4 5 2" xfId="28820"/>
    <cellStyle name="표준 2 3 2 2 4 4 6" xfId="17684"/>
    <cellStyle name="표준 2 3 2 2 4 5" xfId="1676"/>
    <cellStyle name="표준 2 3 2 2 4 5 2" xfId="4460"/>
    <cellStyle name="표준 2 3 2 2 4 5 2 2" xfId="10028"/>
    <cellStyle name="표준 2 3 2 2 4 5 2 2 2" xfId="26732"/>
    <cellStyle name="표준 2 3 2 2 4 5 2 3" xfId="15596"/>
    <cellStyle name="표준 2 3 2 2 4 5 2 3 2" xfId="32300"/>
    <cellStyle name="표준 2 3 2 2 4 5 2 4" xfId="21164"/>
    <cellStyle name="표준 2 3 2 2 4 5 3" xfId="7244"/>
    <cellStyle name="표준 2 3 2 2 4 5 3 2" xfId="23948"/>
    <cellStyle name="표준 2 3 2 2 4 5 4" xfId="12812"/>
    <cellStyle name="표준 2 3 2 2 4 5 4 2" xfId="29516"/>
    <cellStyle name="표준 2 3 2 2 4 5 5" xfId="18380"/>
    <cellStyle name="표준 2 3 2 2 4 6" xfId="3068"/>
    <cellStyle name="표준 2 3 2 2 4 6 2" xfId="8636"/>
    <cellStyle name="표준 2 3 2 2 4 6 2 2" xfId="25340"/>
    <cellStyle name="표준 2 3 2 2 4 6 3" xfId="14204"/>
    <cellStyle name="표준 2 3 2 2 4 6 3 2" xfId="30908"/>
    <cellStyle name="표준 2 3 2 2 4 6 4" xfId="19772"/>
    <cellStyle name="표준 2 3 2 2 4 7" xfId="5852"/>
    <cellStyle name="표준 2 3 2 2 4 7 2" xfId="22556"/>
    <cellStyle name="표준 2 3 2 2 4 8" xfId="11420"/>
    <cellStyle name="표준 2 3 2 2 4 8 2" xfId="28124"/>
    <cellStyle name="표준 2 3 2 2 4 9" xfId="16988"/>
    <cellStyle name="표준 2 3 2 2 5" xfId="400"/>
    <cellStyle name="표준 2 3 2 2 5 2" xfId="1096"/>
    <cellStyle name="표준 2 3 2 2 5 2 2" xfId="2488"/>
    <cellStyle name="표준 2 3 2 2 5 2 2 2" xfId="5272"/>
    <cellStyle name="표준 2 3 2 2 5 2 2 2 2" xfId="10840"/>
    <cellStyle name="표준 2 3 2 2 5 2 2 2 2 2" xfId="27544"/>
    <cellStyle name="표준 2 3 2 2 5 2 2 2 3" xfId="16408"/>
    <cellStyle name="표준 2 3 2 2 5 2 2 2 3 2" xfId="33112"/>
    <cellStyle name="표준 2 3 2 2 5 2 2 2 4" xfId="21976"/>
    <cellStyle name="표준 2 3 2 2 5 2 2 3" xfId="8056"/>
    <cellStyle name="표준 2 3 2 2 5 2 2 3 2" xfId="24760"/>
    <cellStyle name="표준 2 3 2 2 5 2 2 4" xfId="13624"/>
    <cellStyle name="표준 2 3 2 2 5 2 2 4 2" xfId="30328"/>
    <cellStyle name="표준 2 3 2 2 5 2 2 5" xfId="19192"/>
    <cellStyle name="표준 2 3 2 2 5 2 3" xfId="3880"/>
    <cellStyle name="표준 2 3 2 2 5 2 3 2" xfId="9448"/>
    <cellStyle name="표준 2 3 2 2 5 2 3 2 2" xfId="26152"/>
    <cellStyle name="표준 2 3 2 2 5 2 3 3" xfId="15016"/>
    <cellStyle name="표준 2 3 2 2 5 2 3 3 2" xfId="31720"/>
    <cellStyle name="표준 2 3 2 2 5 2 3 4" xfId="20584"/>
    <cellStyle name="표준 2 3 2 2 5 2 4" xfId="6664"/>
    <cellStyle name="표준 2 3 2 2 5 2 4 2" xfId="23368"/>
    <cellStyle name="표준 2 3 2 2 5 2 5" xfId="12232"/>
    <cellStyle name="표준 2 3 2 2 5 2 5 2" xfId="28936"/>
    <cellStyle name="표준 2 3 2 2 5 2 6" xfId="17800"/>
    <cellStyle name="표준 2 3 2 2 5 3" xfId="1792"/>
    <cellStyle name="표준 2 3 2 2 5 3 2" xfId="4576"/>
    <cellStyle name="표준 2 3 2 2 5 3 2 2" xfId="10144"/>
    <cellStyle name="표준 2 3 2 2 5 3 2 2 2" xfId="26848"/>
    <cellStyle name="표준 2 3 2 2 5 3 2 3" xfId="15712"/>
    <cellStyle name="표준 2 3 2 2 5 3 2 3 2" xfId="32416"/>
    <cellStyle name="표준 2 3 2 2 5 3 2 4" xfId="21280"/>
    <cellStyle name="표준 2 3 2 2 5 3 3" xfId="7360"/>
    <cellStyle name="표준 2 3 2 2 5 3 3 2" xfId="24064"/>
    <cellStyle name="표준 2 3 2 2 5 3 4" xfId="12928"/>
    <cellStyle name="표준 2 3 2 2 5 3 4 2" xfId="29632"/>
    <cellStyle name="표준 2 3 2 2 5 3 5" xfId="18496"/>
    <cellStyle name="표준 2 3 2 2 5 4" xfId="3184"/>
    <cellStyle name="표준 2 3 2 2 5 4 2" xfId="8752"/>
    <cellStyle name="표준 2 3 2 2 5 4 2 2" xfId="25456"/>
    <cellStyle name="표준 2 3 2 2 5 4 3" xfId="14320"/>
    <cellStyle name="표준 2 3 2 2 5 4 3 2" xfId="31024"/>
    <cellStyle name="표준 2 3 2 2 5 4 4" xfId="19888"/>
    <cellStyle name="표준 2 3 2 2 5 5" xfId="5968"/>
    <cellStyle name="표준 2 3 2 2 5 5 2" xfId="22672"/>
    <cellStyle name="표준 2 3 2 2 5 6" xfId="11536"/>
    <cellStyle name="표준 2 3 2 2 5 6 2" xfId="28240"/>
    <cellStyle name="표준 2 3 2 2 5 7" xfId="17104"/>
    <cellStyle name="표준 2 3 2 2 6" xfId="632"/>
    <cellStyle name="표준 2 3 2 2 6 2" xfId="1328"/>
    <cellStyle name="표준 2 3 2 2 6 2 2" xfId="2720"/>
    <cellStyle name="표준 2 3 2 2 6 2 2 2" xfId="5504"/>
    <cellStyle name="표준 2 3 2 2 6 2 2 2 2" xfId="11072"/>
    <cellStyle name="표준 2 3 2 2 6 2 2 2 2 2" xfId="27776"/>
    <cellStyle name="표준 2 3 2 2 6 2 2 2 3" xfId="16640"/>
    <cellStyle name="표준 2 3 2 2 6 2 2 2 3 2" xfId="33344"/>
    <cellStyle name="표준 2 3 2 2 6 2 2 2 4" xfId="22208"/>
    <cellStyle name="표준 2 3 2 2 6 2 2 3" xfId="8288"/>
    <cellStyle name="표준 2 3 2 2 6 2 2 3 2" xfId="24992"/>
    <cellStyle name="표준 2 3 2 2 6 2 2 4" xfId="13856"/>
    <cellStyle name="표준 2 3 2 2 6 2 2 4 2" xfId="30560"/>
    <cellStyle name="표준 2 3 2 2 6 2 2 5" xfId="19424"/>
    <cellStyle name="표준 2 3 2 2 6 2 3" xfId="4112"/>
    <cellStyle name="표준 2 3 2 2 6 2 3 2" xfId="9680"/>
    <cellStyle name="표준 2 3 2 2 6 2 3 2 2" xfId="26384"/>
    <cellStyle name="표준 2 3 2 2 6 2 3 3" xfId="15248"/>
    <cellStyle name="표준 2 3 2 2 6 2 3 3 2" xfId="31952"/>
    <cellStyle name="표준 2 3 2 2 6 2 3 4" xfId="20816"/>
    <cellStyle name="표준 2 3 2 2 6 2 4" xfId="6896"/>
    <cellStyle name="표준 2 3 2 2 6 2 4 2" xfId="23600"/>
    <cellStyle name="표준 2 3 2 2 6 2 5" xfId="12464"/>
    <cellStyle name="표준 2 3 2 2 6 2 5 2" xfId="29168"/>
    <cellStyle name="표준 2 3 2 2 6 2 6" xfId="18032"/>
    <cellStyle name="표준 2 3 2 2 6 3" xfId="2024"/>
    <cellStyle name="표준 2 3 2 2 6 3 2" xfId="4808"/>
    <cellStyle name="표준 2 3 2 2 6 3 2 2" xfId="10376"/>
    <cellStyle name="표준 2 3 2 2 6 3 2 2 2" xfId="27080"/>
    <cellStyle name="표준 2 3 2 2 6 3 2 3" xfId="15944"/>
    <cellStyle name="표준 2 3 2 2 6 3 2 3 2" xfId="32648"/>
    <cellStyle name="표준 2 3 2 2 6 3 2 4" xfId="21512"/>
    <cellStyle name="표준 2 3 2 2 6 3 3" xfId="7592"/>
    <cellStyle name="표준 2 3 2 2 6 3 3 2" xfId="24296"/>
    <cellStyle name="표준 2 3 2 2 6 3 4" xfId="13160"/>
    <cellStyle name="표준 2 3 2 2 6 3 4 2" xfId="29864"/>
    <cellStyle name="표준 2 3 2 2 6 3 5" xfId="18728"/>
    <cellStyle name="표준 2 3 2 2 6 4" xfId="3416"/>
    <cellStyle name="표준 2 3 2 2 6 4 2" xfId="8984"/>
    <cellStyle name="표준 2 3 2 2 6 4 2 2" xfId="25688"/>
    <cellStyle name="표준 2 3 2 2 6 4 3" xfId="14552"/>
    <cellStyle name="표준 2 3 2 2 6 4 3 2" xfId="31256"/>
    <cellStyle name="표준 2 3 2 2 6 4 4" xfId="20120"/>
    <cellStyle name="표준 2 3 2 2 6 5" xfId="6200"/>
    <cellStyle name="표준 2 3 2 2 6 5 2" xfId="22904"/>
    <cellStyle name="표준 2 3 2 2 6 6" xfId="11768"/>
    <cellStyle name="표준 2 3 2 2 6 6 2" xfId="28472"/>
    <cellStyle name="표준 2 3 2 2 6 7" xfId="17336"/>
    <cellStyle name="표준 2 3 2 2 7" xfId="864"/>
    <cellStyle name="표준 2 3 2 2 7 2" xfId="2256"/>
    <cellStyle name="표준 2 3 2 2 7 2 2" xfId="5040"/>
    <cellStyle name="표준 2 3 2 2 7 2 2 2" xfId="10608"/>
    <cellStyle name="표준 2 3 2 2 7 2 2 2 2" xfId="27312"/>
    <cellStyle name="표준 2 3 2 2 7 2 2 3" xfId="16176"/>
    <cellStyle name="표준 2 3 2 2 7 2 2 3 2" xfId="32880"/>
    <cellStyle name="표준 2 3 2 2 7 2 2 4" xfId="21744"/>
    <cellStyle name="표준 2 3 2 2 7 2 3" xfId="7824"/>
    <cellStyle name="표준 2 3 2 2 7 2 3 2" xfId="24528"/>
    <cellStyle name="표준 2 3 2 2 7 2 4" xfId="13392"/>
    <cellStyle name="표준 2 3 2 2 7 2 4 2" xfId="30096"/>
    <cellStyle name="표준 2 3 2 2 7 2 5" xfId="18960"/>
    <cellStyle name="표준 2 3 2 2 7 3" xfId="3648"/>
    <cellStyle name="표준 2 3 2 2 7 3 2" xfId="9216"/>
    <cellStyle name="표준 2 3 2 2 7 3 2 2" xfId="25920"/>
    <cellStyle name="표준 2 3 2 2 7 3 3" xfId="14784"/>
    <cellStyle name="표준 2 3 2 2 7 3 3 2" xfId="31488"/>
    <cellStyle name="표준 2 3 2 2 7 3 4" xfId="20352"/>
    <cellStyle name="표준 2 3 2 2 7 4" xfId="6432"/>
    <cellStyle name="표준 2 3 2 2 7 4 2" xfId="23136"/>
    <cellStyle name="표준 2 3 2 2 7 5" xfId="12000"/>
    <cellStyle name="표준 2 3 2 2 7 5 2" xfId="28704"/>
    <cellStyle name="표준 2 3 2 2 7 6" xfId="17568"/>
    <cellStyle name="표준 2 3 2 2 8" xfId="1560"/>
    <cellStyle name="표준 2 3 2 2 8 2" xfId="4344"/>
    <cellStyle name="표준 2 3 2 2 8 2 2" xfId="9912"/>
    <cellStyle name="표준 2 3 2 2 8 2 2 2" xfId="26616"/>
    <cellStyle name="표준 2 3 2 2 8 2 3" xfId="15480"/>
    <cellStyle name="표준 2 3 2 2 8 2 3 2" xfId="32184"/>
    <cellStyle name="표준 2 3 2 2 8 2 4" xfId="21048"/>
    <cellStyle name="표준 2 3 2 2 8 3" xfId="7128"/>
    <cellStyle name="표준 2 3 2 2 8 3 2" xfId="23832"/>
    <cellStyle name="표준 2 3 2 2 8 4" xfId="12696"/>
    <cellStyle name="표준 2 3 2 2 8 4 2" xfId="29400"/>
    <cellStyle name="표준 2 3 2 2 8 5" xfId="18264"/>
    <cellStyle name="표준 2 3 2 2 9" xfId="2952"/>
    <cellStyle name="표준 2 3 2 2 9 2" xfId="8520"/>
    <cellStyle name="표준 2 3 2 2 9 2 2" xfId="25224"/>
    <cellStyle name="표준 2 3 2 2 9 3" xfId="14088"/>
    <cellStyle name="표준 2 3 2 2 9 3 2" xfId="30792"/>
    <cellStyle name="표준 2 3 2 2 9 4" xfId="19656"/>
    <cellStyle name="표준 2 4" xfId="145"/>
    <cellStyle name="표준 2 5" xfId="140"/>
    <cellStyle name="표준 218" xfId="146"/>
    <cellStyle name="표준 218 10" xfId="2943"/>
    <cellStyle name="표준 218 10 2" xfId="8511"/>
    <cellStyle name="표준 218 10 2 2" xfId="25215"/>
    <cellStyle name="표준 218 10 3" xfId="14079"/>
    <cellStyle name="표준 218 10 3 2" xfId="30783"/>
    <cellStyle name="표준 218 10 4" xfId="19647"/>
    <cellStyle name="표준 218 11" xfId="5727"/>
    <cellStyle name="표준 218 11 2" xfId="22431"/>
    <cellStyle name="표준 218 12" xfId="11295"/>
    <cellStyle name="표준 218 12 2" xfId="27999"/>
    <cellStyle name="표준 218 13" xfId="16863"/>
    <cellStyle name="표준 218 2" xfId="165"/>
    <cellStyle name="표준 218 2 10" xfId="5733"/>
    <cellStyle name="표준 218 2 10 2" xfId="22437"/>
    <cellStyle name="표준 218 2 11" xfId="11301"/>
    <cellStyle name="표준 218 2 11 2" xfId="28005"/>
    <cellStyle name="표준 218 2 12" xfId="16869"/>
    <cellStyle name="표준 218 2 2" xfId="194"/>
    <cellStyle name="표준 218 2 2 10" xfId="11330"/>
    <cellStyle name="표준 218 2 2 10 2" xfId="28034"/>
    <cellStyle name="표준 218 2 2 11" xfId="16898"/>
    <cellStyle name="표준 218 2 2 2" xfId="252"/>
    <cellStyle name="표준 218 2 2 2 10" xfId="16956"/>
    <cellStyle name="표준 218 2 2 2 2" xfId="368"/>
    <cellStyle name="표준 218 2 2 2 2 2" xfId="600"/>
    <cellStyle name="표준 218 2 2 2 2 2 2" xfId="1296"/>
    <cellStyle name="표준 218 2 2 2 2 2 2 2" xfId="2688"/>
    <cellStyle name="표준 218 2 2 2 2 2 2 2 2" xfId="5472"/>
    <cellStyle name="표준 218 2 2 2 2 2 2 2 2 2" xfId="11040"/>
    <cellStyle name="표준 218 2 2 2 2 2 2 2 2 2 2" xfId="27744"/>
    <cellStyle name="표준 218 2 2 2 2 2 2 2 2 3" xfId="16608"/>
    <cellStyle name="표준 218 2 2 2 2 2 2 2 2 3 2" xfId="33312"/>
    <cellStyle name="표준 218 2 2 2 2 2 2 2 2 4" xfId="22176"/>
    <cellStyle name="표준 218 2 2 2 2 2 2 2 3" xfId="8256"/>
    <cellStyle name="표준 218 2 2 2 2 2 2 2 3 2" xfId="24960"/>
    <cellStyle name="표준 218 2 2 2 2 2 2 2 4" xfId="13824"/>
    <cellStyle name="표준 218 2 2 2 2 2 2 2 4 2" xfId="30528"/>
    <cellStyle name="표준 218 2 2 2 2 2 2 2 5" xfId="19392"/>
    <cellStyle name="표준 218 2 2 2 2 2 2 3" xfId="4080"/>
    <cellStyle name="표준 218 2 2 2 2 2 2 3 2" xfId="9648"/>
    <cellStyle name="표준 218 2 2 2 2 2 2 3 2 2" xfId="26352"/>
    <cellStyle name="표준 218 2 2 2 2 2 2 3 3" xfId="15216"/>
    <cellStyle name="표준 218 2 2 2 2 2 2 3 3 2" xfId="31920"/>
    <cellStyle name="표준 218 2 2 2 2 2 2 3 4" xfId="20784"/>
    <cellStyle name="표준 218 2 2 2 2 2 2 4" xfId="6864"/>
    <cellStyle name="표준 218 2 2 2 2 2 2 4 2" xfId="23568"/>
    <cellStyle name="표준 218 2 2 2 2 2 2 5" xfId="12432"/>
    <cellStyle name="표준 218 2 2 2 2 2 2 5 2" xfId="29136"/>
    <cellStyle name="표준 218 2 2 2 2 2 2 6" xfId="18000"/>
    <cellStyle name="표준 218 2 2 2 2 2 3" xfId="1992"/>
    <cellStyle name="표준 218 2 2 2 2 2 3 2" xfId="4776"/>
    <cellStyle name="표준 218 2 2 2 2 2 3 2 2" xfId="10344"/>
    <cellStyle name="표준 218 2 2 2 2 2 3 2 2 2" xfId="27048"/>
    <cellStyle name="표준 218 2 2 2 2 2 3 2 3" xfId="15912"/>
    <cellStyle name="표준 218 2 2 2 2 2 3 2 3 2" xfId="32616"/>
    <cellStyle name="표준 218 2 2 2 2 2 3 2 4" xfId="21480"/>
    <cellStyle name="표준 218 2 2 2 2 2 3 3" xfId="7560"/>
    <cellStyle name="표준 218 2 2 2 2 2 3 3 2" xfId="24264"/>
    <cellStyle name="표준 218 2 2 2 2 2 3 4" xfId="13128"/>
    <cellStyle name="표준 218 2 2 2 2 2 3 4 2" xfId="29832"/>
    <cellStyle name="표준 218 2 2 2 2 2 3 5" xfId="18696"/>
    <cellStyle name="표준 218 2 2 2 2 2 4" xfId="3384"/>
    <cellStyle name="표준 218 2 2 2 2 2 4 2" xfId="8952"/>
    <cellStyle name="표준 218 2 2 2 2 2 4 2 2" xfId="25656"/>
    <cellStyle name="표준 218 2 2 2 2 2 4 3" xfId="14520"/>
    <cellStyle name="표준 218 2 2 2 2 2 4 3 2" xfId="31224"/>
    <cellStyle name="표준 218 2 2 2 2 2 4 4" xfId="20088"/>
    <cellStyle name="표준 218 2 2 2 2 2 5" xfId="6168"/>
    <cellStyle name="표준 218 2 2 2 2 2 5 2" xfId="22872"/>
    <cellStyle name="표준 218 2 2 2 2 2 6" xfId="11736"/>
    <cellStyle name="표준 218 2 2 2 2 2 6 2" xfId="28440"/>
    <cellStyle name="표준 218 2 2 2 2 2 7" xfId="17304"/>
    <cellStyle name="표준 218 2 2 2 2 3" xfId="832"/>
    <cellStyle name="표준 218 2 2 2 2 3 2" xfId="1528"/>
    <cellStyle name="표준 218 2 2 2 2 3 2 2" xfId="2920"/>
    <cellStyle name="표준 218 2 2 2 2 3 2 2 2" xfId="5704"/>
    <cellStyle name="표준 218 2 2 2 2 3 2 2 2 2" xfId="11272"/>
    <cellStyle name="표준 218 2 2 2 2 3 2 2 2 2 2" xfId="27976"/>
    <cellStyle name="표준 218 2 2 2 2 3 2 2 2 3" xfId="16840"/>
    <cellStyle name="표준 218 2 2 2 2 3 2 2 2 3 2" xfId="33544"/>
    <cellStyle name="표준 218 2 2 2 2 3 2 2 2 4" xfId="22408"/>
    <cellStyle name="표준 218 2 2 2 2 3 2 2 3" xfId="8488"/>
    <cellStyle name="표준 218 2 2 2 2 3 2 2 3 2" xfId="25192"/>
    <cellStyle name="표준 218 2 2 2 2 3 2 2 4" xfId="14056"/>
    <cellStyle name="표준 218 2 2 2 2 3 2 2 4 2" xfId="30760"/>
    <cellStyle name="표준 218 2 2 2 2 3 2 2 5" xfId="19624"/>
    <cellStyle name="표준 218 2 2 2 2 3 2 3" xfId="4312"/>
    <cellStyle name="표준 218 2 2 2 2 3 2 3 2" xfId="9880"/>
    <cellStyle name="표준 218 2 2 2 2 3 2 3 2 2" xfId="26584"/>
    <cellStyle name="표준 218 2 2 2 2 3 2 3 3" xfId="15448"/>
    <cellStyle name="표준 218 2 2 2 2 3 2 3 3 2" xfId="32152"/>
    <cellStyle name="표준 218 2 2 2 2 3 2 3 4" xfId="21016"/>
    <cellStyle name="표준 218 2 2 2 2 3 2 4" xfId="7096"/>
    <cellStyle name="표준 218 2 2 2 2 3 2 4 2" xfId="23800"/>
    <cellStyle name="표준 218 2 2 2 2 3 2 5" xfId="12664"/>
    <cellStyle name="표준 218 2 2 2 2 3 2 5 2" xfId="29368"/>
    <cellStyle name="표준 218 2 2 2 2 3 2 6" xfId="18232"/>
    <cellStyle name="표준 218 2 2 2 2 3 3" xfId="2224"/>
    <cellStyle name="표준 218 2 2 2 2 3 3 2" xfId="5008"/>
    <cellStyle name="표준 218 2 2 2 2 3 3 2 2" xfId="10576"/>
    <cellStyle name="표준 218 2 2 2 2 3 3 2 2 2" xfId="27280"/>
    <cellStyle name="표준 218 2 2 2 2 3 3 2 3" xfId="16144"/>
    <cellStyle name="표준 218 2 2 2 2 3 3 2 3 2" xfId="32848"/>
    <cellStyle name="표준 218 2 2 2 2 3 3 2 4" xfId="21712"/>
    <cellStyle name="표준 218 2 2 2 2 3 3 3" xfId="7792"/>
    <cellStyle name="표준 218 2 2 2 2 3 3 3 2" xfId="24496"/>
    <cellStyle name="표준 218 2 2 2 2 3 3 4" xfId="13360"/>
    <cellStyle name="표준 218 2 2 2 2 3 3 4 2" xfId="30064"/>
    <cellStyle name="표준 218 2 2 2 2 3 3 5" xfId="18928"/>
    <cellStyle name="표준 218 2 2 2 2 3 4" xfId="3616"/>
    <cellStyle name="표준 218 2 2 2 2 3 4 2" xfId="9184"/>
    <cellStyle name="표준 218 2 2 2 2 3 4 2 2" xfId="25888"/>
    <cellStyle name="표준 218 2 2 2 2 3 4 3" xfId="14752"/>
    <cellStyle name="표준 218 2 2 2 2 3 4 3 2" xfId="31456"/>
    <cellStyle name="표준 218 2 2 2 2 3 4 4" xfId="20320"/>
    <cellStyle name="표준 218 2 2 2 2 3 5" xfId="6400"/>
    <cellStyle name="표준 218 2 2 2 2 3 5 2" xfId="23104"/>
    <cellStyle name="표준 218 2 2 2 2 3 6" xfId="11968"/>
    <cellStyle name="표준 218 2 2 2 2 3 6 2" xfId="28672"/>
    <cellStyle name="표준 218 2 2 2 2 3 7" xfId="17536"/>
    <cellStyle name="표준 218 2 2 2 2 4" xfId="1064"/>
    <cellStyle name="표준 218 2 2 2 2 4 2" xfId="2456"/>
    <cellStyle name="표준 218 2 2 2 2 4 2 2" xfId="5240"/>
    <cellStyle name="표준 218 2 2 2 2 4 2 2 2" xfId="10808"/>
    <cellStyle name="표준 218 2 2 2 2 4 2 2 2 2" xfId="27512"/>
    <cellStyle name="표준 218 2 2 2 2 4 2 2 3" xfId="16376"/>
    <cellStyle name="표준 218 2 2 2 2 4 2 2 3 2" xfId="33080"/>
    <cellStyle name="표준 218 2 2 2 2 4 2 2 4" xfId="21944"/>
    <cellStyle name="표준 218 2 2 2 2 4 2 3" xfId="8024"/>
    <cellStyle name="표준 218 2 2 2 2 4 2 3 2" xfId="24728"/>
    <cellStyle name="표준 218 2 2 2 2 4 2 4" xfId="13592"/>
    <cellStyle name="표준 218 2 2 2 2 4 2 4 2" xfId="30296"/>
    <cellStyle name="표준 218 2 2 2 2 4 2 5" xfId="19160"/>
    <cellStyle name="표준 218 2 2 2 2 4 3" xfId="3848"/>
    <cellStyle name="표준 218 2 2 2 2 4 3 2" xfId="9416"/>
    <cellStyle name="표준 218 2 2 2 2 4 3 2 2" xfId="26120"/>
    <cellStyle name="표준 218 2 2 2 2 4 3 3" xfId="14984"/>
    <cellStyle name="표준 218 2 2 2 2 4 3 3 2" xfId="31688"/>
    <cellStyle name="표준 218 2 2 2 2 4 3 4" xfId="20552"/>
    <cellStyle name="표준 218 2 2 2 2 4 4" xfId="6632"/>
    <cellStyle name="표준 218 2 2 2 2 4 4 2" xfId="23336"/>
    <cellStyle name="표준 218 2 2 2 2 4 5" xfId="12200"/>
    <cellStyle name="표준 218 2 2 2 2 4 5 2" xfId="28904"/>
    <cellStyle name="표준 218 2 2 2 2 4 6" xfId="17768"/>
    <cellStyle name="표준 218 2 2 2 2 5" xfId="1760"/>
    <cellStyle name="표준 218 2 2 2 2 5 2" xfId="4544"/>
    <cellStyle name="표준 218 2 2 2 2 5 2 2" xfId="10112"/>
    <cellStyle name="표준 218 2 2 2 2 5 2 2 2" xfId="26816"/>
    <cellStyle name="표준 218 2 2 2 2 5 2 3" xfId="15680"/>
    <cellStyle name="표준 218 2 2 2 2 5 2 3 2" xfId="32384"/>
    <cellStyle name="표준 218 2 2 2 2 5 2 4" xfId="21248"/>
    <cellStyle name="표준 218 2 2 2 2 5 3" xfId="7328"/>
    <cellStyle name="표준 218 2 2 2 2 5 3 2" xfId="24032"/>
    <cellStyle name="표준 218 2 2 2 2 5 4" xfId="12896"/>
    <cellStyle name="표준 218 2 2 2 2 5 4 2" xfId="29600"/>
    <cellStyle name="표준 218 2 2 2 2 5 5" xfId="18464"/>
    <cellStyle name="표준 218 2 2 2 2 6" xfId="3152"/>
    <cellStyle name="표준 218 2 2 2 2 6 2" xfId="8720"/>
    <cellStyle name="표준 218 2 2 2 2 6 2 2" xfId="25424"/>
    <cellStyle name="표준 218 2 2 2 2 6 3" xfId="14288"/>
    <cellStyle name="표준 218 2 2 2 2 6 3 2" xfId="30992"/>
    <cellStyle name="표준 218 2 2 2 2 6 4" xfId="19856"/>
    <cellStyle name="표준 218 2 2 2 2 7" xfId="5936"/>
    <cellStyle name="표준 218 2 2 2 2 7 2" xfId="22640"/>
    <cellStyle name="표준 218 2 2 2 2 8" xfId="11504"/>
    <cellStyle name="표준 218 2 2 2 2 8 2" xfId="28208"/>
    <cellStyle name="표준 218 2 2 2 2 9" xfId="17072"/>
    <cellStyle name="표준 218 2 2 2 3" xfId="484"/>
    <cellStyle name="표준 218 2 2 2 3 2" xfId="1180"/>
    <cellStyle name="표준 218 2 2 2 3 2 2" xfId="2572"/>
    <cellStyle name="표준 218 2 2 2 3 2 2 2" xfId="5356"/>
    <cellStyle name="표준 218 2 2 2 3 2 2 2 2" xfId="10924"/>
    <cellStyle name="표준 218 2 2 2 3 2 2 2 2 2" xfId="27628"/>
    <cellStyle name="표준 218 2 2 2 3 2 2 2 3" xfId="16492"/>
    <cellStyle name="표준 218 2 2 2 3 2 2 2 3 2" xfId="33196"/>
    <cellStyle name="표준 218 2 2 2 3 2 2 2 4" xfId="22060"/>
    <cellStyle name="표준 218 2 2 2 3 2 2 3" xfId="8140"/>
    <cellStyle name="표준 218 2 2 2 3 2 2 3 2" xfId="24844"/>
    <cellStyle name="표준 218 2 2 2 3 2 2 4" xfId="13708"/>
    <cellStyle name="표준 218 2 2 2 3 2 2 4 2" xfId="30412"/>
    <cellStyle name="표준 218 2 2 2 3 2 2 5" xfId="19276"/>
    <cellStyle name="표준 218 2 2 2 3 2 3" xfId="3964"/>
    <cellStyle name="표준 218 2 2 2 3 2 3 2" xfId="9532"/>
    <cellStyle name="표준 218 2 2 2 3 2 3 2 2" xfId="26236"/>
    <cellStyle name="표준 218 2 2 2 3 2 3 3" xfId="15100"/>
    <cellStyle name="표준 218 2 2 2 3 2 3 3 2" xfId="31804"/>
    <cellStyle name="표준 218 2 2 2 3 2 3 4" xfId="20668"/>
    <cellStyle name="표준 218 2 2 2 3 2 4" xfId="6748"/>
    <cellStyle name="표준 218 2 2 2 3 2 4 2" xfId="23452"/>
    <cellStyle name="표준 218 2 2 2 3 2 5" xfId="12316"/>
    <cellStyle name="표준 218 2 2 2 3 2 5 2" xfId="29020"/>
    <cellStyle name="표준 218 2 2 2 3 2 6" xfId="17884"/>
    <cellStyle name="표준 218 2 2 2 3 3" xfId="1876"/>
    <cellStyle name="표준 218 2 2 2 3 3 2" xfId="4660"/>
    <cellStyle name="표준 218 2 2 2 3 3 2 2" xfId="10228"/>
    <cellStyle name="표준 218 2 2 2 3 3 2 2 2" xfId="26932"/>
    <cellStyle name="표준 218 2 2 2 3 3 2 3" xfId="15796"/>
    <cellStyle name="표준 218 2 2 2 3 3 2 3 2" xfId="32500"/>
    <cellStyle name="표준 218 2 2 2 3 3 2 4" xfId="21364"/>
    <cellStyle name="표준 218 2 2 2 3 3 3" xfId="7444"/>
    <cellStyle name="표준 218 2 2 2 3 3 3 2" xfId="24148"/>
    <cellStyle name="표준 218 2 2 2 3 3 4" xfId="13012"/>
    <cellStyle name="표준 218 2 2 2 3 3 4 2" xfId="29716"/>
    <cellStyle name="표준 218 2 2 2 3 3 5" xfId="18580"/>
    <cellStyle name="표준 218 2 2 2 3 4" xfId="3268"/>
    <cellStyle name="표준 218 2 2 2 3 4 2" xfId="8836"/>
    <cellStyle name="표준 218 2 2 2 3 4 2 2" xfId="25540"/>
    <cellStyle name="표준 218 2 2 2 3 4 3" xfId="14404"/>
    <cellStyle name="표준 218 2 2 2 3 4 3 2" xfId="31108"/>
    <cellStyle name="표준 218 2 2 2 3 4 4" xfId="19972"/>
    <cellStyle name="표준 218 2 2 2 3 5" xfId="6052"/>
    <cellStyle name="표준 218 2 2 2 3 5 2" xfId="22756"/>
    <cellStyle name="표준 218 2 2 2 3 6" xfId="11620"/>
    <cellStyle name="표준 218 2 2 2 3 6 2" xfId="28324"/>
    <cellStyle name="표준 218 2 2 2 3 7" xfId="17188"/>
    <cellStyle name="표준 218 2 2 2 4" xfId="716"/>
    <cellStyle name="표준 218 2 2 2 4 2" xfId="1412"/>
    <cellStyle name="표준 218 2 2 2 4 2 2" xfId="2804"/>
    <cellStyle name="표준 218 2 2 2 4 2 2 2" xfId="5588"/>
    <cellStyle name="표준 218 2 2 2 4 2 2 2 2" xfId="11156"/>
    <cellStyle name="표준 218 2 2 2 4 2 2 2 2 2" xfId="27860"/>
    <cellStyle name="표준 218 2 2 2 4 2 2 2 3" xfId="16724"/>
    <cellStyle name="표준 218 2 2 2 4 2 2 2 3 2" xfId="33428"/>
    <cellStyle name="표준 218 2 2 2 4 2 2 2 4" xfId="22292"/>
    <cellStyle name="표준 218 2 2 2 4 2 2 3" xfId="8372"/>
    <cellStyle name="표준 218 2 2 2 4 2 2 3 2" xfId="25076"/>
    <cellStyle name="표준 218 2 2 2 4 2 2 4" xfId="13940"/>
    <cellStyle name="표준 218 2 2 2 4 2 2 4 2" xfId="30644"/>
    <cellStyle name="표준 218 2 2 2 4 2 2 5" xfId="19508"/>
    <cellStyle name="표준 218 2 2 2 4 2 3" xfId="4196"/>
    <cellStyle name="표준 218 2 2 2 4 2 3 2" xfId="9764"/>
    <cellStyle name="표준 218 2 2 2 4 2 3 2 2" xfId="26468"/>
    <cellStyle name="표준 218 2 2 2 4 2 3 3" xfId="15332"/>
    <cellStyle name="표준 218 2 2 2 4 2 3 3 2" xfId="32036"/>
    <cellStyle name="표준 218 2 2 2 4 2 3 4" xfId="20900"/>
    <cellStyle name="표준 218 2 2 2 4 2 4" xfId="6980"/>
    <cellStyle name="표준 218 2 2 2 4 2 4 2" xfId="23684"/>
    <cellStyle name="표준 218 2 2 2 4 2 5" xfId="12548"/>
    <cellStyle name="표준 218 2 2 2 4 2 5 2" xfId="29252"/>
    <cellStyle name="표준 218 2 2 2 4 2 6" xfId="18116"/>
    <cellStyle name="표준 218 2 2 2 4 3" xfId="2108"/>
    <cellStyle name="표준 218 2 2 2 4 3 2" xfId="4892"/>
    <cellStyle name="표준 218 2 2 2 4 3 2 2" xfId="10460"/>
    <cellStyle name="표준 218 2 2 2 4 3 2 2 2" xfId="27164"/>
    <cellStyle name="표준 218 2 2 2 4 3 2 3" xfId="16028"/>
    <cellStyle name="표준 218 2 2 2 4 3 2 3 2" xfId="32732"/>
    <cellStyle name="표준 218 2 2 2 4 3 2 4" xfId="21596"/>
    <cellStyle name="표준 218 2 2 2 4 3 3" xfId="7676"/>
    <cellStyle name="표준 218 2 2 2 4 3 3 2" xfId="24380"/>
    <cellStyle name="표준 218 2 2 2 4 3 4" xfId="13244"/>
    <cellStyle name="표준 218 2 2 2 4 3 4 2" xfId="29948"/>
    <cellStyle name="표준 218 2 2 2 4 3 5" xfId="18812"/>
    <cellStyle name="표준 218 2 2 2 4 4" xfId="3500"/>
    <cellStyle name="표준 218 2 2 2 4 4 2" xfId="9068"/>
    <cellStyle name="표준 218 2 2 2 4 4 2 2" xfId="25772"/>
    <cellStyle name="표준 218 2 2 2 4 4 3" xfId="14636"/>
    <cellStyle name="표준 218 2 2 2 4 4 3 2" xfId="31340"/>
    <cellStyle name="표준 218 2 2 2 4 4 4" xfId="20204"/>
    <cellStyle name="표준 218 2 2 2 4 5" xfId="6284"/>
    <cellStyle name="표준 218 2 2 2 4 5 2" xfId="22988"/>
    <cellStyle name="표준 218 2 2 2 4 6" xfId="11852"/>
    <cellStyle name="표준 218 2 2 2 4 6 2" xfId="28556"/>
    <cellStyle name="표준 218 2 2 2 4 7" xfId="17420"/>
    <cellStyle name="표준 218 2 2 2 5" xfId="948"/>
    <cellStyle name="표준 218 2 2 2 5 2" xfId="2340"/>
    <cellStyle name="표준 218 2 2 2 5 2 2" xfId="5124"/>
    <cellStyle name="표준 218 2 2 2 5 2 2 2" xfId="10692"/>
    <cellStyle name="표준 218 2 2 2 5 2 2 2 2" xfId="27396"/>
    <cellStyle name="표준 218 2 2 2 5 2 2 3" xfId="16260"/>
    <cellStyle name="표준 218 2 2 2 5 2 2 3 2" xfId="32964"/>
    <cellStyle name="표준 218 2 2 2 5 2 2 4" xfId="21828"/>
    <cellStyle name="표준 218 2 2 2 5 2 3" xfId="7908"/>
    <cellStyle name="표준 218 2 2 2 5 2 3 2" xfId="24612"/>
    <cellStyle name="표준 218 2 2 2 5 2 4" xfId="13476"/>
    <cellStyle name="표준 218 2 2 2 5 2 4 2" xfId="30180"/>
    <cellStyle name="표준 218 2 2 2 5 2 5" xfId="19044"/>
    <cellStyle name="표준 218 2 2 2 5 3" xfId="3732"/>
    <cellStyle name="표준 218 2 2 2 5 3 2" xfId="9300"/>
    <cellStyle name="표준 218 2 2 2 5 3 2 2" xfId="26004"/>
    <cellStyle name="표준 218 2 2 2 5 3 3" xfId="14868"/>
    <cellStyle name="표준 218 2 2 2 5 3 3 2" xfId="31572"/>
    <cellStyle name="표준 218 2 2 2 5 3 4" xfId="20436"/>
    <cellStyle name="표준 218 2 2 2 5 4" xfId="6516"/>
    <cellStyle name="표준 218 2 2 2 5 4 2" xfId="23220"/>
    <cellStyle name="표준 218 2 2 2 5 5" xfId="12084"/>
    <cellStyle name="표준 218 2 2 2 5 5 2" xfId="28788"/>
    <cellStyle name="표준 218 2 2 2 5 6" xfId="17652"/>
    <cellStyle name="표준 218 2 2 2 6" xfId="1644"/>
    <cellStyle name="표준 218 2 2 2 6 2" xfId="4428"/>
    <cellStyle name="표준 218 2 2 2 6 2 2" xfId="9996"/>
    <cellStyle name="표준 218 2 2 2 6 2 2 2" xfId="26700"/>
    <cellStyle name="표준 218 2 2 2 6 2 3" xfId="15564"/>
    <cellStyle name="표준 218 2 2 2 6 2 3 2" xfId="32268"/>
    <cellStyle name="표준 218 2 2 2 6 2 4" xfId="21132"/>
    <cellStyle name="표준 218 2 2 2 6 3" xfId="7212"/>
    <cellStyle name="표준 218 2 2 2 6 3 2" xfId="23916"/>
    <cellStyle name="표준 218 2 2 2 6 4" xfId="12780"/>
    <cellStyle name="표준 218 2 2 2 6 4 2" xfId="29484"/>
    <cellStyle name="표준 218 2 2 2 6 5" xfId="18348"/>
    <cellStyle name="표준 218 2 2 2 7" xfId="3036"/>
    <cellStyle name="표준 218 2 2 2 7 2" xfId="8604"/>
    <cellStyle name="표준 218 2 2 2 7 2 2" xfId="25308"/>
    <cellStyle name="표준 218 2 2 2 7 3" xfId="14172"/>
    <cellStyle name="표준 218 2 2 2 7 3 2" xfId="30876"/>
    <cellStyle name="표준 218 2 2 2 7 4" xfId="19740"/>
    <cellStyle name="표준 218 2 2 2 8" xfId="5820"/>
    <cellStyle name="표준 218 2 2 2 8 2" xfId="22524"/>
    <cellStyle name="표준 218 2 2 2 9" xfId="11388"/>
    <cellStyle name="표준 218 2 2 2 9 2" xfId="28092"/>
    <cellStyle name="표준 218 2 2 3" xfId="310"/>
    <cellStyle name="표준 218 2 2 3 2" xfId="542"/>
    <cellStyle name="표준 218 2 2 3 2 2" xfId="1238"/>
    <cellStyle name="표준 218 2 2 3 2 2 2" xfId="2630"/>
    <cellStyle name="표준 218 2 2 3 2 2 2 2" xfId="5414"/>
    <cellStyle name="표준 218 2 2 3 2 2 2 2 2" xfId="10982"/>
    <cellStyle name="표준 218 2 2 3 2 2 2 2 2 2" xfId="27686"/>
    <cellStyle name="표준 218 2 2 3 2 2 2 2 3" xfId="16550"/>
    <cellStyle name="표준 218 2 2 3 2 2 2 2 3 2" xfId="33254"/>
    <cellStyle name="표준 218 2 2 3 2 2 2 2 4" xfId="22118"/>
    <cellStyle name="표준 218 2 2 3 2 2 2 3" xfId="8198"/>
    <cellStyle name="표준 218 2 2 3 2 2 2 3 2" xfId="24902"/>
    <cellStyle name="표준 218 2 2 3 2 2 2 4" xfId="13766"/>
    <cellStyle name="표준 218 2 2 3 2 2 2 4 2" xfId="30470"/>
    <cellStyle name="표준 218 2 2 3 2 2 2 5" xfId="19334"/>
    <cellStyle name="표준 218 2 2 3 2 2 3" xfId="4022"/>
    <cellStyle name="표준 218 2 2 3 2 2 3 2" xfId="9590"/>
    <cellStyle name="표준 218 2 2 3 2 2 3 2 2" xfId="26294"/>
    <cellStyle name="표준 218 2 2 3 2 2 3 3" xfId="15158"/>
    <cellStyle name="표준 218 2 2 3 2 2 3 3 2" xfId="31862"/>
    <cellStyle name="표준 218 2 2 3 2 2 3 4" xfId="20726"/>
    <cellStyle name="표준 218 2 2 3 2 2 4" xfId="6806"/>
    <cellStyle name="표준 218 2 2 3 2 2 4 2" xfId="23510"/>
    <cellStyle name="표준 218 2 2 3 2 2 5" xfId="12374"/>
    <cellStyle name="표준 218 2 2 3 2 2 5 2" xfId="29078"/>
    <cellStyle name="표준 218 2 2 3 2 2 6" xfId="17942"/>
    <cellStyle name="표준 218 2 2 3 2 3" xfId="1934"/>
    <cellStyle name="표준 218 2 2 3 2 3 2" xfId="4718"/>
    <cellStyle name="표준 218 2 2 3 2 3 2 2" xfId="10286"/>
    <cellStyle name="표준 218 2 2 3 2 3 2 2 2" xfId="26990"/>
    <cellStyle name="표준 218 2 2 3 2 3 2 3" xfId="15854"/>
    <cellStyle name="표준 218 2 2 3 2 3 2 3 2" xfId="32558"/>
    <cellStyle name="표준 218 2 2 3 2 3 2 4" xfId="21422"/>
    <cellStyle name="표준 218 2 2 3 2 3 3" xfId="7502"/>
    <cellStyle name="표준 218 2 2 3 2 3 3 2" xfId="24206"/>
    <cellStyle name="표준 218 2 2 3 2 3 4" xfId="13070"/>
    <cellStyle name="표준 218 2 2 3 2 3 4 2" xfId="29774"/>
    <cellStyle name="표준 218 2 2 3 2 3 5" xfId="18638"/>
    <cellStyle name="표준 218 2 2 3 2 4" xfId="3326"/>
    <cellStyle name="표준 218 2 2 3 2 4 2" xfId="8894"/>
    <cellStyle name="표준 218 2 2 3 2 4 2 2" xfId="25598"/>
    <cellStyle name="표준 218 2 2 3 2 4 3" xfId="14462"/>
    <cellStyle name="표준 218 2 2 3 2 4 3 2" xfId="31166"/>
    <cellStyle name="표준 218 2 2 3 2 4 4" xfId="20030"/>
    <cellStyle name="표준 218 2 2 3 2 5" xfId="6110"/>
    <cellStyle name="표준 218 2 2 3 2 5 2" xfId="22814"/>
    <cellStyle name="표준 218 2 2 3 2 6" xfId="11678"/>
    <cellStyle name="표준 218 2 2 3 2 6 2" xfId="28382"/>
    <cellStyle name="표준 218 2 2 3 2 7" xfId="17246"/>
    <cellStyle name="표준 218 2 2 3 3" xfId="774"/>
    <cellStyle name="표준 218 2 2 3 3 2" xfId="1470"/>
    <cellStyle name="표준 218 2 2 3 3 2 2" xfId="2862"/>
    <cellStyle name="표준 218 2 2 3 3 2 2 2" xfId="5646"/>
    <cellStyle name="표준 218 2 2 3 3 2 2 2 2" xfId="11214"/>
    <cellStyle name="표준 218 2 2 3 3 2 2 2 2 2" xfId="27918"/>
    <cellStyle name="표준 218 2 2 3 3 2 2 2 3" xfId="16782"/>
    <cellStyle name="표준 218 2 2 3 3 2 2 2 3 2" xfId="33486"/>
    <cellStyle name="표준 218 2 2 3 3 2 2 2 4" xfId="22350"/>
    <cellStyle name="표준 218 2 2 3 3 2 2 3" xfId="8430"/>
    <cellStyle name="표준 218 2 2 3 3 2 2 3 2" xfId="25134"/>
    <cellStyle name="표준 218 2 2 3 3 2 2 4" xfId="13998"/>
    <cellStyle name="표준 218 2 2 3 3 2 2 4 2" xfId="30702"/>
    <cellStyle name="표준 218 2 2 3 3 2 2 5" xfId="19566"/>
    <cellStyle name="표준 218 2 2 3 3 2 3" xfId="4254"/>
    <cellStyle name="표준 218 2 2 3 3 2 3 2" xfId="9822"/>
    <cellStyle name="표준 218 2 2 3 3 2 3 2 2" xfId="26526"/>
    <cellStyle name="표준 218 2 2 3 3 2 3 3" xfId="15390"/>
    <cellStyle name="표준 218 2 2 3 3 2 3 3 2" xfId="32094"/>
    <cellStyle name="표준 218 2 2 3 3 2 3 4" xfId="20958"/>
    <cellStyle name="표준 218 2 2 3 3 2 4" xfId="7038"/>
    <cellStyle name="표준 218 2 2 3 3 2 4 2" xfId="23742"/>
    <cellStyle name="표준 218 2 2 3 3 2 5" xfId="12606"/>
    <cellStyle name="표준 218 2 2 3 3 2 5 2" xfId="29310"/>
    <cellStyle name="표준 218 2 2 3 3 2 6" xfId="18174"/>
    <cellStyle name="표준 218 2 2 3 3 3" xfId="2166"/>
    <cellStyle name="표준 218 2 2 3 3 3 2" xfId="4950"/>
    <cellStyle name="표준 218 2 2 3 3 3 2 2" xfId="10518"/>
    <cellStyle name="표준 218 2 2 3 3 3 2 2 2" xfId="27222"/>
    <cellStyle name="표준 218 2 2 3 3 3 2 3" xfId="16086"/>
    <cellStyle name="표준 218 2 2 3 3 3 2 3 2" xfId="32790"/>
    <cellStyle name="표준 218 2 2 3 3 3 2 4" xfId="21654"/>
    <cellStyle name="표준 218 2 2 3 3 3 3" xfId="7734"/>
    <cellStyle name="표준 218 2 2 3 3 3 3 2" xfId="24438"/>
    <cellStyle name="표준 218 2 2 3 3 3 4" xfId="13302"/>
    <cellStyle name="표준 218 2 2 3 3 3 4 2" xfId="30006"/>
    <cellStyle name="표준 218 2 2 3 3 3 5" xfId="18870"/>
    <cellStyle name="표준 218 2 2 3 3 4" xfId="3558"/>
    <cellStyle name="표준 218 2 2 3 3 4 2" xfId="9126"/>
    <cellStyle name="표준 218 2 2 3 3 4 2 2" xfId="25830"/>
    <cellStyle name="표준 218 2 2 3 3 4 3" xfId="14694"/>
    <cellStyle name="표준 218 2 2 3 3 4 3 2" xfId="31398"/>
    <cellStyle name="표준 218 2 2 3 3 4 4" xfId="20262"/>
    <cellStyle name="표준 218 2 2 3 3 5" xfId="6342"/>
    <cellStyle name="표준 218 2 2 3 3 5 2" xfId="23046"/>
    <cellStyle name="표준 218 2 2 3 3 6" xfId="11910"/>
    <cellStyle name="표준 218 2 2 3 3 6 2" xfId="28614"/>
    <cellStyle name="표준 218 2 2 3 3 7" xfId="17478"/>
    <cellStyle name="표준 218 2 2 3 4" xfId="1006"/>
    <cellStyle name="표준 218 2 2 3 4 2" xfId="2398"/>
    <cellStyle name="표준 218 2 2 3 4 2 2" xfId="5182"/>
    <cellStyle name="표준 218 2 2 3 4 2 2 2" xfId="10750"/>
    <cellStyle name="표준 218 2 2 3 4 2 2 2 2" xfId="27454"/>
    <cellStyle name="표준 218 2 2 3 4 2 2 3" xfId="16318"/>
    <cellStyle name="표준 218 2 2 3 4 2 2 3 2" xfId="33022"/>
    <cellStyle name="표준 218 2 2 3 4 2 2 4" xfId="21886"/>
    <cellStyle name="표준 218 2 2 3 4 2 3" xfId="7966"/>
    <cellStyle name="표준 218 2 2 3 4 2 3 2" xfId="24670"/>
    <cellStyle name="표준 218 2 2 3 4 2 4" xfId="13534"/>
    <cellStyle name="표준 218 2 2 3 4 2 4 2" xfId="30238"/>
    <cellStyle name="표준 218 2 2 3 4 2 5" xfId="19102"/>
    <cellStyle name="표준 218 2 2 3 4 3" xfId="3790"/>
    <cellStyle name="표준 218 2 2 3 4 3 2" xfId="9358"/>
    <cellStyle name="표준 218 2 2 3 4 3 2 2" xfId="26062"/>
    <cellStyle name="표준 218 2 2 3 4 3 3" xfId="14926"/>
    <cellStyle name="표준 218 2 2 3 4 3 3 2" xfId="31630"/>
    <cellStyle name="표준 218 2 2 3 4 3 4" xfId="20494"/>
    <cellStyle name="표준 218 2 2 3 4 4" xfId="6574"/>
    <cellStyle name="표준 218 2 2 3 4 4 2" xfId="23278"/>
    <cellStyle name="표준 218 2 2 3 4 5" xfId="12142"/>
    <cellStyle name="표준 218 2 2 3 4 5 2" xfId="28846"/>
    <cellStyle name="표준 218 2 2 3 4 6" xfId="17710"/>
    <cellStyle name="표준 218 2 2 3 5" xfId="1702"/>
    <cellStyle name="표준 218 2 2 3 5 2" xfId="4486"/>
    <cellStyle name="표준 218 2 2 3 5 2 2" xfId="10054"/>
    <cellStyle name="표준 218 2 2 3 5 2 2 2" xfId="26758"/>
    <cellStyle name="표준 218 2 2 3 5 2 3" xfId="15622"/>
    <cellStyle name="표준 218 2 2 3 5 2 3 2" xfId="32326"/>
    <cellStyle name="표준 218 2 2 3 5 2 4" xfId="21190"/>
    <cellStyle name="표준 218 2 2 3 5 3" xfId="7270"/>
    <cellStyle name="표준 218 2 2 3 5 3 2" xfId="23974"/>
    <cellStyle name="표준 218 2 2 3 5 4" xfId="12838"/>
    <cellStyle name="표준 218 2 2 3 5 4 2" xfId="29542"/>
    <cellStyle name="표준 218 2 2 3 5 5" xfId="18406"/>
    <cellStyle name="표준 218 2 2 3 6" xfId="3094"/>
    <cellStyle name="표준 218 2 2 3 6 2" xfId="8662"/>
    <cellStyle name="표준 218 2 2 3 6 2 2" xfId="25366"/>
    <cellStyle name="표준 218 2 2 3 6 3" xfId="14230"/>
    <cellStyle name="표준 218 2 2 3 6 3 2" xfId="30934"/>
    <cellStyle name="표준 218 2 2 3 6 4" xfId="19798"/>
    <cellStyle name="표준 218 2 2 3 7" xfId="5878"/>
    <cellStyle name="표준 218 2 2 3 7 2" xfId="22582"/>
    <cellStyle name="표준 218 2 2 3 8" xfId="11446"/>
    <cellStyle name="표준 218 2 2 3 8 2" xfId="28150"/>
    <cellStyle name="표준 218 2 2 3 9" xfId="17014"/>
    <cellStyle name="표준 218 2 2 4" xfId="426"/>
    <cellStyle name="표준 218 2 2 4 2" xfId="1122"/>
    <cellStyle name="표준 218 2 2 4 2 2" xfId="2514"/>
    <cellStyle name="표준 218 2 2 4 2 2 2" xfId="5298"/>
    <cellStyle name="표준 218 2 2 4 2 2 2 2" xfId="10866"/>
    <cellStyle name="표준 218 2 2 4 2 2 2 2 2" xfId="27570"/>
    <cellStyle name="표준 218 2 2 4 2 2 2 3" xfId="16434"/>
    <cellStyle name="표준 218 2 2 4 2 2 2 3 2" xfId="33138"/>
    <cellStyle name="표준 218 2 2 4 2 2 2 4" xfId="22002"/>
    <cellStyle name="표준 218 2 2 4 2 2 3" xfId="8082"/>
    <cellStyle name="표준 218 2 2 4 2 2 3 2" xfId="24786"/>
    <cellStyle name="표준 218 2 2 4 2 2 4" xfId="13650"/>
    <cellStyle name="표준 218 2 2 4 2 2 4 2" xfId="30354"/>
    <cellStyle name="표준 218 2 2 4 2 2 5" xfId="19218"/>
    <cellStyle name="표준 218 2 2 4 2 3" xfId="3906"/>
    <cellStyle name="표준 218 2 2 4 2 3 2" xfId="9474"/>
    <cellStyle name="표준 218 2 2 4 2 3 2 2" xfId="26178"/>
    <cellStyle name="표준 218 2 2 4 2 3 3" xfId="15042"/>
    <cellStyle name="표준 218 2 2 4 2 3 3 2" xfId="31746"/>
    <cellStyle name="표준 218 2 2 4 2 3 4" xfId="20610"/>
    <cellStyle name="표준 218 2 2 4 2 4" xfId="6690"/>
    <cellStyle name="표준 218 2 2 4 2 4 2" xfId="23394"/>
    <cellStyle name="표준 218 2 2 4 2 5" xfId="12258"/>
    <cellStyle name="표준 218 2 2 4 2 5 2" xfId="28962"/>
    <cellStyle name="표준 218 2 2 4 2 6" xfId="17826"/>
    <cellStyle name="표준 218 2 2 4 3" xfId="1818"/>
    <cellStyle name="표준 218 2 2 4 3 2" xfId="4602"/>
    <cellStyle name="표준 218 2 2 4 3 2 2" xfId="10170"/>
    <cellStyle name="표준 218 2 2 4 3 2 2 2" xfId="26874"/>
    <cellStyle name="표준 218 2 2 4 3 2 3" xfId="15738"/>
    <cellStyle name="표준 218 2 2 4 3 2 3 2" xfId="32442"/>
    <cellStyle name="표준 218 2 2 4 3 2 4" xfId="21306"/>
    <cellStyle name="표준 218 2 2 4 3 3" xfId="7386"/>
    <cellStyle name="표준 218 2 2 4 3 3 2" xfId="24090"/>
    <cellStyle name="표준 218 2 2 4 3 4" xfId="12954"/>
    <cellStyle name="표준 218 2 2 4 3 4 2" xfId="29658"/>
    <cellStyle name="표준 218 2 2 4 3 5" xfId="18522"/>
    <cellStyle name="표준 218 2 2 4 4" xfId="3210"/>
    <cellStyle name="표준 218 2 2 4 4 2" xfId="8778"/>
    <cellStyle name="표준 218 2 2 4 4 2 2" xfId="25482"/>
    <cellStyle name="표준 218 2 2 4 4 3" xfId="14346"/>
    <cellStyle name="표준 218 2 2 4 4 3 2" xfId="31050"/>
    <cellStyle name="표준 218 2 2 4 4 4" xfId="19914"/>
    <cellStyle name="표준 218 2 2 4 5" xfId="5994"/>
    <cellStyle name="표준 218 2 2 4 5 2" xfId="22698"/>
    <cellStyle name="표준 218 2 2 4 6" xfId="11562"/>
    <cellStyle name="표준 218 2 2 4 6 2" xfId="28266"/>
    <cellStyle name="표준 218 2 2 4 7" xfId="17130"/>
    <cellStyle name="표준 218 2 2 5" xfId="658"/>
    <cellStyle name="표준 218 2 2 5 2" xfId="1354"/>
    <cellStyle name="표준 218 2 2 5 2 2" xfId="2746"/>
    <cellStyle name="표준 218 2 2 5 2 2 2" xfId="5530"/>
    <cellStyle name="표준 218 2 2 5 2 2 2 2" xfId="11098"/>
    <cellStyle name="표준 218 2 2 5 2 2 2 2 2" xfId="27802"/>
    <cellStyle name="표준 218 2 2 5 2 2 2 3" xfId="16666"/>
    <cellStyle name="표준 218 2 2 5 2 2 2 3 2" xfId="33370"/>
    <cellStyle name="표준 218 2 2 5 2 2 2 4" xfId="22234"/>
    <cellStyle name="표준 218 2 2 5 2 2 3" xfId="8314"/>
    <cellStyle name="표준 218 2 2 5 2 2 3 2" xfId="25018"/>
    <cellStyle name="표준 218 2 2 5 2 2 4" xfId="13882"/>
    <cellStyle name="표준 218 2 2 5 2 2 4 2" xfId="30586"/>
    <cellStyle name="표준 218 2 2 5 2 2 5" xfId="19450"/>
    <cellStyle name="표준 218 2 2 5 2 3" xfId="4138"/>
    <cellStyle name="표준 218 2 2 5 2 3 2" xfId="9706"/>
    <cellStyle name="표준 218 2 2 5 2 3 2 2" xfId="26410"/>
    <cellStyle name="표준 218 2 2 5 2 3 3" xfId="15274"/>
    <cellStyle name="표준 218 2 2 5 2 3 3 2" xfId="31978"/>
    <cellStyle name="표준 218 2 2 5 2 3 4" xfId="20842"/>
    <cellStyle name="표준 218 2 2 5 2 4" xfId="6922"/>
    <cellStyle name="표준 218 2 2 5 2 4 2" xfId="23626"/>
    <cellStyle name="표준 218 2 2 5 2 5" xfId="12490"/>
    <cellStyle name="표준 218 2 2 5 2 5 2" xfId="29194"/>
    <cellStyle name="표준 218 2 2 5 2 6" xfId="18058"/>
    <cellStyle name="표준 218 2 2 5 3" xfId="2050"/>
    <cellStyle name="표준 218 2 2 5 3 2" xfId="4834"/>
    <cellStyle name="표준 218 2 2 5 3 2 2" xfId="10402"/>
    <cellStyle name="표준 218 2 2 5 3 2 2 2" xfId="27106"/>
    <cellStyle name="표준 218 2 2 5 3 2 3" xfId="15970"/>
    <cellStyle name="표준 218 2 2 5 3 2 3 2" xfId="32674"/>
    <cellStyle name="표준 218 2 2 5 3 2 4" xfId="21538"/>
    <cellStyle name="표준 218 2 2 5 3 3" xfId="7618"/>
    <cellStyle name="표준 218 2 2 5 3 3 2" xfId="24322"/>
    <cellStyle name="표준 218 2 2 5 3 4" xfId="13186"/>
    <cellStyle name="표준 218 2 2 5 3 4 2" xfId="29890"/>
    <cellStyle name="표준 218 2 2 5 3 5" xfId="18754"/>
    <cellStyle name="표준 218 2 2 5 4" xfId="3442"/>
    <cellStyle name="표준 218 2 2 5 4 2" xfId="9010"/>
    <cellStyle name="표준 218 2 2 5 4 2 2" xfId="25714"/>
    <cellStyle name="표준 218 2 2 5 4 3" xfId="14578"/>
    <cellStyle name="표준 218 2 2 5 4 3 2" xfId="31282"/>
    <cellStyle name="표준 218 2 2 5 4 4" xfId="20146"/>
    <cellStyle name="표준 218 2 2 5 5" xfId="6226"/>
    <cellStyle name="표준 218 2 2 5 5 2" xfId="22930"/>
    <cellStyle name="표준 218 2 2 5 6" xfId="11794"/>
    <cellStyle name="표준 218 2 2 5 6 2" xfId="28498"/>
    <cellStyle name="표준 218 2 2 5 7" xfId="17362"/>
    <cellStyle name="표준 218 2 2 6" xfId="890"/>
    <cellStyle name="표준 218 2 2 6 2" xfId="2282"/>
    <cellStyle name="표준 218 2 2 6 2 2" xfId="5066"/>
    <cellStyle name="표준 218 2 2 6 2 2 2" xfId="10634"/>
    <cellStyle name="표준 218 2 2 6 2 2 2 2" xfId="27338"/>
    <cellStyle name="표준 218 2 2 6 2 2 3" xfId="16202"/>
    <cellStyle name="표준 218 2 2 6 2 2 3 2" xfId="32906"/>
    <cellStyle name="표준 218 2 2 6 2 2 4" xfId="21770"/>
    <cellStyle name="표준 218 2 2 6 2 3" xfId="7850"/>
    <cellStyle name="표준 218 2 2 6 2 3 2" xfId="24554"/>
    <cellStyle name="표준 218 2 2 6 2 4" xfId="13418"/>
    <cellStyle name="표준 218 2 2 6 2 4 2" xfId="30122"/>
    <cellStyle name="표준 218 2 2 6 2 5" xfId="18986"/>
    <cellStyle name="표준 218 2 2 6 3" xfId="3674"/>
    <cellStyle name="표준 218 2 2 6 3 2" xfId="9242"/>
    <cellStyle name="표준 218 2 2 6 3 2 2" xfId="25946"/>
    <cellStyle name="표준 218 2 2 6 3 3" xfId="14810"/>
    <cellStyle name="표준 218 2 2 6 3 3 2" xfId="31514"/>
    <cellStyle name="표준 218 2 2 6 3 4" xfId="20378"/>
    <cellStyle name="표준 218 2 2 6 4" xfId="6458"/>
    <cellStyle name="표준 218 2 2 6 4 2" xfId="23162"/>
    <cellStyle name="표준 218 2 2 6 5" xfId="12026"/>
    <cellStyle name="표준 218 2 2 6 5 2" xfId="28730"/>
    <cellStyle name="표준 218 2 2 6 6" xfId="17594"/>
    <cellStyle name="표준 218 2 2 7" xfId="1586"/>
    <cellStyle name="표준 218 2 2 7 2" xfId="4370"/>
    <cellStyle name="표준 218 2 2 7 2 2" xfId="9938"/>
    <cellStyle name="표준 218 2 2 7 2 2 2" xfId="26642"/>
    <cellStyle name="표준 218 2 2 7 2 3" xfId="15506"/>
    <cellStyle name="표준 218 2 2 7 2 3 2" xfId="32210"/>
    <cellStyle name="표준 218 2 2 7 2 4" xfId="21074"/>
    <cellStyle name="표준 218 2 2 7 3" xfId="7154"/>
    <cellStyle name="표준 218 2 2 7 3 2" xfId="23858"/>
    <cellStyle name="표준 218 2 2 7 4" xfId="12722"/>
    <cellStyle name="표준 218 2 2 7 4 2" xfId="29426"/>
    <cellStyle name="표준 218 2 2 7 5" xfId="18290"/>
    <cellStyle name="표준 218 2 2 8" xfId="2978"/>
    <cellStyle name="표준 218 2 2 8 2" xfId="8546"/>
    <cellStyle name="표준 218 2 2 8 2 2" xfId="25250"/>
    <cellStyle name="표준 218 2 2 8 3" xfId="14114"/>
    <cellStyle name="표준 218 2 2 8 3 2" xfId="30818"/>
    <cellStyle name="표준 218 2 2 8 4" xfId="19682"/>
    <cellStyle name="표준 218 2 2 9" xfId="5762"/>
    <cellStyle name="표준 218 2 2 9 2" xfId="22466"/>
    <cellStyle name="표준 218 2 3" xfId="223"/>
    <cellStyle name="표준 218 2 3 10" xfId="16927"/>
    <cellStyle name="표준 218 2 3 2" xfId="339"/>
    <cellStyle name="표준 218 2 3 2 2" xfId="571"/>
    <cellStyle name="표준 218 2 3 2 2 2" xfId="1267"/>
    <cellStyle name="표준 218 2 3 2 2 2 2" xfId="2659"/>
    <cellStyle name="표준 218 2 3 2 2 2 2 2" xfId="5443"/>
    <cellStyle name="표준 218 2 3 2 2 2 2 2 2" xfId="11011"/>
    <cellStyle name="표준 218 2 3 2 2 2 2 2 2 2" xfId="27715"/>
    <cellStyle name="표준 218 2 3 2 2 2 2 2 3" xfId="16579"/>
    <cellStyle name="표준 218 2 3 2 2 2 2 2 3 2" xfId="33283"/>
    <cellStyle name="표준 218 2 3 2 2 2 2 2 4" xfId="22147"/>
    <cellStyle name="표준 218 2 3 2 2 2 2 3" xfId="8227"/>
    <cellStyle name="표준 218 2 3 2 2 2 2 3 2" xfId="24931"/>
    <cellStyle name="표준 218 2 3 2 2 2 2 4" xfId="13795"/>
    <cellStyle name="표준 218 2 3 2 2 2 2 4 2" xfId="30499"/>
    <cellStyle name="표준 218 2 3 2 2 2 2 5" xfId="19363"/>
    <cellStyle name="표준 218 2 3 2 2 2 3" xfId="4051"/>
    <cellStyle name="표준 218 2 3 2 2 2 3 2" xfId="9619"/>
    <cellStyle name="표준 218 2 3 2 2 2 3 2 2" xfId="26323"/>
    <cellStyle name="표준 218 2 3 2 2 2 3 3" xfId="15187"/>
    <cellStyle name="표준 218 2 3 2 2 2 3 3 2" xfId="31891"/>
    <cellStyle name="표준 218 2 3 2 2 2 3 4" xfId="20755"/>
    <cellStyle name="표준 218 2 3 2 2 2 4" xfId="6835"/>
    <cellStyle name="표준 218 2 3 2 2 2 4 2" xfId="23539"/>
    <cellStyle name="표준 218 2 3 2 2 2 5" xfId="12403"/>
    <cellStyle name="표준 218 2 3 2 2 2 5 2" xfId="29107"/>
    <cellStyle name="표준 218 2 3 2 2 2 6" xfId="17971"/>
    <cellStyle name="표준 218 2 3 2 2 3" xfId="1963"/>
    <cellStyle name="표준 218 2 3 2 2 3 2" xfId="4747"/>
    <cellStyle name="표준 218 2 3 2 2 3 2 2" xfId="10315"/>
    <cellStyle name="표준 218 2 3 2 2 3 2 2 2" xfId="27019"/>
    <cellStyle name="표준 218 2 3 2 2 3 2 3" xfId="15883"/>
    <cellStyle name="표준 218 2 3 2 2 3 2 3 2" xfId="32587"/>
    <cellStyle name="표준 218 2 3 2 2 3 2 4" xfId="21451"/>
    <cellStyle name="표준 218 2 3 2 2 3 3" xfId="7531"/>
    <cellStyle name="표준 218 2 3 2 2 3 3 2" xfId="24235"/>
    <cellStyle name="표준 218 2 3 2 2 3 4" xfId="13099"/>
    <cellStyle name="표준 218 2 3 2 2 3 4 2" xfId="29803"/>
    <cellStyle name="표준 218 2 3 2 2 3 5" xfId="18667"/>
    <cellStyle name="표준 218 2 3 2 2 4" xfId="3355"/>
    <cellStyle name="표준 218 2 3 2 2 4 2" xfId="8923"/>
    <cellStyle name="표준 218 2 3 2 2 4 2 2" xfId="25627"/>
    <cellStyle name="표준 218 2 3 2 2 4 3" xfId="14491"/>
    <cellStyle name="표준 218 2 3 2 2 4 3 2" xfId="31195"/>
    <cellStyle name="표준 218 2 3 2 2 4 4" xfId="20059"/>
    <cellStyle name="표준 218 2 3 2 2 5" xfId="6139"/>
    <cellStyle name="표준 218 2 3 2 2 5 2" xfId="22843"/>
    <cellStyle name="표준 218 2 3 2 2 6" xfId="11707"/>
    <cellStyle name="표준 218 2 3 2 2 6 2" xfId="28411"/>
    <cellStyle name="표준 218 2 3 2 2 7" xfId="17275"/>
    <cellStyle name="표준 218 2 3 2 3" xfId="803"/>
    <cellStyle name="표준 218 2 3 2 3 2" xfId="1499"/>
    <cellStyle name="표준 218 2 3 2 3 2 2" xfId="2891"/>
    <cellStyle name="표준 218 2 3 2 3 2 2 2" xfId="5675"/>
    <cellStyle name="표준 218 2 3 2 3 2 2 2 2" xfId="11243"/>
    <cellStyle name="표준 218 2 3 2 3 2 2 2 2 2" xfId="27947"/>
    <cellStyle name="표준 218 2 3 2 3 2 2 2 3" xfId="16811"/>
    <cellStyle name="표준 218 2 3 2 3 2 2 2 3 2" xfId="33515"/>
    <cellStyle name="표준 218 2 3 2 3 2 2 2 4" xfId="22379"/>
    <cellStyle name="표준 218 2 3 2 3 2 2 3" xfId="8459"/>
    <cellStyle name="표준 218 2 3 2 3 2 2 3 2" xfId="25163"/>
    <cellStyle name="표준 218 2 3 2 3 2 2 4" xfId="14027"/>
    <cellStyle name="표준 218 2 3 2 3 2 2 4 2" xfId="30731"/>
    <cellStyle name="표준 218 2 3 2 3 2 2 5" xfId="19595"/>
    <cellStyle name="표준 218 2 3 2 3 2 3" xfId="4283"/>
    <cellStyle name="표준 218 2 3 2 3 2 3 2" xfId="9851"/>
    <cellStyle name="표준 218 2 3 2 3 2 3 2 2" xfId="26555"/>
    <cellStyle name="표준 218 2 3 2 3 2 3 3" xfId="15419"/>
    <cellStyle name="표준 218 2 3 2 3 2 3 3 2" xfId="32123"/>
    <cellStyle name="표준 218 2 3 2 3 2 3 4" xfId="20987"/>
    <cellStyle name="표준 218 2 3 2 3 2 4" xfId="7067"/>
    <cellStyle name="표준 218 2 3 2 3 2 4 2" xfId="23771"/>
    <cellStyle name="표준 218 2 3 2 3 2 5" xfId="12635"/>
    <cellStyle name="표준 218 2 3 2 3 2 5 2" xfId="29339"/>
    <cellStyle name="표준 218 2 3 2 3 2 6" xfId="18203"/>
    <cellStyle name="표준 218 2 3 2 3 3" xfId="2195"/>
    <cellStyle name="표준 218 2 3 2 3 3 2" xfId="4979"/>
    <cellStyle name="표준 218 2 3 2 3 3 2 2" xfId="10547"/>
    <cellStyle name="표준 218 2 3 2 3 3 2 2 2" xfId="27251"/>
    <cellStyle name="표준 218 2 3 2 3 3 2 3" xfId="16115"/>
    <cellStyle name="표준 218 2 3 2 3 3 2 3 2" xfId="32819"/>
    <cellStyle name="표준 218 2 3 2 3 3 2 4" xfId="21683"/>
    <cellStyle name="표준 218 2 3 2 3 3 3" xfId="7763"/>
    <cellStyle name="표준 218 2 3 2 3 3 3 2" xfId="24467"/>
    <cellStyle name="표준 218 2 3 2 3 3 4" xfId="13331"/>
    <cellStyle name="표준 218 2 3 2 3 3 4 2" xfId="30035"/>
    <cellStyle name="표준 218 2 3 2 3 3 5" xfId="18899"/>
    <cellStyle name="표준 218 2 3 2 3 4" xfId="3587"/>
    <cellStyle name="표준 218 2 3 2 3 4 2" xfId="9155"/>
    <cellStyle name="표준 218 2 3 2 3 4 2 2" xfId="25859"/>
    <cellStyle name="표준 218 2 3 2 3 4 3" xfId="14723"/>
    <cellStyle name="표준 218 2 3 2 3 4 3 2" xfId="31427"/>
    <cellStyle name="표준 218 2 3 2 3 4 4" xfId="20291"/>
    <cellStyle name="표준 218 2 3 2 3 5" xfId="6371"/>
    <cellStyle name="표준 218 2 3 2 3 5 2" xfId="23075"/>
    <cellStyle name="표준 218 2 3 2 3 6" xfId="11939"/>
    <cellStyle name="표준 218 2 3 2 3 6 2" xfId="28643"/>
    <cellStyle name="표준 218 2 3 2 3 7" xfId="17507"/>
    <cellStyle name="표준 218 2 3 2 4" xfId="1035"/>
    <cellStyle name="표준 218 2 3 2 4 2" xfId="2427"/>
    <cellStyle name="표준 218 2 3 2 4 2 2" xfId="5211"/>
    <cellStyle name="표준 218 2 3 2 4 2 2 2" xfId="10779"/>
    <cellStyle name="표준 218 2 3 2 4 2 2 2 2" xfId="27483"/>
    <cellStyle name="표준 218 2 3 2 4 2 2 3" xfId="16347"/>
    <cellStyle name="표준 218 2 3 2 4 2 2 3 2" xfId="33051"/>
    <cellStyle name="표준 218 2 3 2 4 2 2 4" xfId="21915"/>
    <cellStyle name="표준 218 2 3 2 4 2 3" xfId="7995"/>
    <cellStyle name="표준 218 2 3 2 4 2 3 2" xfId="24699"/>
    <cellStyle name="표준 218 2 3 2 4 2 4" xfId="13563"/>
    <cellStyle name="표준 218 2 3 2 4 2 4 2" xfId="30267"/>
    <cellStyle name="표준 218 2 3 2 4 2 5" xfId="19131"/>
    <cellStyle name="표준 218 2 3 2 4 3" xfId="3819"/>
    <cellStyle name="표준 218 2 3 2 4 3 2" xfId="9387"/>
    <cellStyle name="표준 218 2 3 2 4 3 2 2" xfId="26091"/>
    <cellStyle name="표준 218 2 3 2 4 3 3" xfId="14955"/>
    <cellStyle name="표준 218 2 3 2 4 3 3 2" xfId="31659"/>
    <cellStyle name="표준 218 2 3 2 4 3 4" xfId="20523"/>
    <cellStyle name="표준 218 2 3 2 4 4" xfId="6603"/>
    <cellStyle name="표준 218 2 3 2 4 4 2" xfId="23307"/>
    <cellStyle name="표준 218 2 3 2 4 5" xfId="12171"/>
    <cellStyle name="표준 218 2 3 2 4 5 2" xfId="28875"/>
    <cellStyle name="표준 218 2 3 2 4 6" xfId="17739"/>
    <cellStyle name="표준 218 2 3 2 5" xfId="1731"/>
    <cellStyle name="표준 218 2 3 2 5 2" xfId="4515"/>
    <cellStyle name="표준 218 2 3 2 5 2 2" xfId="10083"/>
    <cellStyle name="표준 218 2 3 2 5 2 2 2" xfId="26787"/>
    <cellStyle name="표준 218 2 3 2 5 2 3" xfId="15651"/>
    <cellStyle name="표준 218 2 3 2 5 2 3 2" xfId="32355"/>
    <cellStyle name="표준 218 2 3 2 5 2 4" xfId="21219"/>
    <cellStyle name="표준 218 2 3 2 5 3" xfId="7299"/>
    <cellStyle name="표준 218 2 3 2 5 3 2" xfId="24003"/>
    <cellStyle name="표준 218 2 3 2 5 4" xfId="12867"/>
    <cellStyle name="표준 218 2 3 2 5 4 2" xfId="29571"/>
    <cellStyle name="표준 218 2 3 2 5 5" xfId="18435"/>
    <cellStyle name="표준 218 2 3 2 6" xfId="3123"/>
    <cellStyle name="표준 218 2 3 2 6 2" xfId="8691"/>
    <cellStyle name="표준 218 2 3 2 6 2 2" xfId="25395"/>
    <cellStyle name="표준 218 2 3 2 6 3" xfId="14259"/>
    <cellStyle name="표준 218 2 3 2 6 3 2" xfId="30963"/>
    <cellStyle name="표준 218 2 3 2 6 4" xfId="19827"/>
    <cellStyle name="표준 218 2 3 2 7" xfId="5907"/>
    <cellStyle name="표준 218 2 3 2 7 2" xfId="22611"/>
    <cellStyle name="표준 218 2 3 2 8" xfId="11475"/>
    <cellStyle name="표준 218 2 3 2 8 2" xfId="28179"/>
    <cellStyle name="표준 218 2 3 2 9" xfId="17043"/>
    <cellStyle name="표준 218 2 3 3" xfId="455"/>
    <cellStyle name="표준 218 2 3 3 2" xfId="1151"/>
    <cellStyle name="표준 218 2 3 3 2 2" xfId="2543"/>
    <cellStyle name="표준 218 2 3 3 2 2 2" xfId="5327"/>
    <cellStyle name="표준 218 2 3 3 2 2 2 2" xfId="10895"/>
    <cellStyle name="표준 218 2 3 3 2 2 2 2 2" xfId="27599"/>
    <cellStyle name="표준 218 2 3 3 2 2 2 3" xfId="16463"/>
    <cellStyle name="표준 218 2 3 3 2 2 2 3 2" xfId="33167"/>
    <cellStyle name="표준 218 2 3 3 2 2 2 4" xfId="22031"/>
    <cellStyle name="표준 218 2 3 3 2 2 3" xfId="8111"/>
    <cellStyle name="표준 218 2 3 3 2 2 3 2" xfId="24815"/>
    <cellStyle name="표준 218 2 3 3 2 2 4" xfId="13679"/>
    <cellStyle name="표준 218 2 3 3 2 2 4 2" xfId="30383"/>
    <cellStyle name="표준 218 2 3 3 2 2 5" xfId="19247"/>
    <cellStyle name="표준 218 2 3 3 2 3" xfId="3935"/>
    <cellStyle name="표준 218 2 3 3 2 3 2" xfId="9503"/>
    <cellStyle name="표준 218 2 3 3 2 3 2 2" xfId="26207"/>
    <cellStyle name="표준 218 2 3 3 2 3 3" xfId="15071"/>
    <cellStyle name="표준 218 2 3 3 2 3 3 2" xfId="31775"/>
    <cellStyle name="표준 218 2 3 3 2 3 4" xfId="20639"/>
    <cellStyle name="표준 218 2 3 3 2 4" xfId="6719"/>
    <cellStyle name="표준 218 2 3 3 2 4 2" xfId="23423"/>
    <cellStyle name="표준 218 2 3 3 2 5" xfId="12287"/>
    <cellStyle name="표준 218 2 3 3 2 5 2" xfId="28991"/>
    <cellStyle name="표준 218 2 3 3 2 6" xfId="17855"/>
    <cellStyle name="표준 218 2 3 3 3" xfId="1847"/>
    <cellStyle name="표준 218 2 3 3 3 2" xfId="4631"/>
    <cellStyle name="표준 218 2 3 3 3 2 2" xfId="10199"/>
    <cellStyle name="표준 218 2 3 3 3 2 2 2" xfId="26903"/>
    <cellStyle name="표준 218 2 3 3 3 2 3" xfId="15767"/>
    <cellStyle name="표준 218 2 3 3 3 2 3 2" xfId="32471"/>
    <cellStyle name="표준 218 2 3 3 3 2 4" xfId="21335"/>
    <cellStyle name="표준 218 2 3 3 3 3" xfId="7415"/>
    <cellStyle name="표준 218 2 3 3 3 3 2" xfId="24119"/>
    <cellStyle name="표준 218 2 3 3 3 4" xfId="12983"/>
    <cellStyle name="표준 218 2 3 3 3 4 2" xfId="29687"/>
    <cellStyle name="표준 218 2 3 3 3 5" xfId="18551"/>
    <cellStyle name="표준 218 2 3 3 4" xfId="3239"/>
    <cellStyle name="표준 218 2 3 3 4 2" xfId="8807"/>
    <cellStyle name="표준 218 2 3 3 4 2 2" xfId="25511"/>
    <cellStyle name="표준 218 2 3 3 4 3" xfId="14375"/>
    <cellStyle name="표준 218 2 3 3 4 3 2" xfId="31079"/>
    <cellStyle name="표준 218 2 3 3 4 4" xfId="19943"/>
    <cellStyle name="표준 218 2 3 3 5" xfId="6023"/>
    <cellStyle name="표준 218 2 3 3 5 2" xfId="22727"/>
    <cellStyle name="표준 218 2 3 3 6" xfId="11591"/>
    <cellStyle name="표준 218 2 3 3 6 2" xfId="28295"/>
    <cellStyle name="표준 218 2 3 3 7" xfId="17159"/>
    <cellStyle name="표준 218 2 3 4" xfId="687"/>
    <cellStyle name="표준 218 2 3 4 2" xfId="1383"/>
    <cellStyle name="표준 218 2 3 4 2 2" xfId="2775"/>
    <cellStyle name="표준 218 2 3 4 2 2 2" xfId="5559"/>
    <cellStyle name="표준 218 2 3 4 2 2 2 2" xfId="11127"/>
    <cellStyle name="표준 218 2 3 4 2 2 2 2 2" xfId="27831"/>
    <cellStyle name="표준 218 2 3 4 2 2 2 3" xfId="16695"/>
    <cellStyle name="표준 218 2 3 4 2 2 2 3 2" xfId="33399"/>
    <cellStyle name="표준 218 2 3 4 2 2 2 4" xfId="22263"/>
    <cellStyle name="표준 218 2 3 4 2 2 3" xfId="8343"/>
    <cellStyle name="표준 218 2 3 4 2 2 3 2" xfId="25047"/>
    <cellStyle name="표준 218 2 3 4 2 2 4" xfId="13911"/>
    <cellStyle name="표준 218 2 3 4 2 2 4 2" xfId="30615"/>
    <cellStyle name="표준 218 2 3 4 2 2 5" xfId="19479"/>
    <cellStyle name="표준 218 2 3 4 2 3" xfId="4167"/>
    <cellStyle name="표준 218 2 3 4 2 3 2" xfId="9735"/>
    <cellStyle name="표준 218 2 3 4 2 3 2 2" xfId="26439"/>
    <cellStyle name="표준 218 2 3 4 2 3 3" xfId="15303"/>
    <cellStyle name="표준 218 2 3 4 2 3 3 2" xfId="32007"/>
    <cellStyle name="표준 218 2 3 4 2 3 4" xfId="20871"/>
    <cellStyle name="표준 218 2 3 4 2 4" xfId="6951"/>
    <cellStyle name="표준 218 2 3 4 2 4 2" xfId="23655"/>
    <cellStyle name="표준 218 2 3 4 2 5" xfId="12519"/>
    <cellStyle name="표준 218 2 3 4 2 5 2" xfId="29223"/>
    <cellStyle name="표준 218 2 3 4 2 6" xfId="18087"/>
    <cellStyle name="표준 218 2 3 4 3" xfId="2079"/>
    <cellStyle name="표준 218 2 3 4 3 2" xfId="4863"/>
    <cellStyle name="표준 218 2 3 4 3 2 2" xfId="10431"/>
    <cellStyle name="표준 218 2 3 4 3 2 2 2" xfId="27135"/>
    <cellStyle name="표준 218 2 3 4 3 2 3" xfId="15999"/>
    <cellStyle name="표준 218 2 3 4 3 2 3 2" xfId="32703"/>
    <cellStyle name="표준 218 2 3 4 3 2 4" xfId="21567"/>
    <cellStyle name="표준 218 2 3 4 3 3" xfId="7647"/>
    <cellStyle name="표준 218 2 3 4 3 3 2" xfId="24351"/>
    <cellStyle name="표준 218 2 3 4 3 4" xfId="13215"/>
    <cellStyle name="표준 218 2 3 4 3 4 2" xfId="29919"/>
    <cellStyle name="표준 218 2 3 4 3 5" xfId="18783"/>
    <cellStyle name="표준 218 2 3 4 4" xfId="3471"/>
    <cellStyle name="표준 218 2 3 4 4 2" xfId="9039"/>
    <cellStyle name="표준 218 2 3 4 4 2 2" xfId="25743"/>
    <cellStyle name="표준 218 2 3 4 4 3" xfId="14607"/>
    <cellStyle name="표준 218 2 3 4 4 3 2" xfId="31311"/>
    <cellStyle name="표준 218 2 3 4 4 4" xfId="20175"/>
    <cellStyle name="표준 218 2 3 4 5" xfId="6255"/>
    <cellStyle name="표준 218 2 3 4 5 2" xfId="22959"/>
    <cellStyle name="표준 218 2 3 4 6" xfId="11823"/>
    <cellStyle name="표준 218 2 3 4 6 2" xfId="28527"/>
    <cellStyle name="표준 218 2 3 4 7" xfId="17391"/>
    <cellStyle name="표준 218 2 3 5" xfId="919"/>
    <cellStyle name="표준 218 2 3 5 2" xfId="2311"/>
    <cellStyle name="표준 218 2 3 5 2 2" xfId="5095"/>
    <cellStyle name="표준 218 2 3 5 2 2 2" xfId="10663"/>
    <cellStyle name="표준 218 2 3 5 2 2 2 2" xfId="27367"/>
    <cellStyle name="표준 218 2 3 5 2 2 3" xfId="16231"/>
    <cellStyle name="표준 218 2 3 5 2 2 3 2" xfId="32935"/>
    <cellStyle name="표준 218 2 3 5 2 2 4" xfId="21799"/>
    <cellStyle name="표준 218 2 3 5 2 3" xfId="7879"/>
    <cellStyle name="표준 218 2 3 5 2 3 2" xfId="24583"/>
    <cellStyle name="표준 218 2 3 5 2 4" xfId="13447"/>
    <cellStyle name="표준 218 2 3 5 2 4 2" xfId="30151"/>
    <cellStyle name="표준 218 2 3 5 2 5" xfId="19015"/>
    <cellStyle name="표준 218 2 3 5 3" xfId="3703"/>
    <cellStyle name="표준 218 2 3 5 3 2" xfId="9271"/>
    <cellStyle name="표준 218 2 3 5 3 2 2" xfId="25975"/>
    <cellStyle name="표준 218 2 3 5 3 3" xfId="14839"/>
    <cellStyle name="표준 218 2 3 5 3 3 2" xfId="31543"/>
    <cellStyle name="표준 218 2 3 5 3 4" xfId="20407"/>
    <cellStyle name="표준 218 2 3 5 4" xfId="6487"/>
    <cellStyle name="표준 218 2 3 5 4 2" xfId="23191"/>
    <cellStyle name="표준 218 2 3 5 5" xfId="12055"/>
    <cellStyle name="표준 218 2 3 5 5 2" xfId="28759"/>
    <cellStyle name="표준 218 2 3 5 6" xfId="17623"/>
    <cellStyle name="표준 218 2 3 6" xfId="1615"/>
    <cellStyle name="표준 218 2 3 6 2" xfId="4399"/>
    <cellStyle name="표준 218 2 3 6 2 2" xfId="9967"/>
    <cellStyle name="표준 218 2 3 6 2 2 2" xfId="26671"/>
    <cellStyle name="표준 218 2 3 6 2 3" xfId="15535"/>
    <cellStyle name="표준 218 2 3 6 2 3 2" xfId="32239"/>
    <cellStyle name="표준 218 2 3 6 2 4" xfId="21103"/>
    <cellStyle name="표준 218 2 3 6 3" xfId="7183"/>
    <cellStyle name="표준 218 2 3 6 3 2" xfId="23887"/>
    <cellStyle name="표준 218 2 3 6 4" xfId="12751"/>
    <cellStyle name="표준 218 2 3 6 4 2" xfId="29455"/>
    <cellStyle name="표준 218 2 3 6 5" xfId="18319"/>
    <cellStyle name="표준 218 2 3 7" xfId="3007"/>
    <cellStyle name="표준 218 2 3 7 2" xfId="8575"/>
    <cellStyle name="표준 218 2 3 7 2 2" xfId="25279"/>
    <cellStyle name="표준 218 2 3 7 3" xfId="14143"/>
    <cellStyle name="표준 218 2 3 7 3 2" xfId="30847"/>
    <cellStyle name="표준 218 2 3 7 4" xfId="19711"/>
    <cellStyle name="표준 218 2 3 8" xfId="5791"/>
    <cellStyle name="표준 218 2 3 8 2" xfId="22495"/>
    <cellStyle name="표준 218 2 3 9" xfId="11359"/>
    <cellStyle name="표준 218 2 3 9 2" xfId="28063"/>
    <cellStyle name="표준 218 2 4" xfId="281"/>
    <cellStyle name="표준 218 2 4 2" xfId="513"/>
    <cellStyle name="표준 218 2 4 2 2" xfId="1209"/>
    <cellStyle name="표준 218 2 4 2 2 2" xfId="2601"/>
    <cellStyle name="표준 218 2 4 2 2 2 2" xfId="5385"/>
    <cellStyle name="표준 218 2 4 2 2 2 2 2" xfId="10953"/>
    <cellStyle name="표준 218 2 4 2 2 2 2 2 2" xfId="27657"/>
    <cellStyle name="표준 218 2 4 2 2 2 2 3" xfId="16521"/>
    <cellStyle name="표준 218 2 4 2 2 2 2 3 2" xfId="33225"/>
    <cellStyle name="표준 218 2 4 2 2 2 2 4" xfId="22089"/>
    <cellStyle name="표준 218 2 4 2 2 2 3" xfId="8169"/>
    <cellStyle name="표준 218 2 4 2 2 2 3 2" xfId="24873"/>
    <cellStyle name="표준 218 2 4 2 2 2 4" xfId="13737"/>
    <cellStyle name="표준 218 2 4 2 2 2 4 2" xfId="30441"/>
    <cellStyle name="표준 218 2 4 2 2 2 5" xfId="19305"/>
    <cellStyle name="표준 218 2 4 2 2 3" xfId="3993"/>
    <cellStyle name="표준 218 2 4 2 2 3 2" xfId="9561"/>
    <cellStyle name="표준 218 2 4 2 2 3 2 2" xfId="26265"/>
    <cellStyle name="표준 218 2 4 2 2 3 3" xfId="15129"/>
    <cellStyle name="표준 218 2 4 2 2 3 3 2" xfId="31833"/>
    <cellStyle name="표준 218 2 4 2 2 3 4" xfId="20697"/>
    <cellStyle name="표준 218 2 4 2 2 4" xfId="6777"/>
    <cellStyle name="표준 218 2 4 2 2 4 2" xfId="23481"/>
    <cellStyle name="표준 218 2 4 2 2 5" xfId="12345"/>
    <cellStyle name="표준 218 2 4 2 2 5 2" xfId="29049"/>
    <cellStyle name="표준 218 2 4 2 2 6" xfId="17913"/>
    <cellStyle name="표준 218 2 4 2 3" xfId="1905"/>
    <cellStyle name="표준 218 2 4 2 3 2" xfId="4689"/>
    <cellStyle name="표준 218 2 4 2 3 2 2" xfId="10257"/>
    <cellStyle name="표준 218 2 4 2 3 2 2 2" xfId="26961"/>
    <cellStyle name="표준 218 2 4 2 3 2 3" xfId="15825"/>
    <cellStyle name="표준 218 2 4 2 3 2 3 2" xfId="32529"/>
    <cellStyle name="표준 218 2 4 2 3 2 4" xfId="21393"/>
    <cellStyle name="표준 218 2 4 2 3 3" xfId="7473"/>
    <cellStyle name="표준 218 2 4 2 3 3 2" xfId="24177"/>
    <cellStyle name="표준 218 2 4 2 3 4" xfId="13041"/>
    <cellStyle name="표준 218 2 4 2 3 4 2" xfId="29745"/>
    <cellStyle name="표준 218 2 4 2 3 5" xfId="18609"/>
    <cellStyle name="표준 218 2 4 2 4" xfId="3297"/>
    <cellStyle name="표준 218 2 4 2 4 2" xfId="8865"/>
    <cellStyle name="표준 218 2 4 2 4 2 2" xfId="25569"/>
    <cellStyle name="표준 218 2 4 2 4 3" xfId="14433"/>
    <cellStyle name="표준 218 2 4 2 4 3 2" xfId="31137"/>
    <cellStyle name="표준 218 2 4 2 4 4" xfId="20001"/>
    <cellStyle name="표준 218 2 4 2 5" xfId="6081"/>
    <cellStyle name="표준 218 2 4 2 5 2" xfId="22785"/>
    <cellStyle name="표준 218 2 4 2 6" xfId="11649"/>
    <cellStyle name="표준 218 2 4 2 6 2" xfId="28353"/>
    <cellStyle name="표준 218 2 4 2 7" xfId="17217"/>
    <cellStyle name="표준 218 2 4 3" xfId="745"/>
    <cellStyle name="표준 218 2 4 3 2" xfId="1441"/>
    <cellStyle name="표준 218 2 4 3 2 2" xfId="2833"/>
    <cellStyle name="표준 218 2 4 3 2 2 2" xfId="5617"/>
    <cellStyle name="표준 218 2 4 3 2 2 2 2" xfId="11185"/>
    <cellStyle name="표준 218 2 4 3 2 2 2 2 2" xfId="27889"/>
    <cellStyle name="표준 218 2 4 3 2 2 2 3" xfId="16753"/>
    <cellStyle name="표준 218 2 4 3 2 2 2 3 2" xfId="33457"/>
    <cellStyle name="표준 218 2 4 3 2 2 2 4" xfId="22321"/>
    <cellStyle name="표준 218 2 4 3 2 2 3" xfId="8401"/>
    <cellStyle name="표준 218 2 4 3 2 2 3 2" xfId="25105"/>
    <cellStyle name="표준 218 2 4 3 2 2 4" xfId="13969"/>
    <cellStyle name="표준 218 2 4 3 2 2 4 2" xfId="30673"/>
    <cellStyle name="표준 218 2 4 3 2 2 5" xfId="19537"/>
    <cellStyle name="표준 218 2 4 3 2 3" xfId="4225"/>
    <cellStyle name="표준 218 2 4 3 2 3 2" xfId="9793"/>
    <cellStyle name="표준 218 2 4 3 2 3 2 2" xfId="26497"/>
    <cellStyle name="표준 218 2 4 3 2 3 3" xfId="15361"/>
    <cellStyle name="표준 218 2 4 3 2 3 3 2" xfId="32065"/>
    <cellStyle name="표준 218 2 4 3 2 3 4" xfId="20929"/>
    <cellStyle name="표준 218 2 4 3 2 4" xfId="7009"/>
    <cellStyle name="표준 218 2 4 3 2 4 2" xfId="23713"/>
    <cellStyle name="표준 218 2 4 3 2 5" xfId="12577"/>
    <cellStyle name="표준 218 2 4 3 2 5 2" xfId="29281"/>
    <cellStyle name="표준 218 2 4 3 2 6" xfId="18145"/>
    <cellStyle name="표준 218 2 4 3 3" xfId="2137"/>
    <cellStyle name="표준 218 2 4 3 3 2" xfId="4921"/>
    <cellStyle name="표준 218 2 4 3 3 2 2" xfId="10489"/>
    <cellStyle name="표준 218 2 4 3 3 2 2 2" xfId="27193"/>
    <cellStyle name="표준 218 2 4 3 3 2 3" xfId="16057"/>
    <cellStyle name="표준 218 2 4 3 3 2 3 2" xfId="32761"/>
    <cellStyle name="표준 218 2 4 3 3 2 4" xfId="21625"/>
    <cellStyle name="표준 218 2 4 3 3 3" xfId="7705"/>
    <cellStyle name="표준 218 2 4 3 3 3 2" xfId="24409"/>
    <cellStyle name="표준 218 2 4 3 3 4" xfId="13273"/>
    <cellStyle name="표준 218 2 4 3 3 4 2" xfId="29977"/>
    <cellStyle name="표준 218 2 4 3 3 5" xfId="18841"/>
    <cellStyle name="표준 218 2 4 3 4" xfId="3529"/>
    <cellStyle name="표준 218 2 4 3 4 2" xfId="9097"/>
    <cellStyle name="표준 218 2 4 3 4 2 2" xfId="25801"/>
    <cellStyle name="표준 218 2 4 3 4 3" xfId="14665"/>
    <cellStyle name="표준 218 2 4 3 4 3 2" xfId="31369"/>
    <cellStyle name="표준 218 2 4 3 4 4" xfId="20233"/>
    <cellStyle name="표준 218 2 4 3 5" xfId="6313"/>
    <cellStyle name="표준 218 2 4 3 5 2" xfId="23017"/>
    <cellStyle name="표준 218 2 4 3 6" xfId="11881"/>
    <cellStyle name="표준 218 2 4 3 6 2" xfId="28585"/>
    <cellStyle name="표준 218 2 4 3 7" xfId="17449"/>
    <cellStyle name="표준 218 2 4 4" xfId="977"/>
    <cellStyle name="표준 218 2 4 4 2" xfId="2369"/>
    <cellStyle name="표준 218 2 4 4 2 2" xfId="5153"/>
    <cellStyle name="표준 218 2 4 4 2 2 2" xfId="10721"/>
    <cellStyle name="표준 218 2 4 4 2 2 2 2" xfId="27425"/>
    <cellStyle name="표준 218 2 4 4 2 2 3" xfId="16289"/>
    <cellStyle name="표준 218 2 4 4 2 2 3 2" xfId="32993"/>
    <cellStyle name="표준 218 2 4 4 2 2 4" xfId="21857"/>
    <cellStyle name="표준 218 2 4 4 2 3" xfId="7937"/>
    <cellStyle name="표준 218 2 4 4 2 3 2" xfId="24641"/>
    <cellStyle name="표준 218 2 4 4 2 4" xfId="13505"/>
    <cellStyle name="표준 218 2 4 4 2 4 2" xfId="30209"/>
    <cellStyle name="표준 218 2 4 4 2 5" xfId="19073"/>
    <cellStyle name="표준 218 2 4 4 3" xfId="3761"/>
    <cellStyle name="표준 218 2 4 4 3 2" xfId="9329"/>
    <cellStyle name="표준 218 2 4 4 3 2 2" xfId="26033"/>
    <cellStyle name="표준 218 2 4 4 3 3" xfId="14897"/>
    <cellStyle name="표준 218 2 4 4 3 3 2" xfId="31601"/>
    <cellStyle name="표준 218 2 4 4 3 4" xfId="20465"/>
    <cellStyle name="표준 218 2 4 4 4" xfId="6545"/>
    <cellStyle name="표준 218 2 4 4 4 2" xfId="23249"/>
    <cellStyle name="표준 218 2 4 4 5" xfId="12113"/>
    <cellStyle name="표준 218 2 4 4 5 2" xfId="28817"/>
    <cellStyle name="표준 218 2 4 4 6" xfId="17681"/>
    <cellStyle name="표준 218 2 4 5" xfId="1673"/>
    <cellStyle name="표준 218 2 4 5 2" xfId="4457"/>
    <cellStyle name="표준 218 2 4 5 2 2" xfId="10025"/>
    <cellStyle name="표준 218 2 4 5 2 2 2" xfId="26729"/>
    <cellStyle name="표준 218 2 4 5 2 3" xfId="15593"/>
    <cellStyle name="표준 218 2 4 5 2 3 2" xfId="32297"/>
    <cellStyle name="표준 218 2 4 5 2 4" xfId="21161"/>
    <cellStyle name="표준 218 2 4 5 3" xfId="7241"/>
    <cellStyle name="표준 218 2 4 5 3 2" xfId="23945"/>
    <cellStyle name="표준 218 2 4 5 4" xfId="12809"/>
    <cellStyle name="표준 218 2 4 5 4 2" xfId="29513"/>
    <cellStyle name="표준 218 2 4 5 5" xfId="18377"/>
    <cellStyle name="표준 218 2 4 6" xfId="3065"/>
    <cellStyle name="표준 218 2 4 6 2" xfId="8633"/>
    <cellStyle name="표준 218 2 4 6 2 2" xfId="25337"/>
    <cellStyle name="표준 218 2 4 6 3" xfId="14201"/>
    <cellStyle name="표준 218 2 4 6 3 2" xfId="30905"/>
    <cellStyle name="표준 218 2 4 6 4" xfId="19769"/>
    <cellStyle name="표준 218 2 4 7" xfId="5849"/>
    <cellStyle name="표준 218 2 4 7 2" xfId="22553"/>
    <cellStyle name="표준 218 2 4 8" xfId="11417"/>
    <cellStyle name="표준 218 2 4 8 2" xfId="28121"/>
    <cellStyle name="표준 218 2 4 9" xfId="16985"/>
    <cellStyle name="표준 218 2 5" xfId="397"/>
    <cellStyle name="표준 218 2 5 2" xfId="1093"/>
    <cellStyle name="표준 218 2 5 2 2" xfId="2485"/>
    <cellStyle name="표준 218 2 5 2 2 2" xfId="5269"/>
    <cellStyle name="표준 218 2 5 2 2 2 2" xfId="10837"/>
    <cellStyle name="표준 218 2 5 2 2 2 2 2" xfId="27541"/>
    <cellStyle name="표준 218 2 5 2 2 2 3" xfId="16405"/>
    <cellStyle name="표준 218 2 5 2 2 2 3 2" xfId="33109"/>
    <cellStyle name="표준 218 2 5 2 2 2 4" xfId="21973"/>
    <cellStyle name="표준 218 2 5 2 2 3" xfId="8053"/>
    <cellStyle name="표준 218 2 5 2 2 3 2" xfId="24757"/>
    <cellStyle name="표준 218 2 5 2 2 4" xfId="13621"/>
    <cellStyle name="표준 218 2 5 2 2 4 2" xfId="30325"/>
    <cellStyle name="표준 218 2 5 2 2 5" xfId="19189"/>
    <cellStyle name="표준 218 2 5 2 3" xfId="3877"/>
    <cellStyle name="표준 218 2 5 2 3 2" xfId="9445"/>
    <cellStyle name="표준 218 2 5 2 3 2 2" xfId="26149"/>
    <cellStyle name="표준 218 2 5 2 3 3" xfId="15013"/>
    <cellStyle name="표준 218 2 5 2 3 3 2" xfId="31717"/>
    <cellStyle name="표준 218 2 5 2 3 4" xfId="20581"/>
    <cellStyle name="표준 218 2 5 2 4" xfId="6661"/>
    <cellStyle name="표준 218 2 5 2 4 2" xfId="23365"/>
    <cellStyle name="표준 218 2 5 2 5" xfId="12229"/>
    <cellStyle name="표준 218 2 5 2 5 2" xfId="28933"/>
    <cellStyle name="표준 218 2 5 2 6" xfId="17797"/>
    <cellStyle name="표준 218 2 5 3" xfId="1789"/>
    <cellStyle name="표준 218 2 5 3 2" xfId="4573"/>
    <cellStyle name="표준 218 2 5 3 2 2" xfId="10141"/>
    <cellStyle name="표준 218 2 5 3 2 2 2" xfId="26845"/>
    <cellStyle name="표준 218 2 5 3 2 3" xfId="15709"/>
    <cellStyle name="표준 218 2 5 3 2 3 2" xfId="32413"/>
    <cellStyle name="표준 218 2 5 3 2 4" xfId="21277"/>
    <cellStyle name="표준 218 2 5 3 3" xfId="7357"/>
    <cellStyle name="표준 218 2 5 3 3 2" xfId="24061"/>
    <cellStyle name="표준 218 2 5 3 4" xfId="12925"/>
    <cellStyle name="표준 218 2 5 3 4 2" xfId="29629"/>
    <cellStyle name="표준 218 2 5 3 5" xfId="18493"/>
    <cellStyle name="표준 218 2 5 4" xfId="3181"/>
    <cellStyle name="표준 218 2 5 4 2" xfId="8749"/>
    <cellStyle name="표준 218 2 5 4 2 2" xfId="25453"/>
    <cellStyle name="표준 218 2 5 4 3" xfId="14317"/>
    <cellStyle name="표준 218 2 5 4 3 2" xfId="31021"/>
    <cellStyle name="표준 218 2 5 4 4" xfId="19885"/>
    <cellStyle name="표준 218 2 5 5" xfId="5965"/>
    <cellStyle name="표준 218 2 5 5 2" xfId="22669"/>
    <cellStyle name="표준 218 2 5 6" xfId="11533"/>
    <cellStyle name="표준 218 2 5 6 2" xfId="28237"/>
    <cellStyle name="표준 218 2 5 7" xfId="17101"/>
    <cellStyle name="표준 218 2 6" xfId="629"/>
    <cellStyle name="표준 218 2 6 2" xfId="1325"/>
    <cellStyle name="표준 218 2 6 2 2" xfId="2717"/>
    <cellStyle name="표준 218 2 6 2 2 2" xfId="5501"/>
    <cellStyle name="표준 218 2 6 2 2 2 2" xfId="11069"/>
    <cellStyle name="표준 218 2 6 2 2 2 2 2" xfId="27773"/>
    <cellStyle name="표준 218 2 6 2 2 2 3" xfId="16637"/>
    <cellStyle name="표준 218 2 6 2 2 2 3 2" xfId="33341"/>
    <cellStyle name="표준 218 2 6 2 2 2 4" xfId="22205"/>
    <cellStyle name="표준 218 2 6 2 2 3" xfId="8285"/>
    <cellStyle name="표준 218 2 6 2 2 3 2" xfId="24989"/>
    <cellStyle name="표준 218 2 6 2 2 4" xfId="13853"/>
    <cellStyle name="표준 218 2 6 2 2 4 2" xfId="30557"/>
    <cellStyle name="표준 218 2 6 2 2 5" xfId="19421"/>
    <cellStyle name="표준 218 2 6 2 3" xfId="4109"/>
    <cellStyle name="표준 218 2 6 2 3 2" xfId="9677"/>
    <cellStyle name="표준 218 2 6 2 3 2 2" xfId="26381"/>
    <cellStyle name="표준 218 2 6 2 3 3" xfId="15245"/>
    <cellStyle name="표준 218 2 6 2 3 3 2" xfId="31949"/>
    <cellStyle name="표준 218 2 6 2 3 4" xfId="20813"/>
    <cellStyle name="표준 218 2 6 2 4" xfId="6893"/>
    <cellStyle name="표준 218 2 6 2 4 2" xfId="23597"/>
    <cellStyle name="표준 218 2 6 2 5" xfId="12461"/>
    <cellStyle name="표준 218 2 6 2 5 2" xfId="29165"/>
    <cellStyle name="표준 218 2 6 2 6" xfId="18029"/>
    <cellStyle name="표준 218 2 6 3" xfId="2021"/>
    <cellStyle name="표준 218 2 6 3 2" xfId="4805"/>
    <cellStyle name="표준 218 2 6 3 2 2" xfId="10373"/>
    <cellStyle name="표준 218 2 6 3 2 2 2" xfId="27077"/>
    <cellStyle name="표준 218 2 6 3 2 3" xfId="15941"/>
    <cellStyle name="표준 218 2 6 3 2 3 2" xfId="32645"/>
    <cellStyle name="표준 218 2 6 3 2 4" xfId="21509"/>
    <cellStyle name="표준 218 2 6 3 3" xfId="7589"/>
    <cellStyle name="표준 218 2 6 3 3 2" xfId="24293"/>
    <cellStyle name="표준 218 2 6 3 4" xfId="13157"/>
    <cellStyle name="표준 218 2 6 3 4 2" xfId="29861"/>
    <cellStyle name="표준 218 2 6 3 5" xfId="18725"/>
    <cellStyle name="표준 218 2 6 4" xfId="3413"/>
    <cellStyle name="표준 218 2 6 4 2" xfId="8981"/>
    <cellStyle name="표준 218 2 6 4 2 2" xfId="25685"/>
    <cellStyle name="표준 218 2 6 4 3" xfId="14549"/>
    <cellStyle name="표준 218 2 6 4 3 2" xfId="31253"/>
    <cellStyle name="표준 218 2 6 4 4" xfId="20117"/>
    <cellStyle name="표준 218 2 6 5" xfId="6197"/>
    <cellStyle name="표준 218 2 6 5 2" xfId="22901"/>
    <cellStyle name="표준 218 2 6 6" xfId="11765"/>
    <cellStyle name="표준 218 2 6 6 2" xfId="28469"/>
    <cellStyle name="표준 218 2 6 7" xfId="17333"/>
    <cellStyle name="표준 218 2 7" xfId="861"/>
    <cellStyle name="표준 218 2 7 2" xfId="2253"/>
    <cellStyle name="표준 218 2 7 2 2" xfId="5037"/>
    <cellStyle name="표준 218 2 7 2 2 2" xfId="10605"/>
    <cellStyle name="표준 218 2 7 2 2 2 2" xfId="27309"/>
    <cellStyle name="표준 218 2 7 2 2 3" xfId="16173"/>
    <cellStyle name="표준 218 2 7 2 2 3 2" xfId="32877"/>
    <cellStyle name="표준 218 2 7 2 2 4" xfId="21741"/>
    <cellStyle name="표준 218 2 7 2 3" xfId="7821"/>
    <cellStyle name="표준 218 2 7 2 3 2" xfId="24525"/>
    <cellStyle name="표준 218 2 7 2 4" xfId="13389"/>
    <cellStyle name="표준 218 2 7 2 4 2" xfId="30093"/>
    <cellStyle name="표준 218 2 7 2 5" xfId="18957"/>
    <cellStyle name="표준 218 2 7 3" xfId="3645"/>
    <cellStyle name="표준 218 2 7 3 2" xfId="9213"/>
    <cellStyle name="표준 218 2 7 3 2 2" xfId="25917"/>
    <cellStyle name="표준 218 2 7 3 3" xfId="14781"/>
    <cellStyle name="표준 218 2 7 3 3 2" xfId="31485"/>
    <cellStyle name="표준 218 2 7 3 4" xfId="20349"/>
    <cellStyle name="표준 218 2 7 4" xfId="6429"/>
    <cellStyle name="표준 218 2 7 4 2" xfId="23133"/>
    <cellStyle name="표준 218 2 7 5" xfId="11997"/>
    <cellStyle name="표준 218 2 7 5 2" xfId="28701"/>
    <cellStyle name="표준 218 2 7 6" xfId="17565"/>
    <cellStyle name="표준 218 2 8" xfId="1557"/>
    <cellStyle name="표준 218 2 8 2" xfId="4341"/>
    <cellStyle name="표준 218 2 8 2 2" xfId="9909"/>
    <cellStyle name="표준 218 2 8 2 2 2" xfId="26613"/>
    <cellStyle name="표준 218 2 8 2 3" xfId="15477"/>
    <cellStyle name="표준 218 2 8 2 3 2" xfId="32181"/>
    <cellStyle name="표준 218 2 8 2 4" xfId="21045"/>
    <cellStyle name="표준 218 2 8 3" xfId="7125"/>
    <cellStyle name="표준 218 2 8 3 2" xfId="23829"/>
    <cellStyle name="표준 218 2 8 4" xfId="12693"/>
    <cellStyle name="표준 218 2 8 4 2" xfId="29397"/>
    <cellStyle name="표준 218 2 8 5" xfId="18261"/>
    <cellStyle name="표준 218 2 9" xfId="2949"/>
    <cellStyle name="표준 218 2 9 2" xfId="8517"/>
    <cellStyle name="표준 218 2 9 2 2" xfId="25221"/>
    <cellStyle name="표준 218 2 9 3" xfId="14085"/>
    <cellStyle name="표준 218 2 9 3 2" xfId="30789"/>
    <cellStyle name="표준 218 2 9 4" xfId="19653"/>
    <cellStyle name="표준 218 3" xfId="188"/>
    <cellStyle name="표준 218 3 10" xfId="11324"/>
    <cellStyle name="표준 218 3 10 2" xfId="28028"/>
    <cellStyle name="표준 218 3 11" xfId="16892"/>
    <cellStyle name="표준 218 3 2" xfId="246"/>
    <cellStyle name="표준 218 3 2 10" xfId="16950"/>
    <cellStyle name="표준 218 3 2 2" xfId="362"/>
    <cellStyle name="표준 218 3 2 2 2" xfId="594"/>
    <cellStyle name="표준 218 3 2 2 2 2" xfId="1290"/>
    <cellStyle name="표준 218 3 2 2 2 2 2" xfId="2682"/>
    <cellStyle name="표준 218 3 2 2 2 2 2 2" xfId="5466"/>
    <cellStyle name="표준 218 3 2 2 2 2 2 2 2" xfId="11034"/>
    <cellStyle name="표준 218 3 2 2 2 2 2 2 2 2" xfId="27738"/>
    <cellStyle name="표준 218 3 2 2 2 2 2 2 3" xfId="16602"/>
    <cellStyle name="표준 218 3 2 2 2 2 2 2 3 2" xfId="33306"/>
    <cellStyle name="표준 218 3 2 2 2 2 2 2 4" xfId="22170"/>
    <cellStyle name="표준 218 3 2 2 2 2 2 3" xfId="8250"/>
    <cellStyle name="표준 218 3 2 2 2 2 2 3 2" xfId="24954"/>
    <cellStyle name="표준 218 3 2 2 2 2 2 4" xfId="13818"/>
    <cellStyle name="표준 218 3 2 2 2 2 2 4 2" xfId="30522"/>
    <cellStyle name="표준 218 3 2 2 2 2 2 5" xfId="19386"/>
    <cellStyle name="표준 218 3 2 2 2 2 3" xfId="4074"/>
    <cellStyle name="표준 218 3 2 2 2 2 3 2" xfId="9642"/>
    <cellStyle name="표준 218 3 2 2 2 2 3 2 2" xfId="26346"/>
    <cellStyle name="표준 218 3 2 2 2 2 3 3" xfId="15210"/>
    <cellStyle name="표준 218 3 2 2 2 2 3 3 2" xfId="31914"/>
    <cellStyle name="표준 218 3 2 2 2 2 3 4" xfId="20778"/>
    <cellStyle name="표준 218 3 2 2 2 2 4" xfId="6858"/>
    <cellStyle name="표준 218 3 2 2 2 2 4 2" xfId="23562"/>
    <cellStyle name="표준 218 3 2 2 2 2 5" xfId="12426"/>
    <cellStyle name="표준 218 3 2 2 2 2 5 2" xfId="29130"/>
    <cellStyle name="표준 218 3 2 2 2 2 6" xfId="17994"/>
    <cellStyle name="표준 218 3 2 2 2 3" xfId="1986"/>
    <cellStyle name="표준 218 3 2 2 2 3 2" xfId="4770"/>
    <cellStyle name="표준 218 3 2 2 2 3 2 2" xfId="10338"/>
    <cellStyle name="표준 218 3 2 2 2 3 2 2 2" xfId="27042"/>
    <cellStyle name="표준 218 3 2 2 2 3 2 3" xfId="15906"/>
    <cellStyle name="표준 218 3 2 2 2 3 2 3 2" xfId="32610"/>
    <cellStyle name="표준 218 3 2 2 2 3 2 4" xfId="21474"/>
    <cellStyle name="표준 218 3 2 2 2 3 3" xfId="7554"/>
    <cellStyle name="표준 218 3 2 2 2 3 3 2" xfId="24258"/>
    <cellStyle name="표준 218 3 2 2 2 3 4" xfId="13122"/>
    <cellStyle name="표준 218 3 2 2 2 3 4 2" xfId="29826"/>
    <cellStyle name="표준 218 3 2 2 2 3 5" xfId="18690"/>
    <cellStyle name="표준 218 3 2 2 2 4" xfId="3378"/>
    <cellStyle name="표준 218 3 2 2 2 4 2" xfId="8946"/>
    <cellStyle name="표준 218 3 2 2 2 4 2 2" xfId="25650"/>
    <cellStyle name="표준 218 3 2 2 2 4 3" xfId="14514"/>
    <cellStyle name="표준 218 3 2 2 2 4 3 2" xfId="31218"/>
    <cellStyle name="표준 218 3 2 2 2 4 4" xfId="20082"/>
    <cellStyle name="표준 218 3 2 2 2 5" xfId="6162"/>
    <cellStyle name="표준 218 3 2 2 2 5 2" xfId="22866"/>
    <cellStyle name="표준 218 3 2 2 2 6" xfId="11730"/>
    <cellStyle name="표준 218 3 2 2 2 6 2" xfId="28434"/>
    <cellStyle name="표준 218 3 2 2 2 7" xfId="17298"/>
    <cellStyle name="표준 218 3 2 2 3" xfId="826"/>
    <cellStyle name="표준 218 3 2 2 3 2" xfId="1522"/>
    <cellStyle name="표준 218 3 2 2 3 2 2" xfId="2914"/>
    <cellStyle name="표준 218 3 2 2 3 2 2 2" xfId="5698"/>
    <cellStyle name="표준 218 3 2 2 3 2 2 2 2" xfId="11266"/>
    <cellStyle name="표준 218 3 2 2 3 2 2 2 2 2" xfId="27970"/>
    <cellStyle name="표준 218 3 2 2 3 2 2 2 3" xfId="16834"/>
    <cellStyle name="표준 218 3 2 2 3 2 2 2 3 2" xfId="33538"/>
    <cellStyle name="표준 218 3 2 2 3 2 2 2 4" xfId="22402"/>
    <cellStyle name="표준 218 3 2 2 3 2 2 3" xfId="8482"/>
    <cellStyle name="표준 218 3 2 2 3 2 2 3 2" xfId="25186"/>
    <cellStyle name="표준 218 3 2 2 3 2 2 4" xfId="14050"/>
    <cellStyle name="표준 218 3 2 2 3 2 2 4 2" xfId="30754"/>
    <cellStyle name="표준 218 3 2 2 3 2 2 5" xfId="19618"/>
    <cellStyle name="표준 218 3 2 2 3 2 3" xfId="4306"/>
    <cellStyle name="표준 218 3 2 2 3 2 3 2" xfId="9874"/>
    <cellStyle name="표준 218 3 2 2 3 2 3 2 2" xfId="26578"/>
    <cellStyle name="표준 218 3 2 2 3 2 3 3" xfId="15442"/>
    <cellStyle name="표준 218 3 2 2 3 2 3 3 2" xfId="32146"/>
    <cellStyle name="표준 218 3 2 2 3 2 3 4" xfId="21010"/>
    <cellStyle name="표준 218 3 2 2 3 2 4" xfId="7090"/>
    <cellStyle name="표준 218 3 2 2 3 2 4 2" xfId="23794"/>
    <cellStyle name="표준 218 3 2 2 3 2 5" xfId="12658"/>
    <cellStyle name="표준 218 3 2 2 3 2 5 2" xfId="29362"/>
    <cellStyle name="표준 218 3 2 2 3 2 6" xfId="18226"/>
    <cellStyle name="표준 218 3 2 2 3 3" xfId="2218"/>
    <cellStyle name="표준 218 3 2 2 3 3 2" xfId="5002"/>
    <cellStyle name="표준 218 3 2 2 3 3 2 2" xfId="10570"/>
    <cellStyle name="표준 218 3 2 2 3 3 2 2 2" xfId="27274"/>
    <cellStyle name="표준 218 3 2 2 3 3 2 3" xfId="16138"/>
    <cellStyle name="표준 218 3 2 2 3 3 2 3 2" xfId="32842"/>
    <cellStyle name="표준 218 3 2 2 3 3 2 4" xfId="21706"/>
    <cellStyle name="표준 218 3 2 2 3 3 3" xfId="7786"/>
    <cellStyle name="표준 218 3 2 2 3 3 3 2" xfId="24490"/>
    <cellStyle name="표준 218 3 2 2 3 3 4" xfId="13354"/>
    <cellStyle name="표준 218 3 2 2 3 3 4 2" xfId="30058"/>
    <cellStyle name="표준 218 3 2 2 3 3 5" xfId="18922"/>
    <cellStyle name="표준 218 3 2 2 3 4" xfId="3610"/>
    <cellStyle name="표준 218 3 2 2 3 4 2" xfId="9178"/>
    <cellStyle name="표준 218 3 2 2 3 4 2 2" xfId="25882"/>
    <cellStyle name="표준 218 3 2 2 3 4 3" xfId="14746"/>
    <cellStyle name="표준 218 3 2 2 3 4 3 2" xfId="31450"/>
    <cellStyle name="표준 218 3 2 2 3 4 4" xfId="20314"/>
    <cellStyle name="표준 218 3 2 2 3 5" xfId="6394"/>
    <cellStyle name="표준 218 3 2 2 3 5 2" xfId="23098"/>
    <cellStyle name="표준 218 3 2 2 3 6" xfId="11962"/>
    <cellStyle name="표준 218 3 2 2 3 6 2" xfId="28666"/>
    <cellStyle name="표준 218 3 2 2 3 7" xfId="17530"/>
    <cellStyle name="표준 218 3 2 2 4" xfId="1058"/>
    <cellStyle name="표준 218 3 2 2 4 2" xfId="2450"/>
    <cellStyle name="표준 218 3 2 2 4 2 2" xfId="5234"/>
    <cellStyle name="표준 218 3 2 2 4 2 2 2" xfId="10802"/>
    <cellStyle name="표준 218 3 2 2 4 2 2 2 2" xfId="27506"/>
    <cellStyle name="표준 218 3 2 2 4 2 2 3" xfId="16370"/>
    <cellStyle name="표준 218 3 2 2 4 2 2 3 2" xfId="33074"/>
    <cellStyle name="표준 218 3 2 2 4 2 2 4" xfId="21938"/>
    <cellStyle name="표준 218 3 2 2 4 2 3" xfId="8018"/>
    <cellStyle name="표준 218 3 2 2 4 2 3 2" xfId="24722"/>
    <cellStyle name="표준 218 3 2 2 4 2 4" xfId="13586"/>
    <cellStyle name="표준 218 3 2 2 4 2 4 2" xfId="30290"/>
    <cellStyle name="표준 218 3 2 2 4 2 5" xfId="19154"/>
    <cellStyle name="표준 218 3 2 2 4 3" xfId="3842"/>
    <cellStyle name="표준 218 3 2 2 4 3 2" xfId="9410"/>
    <cellStyle name="표준 218 3 2 2 4 3 2 2" xfId="26114"/>
    <cellStyle name="표준 218 3 2 2 4 3 3" xfId="14978"/>
    <cellStyle name="표준 218 3 2 2 4 3 3 2" xfId="31682"/>
    <cellStyle name="표준 218 3 2 2 4 3 4" xfId="20546"/>
    <cellStyle name="표준 218 3 2 2 4 4" xfId="6626"/>
    <cellStyle name="표준 218 3 2 2 4 4 2" xfId="23330"/>
    <cellStyle name="표준 218 3 2 2 4 5" xfId="12194"/>
    <cellStyle name="표준 218 3 2 2 4 5 2" xfId="28898"/>
    <cellStyle name="표준 218 3 2 2 4 6" xfId="17762"/>
    <cellStyle name="표준 218 3 2 2 5" xfId="1754"/>
    <cellStyle name="표준 218 3 2 2 5 2" xfId="4538"/>
    <cellStyle name="표준 218 3 2 2 5 2 2" xfId="10106"/>
    <cellStyle name="표준 218 3 2 2 5 2 2 2" xfId="26810"/>
    <cellStyle name="표준 218 3 2 2 5 2 3" xfId="15674"/>
    <cellStyle name="표준 218 3 2 2 5 2 3 2" xfId="32378"/>
    <cellStyle name="표준 218 3 2 2 5 2 4" xfId="21242"/>
    <cellStyle name="표준 218 3 2 2 5 3" xfId="7322"/>
    <cellStyle name="표준 218 3 2 2 5 3 2" xfId="24026"/>
    <cellStyle name="표준 218 3 2 2 5 4" xfId="12890"/>
    <cellStyle name="표준 218 3 2 2 5 4 2" xfId="29594"/>
    <cellStyle name="표준 218 3 2 2 5 5" xfId="18458"/>
    <cellStyle name="표준 218 3 2 2 6" xfId="3146"/>
    <cellStyle name="표준 218 3 2 2 6 2" xfId="8714"/>
    <cellStyle name="표준 218 3 2 2 6 2 2" xfId="25418"/>
    <cellStyle name="표준 218 3 2 2 6 3" xfId="14282"/>
    <cellStyle name="표준 218 3 2 2 6 3 2" xfId="30986"/>
    <cellStyle name="표준 218 3 2 2 6 4" xfId="19850"/>
    <cellStyle name="표준 218 3 2 2 7" xfId="5930"/>
    <cellStyle name="표준 218 3 2 2 7 2" xfId="22634"/>
    <cellStyle name="표준 218 3 2 2 8" xfId="11498"/>
    <cellStyle name="표준 218 3 2 2 8 2" xfId="28202"/>
    <cellStyle name="표준 218 3 2 2 9" xfId="17066"/>
    <cellStyle name="표준 218 3 2 3" xfId="478"/>
    <cellStyle name="표준 218 3 2 3 2" xfId="1174"/>
    <cellStyle name="표준 218 3 2 3 2 2" xfId="2566"/>
    <cellStyle name="표준 218 3 2 3 2 2 2" xfId="5350"/>
    <cellStyle name="표준 218 3 2 3 2 2 2 2" xfId="10918"/>
    <cellStyle name="표준 218 3 2 3 2 2 2 2 2" xfId="27622"/>
    <cellStyle name="표준 218 3 2 3 2 2 2 3" xfId="16486"/>
    <cellStyle name="표준 218 3 2 3 2 2 2 3 2" xfId="33190"/>
    <cellStyle name="표준 218 3 2 3 2 2 2 4" xfId="22054"/>
    <cellStyle name="표준 218 3 2 3 2 2 3" xfId="8134"/>
    <cellStyle name="표준 218 3 2 3 2 2 3 2" xfId="24838"/>
    <cellStyle name="표준 218 3 2 3 2 2 4" xfId="13702"/>
    <cellStyle name="표준 218 3 2 3 2 2 4 2" xfId="30406"/>
    <cellStyle name="표준 218 3 2 3 2 2 5" xfId="19270"/>
    <cellStyle name="표준 218 3 2 3 2 3" xfId="3958"/>
    <cellStyle name="표준 218 3 2 3 2 3 2" xfId="9526"/>
    <cellStyle name="표준 218 3 2 3 2 3 2 2" xfId="26230"/>
    <cellStyle name="표준 218 3 2 3 2 3 3" xfId="15094"/>
    <cellStyle name="표준 218 3 2 3 2 3 3 2" xfId="31798"/>
    <cellStyle name="표준 218 3 2 3 2 3 4" xfId="20662"/>
    <cellStyle name="표준 218 3 2 3 2 4" xfId="6742"/>
    <cellStyle name="표준 218 3 2 3 2 4 2" xfId="23446"/>
    <cellStyle name="표준 218 3 2 3 2 5" xfId="12310"/>
    <cellStyle name="표준 218 3 2 3 2 5 2" xfId="29014"/>
    <cellStyle name="표준 218 3 2 3 2 6" xfId="17878"/>
    <cellStyle name="표준 218 3 2 3 3" xfId="1870"/>
    <cellStyle name="표준 218 3 2 3 3 2" xfId="4654"/>
    <cellStyle name="표준 218 3 2 3 3 2 2" xfId="10222"/>
    <cellStyle name="표준 218 3 2 3 3 2 2 2" xfId="26926"/>
    <cellStyle name="표준 218 3 2 3 3 2 3" xfId="15790"/>
    <cellStyle name="표준 218 3 2 3 3 2 3 2" xfId="32494"/>
    <cellStyle name="표준 218 3 2 3 3 2 4" xfId="21358"/>
    <cellStyle name="표준 218 3 2 3 3 3" xfId="7438"/>
    <cellStyle name="표준 218 3 2 3 3 3 2" xfId="24142"/>
    <cellStyle name="표준 218 3 2 3 3 4" xfId="13006"/>
    <cellStyle name="표준 218 3 2 3 3 4 2" xfId="29710"/>
    <cellStyle name="표준 218 3 2 3 3 5" xfId="18574"/>
    <cellStyle name="표준 218 3 2 3 4" xfId="3262"/>
    <cellStyle name="표준 218 3 2 3 4 2" xfId="8830"/>
    <cellStyle name="표준 218 3 2 3 4 2 2" xfId="25534"/>
    <cellStyle name="표준 218 3 2 3 4 3" xfId="14398"/>
    <cellStyle name="표준 218 3 2 3 4 3 2" xfId="31102"/>
    <cellStyle name="표준 218 3 2 3 4 4" xfId="19966"/>
    <cellStyle name="표준 218 3 2 3 5" xfId="6046"/>
    <cellStyle name="표준 218 3 2 3 5 2" xfId="22750"/>
    <cellStyle name="표준 218 3 2 3 6" xfId="11614"/>
    <cellStyle name="표준 218 3 2 3 6 2" xfId="28318"/>
    <cellStyle name="표준 218 3 2 3 7" xfId="17182"/>
    <cellStyle name="표준 218 3 2 4" xfId="710"/>
    <cellStyle name="표준 218 3 2 4 2" xfId="1406"/>
    <cellStyle name="표준 218 3 2 4 2 2" xfId="2798"/>
    <cellStyle name="표준 218 3 2 4 2 2 2" xfId="5582"/>
    <cellStyle name="표준 218 3 2 4 2 2 2 2" xfId="11150"/>
    <cellStyle name="표준 218 3 2 4 2 2 2 2 2" xfId="27854"/>
    <cellStyle name="표준 218 3 2 4 2 2 2 3" xfId="16718"/>
    <cellStyle name="표준 218 3 2 4 2 2 2 3 2" xfId="33422"/>
    <cellStyle name="표준 218 3 2 4 2 2 2 4" xfId="22286"/>
    <cellStyle name="표준 218 3 2 4 2 2 3" xfId="8366"/>
    <cellStyle name="표준 218 3 2 4 2 2 3 2" xfId="25070"/>
    <cellStyle name="표준 218 3 2 4 2 2 4" xfId="13934"/>
    <cellStyle name="표준 218 3 2 4 2 2 4 2" xfId="30638"/>
    <cellStyle name="표준 218 3 2 4 2 2 5" xfId="19502"/>
    <cellStyle name="표준 218 3 2 4 2 3" xfId="4190"/>
    <cellStyle name="표준 218 3 2 4 2 3 2" xfId="9758"/>
    <cellStyle name="표준 218 3 2 4 2 3 2 2" xfId="26462"/>
    <cellStyle name="표준 218 3 2 4 2 3 3" xfId="15326"/>
    <cellStyle name="표준 218 3 2 4 2 3 3 2" xfId="32030"/>
    <cellStyle name="표준 218 3 2 4 2 3 4" xfId="20894"/>
    <cellStyle name="표준 218 3 2 4 2 4" xfId="6974"/>
    <cellStyle name="표준 218 3 2 4 2 4 2" xfId="23678"/>
    <cellStyle name="표준 218 3 2 4 2 5" xfId="12542"/>
    <cellStyle name="표준 218 3 2 4 2 5 2" xfId="29246"/>
    <cellStyle name="표준 218 3 2 4 2 6" xfId="18110"/>
    <cellStyle name="표준 218 3 2 4 3" xfId="2102"/>
    <cellStyle name="표준 218 3 2 4 3 2" xfId="4886"/>
    <cellStyle name="표준 218 3 2 4 3 2 2" xfId="10454"/>
    <cellStyle name="표준 218 3 2 4 3 2 2 2" xfId="27158"/>
    <cellStyle name="표준 218 3 2 4 3 2 3" xfId="16022"/>
    <cellStyle name="표준 218 3 2 4 3 2 3 2" xfId="32726"/>
    <cellStyle name="표준 218 3 2 4 3 2 4" xfId="21590"/>
    <cellStyle name="표준 218 3 2 4 3 3" xfId="7670"/>
    <cellStyle name="표준 218 3 2 4 3 3 2" xfId="24374"/>
    <cellStyle name="표준 218 3 2 4 3 4" xfId="13238"/>
    <cellStyle name="표준 218 3 2 4 3 4 2" xfId="29942"/>
    <cellStyle name="표준 218 3 2 4 3 5" xfId="18806"/>
    <cellStyle name="표준 218 3 2 4 4" xfId="3494"/>
    <cellStyle name="표준 218 3 2 4 4 2" xfId="9062"/>
    <cellStyle name="표준 218 3 2 4 4 2 2" xfId="25766"/>
    <cellStyle name="표준 218 3 2 4 4 3" xfId="14630"/>
    <cellStyle name="표준 218 3 2 4 4 3 2" xfId="31334"/>
    <cellStyle name="표준 218 3 2 4 4 4" xfId="20198"/>
    <cellStyle name="표준 218 3 2 4 5" xfId="6278"/>
    <cellStyle name="표준 218 3 2 4 5 2" xfId="22982"/>
    <cellStyle name="표준 218 3 2 4 6" xfId="11846"/>
    <cellStyle name="표준 218 3 2 4 6 2" xfId="28550"/>
    <cellStyle name="표준 218 3 2 4 7" xfId="17414"/>
    <cellStyle name="표준 218 3 2 5" xfId="942"/>
    <cellStyle name="표준 218 3 2 5 2" xfId="2334"/>
    <cellStyle name="표준 218 3 2 5 2 2" xfId="5118"/>
    <cellStyle name="표준 218 3 2 5 2 2 2" xfId="10686"/>
    <cellStyle name="표준 218 3 2 5 2 2 2 2" xfId="27390"/>
    <cellStyle name="표준 218 3 2 5 2 2 3" xfId="16254"/>
    <cellStyle name="표준 218 3 2 5 2 2 3 2" xfId="32958"/>
    <cellStyle name="표준 218 3 2 5 2 2 4" xfId="21822"/>
    <cellStyle name="표준 218 3 2 5 2 3" xfId="7902"/>
    <cellStyle name="표준 218 3 2 5 2 3 2" xfId="24606"/>
    <cellStyle name="표준 218 3 2 5 2 4" xfId="13470"/>
    <cellStyle name="표준 218 3 2 5 2 4 2" xfId="30174"/>
    <cellStyle name="표준 218 3 2 5 2 5" xfId="19038"/>
    <cellStyle name="표준 218 3 2 5 3" xfId="3726"/>
    <cellStyle name="표준 218 3 2 5 3 2" xfId="9294"/>
    <cellStyle name="표준 218 3 2 5 3 2 2" xfId="25998"/>
    <cellStyle name="표준 218 3 2 5 3 3" xfId="14862"/>
    <cellStyle name="표준 218 3 2 5 3 3 2" xfId="31566"/>
    <cellStyle name="표준 218 3 2 5 3 4" xfId="20430"/>
    <cellStyle name="표준 218 3 2 5 4" xfId="6510"/>
    <cellStyle name="표준 218 3 2 5 4 2" xfId="23214"/>
    <cellStyle name="표준 218 3 2 5 5" xfId="12078"/>
    <cellStyle name="표준 218 3 2 5 5 2" xfId="28782"/>
    <cellStyle name="표준 218 3 2 5 6" xfId="17646"/>
    <cellStyle name="표준 218 3 2 6" xfId="1638"/>
    <cellStyle name="표준 218 3 2 6 2" xfId="4422"/>
    <cellStyle name="표준 218 3 2 6 2 2" xfId="9990"/>
    <cellStyle name="표준 218 3 2 6 2 2 2" xfId="26694"/>
    <cellStyle name="표준 218 3 2 6 2 3" xfId="15558"/>
    <cellStyle name="표준 218 3 2 6 2 3 2" xfId="32262"/>
    <cellStyle name="표준 218 3 2 6 2 4" xfId="21126"/>
    <cellStyle name="표준 218 3 2 6 3" xfId="7206"/>
    <cellStyle name="표준 218 3 2 6 3 2" xfId="23910"/>
    <cellStyle name="표준 218 3 2 6 4" xfId="12774"/>
    <cellStyle name="표준 218 3 2 6 4 2" xfId="29478"/>
    <cellStyle name="표준 218 3 2 6 5" xfId="18342"/>
    <cellStyle name="표준 218 3 2 7" xfId="3030"/>
    <cellStyle name="표준 218 3 2 7 2" xfId="8598"/>
    <cellStyle name="표준 218 3 2 7 2 2" xfId="25302"/>
    <cellStyle name="표준 218 3 2 7 3" xfId="14166"/>
    <cellStyle name="표준 218 3 2 7 3 2" xfId="30870"/>
    <cellStyle name="표준 218 3 2 7 4" xfId="19734"/>
    <cellStyle name="표준 218 3 2 8" xfId="5814"/>
    <cellStyle name="표준 218 3 2 8 2" xfId="22518"/>
    <cellStyle name="표준 218 3 2 9" xfId="11382"/>
    <cellStyle name="표준 218 3 2 9 2" xfId="28086"/>
    <cellStyle name="표준 218 3 3" xfId="304"/>
    <cellStyle name="표준 218 3 3 2" xfId="536"/>
    <cellStyle name="표준 218 3 3 2 2" xfId="1232"/>
    <cellStyle name="표준 218 3 3 2 2 2" xfId="2624"/>
    <cellStyle name="표준 218 3 3 2 2 2 2" xfId="5408"/>
    <cellStyle name="표준 218 3 3 2 2 2 2 2" xfId="10976"/>
    <cellStyle name="표준 218 3 3 2 2 2 2 2 2" xfId="27680"/>
    <cellStyle name="표준 218 3 3 2 2 2 2 3" xfId="16544"/>
    <cellStyle name="표준 218 3 3 2 2 2 2 3 2" xfId="33248"/>
    <cellStyle name="표준 218 3 3 2 2 2 2 4" xfId="22112"/>
    <cellStyle name="표준 218 3 3 2 2 2 3" xfId="8192"/>
    <cellStyle name="표준 218 3 3 2 2 2 3 2" xfId="24896"/>
    <cellStyle name="표준 218 3 3 2 2 2 4" xfId="13760"/>
    <cellStyle name="표준 218 3 3 2 2 2 4 2" xfId="30464"/>
    <cellStyle name="표준 218 3 3 2 2 2 5" xfId="19328"/>
    <cellStyle name="표준 218 3 3 2 2 3" xfId="4016"/>
    <cellStyle name="표준 218 3 3 2 2 3 2" xfId="9584"/>
    <cellStyle name="표준 218 3 3 2 2 3 2 2" xfId="26288"/>
    <cellStyle name="표준 218 3 3 2 2 3 3" xfId="15152"/>
    <cellStyle name="표준 218 3 3 2 2 3 3 2" xfId="31856"/>
    <cellStyle name="표준 218 3 3 2 2 3 4" xfId="20720"/>
    <cellStyle name="표준 218 3 3 2 2 4" xfId="6800"/>
    <cellStyle name="표준 218 3 3 2 2 4 2" xfId="23504"/>
    <cellStyle name="표준 218 3 3 2 2 5" xfId="12368"/>
    <cellStyle name="표준 218 3 3 2 2 5 2" xfId="29072"/>
    <cellStyle name="표준 218 3 3 2 2 6" xfId="17936"/>
    <cellStyle name="표준 218 3 3 2 3" xfId="1928"/>
    <cellStyle name="표준 218 3 3 2 3 2" xfId="4712"/>
    <cellStyle name="표준 218 3 3 2 3 2 2" xfId="10280"/>
    <cellStyle name="표준 218 3 3 2 3 2 2 2" xfId="26984"/>
    <cellStyle name="표준 218 3 3 2 3 2 3" xfId="15848"/>
    <cellStyle name="표준 218 3 3 2 3 2 3 2" xfId="32552"/>
    <cellStyle name="표준 218 3 3 2 3 2 4" xfId="21416"/>
    <cellStyle name="표준 218 3 3 2 3 3" xfId="7496"/>
    <cellStyle name="표준 218 3 3 2 3 3 2" xfId="24200"/>
    <cellStyle name="표준 218 3 3 2 3 4" xfId="13064"/>
    <cellStyle name="표준 218 3 3 2 3 4 2" xfId="29768"/>
    <cellStyle name="표준 218 3 3 2 3 5" xfId="18632"/>
    <cellStyle name="표준 218 3 3 2 4" xfId="3320"/>
    <cellStyle name="표준 218 3 3 2 4 2" xfId="8888"/>
    <cellStyle name="표준 218 3 3 2 4 2 2" xfId="25592"/>
    <cellStyle name="표준 218 3 3 2 4 3" xfId="14456"/>
    <cellStyle name="표준 218 3 3 2 4 3 2" xfId="31160"/>
    <cellStyle name="표준 218 3 3 2 4 4" xfId="20024"/>
    <cellStyle name="표준 218 3 3 2 5" xfId="6104"/>
    <cellStyle name="표준 218 3 3 2 5 2" xfId="22808"/>
    <cellStyle name="표준 218 3 3 2 6" xfId="11672"/>
    <cellStyle name="표준 218 3 3 2 6 2" xfId="28376"/>
    <cellStyle name="표준 218 3 3 2 7" xfId="17240"/>
    <cellStyle name="표준 218 3 3 3" xfId="768"/>
    <cellStyle name="표준 218 3 3 3 2" xfId="1464"/>
    <cellStyle name="표준 218 3 3 3 2 2" xfId="2856"/>
    <cellStyle name="표준 218 3 3 3 2 2 2" xfId="5640"/>
    <cellStyle name="표준 218 3 3 3 2 2 2 2" xfId="11208"/>
    <cellStyle name="표준 218 3 3 3 2 2 2 2 2" xfId="27912"/>
    <cellStyle name="표준 218 3 3 3 2 2 2 3" xfId="16776"/>
    <cellStyle name="표준 218 3 3 3 2 2 2 3 2" xfId="33480"/>
    <cellStyle name="표준 218 3 3 3 2 2 2 4" xfId="22344"/>
    <cellStyle name="표준 218 3 3 3 2 2 3" xfId="8424"/>
    <cellStyle name="표준 218 3 3 3 2 2 3 2" xfId="25128"/>
    <cellStyle name="표준 218 3 3 3 2 2 4" xfId="13992"/>
    <cellStyle name="표준 218 3 3 3 2 2 4 2" xfId="30696"/>
    <cellStyle name="표준 218 3 3 3 2 2 5" xfId="19560"/>
    <cellStyle name="표준 218 3 3 3 2 3" xfId="4248"/>
    <cellStyle name="표준 218 3 3 3 2 3 2" xfId="9816"/>
    <cellStyle name="표준 218 3 3 3 2 3 2 2" xfId="26520"/>
    <cellStyle name="표준 218 3 3 3 2 3 3" xfId="15384"/>
    <cellStyle name="표준 218 3 3 3 2 3 3 2" xfId="32088"/>
    <cellStyle name="표준 218 3 3 3 2 3 4" xfId="20952"/>
    <cellStyle name="표준 218 3 3 3 2 4" xfId="7032"/>
    <cellStyle name="표준 218 3 3 3 2 4 2" xfId="23736"/>
    <cellStyle name="표준 218 3 3 3 2 5" xfId="12600"/>
    <cellStyle name="표준 218 3 3 3 2 5 2" xfId="29304"/>
    <cellStyle name="표준 218 3 3 3 2 6" xfId="18168"/>
    <cellStyle name="표준 218 3 3 3 3" xfId="2160"/>
    <cellStyle name="표준 218 3 3 3 3 2" xfId="4944"/>
    <cellStyle name="표준 218 3 3 3 3 2 2" xfId="10512"/>
    <cellStyle name="표준 218 3 3 3 3 2 2 2" xfId="27216"/>
    <cellStyle name="표준 218 3 3 3 3 2 3" xfId="16080"/>
    <cellStyle name="표준 218 3 3 3 3 2 3 2" xfId="32784"/>
    <cellStyle name="표준 218 3 3 3 3 2 4" xfId="21648"/>
    <cellStyle name="표준 218 3 3 3 3 3" xfId="7728"/>
    <cellStyle name="표준 218 3 3 3 3 3 2" xfId="24432"/>
    <cellStyle name="표준 218 3 3 3 3 4" xfId="13296"/>
    <cellStyle name="표준 218 3 3 3 3 4 2" xfId="30000"/>
    <cellStyle name="표준 218 3 3 3 3 5" xfId="18864"/>
    <cellStyle name="표준 218 3 3 3 4" xfId="3552"/>
    <cellStyle name="표준 218 3 3 3 4 2" xfId="9120"/>
    <cellStyle name="표준 218 3 3 3 4 2 2" xfId="25824"/>
    <cellStyle name="표준 218 3 3 3 4 3" xfId="14688"/>
    <cellStyle name="표준 218 3 3 3 4 3 2" xfId="31392"/>
    <cellStyle name="표준 218 3 3 3 4 4" xfId="20256"/>
    <cellStyle name="표준 218 3 3 3 5" xfId="6336"/>
    <cellStyle name="표준 218 3 3 3 5 2" xfId="23040"/>
    <cellStyle name="표준 218 3 3 3 6" xfId="11904"/>
    <cellStyle name="표준 218 3 3 3 6 2" xfId="28608"/>
    <cellStyle name="표준 218 3 3 3 7" xfId="17472"/>
    <cellStyle name="표준 218 3 3 4" xfId="1000"/>
    <cellStyle name="표준 218 3 3 4 2" xfId="2392"/>
    <cellStyle name="표준 218 3 3 4 2 2" xfId="5176"/>
    <cellStyle name="표준 218 3 3 4 2 2 2" xfId="10744"/>
    <cellStyle name="표준 218 3 3 4 2 2 2 2" xfId="27448"/>
    <cellStyle name="표준 218 3 3 4 2 2 3" xfId="16312"/>
    <cellStyle name="표준 218 3 3 4 2 2 3 2" xfId="33016"/>
    <cellStyle name="표준 218 3 3 4 2 2 4" xfId="21880"/>
    <cellStyle name="표준 218 3 3 4 2 3" xfId="7960"/>
    <cellStyle name="표준 218 3 3 4 2 3 2" xfId="24664"/>
    <cellStyle name="표준 218 3 3 4 2 4" xfId="13528"/>
    <cellStyle name="표준 218 3 3 4 2 4 2" xfId="30232"/>
    <cellStyle name="표준 218 3 3 4 2 5" xfId="19096"/>
    <cellStyle name="표준 218 3 3 4 3" xfId="3784"/>
    <cellStyle name="표준 218 3 3 4 3 2" xfId="9352"/>
    <cellStyle name="표준 218 3 3 4 3 2 2" xfId="26056"/>
    <cellStyle name="표준 218 3 3 4 3 3" xfId="14920"/>
    <cellStyle name="표준 218 3 3 4 3 3 2" xfId="31624"/>
    <cellStyle name="표준 218 3 3 4 3 4" xfId="20488"/>
    <cellStyle name="표준 218 3 3 4 4" xfId="6568"/>
    <cellStyle name="표준 218 3 3 4 4 2" xfId="23272"/>
    <cellStyle name="표준 218 3 3 4 5" xfId="12136"/>
    <cellStyle name="표준 218 3 3 4 5 2" xfId="28840"/>
    <cellStyle name="표준 218 3 3 4 6" xfId="17704"/>
    <cellStyle name="표준 218 3 3 5" xfId="1696"/>
    <cellStyle name="표준 218 3 3 5 2" xfId="4480"/>
    <cellStyle name="표준 218 3 3 5 2 2" xfId="10048"/>
    <cellStyle name="표준 218 3 3 5 2 2 2" xfId="26752"/>
    <cellStyle name="표준 218 3 3 5 2 3" xfId="15616"/>
    <cellStyle name="표준 218 3 3 5 2 3 2" xfId="32320"/>
    <cellStyle name="표준 218 3 3 5 2 4" xfId="21184"/>
    <cellStyle name="표준 218 3 3 5 3" xfId="7264"/>
    <cellStyle name="표준 218 3 3 5 3 2" xfId="23968"/>
    <cellStyle name="표준 218 3 3 5 4" xfId="12832"/>
    <cellStyle name="표준 218 3 3 5 4 2" xfId="29536"/>
    <cellStyle name="표준 218 3 3 5 5" xfId="18400"/>
    <cellStyle name="표준 218 3 3 6" xfId="3088"/>
    <cellStyle name="표준 218 3 3 6 2" xfId="8656"/>
    <cellStyle name="표준 218 3 3 6 2 2" xfId="25360"/>
    <cellStyle name="표준 218 3 3 6 3" xfId="14224"/>
    <cellStyle name="표준 218 3 3 6 3 2" xfId="30928"/>
    <cellStyle name="표준 218 3 3 6 4" xfId="19792"/>
    <cellStyle name="표준 218 3 3 7" xfId="5872"/>
    <cellStyle name="표준 218 3 3 7 2" xfId="22576"/>
    <cellStyle name="표준 218 3 3 8" xfId="11440"/>
    <cellStyle name="표준 218 3 3 8 2" xfId="28144"/>
    <cellStyle name="표준 218 3 3 9" xfId="17008"/>
    <cellStyle name="표준 218 3 4" xfId="420"/>
    <cellStyle name="표준 218 3 4 2" xfId="1116"/>
    <cellStyle name="표준 218 3 4 2 2" xfId="2508"/>
    <cellStyle name="표준 218 3 4 2 2 2" xfId="5292"/>
    <cellStyle name="표준 218 3 4 2 2 2 2" xfId="10860"/>
    <cellStyle name="표준 218 3 4 2 2 2 2 2" xfId="27564"/>
    <cellStyle name="표준 218 3 4 2 2 2 3" xfId="16428"/>
    <cellStyle name="표준 218 3 4 2 2 2 3 2" xfId="33132"/>
    <cellStyle name="표준 218 3 4 2 2 2 4" xfId="21996"/>
    <cellStyle name="표준 218 3 4 2 2 3" xfId="8076"/>
    <cellStyle name="표준 218 3 4 2 2 3 2" xfId="24780"/>
    <cellStyle name="표준 218 3 4 2 2 4" xfId="13644"/>
    <cellStyle name="표준 218 3 4 2 2 4 2" xfId="30348"/>
    <cellStyle name="표준 218 3 4 2 2 5" xfId="19212"/>
    <cellStyle name="표준 218 3 4 2 3" xfId="3900"/>
    <cellStyle name="표준 218 3 4 2 3 2" xfId="9468"/>
    <cellStyle name="표준 218 3 4 2 3 2 2" xfId="26172"/>
    <cellStyle name="표준 218 3 4 2 3 3" xfId="15036"/>
    <cellStyle name="표준 218 3 4 2 3 3 2" xfId="31740"/>
    <cellStyle name="표준 218 3 4 2 3 4" xfId="20604"/>
    <cellStyle name="표준 218 3 4 2 4" xfId="6684"/>
    <cellStyle name="표준 218 3 4 2 4 2" xfId="23388"/>
    <cellStyle name="표준 218 3 4 2 5" xfId="12252"/>
    <cellStyle name="표준 218 3 4 2 5 2" xfId="28956"/>
    <cellStyle name="표준 218 3 4 2 6" xfId="17820"/>
    <cellStyle name="표준 218 3 4 3" xfId="1812"/>
    <cellStyle name="표준 218 3 4 3 2" xfId="4596"/>
    <cellStyle name="표준 218 3 4 3 2 2" xfId="10164"/>
    <cellStyle name="표준 218 3 4 3 2 2 2" xfId="26868"/>
    <cellStyle name="표준 218 3 4 3 2 3" xfId="15732"/>
    <cellStyle name="표준 218 3 4 3 2 3 2" xfId="32436"/>
    <cellStyle name="표준 218 3 4 3 2 4" xfId="21300"/>
    <cellStyle name="표준 218 3 4 3 3" xfId="7380"/>
    <cellStyle name="표준 218 3 4 3 3 2" xfId="24084"/>
    <cellStyle name="표준 218 3 4 3 4" xfId="12948"/>
    <cellStyle name="표준 218 3 4 3 4 2" xfId="29652"/>
    <cellStyle name="표준 218 3 4 3 5" xfId="18516"/>
    <cellStyle name="표준 218 3 4 4" xfId="3204"/>
    <cellStyle name="표준 218 3 4 4 2" xfId="8772"/>
    <cellStyle name="표준 218 3 4 4 2 2" xfId="25476"/>
    <cellStyle name="표준 218 3 4 4 3" xfId="14340"/>
    <cellStyle name="표준 218 3 4 4 3 2" xfId="31044"/>
    <cellStyle name="표준 218 3 4 4 4" xfId="19908"/>
    <cellStyle name="표준 218 3 4 5" xfId="5988"/>
    <cellStyle name="표준 218 3 4 5 2" xfId="22692"/>
    <cellStyle name="표준 218 3 4 6" xfId="11556"/>
    <cellStyle name="표준 218 3 4 6 2" xfId="28260"/>
    <cellStyle name="표준 218 3 4 7" xfId="17124"/>
    <cellStyle name="표준 218 3 5" xfId="652"/>
    <cellStyle name="표준 218 3 5 2" xfId="1348"/>
    <cellStyle name="표준 218 3 5 2 2" xfId="2740"/>
    <cellStyle name="표준 218 3 5 2 2 2" xfId="5524"/>
    <cellStyle name="표준 218 3 5 2 2 2 2" xfId="11092"/>
    <cellStyle name="표준 218 3 5 2 2 2 2 2" xfId="27796"/>
    <cellStyle name="표준 218 3 5 2 2 2 3" xfId="16660"/>
    <cellStyle name="표준 218 3 5 2 2 2 3 2" xfId="33364"/>
    <cellStyle name="표준 218 3 5 2 2 2 4" xfId="22228"/>
    <cellStyle name="표준 218 3 5 2 2 3" xfId="8308"/>
    <cellStyle name="표준 218 3 5 2 2 3 2" xfId="25012"/>
    <cellStyle name="표준 218 3 5 2 2 4" xfId="13876"/>
    <cellStyle name="표준 218 3 5 2 2 4 2" xfId="30580"/>
    <cellStyle name="표준 218 3 5 2 2 5" xfId="19444"/>
    <cellStyle name="표준 218 3 5 2 3" xfId="4132"/>
    <cellStyle name="표준 218 3 5 2 3 2" xfId="9700"/>
    <cellStyle name="표준 218 3 5 2 3 2 2" xfId="26404"/>
    <cellStyle name="표준 218 3 5 2 3 3" xfId="15268"/>
    <cellStyle name="표준 218 3 5 2 3 3 2" xfId="31972"/>
    <cellStyle name="표준 218 3 5 2 3 4" xfId="20836"/>
    <cellStyle name="표준 218 3 5 2 4" xfId="6916"/>
    <cellStyle name="표준 218 3 5 2 4 2" xfId="23620"/>
    <cellStyle name="표준 218 3 5 2 5" xfId="12484"/>
    <cellStyle name="표준 218 3 5 2 5 2" xfId="29188"/>
    <cellStyle name="표준 218 3 5 2 6" xfId="18052"/>
    <cellStyle name="표준 218 3 5 3" xfId="2044"/>
    <cellStyle name="표준 218 3 5 3 2" xfId="4828"/>
    <cellStyle name="표준 218 3 5 3 2 2" xfId="10396"/>
    <cellStyle name="표준 218 3 5 3 2 2 2" xfId="27100"/>
    <cellStyle name="표준 218 3 5 3 2 3" xfId="15964"/>
    <cellStyle name="표준 218 3 5 3 2 3 2" xfId="32668"/>
    <cellStyle name="표준 218 3 5 3 2 4" xfId="21532"/>
    <cellStyle name="표준 218 3 5 3 3" xfId="7612"/>
    <cellStyle name="표준 218 3 5 3 3 2" xfId="24316"/>
    <cellStyle name="표준 218 3 5 3 4" xfId="13180"/>
    <cellStyle name="표준 218 3 5 3 4 2" xfId="29884"/>
    <cellStyle name="표준 218 3 5 3 5" xfId="18748"/>
    <cellStyle name="표준 218 3 5 4" xfId="3436"/>
    <cellStyle name="표준 218 3 5 4 2" xfId="9004"/>
    <cellStyle name="표준 218 3 5 4 2 2" xfId="25708"/>
    <cellStyle name="표준 218 3 5 4 3" xfId="14572"/>
    <cellStyle name="표준 218 3 5 4 3 2" xfId="31276"/>
    <cellStyle name="표준 218 3 5 4 4" xfId="20140"/>
    <cellStyle name="표준 218 3 5 5" xfId="6220"/>
    <cellStyle name="표준 218 3 5 5 2" xfId="22924"/>
    <cellStyle name="표준 218 3 5 6" xfId="11788"/>
    <cellStyle name="표준 218 3 5 6 2" xfId="28492"/>
    <cellStyle name="표준 218 3 5 7" xfId="17356"/>
    <cellStyle name="표준 218 3 6" xfId="884"/>
    <cellStyle name="표준 218 3 6 2" xfId="2276"/>
    <cellStyle name="표준 218 3 6 2 2" xfId="5060"/>
    <cellStyle name="표준 218 3 6 2 2 2" xfId="10628"/>
    <cellStyle name="표준 218 3 6 2 2 2 2" xfId="27332"/>
    <cellStyle name="표준 218 3 6 2 2 3" xfId="16196"/>
    <cellStyle name="표준 218 3 6 2 2 3 2" xfId="32900"/>
    <cellStyle name="표준 218 3 6 2 2 4" xfId="21764"/>
    <cellStyle name="표준 218 3 6 2 3" xfId="7844"/>
    <cellStyle name="표준 218 3 6 2 3 2" xfId="24548"/>
    <cellStyle name="표준 218 3 6 2 4" xfId="13412"/>
    <cellStyle name="표준 218 3 6 2 4 2" xfId="30116"/>
    <cellStyle name="표준 218 3 6 2 5" xfId="18980"/>
    <cellStyle name="표준 218 3 6 3" xfId="3668"/>
    <cellStyle name="표준 218 3 6 3 2" xfId="9236"/>
    <cellStyle name="표준 218 3 6 3 2 2" xfId="25940"/>
    <cellStyle name="표준 218 3 6 3 3" xfId="14804"/>
    <cellStyle name="표준 218 3 6 3 3 2" xfId="31508"/>
    <cellStyle name="표준 218 3 6 3 4" xfId="20372"/>
    <cellStyle name="표준 218 3 6 4" xfId="6452"/>
    <cellStyle name="표준 218 3 6 4 2" xfId="23156"/>
    <cellStyle name="표준 218 3 6 5" xfId="12020"/>
    <cellStyle name="표준 218 3 6 5 2" xfId="28724"/>
    <cellStyle name="표준 218 3 6 6" xfId="17588"/>
    <cellStyle name="표준 218 3 7" xfId="1580"/>
    <cellStyle name="표준 218 3 7 2" xfId="4364"/>
    <cellStyle name="표준 218 3 7 2 2" xfId="9932"/>
    <cellStyle name="표준 218 3 7 2 2 2" xfId="26636"/>
    <cellStyle name="표준 218 3 7 2 3" xfId="15500"/>
    <cellStyle name="표준 218 3 7 2 3 2" xfId="32204"/>
    <cellStyle name="표준 218 3 7 2 4" xfId="21068"/>
    <cellStyle name="표준 218 3 7 3" xfId="7148"/>
    <cellStyle name="표준 218 3 7 3 2" xfId="23852"/>
    <cellStyle name="표준 218 3 7 4" xfId="12716"/>
    <cellStyle name="표준 218 3 7 4 2" xfId="29420"/>
    <cellStyle name="표준 218 3 7 5" xfId="18284"/>
    <cellStyle name="표준 218 3 8" xfId="2972"/>
    <cellStyle name="표준 218 3 8 2" xfId="8540"/>
    <cellStyle name="표준 218 3 8 2 2" xfId="25244"/>
    <cellStyle name="표준 218 3 8 3" xfId="14108"/>
    <cellStyle name="표준 218 3 8 3 2" xfId="30812"/>
    <cellStyle name="표준 218 3 8 4" xfId="19676"/>
    <cellStyle name="표준 218 3 9" xfId="5756"/>
    <cellStyle name="표준 218 3 9 2" xfId="22460"/>
    <cellStyle name="표준 218 4" xfId="217"/>
    <cellStyle name="표준 218 4 10" xfId="16921"/>
    <cellStyle name="표준 218 4 2" xfId="333"/>
    <cellStyle name="표준 218 4 2 2" xfId="565"/>
    <cellStyle name="표준 218 4 2 2 2" xfId="1261"/>
    <cellStyle name="표준 218 4 2 2 2 2" xfId="2653"/>
    <cellStyle name="표준 218 4 2 2 2 2 2" xfId="5437"/>
    <cellStyle name="표준 218 4 2 2 2 2 2 2" xfId="11005"/>
    <cellStyle name="표준 218 4 2 2 2 2 2 2 2" xfId="27709"/>
    <cellStyle name="표준 218 4 2 2 2 2 2 3" xfId="16573"/>
    <cellStyle name="표준 218 4 2 2 2 2 2 3 2" xfId="33277"/>
    <cellStyle name="표준 218 4 2 2 2 2 2 4" xfId="22141"/>
    <cellStyle name="표준 218 4 2 2 2 2 3" xfId="8221"/>
    <cellStyle name="표준 218 4 2 2 2 2 3 2" xfId="24925"/>
    <cellStyle name="표준 218 4 2 2 2 2 4" xfId="13789"/>
    <cellStyle name="표준 218 4 2 2 2 2 4 2" xfId="30493"/>
    <cellStyle name="표준 218 4 2 2 2 2 5" xfId="19357"/>
    <cellStyle name="표준 218 4 2 2 2 3" xfId="4045"/>
    <cellStyle name="표준 218 4 2 2 2 3 2" xfId="9613"/>
    <cellStyle name="표준 218 4 2 2 2 3 2 2" xfId="26317"/>
    <cellStyle name="표준 218 4 2 2 2 3 3" xfId="15181"/>
    <cellStyle name="표준 218 4 2 2 2 3 3 2" xfId="31885"/>
    <cellStyle name="표준 218 4 2 2 2 3 4" xfId="20749"/>
    <cellStyle name="표준 218 4 2 2 2 4" xfId="6829"/>
    <cellStyle name="표준 218 4 2 2 2 4 2" xfId="23533"/>
    <cellStyle name="표준 218 4 2 2 2 5" xfId="12397"/>
    <cellStyle name="표준 218 4 2 2 2 5 2" xfId="29101"/>
    <cellStyle name="표준 218 4 2 2 2 6" xfId="17965"/>
    <cellStyle name="표준 218 4 2 2 3" xfId="1957"/>
    <cellStyle name="표준 218 4 2 2 3 2" xfId="4741"/>
    <cellStyle name="표준 218 4 2 2 3 2 2" xfId="10309"/>
    <cellStyle name="표준 218 4 2 2 3 2 2 2" xfId="27013"/>
    <cellStyle name="표준 218 4 2 2 3 2 3" xfId="15877"/>
    <cellStyle name="표준 218 4 2 2 3 2 3 2" xfId="32581"/>
    <cellStyle name="표준 218 4 2 2 3 2 4" xfId="21445"/>
    <cellStyle name="표준 218 4 2 2 3 3" xfId="7525"/>
    <cellStyle name="표준 218 4 2 2 3 3 2" xfId="24229"/>
    <cellStyle name="표준 218 4 2 2 3 4" xfId="13093"/>
    <cellStyle name="표준 218 4 2 2 3 4 2" xfId="29797"/>
    <cellStyle name="표준 218 4 2 2 3 5" xfId="18661"/>
    <cellStyle name="표준 218 4 2 2 4" xfId="3349"/>
    <cellStyle name="표준 218 4 2 2 4 2" xfId="8917"/>
    <cellStyle name="표준 218 4 2 2 4 2 2" xfId="25621"/>
    <cellStyle name="표준 218 4 2 2 4 3" xfId="14485"/>
    <cellStyle name="표준 218 4 2 2 4 3 2" xfId="31189"/>
    <cellStyle name="표준 218 4 2 2 4 4" xfId="20053"/>
    <cellStyle name="표준 218 4 2 2 5" xfId="6133"/>
    <cellStyle name="표준 218 4 2 2 5 2" xfId="22837"/>
    <cellStyle name="표준 218 4 2 2 6" xfId="11701"/>
    <cellStyle name="표준 218 4 2 2 6 2" xfId="28405"/>
    <cellStyle name="표준 218 4 2 2 7" xfId="17269"/>
    <cellStyle name="표준 218 4 2 3" xfId="797"/>
    <cellStyle name="표준 218 4 2 3 2" xfId="1493"/>
    <cellStyle name="표준 218 4 2 3 2 2" xfId="2885"/>
    <cellStyle name="표준 218 4 2 3 2 2 2" xfId="5669"/>
    <cellStyle name="표준 218 4 2 3 2 2 2 2" xfId="11237"/>
    <cellStyle name="표준 218 4 2 3 2 2 2 2 2" xfId="27941"/>
    <cellStyle name="표준 218 4 2 3 2 2 2 3" xfId="16805"/>
    <cellStyle name="표준 218 4 2 3 2 2 2 3 2" xfId="33509"/>
    <cellStyle name="표준 218 4 2 3 2 2 2 4" xfId="22373"/>
    <cellStyle name="표준 218 4 2 3 2 2 3" xfId="8453"/>
    <cellStyle name="표준 218 4 2 3 2 2 3 2" xfId="25157"/>
    <cellStyle name="표준 218 4 2 3 2 2 4" xfId="14021"/>
    <cellStyle name="표준 218 4 2 3 2 2 4 2" xfId="30725"/>
    <cellStyle name="표준 218 4 2 3 2 2 5" xfId="19589"/>
    <cellStyle name="표준 218 4 2 3 2 3" xfId="4277"/>
    <cellStyle name="표준 218 4 2 3 2 3 2" xfId="9845"/>
    <cellStyle name="표준 218 4 2 3 2 3 2 2" xfId="26549"/>
    <cellStyle name="표준 218 4 2 3 2 3 3" xfId="15413"/>
    <cellStyle name="표준 218 4 2 3 2 3 3 2" xfId="32117"/>
    <cellStyle name="표준 218 4 2 3 2 3 4" xfId="20981"/>
    <cellStyle name="표준 218 4 2 3 2 4" xfId="7061"/>
    <cellStyle name="표준 218 4 2 3 2 4 2" xfId="23765"/>
    <cellStyle name="표준 218 4 2 3 2 5" xfId="12629"/>
    <cellStyle name="표준 218 4 2 3 2 5 2" xfId="29333"/>
    <cellStyle name="표준 218 4 2 3 2 6" xfId="18197"/>
    <cellStyle name="표준 218 4 2 3 3" xfId="2189"/>
    <cellStyle name="표준 218 4 2 3 3 2" xfId="4973"/>
    <cellStyle name="표준 218 4 2 3 3 2 2" xfId="10541"/>
    <cellStyle name="표준 218 4 2 3 3 2 2 2" xfId="27245"/>
    <cellStyle name="표준 218 4 2 3 3 2 3" xfId="16109"/>
    <cellStyle name="표준 218 4 2 3 3 2 3 2" xfId="32813"/>
    <cellStyle name="표준 218 4 2 3 3 2 4" xfId="21677"/>
    <cellStyle name="표준 218 4 2 3 3 3" xfId="7757"/>
    <cellStyle name="표준 218 4 2 3 3 3 2" xfId="24461"/>
    <cellStyle name="표준 218 4 2 3 3 4" xfId="13325"/>
    <cellStyle name="표준 218 4 2 3 3 4 2" xfId="30029"/>
    <cellStyle name="표준 218 4 2 3 3 5" xfId="18893"/>
    <cellStyle name="표준 218 4 2 3 4" xfId="3581"/>
    <cellStyle name="표준 218 4 2 3 4 2" xfId="9149"/>
    <cellStyle name="표준 218 4 2 3 4 2 2" xfId="25853"/>
    <cellStyle name="표준 218 4 2 3 4 3" xfId="14717"/>
    <cellStyle name="표준 218 4 2 3 4 3 2" xfId="31421"/>
    <cellStyle name="표준 218 4 2 3 4 4" xfId="20285"/>
    <cellStyle name="표준 218 4 2 3 5" xfId="6365"/>
    <cellStyle name="표준 218 4 2 3 5 2" xfId="23069"/>
    <cellStyle name="표준 218 4 2 3 6" xfId="11933"/>
    <cellStyle name="표준 218 4 2 3 6 2" xfId="28637"/>
    <cellStyle name="표준 218 4 2 3 7" xfId="17501"/>
    <cellStyle name="표준 218 4 2 4" xfId="1029"/>
    <cellStyle name="표준 218 4 2 4 2" xfId="2421"/>
    <cellStyle name="표준 218 4 2 4 2 2" xfId="5205"/>
    <cellStyle name="표준 218 4 2 4 2 2 2" xfId="10773"/>
    <cellStyle name="표준 218 4 2 4 2 2 2 2" xfId="27477"/>
    <cellStyle name="표준 218 4 2 4 2 2 3" xfId="16341"/>
    <cellStyle name="표준 218 4 2 4 2 2 3 2" xfId="33045"/>
    <cellStyle name="표준 218 4 2 4 2 2 4" xfId="21909"/>
    <cellStyle name="표준 218 4 2 4 2 3" xfId="7989"/>
    <cellStyle name="표준 218 4 2 4 2 3 2" xfId="24693"/>
    <cellStyle name="표준 218 4 2 4 2 4" xfId="13557"/>
    <cellStyle name="표준 218 4 2 4 2 4 2" xfId="30261"/>
    <cellStyle name="표준 218 4 2 4 2 5" xfId="19125"/>
    <cellStyle name="표준 218 4 2 4 3" xfId="3813"/>
    <cellStyle name="표준 218 4 2 4 3 2" xfId="9381"/>
    <cellStyle name="표준 218 4 2 4 3 2 2" xfId="26085"/>
    <cellStyle name="표준 218 4 2 4 3 3" xfId="14949"/>
    <cellStyle name="표준 218 4 2 4 3 3 2" xfId="31653"/>
    <cellStyle name="표준 218 4 2 4 3 4" xfId="20517"/>
    <cellStyle name="표준 218 4 2 4 4" xfId="6597"/>
    <cellStyle name="표준 218 4 2 4 4 2" xfId="23301"/>
    <cellStyle name="표준 218 4 2 4 5" xfId="12165"/>
    <cellStyle name="표준 218 4 2 4 5 2" xfId="28869"/>
    <cellStyle name="표준 218 4 2 4 6" xfId="17733"/>
    <cellStyle name="표준 218 4 2 5" xfId="1725"/>
    <cellStyle name="표준 218 4 2 5 2" xfId="4509"/>
    <cellStyle name="표준 218 4 2 5 2 2" xfId="10077"/>
    <cellStyle name="표준 218 4 2 5 2 2 2" xfId="26781"/>
    <cellStyle name="표준 218 4 2 5 2 3" xfId="15645"/>
    <cellStyle name="표준 218 4 2 5 2 3 2" xfId="32349"/>
    <cellStyle name="표준 218 4 2 5 2 4" xfId="21213"/>
    <cellStyle name="표준 218 4 2 5 3" xfId="7293"/>
    <cellStyle name="표준 218 4 2 5 3 2" xfId="23997"/>
    <cellStyle name="표준 218 4 2 5 4" xfId="12861"/>
    <cellStyle name="표준 218 4 2 5 4 2" xfId="29565"/>
    <cellStyle name="표준 218 4 2 5 5" xfId="18429"/>
    <cellStyle name="표준 218 4 2 6" xfId="3117"/>
    <cellStyle name="표준 218 4 2 6 2" xfId="8685"/>
    <cellStyle name="표준 218 4 2 6 2 2" xfId="25389"/>
    <cellStyle name="표준 218 4 2 6 3" xfId="14253"/>
    <cellStyle name="표준 218 4 2 6 3 2" xfId="30957"/>
    <cellStyle name="표준 218 4 2 6 4" xfId="19821"/>
    <cellStyle name="표준 218 4 2 7" xfId="5901"/>
    <cellStyle name="표준 218 4 2 7 2" xfId="22605"/>
    <cellStyle name="표준 218 4 2 8" xfId="11469"/>
    <cellStyle name="표준 218 4 2 8 2" xfId="28173"/>
    <cellStyle name="표준 218 4 2 9" xfId="17037"/>
    <cellStyle name="표준 218 4 3" xfId="449"/>
    <cellStyle name="표준 218 4 3 2" xfId="1145"/>
    <cellStyle name="표준 218 4 3 2 2" xfId="2537"/>
    <cellStyle name="표준 218 4 3 2 2 2" xfId="5321"/>
    <cellStyle name="표준 218 4 3 2 2 2 2" xfId="10889"/>
    <cellStyle name="표준 218 4 3 2 2 2 2 2" xfId="27593"/>
    <cellStyle name="표준 218 4 3 2 2 2 3" xfId="16457"/>
    <cellStyle name="표준 218 4 3 2 2 2 3 2" xfId="33161"/>
    <cellStyle name="표준 218 4 3 2 2 2 4" xfId="22025"/>
    <cellStyle name="표준 218 4 3 2 2 3" xfId="8105"/>
    <cellStyle name="표준 218 4 3 2 2 3 2" xfId="24809"/>
    <cellStyle name="표준 218 4 3 2 2 4" xfId="13673"/>
    <cellStyle name="표준 218 4 3 2 2 4 2" xfId="30377"/>
    <cellStyle name="표준 218 4 3 2 2 5" xfId="19241"/>
    <cellStyle name="표준 218 4 3 2 3" xfId="3929"/>
    <cellStyle name="표준 218 4 3 2 3 2" xfId="9497"/>
    <cellStyle name="표준 218 4 3 2 3 2 2" xfId="26201"/>
    <cellStyle name="표준 218 4 3 2 3 3" xfId="15065"/>
    <cellStyle name="표준 218 4 3 2 3 3 2" xfId="31769"/>
    <cellStyle name="표준 218 4 3 2 3 4" xfId="20633"/>
    <cellStyle name="표준 218 4 3 2 4" xfId="6713"/>
    <cellStyle name="표준 218 4 3 2 4 2" xfId="23417"/>
    <cellStyle name="표준 218 4 3 2 5" xfId="12281"/>
    <cellStyle name="표준 218 4 3 2 5 2" xfId="28985"/>
    <cellStyle name="표준 218 4 3 2 6" xfId="17849"/>
    <cellStyle name="표준 218 4 3 3" xfId="1841"/>
    <cellStyle name="표준 218 4 3 3 2" xfId="4625"/>
    <cellStyle name="표준 218 4 3 3 2 2" xfId="10193"/>
    <cellStyle name="표준 218 4 3 3 2 2 2" xfId="26897"/>
    <cellStyle name="표준 218 4 3 3 2 3" xfId="15761"/>
    <cellStyle name="표준 218 4 3 3 2 3 2" xfId="32465"/>
    <cellStyle name="표준 218 4 3 3 2 4" xfId="21329"/>
    <cellStyle name="표준 218 4 3 3 3" xfId="7409"/>
    <cellStyle name="표준 218 4 3 3 3 2" xfId="24113"/>
    <cellStyle name="표준 218 4 3 3 4" xfId="12977"/>
    <cellStyle name="표준 218 4 3 3 4 2" xfId="29681"/>
    <cellStyle name="표준 218 4 3 3 5" xfId="18545"/>
    <cellStyle name="표준 218 4 3 4" xfId="3233"/>
    <cellStyle name="표준 218 4 3 4 2" xfId="8801"/>
    <cellStyle name="표준 218 4 3 4 2 2" xfId="25505"/>
    <cellStyle name="표준 218 4 3 4 3" xfId="14369"/>
    <cellStyle name="표준 218 4 3 4 3 2" xfId="31073"/>
    <cellStyle name="표준 218 4 3 4 4" xfId="19937"/>
    <cellStyle name="표준 218 4 3 5" xfId="6017"/>
    <cellStyle name="표준 218 4 3 5 2" xfId="22721"/>
    <cellStyle name="표준 218 4 3 6" xfId="11585"/>
    <cellStyle name="표준 218 4 3 6 2" xfId="28289"/>
    <cellStyle name="표준 218 4 3 7" xfId="17153"/>
    <cellStyle name="표준 218 4 4" xfId="681"/>
    <cellStyle name="표준 218 4 4 2" xfId="1377"/>
    <cellStyle name="표준 218 4 4 2 2" xfId="2769"/>
    <cellStyle name="표준 218 4 4 2 2 2" xfId="5553"/>
    <cellStyle name="표준 218 4 4 2 2 2 2" xfId="11121"/>
    <cellStyle name="표준 218 4 4 2 2 2 2 2" xfId="27825"/>
    <cellStyle name="표준 218 4 4 2 2 2 3" xfId="16689"/>
    <cellStyle name="표준 218 4 4 2 2 2 3 2" xfId="33393"/>
    <cellStyle name="표준 218 4 4 2 2 2 4" xfId="22257"/>
    <cellStyle name="표준 218 4 4 2 2 3" xfId="8337"/>
    <cellStyle name="표준 218 4 4 2 2 3 2" xfId="25041"/>
    <cellStyle name="표준 218 4 4 2 2 4" xfId="13905"/>
    <cellStyle name="표준 218 4 4 2 2 4 2" xfId="30609"/>
    <cellStyle name="표준 218 4 4 2 2 5" xfId="19473"/>
    <cellStyle name="표준 218 4 4 2 3" xfId="4161"/>
    <cellStyle name="표준 218 4 4 2 3 2" xfId="9729"/>
    <cellStyle name="표준 218 4 4 2 3 2 2" xfId="26433"/>
    <cellStyle name="표준 218 4 4 2 3 3" xfId="15297"/>
    <cellStyle name="표준 218 4 4 2 3 3 2" xfId="32001"/>
    <cellStyle name="표준 218 4 4 2 3 4" xfId="20865"/>
    <cellStyle name="표준 218 4 4 2 4" xfId="6945"/>
    <cellStyle name="표준 218 4 4 2 4 2" xfId="23649"/>
    <cellStyle name="표준 218 4 4 2 5" xfId="12513"/>
    <cellStyle name="표준 218 4 4 2 5 2" xfId="29217"/>
    <cellStyle name="표준 218 4 4 2 6" xfId="18081"/>
    <cellStyle name="표준 218 4 4 3" xfId="2073"/>
    <cellStyle name="표준 218 4 4 3 2" xfId="4857"/>
    <cellStyle name="표준 218 4 4 3 2 2" xfId="10425"/>
    <cellStyle name="표준 218 4 4 3 2 2 2" xfId="27129"/>
    <cellStyle name="표준 218 4 4 3 2 3" xfId="15993"/>
    <cellStyle name="표준 218 4 4 3 2 3 2" xfId="32697"/>
    <cellStyle name="표준 218 4 4 3 2 4" xfId="21561"/>
    <cellStyle name="표준 218 4 4 3 3" xfId="7641"/>
    <cellStyle name="표준 218 4 4 3 3 2" xfId="24345"/>
    <cellStyle name="표준 218 4 4 3 4" xfId="13209"/>
    <cellStyle name="표준 218 4 4 3 4 2" xfId="29913"/>
    <cellStyle name="표준 218 4 4 3 5" xfId="18777"/>
    <cellStyle name="표준 218 4 4 4" xfId="3465"/>
    <cellStyle name="표준 218 4 4 4 2" xfId="9033"/>
    <cellStyle name="표준 218 4 4 4 2 2" xfId="25737"/>
    <cellStyle name="표준 218 4 4 4 3" xfId="14601"/>
    <cellStyle name="표준 218 4 4 4 3 2" xfId="31305"/>
    <cellStyle name="표준 218 4 4 4 4" xfId="20169"/>
    <cellStyle name="표준 218 4 4 5" xfId="6249"/>
    <cellStyle name="표준 218 4 4 5 2" xfId="22953"/>
    <cellStyle name="표준 218 4 4 6" xfId="11817"/>
    <cellStyle name="표준 218 4 4 6 2" xfId="28521"/>
    <cellStyle name="표준 218 4 4 7" xfId="17385"/>
    <cellStyle name="표준 218 4 5" xfId="913"/>
    <cellStyle name="표준 218 4 5 2" xfId="2305"/>
    <cellStyle name="표준 218 4 5 2 2" xfId="5089"/>
    <cellStyle name="표준 218 4 5 2 2 2" xfId="10657"/>
    <cellStyle name="표준 218 4 5 2 2 2 2" xfId="27361"/>
    <cellStyle name="표준 218 4 5 2 2 3" xfId="16225"/>
    <cellStyle name="표준 218 4 5 2 2 3 2" xfId="32929"/>
    <cellStyle name="표준 218 4 5 2 2 4" xfId="21793"/>
    <cellStyle name="표준 218 4 5 2 3" xfId="7873"/>
    <cellStyle name="표준 218 4 5 2 3 2" xfId="24577"/>
    <cellStyle name="표준 218 4 5 2 4" xfId="13441"/>
    <cellStyle name="표준 218 4 5 2 4 2" xfId="30145"/>
    <cellStyle name="표준 218 4 5 2 5" xfId="19009"/>
    <cellStyle name="표준 218 4 5 3" xfId="3697"/>
    <cellStyle name="표준 218 4 5 3 2" xfId="9265"/>
    <cellStyle name="표준 218 4 5 3 2 2" xfId="25969"/>
    <cellStyle name="표준 218 4 5 3 3" xfId="14833"/>
    <cellStyle name="표준 218 4 5 3 3 2" xfId="31537"/>
    <cellStyle name="표준 218 4 5 3 4" xfId="20401"/>
    <cellStyle name="표준 218 4 5 4" xfId="6481"/>
    <cellStyle name="표준 218 4 5 4 2" xfId="23185"/>
    <cellStyle name="표준 218 4 5 5" xfId="12049"/>
    <cellStyle name="표준 218 4 5 5 2" xfId="28753"/>
    <cellStyle name="표준 218 4 5 6" xfId="17617"/>
    <cellStyle name="표준 218 4 6" xfId="1609"/>
    <cellStyle name="표준 218 4 6 2" xfId="4393"/>
    <cellStyle name="표준 218 4 6 2 2" xfId="9961"/>
    <cellStyle name="표준 218 4 6 2 2 2" xfId="26665"/>
    <cellStyle name="표준 218 4 6 2 3" xfId="15529"/>
    <cellStyle name="표준 218 4 6 2 3 2" xfId="32233"/>
    <cellStyle name="표준 218 4 6 2 4" xfId="21097"/>
    <cellStyle name="표준 218 4 6 3" xfId="7177"/>
    <cellStyle name="표준 218 4 6 3 2" xfId="23881"/>
    <cellStyle name="표준 218 4 6 4" xfId="12745"/>
    <cellStyle name="표준 218 4 6 4 2" xfId="29449"/>
    <cellStyle name="표준 218 4 6 5" xfId="18313"/>
    <cellStyle name="표준 218 4 7" xfId="3001"/>
    <cellStyle name="표준 218 4 7 2" xfId="8569"/>
    <cellStyle name="표준 218 4 7 2 2" xfId="25273"/>
    <cellStyle name="표준 218 4 7 3" xfId="14137"/>
    <cellStyle name="표준 218 4 7 3 2" xfId="30841"/>
    <cellStyle name="표준 218 4 7 4" xfId="19705"/>
    <cellStyle name="표준 218 4 8" xfId="5785"/>
    <cellStyle name="표준 218 4 8 2" xfId="22489"/>
    <cellStyle name="표준 218 4 9" xfId="11353"/>
    <cellStyle name="표준 218 4 9 2" xfId="28057"/>
    <cellStyle name="표준 218 5" xfId="275"/>
    <cellStyle name="표준 218 5 2" xfId="507"/>
    <cellStyle name="표준 218 5 2 2" xfId="1203"/>
    <cellStyle name="표준 218 5 2 2 2" xfId="2595"/>
    <cellStyle name="표준 218 5 2 2 2 2" xfId="5379"/>
    <cellStyle name="표준 218 5 2 2 2 2 2" xfId="10947"/>
    <cellStyle name="표준 218 5 2 2 2 2 2 2" xfId="27651"/>
    <cellStyle name="표준 218 5 2 2 2 2 3" xfId="16515"/>
    <cellStyle name="표준 218 5 2 2 2 2 3 2" xfId="33219"/>
    <cellStyle name="표준 218 5 2 2 2 2 4" xfId="22083"/>
    <cellStyle name="표준 218 5 2 2 2 3" xfId="8163"/>
    <cellStyle name="표준 218 5 2 2 2 3 2" xfId="24867"/>
    <cellStyle name="표준 218 5 2 2 2 4" xfId="13731"/>
    <cellStyle name="표준 218 5 2 2 2 4 2" xfId="30435"/>
    <cellStyle name="표준 218 5 2 2 2 5" xfId="19299"/>
    <cellStyle name="표준 218 5 2 2 3" xfId="3987"/>
    <cellStyle name="표준 218 5 2 2 3 2" xfId="9555"/>
    <cellStyle name="표준 218 5 2 2 3 2 2" xfId="26259"/>
    <cellStyle name="표준 218 5 2 2 3 3" xfId="15123"/>
    <cellStyle name="표준 218 5 2 2 3 3 2" xfId="31827"/>
    <cellStyle name="표준 218 5 2 2 3 4" xfId="20691"/>
    <cellStyle name="표준 218 5 2 2 4" xfId="6771"/>
    <cellStyle name="표준 218 5 2 2 4 2" xfId="23475"/>
    <cellStyle name="표준 218 5 2 2 5" xfId="12339"/>
    <cellStyle name="표준 218 5 2 2 5 2" xfId="29043"/>
    <cellStyle name="표준 218 5 2 2 6" xfId="17907"/>
    <cellStyle name="표준 218 5 2 3" xfId="1899"/>
    <cellStyle name="표준 218 5 2 3 2" xfId="4683"/>
    <cellStyle name="표준 218 5 2 3 2 2" xfId="10251"/>
    <cellStyle name="표준 218 5 2 3 2 2 2" xfId="26955"/>
    <cellStyle name="표준 218 5 2 3 2 3" xfId="15819"/>
    <cellStyle name="표준 218 5 2 3 2 3 2" xfId="32523"/>
    <cellStyle name="표준 218 5 2 3 2 4" xfId="21387"/>
    <cellStyle name="표준 218 5 2 3 3" xfId="7467"/>
    <cellStyle name="표준 218 5 2 3 3 2" xfId="24171"/>
    <cellStyle name="표준 218 5 2 3 4" xfId="13035"/>
    <cellStyle name="표준 218 5 2 3 4 2" xfId="29739"/>
    <cellStyle name="표준 218 5 2 3 5" xfId="18603"/>
    <cellStyle name="표준 218 5 2 4" xfId="3291"/>
    <cellStyle name="표준 218 5 2 4 2" xfId="8859"/>
    <cellStyle name="표준 218 5 2 4 2 2" xfId="25563"/>
    <cellStyle name="표준 218 5 2 4 3" xfId="14427"/>
    <cellStyle name="표준 218 5 2 4 3 2" xfId="31131"/>
    <cellStyle name="표준 218 5 2 4 4" xfId="19995"/>
    <cellStyle name="표준 218 5 2 5" xfId="6075"/>
    <cellStyle name="표준 218 5 2 5 2" xfId="22779"/>
    <cellStyle name="표준 218 5 2 6" xfId="11643"/>
    <cellStyle name="표준 218 5 2 6 2" xfId="28347"/>
    <cellStyle name="표준 218 5 2 7" xfId="17211"/>
    <cellStyle name="표준 218 5 3" xfId="739"/>
    <cellStyle name="표준 218 5 3 2" xfId="1435"/>
    <cellStyle name="표준 218 5 3 2 2" xfId="2827"/>
    <cellStyle name="표준 218 5 3 2 2 2" xfId="5611"/>
    <cellStyle name="표준 218 5 3 2 2 2 2" xfId="11179"/>
    <cellStyle name="표준 218 5 3 2 2 2 2 2" xfId="27883"/>
    <cellStyle name="표준 218 5 3 2 2 2 3" xfId="16747"/>
    <cellStyle name="표준 218 5 3 2 2 2 3 2" xfId="33451"/>
    <cellStyle name="표준 218 5 3 2 2 2 4" xfId="22315"/>
    <cellStyle name="표준 218 5 3 2 2 3" xfId="8395"/>
    <cellStyle name="표준 218 5 3 2 2 3 2" xfId="25099"/>
    <cellStyle name="표준 218 5 3 2 2 4" xfId="13963"/>
    <cellStyle name="표준 218 5 3 2 2 4 2" xfId="30667"/>
    <cellStyle name="표준 218 5 3 2 2 5" xfId="19531"/>
    <cellStyle name="표준 218 5 3 2 3" xfId="4219"/>
    <cellStyle name="표준 218 5 3 2 3 2" xfId="9787"/>
    <cellStyle name="표준 218 5 3 2 3 2 2" xfId="26491"/>
    <cellStyle name="표준 218 5 3 2 3 3" xfId="15355"/>
    <cellStyle name="표준 218 5 3 2 3 3 2" xfId="32059"/>
    <cellStyle name="표준 218 5 3 2 3 4" xfId="20923"/>
    <cellStyle name="표준 218 5 3 2 4" xfId="7003"/>
    <cellStyle name="표준 218 5 3 2 4 2" xfId="23707"/>
    <cellStyle name="표준 218 5 3 2 5" xfId="12571"/>
    <cellStyle name="표준 218 5 3 2 5 2" xfId="29275"/>
    <cellStyle name="표준 218 5 3 2 6" xfId="18139"/>
    <cellStyle name="표준 218 5 3 3" xfId="2131"/>
    <cellStyle name="표준 218 5 3 3 2" xfId="4915"/>
    <cellStyle name="표준 218 5 3 3 2 2" xfId="10483"/>
    <cellStyle name="표준 218 5 3 3 2 2 2" xfId="27187"/>
    <cellStyle name="표준 218 5 3 3 2 3" xfId="16051"/>
    <cellStyle name="표준 218 5 3 3 2 3 2" xfId="32755"/>
    <cellStyle name="표준 218 5 3 3 2 4" xfId="21619"/>
    <cellStyle name="표준 218 5 3 3 3" xfId="7699"/>
    <cellStyle name="표준 218 5 3 3 3 2" xfId="24403"/>
    <cellStyle name="표준 218 5 3 3 4" xfId="13267"/>
    <cellStyle name="표준 218 5 3 3 4 2" xfId="29971"/>
    <cellStyle name="표준 218 5 3 3 5" xfId="18835"/>
    <cellStyle name="표준 218 5 3 4" xfId="3523"/>
    <cellStyle name="표준 218 5 3 4 2" xfId="9091"/>
    <cellStyle name="표준 218 5 3 4 2 2" xfId="25795"/>
    <cellStyle name="표준 218 5 3 4 3" xfId="14659"/>
    <cellStyle name="표준 218 5 3 4 3 2" xfId="31363"/>
    <cellStyle name="표준 218 5 3 4 4" xfId="20227"/>
    <cellStyle name="표준 218 5 3 5" xfId="6307"/>
    <cellStyle name="표준 218 5 3 5 2" xfId="23011"/>
    <cellStyle name="표준 218 5 3 6" xfId="11875"/>
    <cellStyle name="표준 218 5 3 6 2" xfId="28579"/>
    <cellStyle name="표준 218 5 3 7" xfId="17443"/>
    <cellStyle name="표준 218 5 4" xfId="971"/>
    <cellStyle name="표준 218 5 4 2" xfId="2363"/>
    <cellStyle name="표준 218 5 4 2 2" xfId="5147"/>
    <cellStyle name="표준 218 5 4 2 2 2" xfId="10715"/>
    <cellStyle name="표준 218 5 4 2 2 2 2" xfId="27419"/>
    <cellStyle name="표준 218 5 4 2 2 3" xfId="16283"/>
    <cellStyle name="표준 218 5 4 2 2 3 2" xfId="32987"/>
    <cellStyle name="표준 218 5 4 2 2 4" xfId="21851"/>
    <cellStyle name="표준 218 5 4 2 3" xfId="7931"/>
    <cellStyle name="표준 218 5 4 2 3 2" xfId="24635"/>
    <cellStyle name="표준 218 5 4 2 4" xfId="13499"/>
    <cellStyle name="표준 218 5 4 2 4 2" xfId="30203"/>
    <cellStyle name="표준 218 5 4 2 5" xfId="19067"/>
    <cellStyle name="표준 218 5 4 3" xfId="3755"/>
    <cellStyle name="표준 218 5 4 3 2" xfId="9323"/>
    <cellStyle name="표준 218 5 4 3 2 2" xfId="26027"/>
    <cellStyle name="표준 218 5 4 3 3" xfId="14891"/>
    <cellStyle name="표준 218 5 4 3 3 2" xfId="31595"/>
    <cellStyle name="표준 218 5 4 3 4" xfId="20459"/>
    <cellStyle name="표준 218 5 4 4" xfId="6539"/>
    <cellStyle name="표준 218 5 4 4 2" xfId="23243"/>
    <cellStyle name="표준 218 5 4 5" xfId="12107"/>
    <cellStyle name="표준 218 5 4 5 2" xfId="28811"/>
    <cellStyle name="표준 218 5 4 6" xfId="17675"/>
    <cellStyle name="표준 218 5 5" xfId="1667"/>
    <cellStyle name="표준 218 5 5 2" xfId="4451"/>
    <cellStyle name="표준 218 5 5 2 2" xfId="10019"/>
    <cellStyle name="표준 218 5 5 2 2 2" xfId="26723"/>
    <cellStyle name="표준 218 5 5 2 3" xfId="15587"/>
    <cellStyle name="표준 218 5 5 2 3 2" xfId="32291"/>
    <cellStyle name="표준 218 5 5 2 4" xfId="21155"/>
    <cellStyle name="표준 218 5 5 3" xfId="7235"/>
    <cellStyle name="표준 218 5 5 3 2" xfId="23939"/>
    <cellStyle name="표준 218 5 5 4" xfId="12803"/>
    <cellStyle name="표준 218 5 5 4 2" xfId="29507"/>
    <cellStyle name="표준 218 5 5 5" xfId="18371"/>
    <cellStyle name="표준 218 5 6" xfId="3059"/>
    <cellStyle name="표준 218 5 6 2" xfId="8627"/>
    <cellStyle name="표준 218 5 6 2 2" xfId="25331"/>
    <cellStyle name="표준 218 5 6 3" xfId="14195"/>
    <cellStyle name="표준 218 5 6 3 2" xfId="30899"/>
    <cellStyle name="표준 218 5 6 4" xfId="19763"/>
    <cellStyle name="표준 218 5 7" xfId="5843"/>
    <cellStyle name="표준 218 5 7 2" xfId="22547"/>
    <cellStyle name="표준 218 5 8" xfId="11411"/>
    <cellStyle name="표준 218 5 8 2" xfId="28115"/>
    <cellStyle name="표준 218 5 9" xfId="16979"/>
    <cellStyle name="표준 218 6" xfId="391"/>
    <cellStyle name="표준 218 6 2" xfId="1087"/>
    <cellStyle name="표준 218 6 2 2" xfId="2479"/>
    <cellStyle name="표준 218 6 2 2 2" xfId="5263"/>
    <cellStyle name="표준 218 6 2 2 2 2" xfId="10831"/>
    <cellStyle name="표준 218 6 2 2 2 2 2" xfId="27535"/>
    <cellStyle name="표준 218 6 2 2 2 3" xfId="16399"/>
    <cellStyle name="표준 218 6 2 2 2 3 2" xfId="33103"/>
    <cellStyle name="표준 218 6 2 2 2 4" xfId="21967"/>
    <cellStyle name="표준 218 6 2 2 3" xfId="8047"/>
    <cellStyle name="표준 218 6 2 2 3 2" xfId="24751"/>
    <cellStyle name="표준 218 6 2 2 4" xfId="13615"/>
    <cellStyle name="표준 218 6 2 2 4 2" xfId="30319"/>
    <cellStyle name="표준 218 6 2 2 5" xfId="19183"/>
    <cellStyle name="표준 218 6 2 3" xfId="3871"/>
    <cellStyle name="표준 218 6 2 3 2" xfId="9439"/>
    <cellStyle name="표준 218 6 2 3 2 2" xfId="26143"/>
    <cellStyle name="표준 218 6 2 3 3" xfId="15007"/>
    <cellStyle name="표준 218 6 2 3 3 2" xfId="31711"/>
    <cellStyle name="표준 218 6 2 3 4" xfId="20575"/>
    <cellStyle name="표준 218 6 2 4" xfId="6655"/>
    <cellStyle name="표준 218 6 2 4 2" xfId="23359"/>
    <cellStyle name="표준 218 6 2 5" xfId="12223"/>
    <cellStyle name="표준 218 6 2 5 2" xfId="28927"/>
    <cellStyle name="표준 218 6 2 6" xfId="17791"/>
    <cellStyle name="표준 218 6 3" xfId="1783"/>
    <cellStyle name="표준 218 6 3 2" xfId="4567"/>
    <cellStyle name="표준 218 6 3 2 2" xfId="10135"/>
    <cellStyle name="표준 218 6 3 2 2 2" xfId="26839"/>
    <cellStyle name="표준 218 6 3 2 3" xfId="15703"/>
    <cellStyle name="표준 218 6 3 2 3 2" xfId="32407"/>
    <cellStyle name="표준 218 6 3 2 4" xfId="21271"/>
    <cellStyle name="표준 218 6 3 3" xfId="7351"/>
    <cellStyle name="표준 218 6 3 3 2" xfId="24055"/>
    <cellStyle name="표준 218 6 3 4" xfId="12919"/>
    <cellStyle name="표준 218 6 3 4 2" xfId="29623"/>
    <cellStyle name="표준 218 6 3 5" xfId="18487"/>
    <cellStyle name="표준 218 6 4" xfId="3175"/>
    <cellStyle name="표준 218 6 4 2" xfId="8743"/>
    <cellStyle name="표준 218 6 4 2 2" xfId="25447"/>
    <cellStyle name="표준 218 6 4 3" xfId="14311"/>
    <cellStyle name="표준 218 6 4 3 2" xfId="31015"/>
    <cellStyle name="표준 218 6 4 4" xfId="19879"/>
    <cellStyle name="표준 218 6 5" xfId="5959"/>
    <cellStyle name="표준 218 6 5 2" xfId="22663"/>
    <cellStyle name="표준 218 6 6" xfId="11527"/>
    <cellStyle name="표준 218 6 6 2" xfId="28231"/>
    <cellStyle name="표준 218 6 7" xfId="17095"/>
    <cellStyle name="표준 218 7" xfId="623"/>
    <cellStyle name="표준 218 7 2" xfId="1319"/>
    <cellStyle name="표준 218 7 2 2" xfId="2711"/>
    <cellStyle name="표준 218 7 2 2 2" xfId="5495"/>
    <cellStyle name="표준 218 7 2 2 2 2" xfId="11063"/>
    <cellStyle name="표준 218 7 2 2 2 2 2" xfId="27767"/>
    <cellStyle name="표준 218 7 2 2 2 3" xfId="16631"/>
    <cellStyle name="표준 218 7 2 2 2 3 2" xfId="33335"/>
    <cellStyle name="표준 218 7 2 2 2 4" xfId="22199"/>
    <cellStyle name="표준 218 7 2 2 3" xfId="8279"/>
    <cellStyle name="표준 218 7 2 2 3 2" xfId="24983"/>
    <cellStyle name="표준 218 7 2 2 4" xfId="13847"/>
    <cellStyle name="표준 218 7 2 2 4 2" xfId="30551"/>
    <cellStyle name="표준 218 7 2 2 5" xfId="19415"/>
    <cellStyle name="표준 218 7 2 3" xfId="4103"/>
    <cellStyle name="표준 218 7 2 3 2" xfId="9671"/>
    <cellStyle name="표준 218 7 2 3 2 2" xfId="26375"/>
    <cellStyle name="표준 218 7 2 3 3" xfId="15239"/>
    <cellStyle name="표준 218 7 2 3 3 2" xfId="31943"/>
    <cellStyle name="표준 218 7 2 3 4" xfId="20807"/>
    <cellStyle name="표준 218 7 2 4" xfId="6887"/>
    <cellStyle name="표준 218 7 2 4 2" xfId="23591"/>
    <cellStyle name="표준 218 7 2 5" xfId="12455"/>
    <cellStyle name="표준 218 7 2 5 2" xfId="29159"/>
    <cellStyle name="표준 218 7 2 6" xfId="18023"/>
    <cellStyle name="표준 218 7 3" xfId="2015"/>
    <cellStyle name="표준 218 7 3 2" xfId="4799"/>
    <cellStyle name="표준 218 7 3 2 2" xfId="10367"/>
    <cellStyle name="표준 218 7 3 2 2 2" xfId="27071"/>
    <cellStyle name="표준 218 7 3 2 3" xfId="15935"/>
    <cellStyle name="표준 218 7 3 2 3 2" xfId="32639"/>
    <cellStyle name="표준 218 7 3 2 4" xfId="21503"/>
    <cellStyle name="표준 218 7 3 3" xfId="7583"/>
    <cellStyle name="표준 218 7 3 3 2" xfId="24287"/>
    <cellStyle name="표준 218 7 3 4" xfId="13151"/>
    <cellStyle name="표준 218 7 3 4 2" xfId="29855"/>
    <cellStyle name="표준 218 7 3 5" xfId="18719"/>
    <cellStyle name="표준 218 7 4" xfId="3407"/>
    <cellStyle name="표준 218 7 4 2" xfId="8975"/>
    <cellStyle name="표준 218 7 4 2 2" xfId="25679"/>
    <cellStyle name="표준 218 7 4 3" xfId="14543"/>
    <cellStyle name="표준 218 7 4 3 2" xfId="31247"/>
    <cellStyle name="표준 218 7 4 4" xfId="20111"/>
    <cellStyle name="표준 218 7 5" xfId="6191"/>
    <cellStyle name="표준 218 7 5 2" xfId="22895"/>
    <cellStyle name="표준 218 7 6" xfId="11759"/>
    <cellStyle name="표준 218 7 6 2" xfId="28463"/>
    <cellStyle name="표준 218 7 7" xfId="17327"/>
    <cellStyle name="표준 218 8" xfId="855"/>
    <cellStyle name="표준 218 8 2" xfId="2247"/>
    <cellStyle name="표준 218 8 2 2" xfId="5031"/>
    <cellStyle name="표준 218 8 2 2 2" xfId="10599"/>
    <cellStyle name="표준 218 8 2 2 2 2" xfId="27303"/>
    <cellStyle name="표준 218 8 2 2 3" xfId="16167"/>
    <cellStyle name="표준 218 8 2 2 3 2" xfId="32871"/>
    <cellStyle name="표준 218 8 2 2 4" xfId="21735"/>
    <cellStyle name="표준 218 8 2 3" xfId="7815"/>
    <cellStyle name="표준 218 8 2 3 2" xfId="24519"/>
    <cellStyle name="표준 218 8 2 4" xfId="13383"/>
    <cellStyle name="표준 218 8 2 4 2" xfId="30087"/>
    <cellStyle name="표준 218 8 2 5" xfId="18951"/>
    <cellStyle name="표준 218 8 3" xfId="3639"/>
    <cellStyle name="표준 218 8 3 2" xfId="9207"/>
    <cellStyle name="표준 218 8 3 2 2" xfId="25911"/>
    <cellStyle name="표준 218 8 3 3" xfId="14775"/>
    <cellStyle name="표준 218 8 3 3 2" xfId="31479"/>
    <cellStyle name="표준 218 8 3 4" xfId="20343"/>
    <cellStyle name="표준 218 8 4" xfId="6423"/>
    <cellStyle name="표준 218 8 4 2" xfId="23127"/>
    <cellStyle name="표준 218 8 5" xfId="11991"/>
    <cellStyle name="표준 218 8 5 2" xfId="28695"/>
    <cellStyle name="표준 218 8 6" xfId="17559"/>
    <cellStyle name="표준 218 9" xfId="1551"/>
    <cellStyle name="표준 218 9 2" xfId="4335"/>
    <cellStyle name="표준 218 9 2 2" xfId="9903"/>
    <cellStyle name="표준 218 9 2 2 2" xfId="26607"/>
    <cellStyle name="표준 218 9 2 3" xfId="15471"/>
    <cellStyle name="표준 218 9 2 3 2" xfId="32175"/>
    <cellStyle name="표준 218 9 2 4" xfId="21039"/>
    <cellStyle name="표준 218 9 3" xfId="7119"/>
    <cellStyle name="표준 218 9 3 2" xfId="23823"/>
    <cellStyle name="표준 218 9 4" xfId="12687"/>
    <cellStyle name="표준 218 9 4 2" xfId="29391"/>
    <cellStyle name="표준 218 9 5" xfId="18255"/>
    <cellStyle name="표준 3" xfId="4"/>
    <cellStyle name="표준 3 10" xfId="256"/>
    <cellStyle name="표준 3 10 2" xfId="488"/>
    <cellStyle name="표준 3 10 2 2" xfId="1184"/>
    <cellStyle name="표준 3 10 2 2 2" xfId="2576"/>
    <cellStyle name="표준 3 10 2 2 2 2" xfId="5360"/>
    <cellStyle name="표준 3 10 2 2 2 2 2" xfId="10928"/>
    <cellStyle name="표준 3 10 2 2 2 2 2 2" xfId="27632"/>
    <cellStyle name="표준 3 10 2 2 2 2 3" xfId="16496"/>
    <cellStyle name="표준 3 10 2 2 2 2 3 2" xfId="33200"/>
    <cellStyle name="표준 3 10 2 2 2 2 4" xfId="22064"/>
    <cellStyle name="표준 3 10 2 2 2 3" xfId="8144"/>
    <cellStyle name="표준 3 10 2 2 2 3 2" xfId="24848"/>
    <cellStyle name="표준 3 10 2 2 2 4" xfId="13712"/>
    <cellStyle name="표준 3 10 2 2 2 4 2" xfId="30416"/>
    <cellStyle name="표준 3 10 2 2 2 5" xfId="19280"/>
    <cellStyle name="표준 3 10 2 2 3" xfId="3968"/>
    <cellStyle name="표준 3 10 2 2 3 2" xfId="9536"/>
    <cellStyle name="표준 3 10 2 2 3 2 2" xfId="26240"/>
    <cellStyle name="표준 3 10 2 2 3 3" xfId="15104"/>
    <cellStyle name="표준 3 10 2 2 3 3 2" xfId="31808"/>
    <cellStyle name="표준 3 10 2 2 3 4" xfId="20672"/>
    <cellStyle name="표준 3 10 2 2 4" xfId="6752"/>
    <cellStyle name="표준 3 10 2 2 4 2" xfId="23456"/>
    <cellStyle name="표준 3 10 2 2 5" xfId="12320"/>
    <cellStyle name="표준 3 10 2 2 5 2" xfId="29024"/>
    <cellStyle name="표준 3 10 2 2 6" xfId="17888"/>
    <cellStyle name="표준 3 10 2 3" xfId="1880"/>
    <cellStyle name="표준 3 10 2 3 2" xfId="4664"/>
    <cellStyle name="표준 3 10 2 3 2 2" xfId="10232"/>
    <cellStyle name="표준 3 10 2 3 2 2 2" xfId="26936"/>
    <cellStyle name="표준 3 10 2 3 2 3" xfId="15800"/>
    <cellStyle name="표준 3 10 2 3 2 3 2" xfId="32504"/>
    <cellStyle name="표준 3 10 2 3 2 4" xfId="21368"/>
    <cellStyle name="표준 3 10 2 3 3" xfId="7448"/>
    <cellStyle name="표준 3 10 2 3 3 2" xfId="24152"/>
    <cellStyle name="표준 3 10 2 3 4" xfId="13016"/>
    <cellStyle name="표준 3 10 2 3 4 2" xfId="29720"/>
    <cellStyle name="표준 3 10 2 3 5" xfId="18584"/>
    <cellStyle name="표준 3 10 2 4" xfId="3272"/>
    <cellStyle name="표준 3 10 2 4 2" xfId="8840"/>
    <cellStyle name="표준 3 10 2 4 2 2" xfId="25544"/>
    <cellStyle name="표준 3 10 2 4 3" xfId="14408"/>
    <cellStyle name="표준 3 10 2 4 3 2" xfId="31112"/>
    <cellStyle name="표준 3 10 2 4 4" xfId="19976"/>
    <cellStyle name="표준 3 10 2 5" xfId="6056"/>
    <cellStyle name="표준 3 10 2 5 2" xfId="22760"/>
    <cellStyle name="표준 3 10 2 6" xfId="11624"/>
    <cellStyle name="표준 3 10 2 6 2" xfId="28328"/>
    <cellStyle name="표준 3 10 2 7" xfId="17192"/>
    <cellStyle name="표준 3 10 3" xfId="720"/>
    <cellStyle name="표준 3 10 3 2" xfId="1416"/>
    <cellStyle name="표준 3 10 3 2 2" xfId="2808"/>
    <cellStyle name="표준 3 10 3 2 2 2" xfId="5592"/>
    <cellStyle name="표준 3 10 3 2 2 2 2" xfId="11160"/>
    <cellStyle name="표준 3 10 3 2 2 2 2 2" xfId="27864"/>
    <cellStyle name="표준 3 10 3 2 2 2 3" xfId="16728"/>
    <cellStyle name="표준 3 10 3 2 2 2 3 2" xfId="33432"/>
    <cellStyle name="표준 3 10 3 2 2 2 4" xfId="22296"/>
    <cellStyle name="표준 3 10 3 2 2 3" xfId="8376"/>
    <cellStyle name="표준 3 10 3 2 2 3 2" xfId="25080"/>
    <cellStyle name="표준 3 10 3 2 2 4" xfId="13944"/>
    <cellStyle name="표준 3 10 3 2 2 4 2" xfId="30648"/>
    <cellStyle name="표준 3 10 3 2 2 5" xfId="19512"/>
    <cellStyle name="표준 3 10 3 2 3" xfId="4200"/>
    <cellStyle name="표준 3 10 3 2 3 2" xfId="9768"/>
    <cellStyle name="표준 3 10 3 2 3 2 2" xfId="26472"/>
    <cellStyle name="표준 3 10 3 2 3 3" xfId="15336"/>
    <cellStyle name="표준 3 10 3 2 3 3 2" xfId="32040"/>
    <cellStyle name="표준 3 10 3 2 3 4" xfId="20904"/>
    <cellStyle name="표준 3 10 3 2 4" xfId="6984"/>
    <cellStyle name="표준 3 10 3 2 4 2" xfId="23688"/>
    <cellStyle name="표준 3 10 3 2 5" xfId="12552"/>
    <cellStyle name="표준 3 10 3 2 5 2" xfId="29256"/>
    <cellStyle name="표준 3 10 3 2 6" xfId="18120"/>
    <cellStyle name="표준 3 10 3 3" xfId="2112"/>
    <cellStyle name="표준 3 10 3 3 2" xfId="4896"/>
    <cellStyle name="표준 3 10 3 3 2 2" xfId="10464"/>
    <cellStyle name="표준 3 10 3 3 2 2 2" xfId="27168"/>
    <cellStyle name="표준 3 10 3 3 2 3" xfId="16032"/>
    <cellStyle name="표준 3 10 3 3 2 3 2" xfId="32736"/>
    <cellStyle name="표준 3 10 3 3 2 4" xfId="21600"/>
    <cellStyle name="표준 3 10 3 3 3" xfId="7680"/>
    <cellStyle name="표준 3 10 3 3 3 2" xfId="24384"/>
    <cellStyle name="표준 3 10 3 3 4" xfId="13248"/>
    <cellStyle name="표준 3 10 3 3 4 2" xfId="29952"/>
    <cellStyle name="표준 3 10 3 3 5" xfId="18816"/>
    <cellStyle name="표준 3 10 3 4" xfId="3504"/>
    <cellStyle name="표준 3 10 3 4 2" xfId="9072"/>
    <cellStyle name="표준 3 10 3 4 2 2" xfId="25776"/>
    <cellStyle name="표준 3 10 3 4 3" xfId="14640"/>
    <cellStyle name="표준 3 10 3 4 3 2" xfId="31344"/>
    <cellStyle name="표준 3 10 3 4 4" xfId="20208"/>
    <cellStyle name="표준 3 10 3 5" xfId="6288"/>
    <cellStyle name="표준 3 10 3 5 2" xfId="22992"/>
    <cellStyle name="표준 3 10 3 6" xfId="11856"/>
    <cellStyle name="표준 3 10 3 6 2" xfId="28560"/>
    <cellStyle name="표준 3 10 3 7" xfId="17424"/>
    <cellStyle name="표준 3 10 4" xfId="952"/>
    <cellStyle name="표준 3 10 4 2" xfId="2344"/>
    <cellStyle name="표준 3 10 4 2 2" xfId="5128"/>
    <cellStyle name="표준 3 10 4 2 2 2" xfId="10696"/>
    <cellStyle name="표준 3 10 4 2 2 2 2" xfId="27400"/>
    <cellStyle name="표준 3 10 4 2 2 3" xfId="16264"/>
    <cellStyle name="표준 3 10 4 2 2 3 2" xfId="32968"/>
    <cellStyle name="표준 3 10 4 2 2 4" xfId="21832"/>
    <cellStyle name="표준 3 10 4 2 3" xfId="7912"/>
    <cellStyle name="표준 3 10 4 2 3 2" xfId="24616"/>
    <cellStyle name="표준 3 10 4 2 4" xfId="13480"/>
    <cellStyle name="표준 3 10 4 2 4 2" xfId="30184"/>
    <cellStyle name="표준 3 10 4 2 5" xfId="19048"/>
    <cellStyle name="표준 3 10 4 3" xfId="3736"/>
    <cellStyle name="표준 3 10 4 3 2" xfId="9304"/>
    <cellStyle name="표준 3 10 4 3 2 2" xfId="26008"/>
    <cellStyle name="표준 3 10 4 3 3" xfId="14872"/>
    <cellStyle name="표준 3 10 4 3 3 2" xfId="31576"/>
    <cellStyle name="표준 3 10 4 3 4" xfId="20440"/>
    <cellStyle name="표준 3 10 4 4" xfId="6520"/>
    <cellStyle name="표준 3 10 4 4 2" xfId="23224"/>
    <cellStyle name="표준 3 10 4 5" xfId="12088"/>
    <cellStyle name="표준 3 10 4 5 2" xfId="28792"/>
    <cellStyle name="표준 3 10 4 6" xfId="17656"/>
    <cellStyle name="표준 3 10 5" xfId="1648"/>
    <cellStyle name="표준 3 10 5 2" xfId="4432"/>
    <cellStyle name="표준 3 10 5 2 2" xfId="10000"/>
    <cellStyle name="표준 3 10 5 2 2 2" xfId="26704"/>
    <cellStyle name="표준 3 10 5 2 3" xfId="15568"/>
    <cellStyle name="표준 3 10 5 2 3 2" xfId="32272"/>
    <cellStyle name="표준 3 10 5 2 4" xfId="21136"/>
    <cellStyle name="표준 3 10 5 3" xfId="7216"/>
    <cellStyle name="표준 3 10 5 3 2" xfId="23920"/>
    <cellStyle name="표준 3 10 5 4" xfId="12784"/>
    <cellStyle name="표준 3 10 5 4 2" xfId="29488"/>
    <cellStyle name="표준 3 10 5 5" xfId="18352"/>
    <cellStyle name="표준 3 10 6" xfId="3040"/>
    <cellStyle name="표준 3 10 6 2" xfId="8608"/>
    <cellStyle name="표준 3 10 6 2 2" xfId="25312"/>
    <cellStyle name="표준 3 10 6 3" xfId="14176"/>
    <cellStyle name="표준 3 10 6 3 2" xfId="30880"/>
    <cellStyle name="표준 3 10 6 4" xfId="19744"/>
    <cellStyle name="표준 3 10 7" xfId="5824"/>
    <cellStyle name="표준 3 10 7 2" xfId="22528"/>
    <cellStyle name="표준 3 10 8" xfId="11392"/>
    <cellStyle name="표준 3 10 8 2" xfId="28096"/>
    <cellStyle name="표준 3 10 9" xfId="16960"/>
    <cellStyle name="표준 3 11" xfId="372"/>
    <cellStyle name="표준 3 11 2" xfId="1068"/>
    <cellStyle name="표준 3 11 2 2" xfId="2460"/>
    <cellStyle name="표준 3 11 2 2 2" xfId="5244"/>
    <cellStyle name="표준 3 11 2 2 2 2" xfId="10812"/>
    <cellStyle name="표준 3 11 2 2 2 2 2" xfId="27516"/>
    <cellStyle name="표준 3 11 2 2 2 3" xfId="16380"/>
    <cellStyle name="표준 3 11 2 2 2 3 2" xfId="33084"/>
    <cellStyle name="표준 3 11 2 2 2 4" xfId="21948"/>
    <cellStyle name="표준 3 11 2 2 3" xfId="8028"/>
    <cellStyle name="표준 3 11 2 2 3 2" xfId="24732"/>
    <cellStyle name="표준 3 11 2 2 4" xfId="13596"/>
    <cellStyle name="표준 3 11 2 2 4 2" xfId="30300"/>
    <cellStyle name="표준 3 11 2 2 5" xfId="19164"/>
    <cellStyle name="표준 3 11 2 3" xfId="3852"/>
    <cellStyle name="표준 3 11 2 3 2" xfId="9420"/>
    <cellStyle name="표준 3 11 2 3 2 2" xfId="26124"/>
    <cellStyle name="표준 3 11 2 3 3" xfId="14988"/>
    <cellStyle name="표준 3 11 2 3 3 2" xfId="31692"/>
    <cellStyle name="표준 3 11 2 3 4" xfId="20556"/>
    <cellStyle name="표준 3 11 2 4" xfId="6636"/>
    <cellStyle name="표준 3 11 2 4 2" xfId="23340"/>
    <cellStyle name="표준 3 11 2 5" xfId="12204"/>
    <cellStyle name="표준 3 11 2 5 2" xfId="28908"/>
    <cellStyle name="표준 3 11 2 6" xfId="17772"/>
    <cellStyle name="표준 3 11 3" xfId="1764"/>
    <cellStyle name="표준 3 11 3 2" xfId="4548"/>
    <cellStyle name="표준 3 11 3 2 2" xfId="10116"/>
    <cellStyle name="표준 3 11 3 2 2 2" xfId="26820"/>
    <cellStyle name="표준 3 11 3 2 3" xfId="15684"/>
    <cellStyle name="표준 3 11 3 2 3 2" xfId="32388"/>
    <cellStyle name="표준 3 11 3 2 4" xfId="21252"/>
    <cellStyle name="표준 3 11 3 3" xfId="7332"/>
    <cellStyle name="표준 3 11 3 3 2" xfId="24036"/>
    <cellStyle name="표준 3 11 3 4" xfId="12900"/>
    <cellStyle name="표준 3 11 3 4 2" xfId="29604"/>
    <cellStyle name="표준 3 11 3 5" xfId="18468"/>
    <cellStyle name="표준 3 11 4" xfId="3156"/>
    <cellStyle name="표준 3 11 4 2" xfId="8724"/>
    <cellStyle name="표준 3 11 4 2 2" xfId="25428"/>
    <cellStyle name="표준 3 11 4 3" xfId="14292"/>
    <cellStyle name="표준 3 11 4 3 2" xfId="30996"/>
    <cellStyle name="표준 3 11 4 4" xfId="19860"/>
    <cellStyle name="표준 3 11 5" xfId="5940"/>
    <cellStyle name="표준 3 11 5 2" xfId="22644"/>
    <cellStyle name="표준 3 11 6" xfId="11508"/>
    <cellStyle name="표준 3 11 6 2" xfId="28212"/>
    <cellStyle name="표준 3 11 7" xfId="17076"/>
    <cellStyle name="표준 3 12" xfId="604"/>
    <cellStyle name="표준 3 12 2" xfId="1300"/>
    <cellStyle name="표준 3 12 2 2" xfId="2692"/>
    <cellStyle name="표준 3 12 2 2 2" xfId="5476"/>
    <cellStyle name="표준 3 12 2 2 2 2" xfId="11044"/>
    <cellStyle name="표준 3 12 2 2 2 2 2" xfId="27748"/>
    <cellStyle name="표준 3 12 2 2 2 3" xfId="16612"/>
    <cellStyle name="표준 3 12 2 2 2 3 2" xfId="33316"/>
    <cellStyle name="표준 3 12 2 2 2 4" xfId="22180"/>
    <cellStyle name="표준 3 12 2 2 3" xfId="8260"/>
    <cellStyle name="표준 3 12 2 2 3 2" xfId="24964"/>
    <cellStyle name="표준 3 12 2 2 4" xfId="13828"/>
    <cellStyle name="표준 3 12 2 2 4 2" xfId="30532"/>
    <cellStyle name="표준 3 12 2 2 5" xfId="19396"/>
    <cellStyle name="표준 3 12 2 3" xfId="4084"/>
    <cellStyle name="표준 3 12 2 3 2" xfId="9652"/>
    <cellStyle name="표준 3 12 2 3 2 2" xfId="26356"/>
    <cellStyle name="표준 3 12 2 3 3" xfId="15220"/>
    <cellStyle name="표준 3 12 2 3 3 2" xfId="31924"/>
    <cellStyle name="표준 3 12 2 3 4" xfId="20788"/>
    <cellStyle name="표준 3 12 2 4" xfId="6868"/>
    <cellStyle name="표준 3 12 2 4 2" xfId="23572"/>
    <cellStyle name="표준 3 12 2 5" xfId="12436"/>
    <cellStyle name="표준 3 12 2 5 2" xfId="29140"/>
    <cellStyle name="표준 3 12 2 6" xfId="18004"/>
    <cellStyle name="표준 3 12 3" xfId="1996"/>
    <cellStyle name="표준 3 12 3 2" xfId="4780"/>
    <cellStyle name="표준 3 12 3 2 2" xfId="10348"/>
    <cellStyle name="표준 3 12 3 2 2 2" xfId="27052"/>
    <cellStyle name="표준 3 12 3 2 3" xfId="15916"/>
    <cellStyle name="표준 3 12 3 2 3 2" xfId="32620"/>
    <cellStyle name="표준 3 12 3 2 4" xfId="21484"/>
    <cellStyle name="표준 3 12 3 3" xfId="7564"/>
    <cellStyle name="표준 3 12 3 3 2" xfId="24268"/>
    <cellStyle name="표준 3 12 3 4" xfId="13132"/>
    <cellStyle name="표준 3 12 3 4 2" xfId="29836"/>
    <cellStyle name="표준 3 12 3 5" xfId="18700"/>
    <cellStyle name="표준 3 12 4" xfId="3388"/>
    <cellStyle name="표준 3 12 4 2" xfId="8956"/>
    <cellStyle name="표준 3 12 4 2 2" xfId="25660"/>
    <cellStyle name="표준 3 12 4 3" xfId="14524"/>
    <cellStyle name="표준 3 12 4 3 2" xfId="31228"/>
    <cellStyle name="표준 3 12 4 4" xfId="20092"/>
    <cellStyle name="표준 3 12 5" xfId="6172"/>
    <cellStyle name="표준 3 12 5 2" xfId="22876"/>
    <cellStyle name="표준 3 12 6" xfId="11740"/>
    <cellStyle name="표준 3 12 6 2" xfId="28444"/>
    <cellStyle name="표준 3 12 7" xfId="17308"/>
    <cellStyle name="표준 3 13" xfId="836"/>
    <cellStyle name="표준 3 13 2" xfId="2228"/>
    <cellStyle name="표준 3 13 2 2" xfId="5012"/>
    <cellStyle name="표준 3 13 2 2 2" xfId="10580"/>
    <cellStyle name="표준 3 13 2 2 2 2" xfId="27284"/>
    <cellStyle name="표준 3 13 2 2 3" xfId="16148"/>
    <cellStyle name="표준 3 13 2 2 3 2" xfId="32852"/>
    <cellStyle name="표준 3 13 2 2 4" xfId="21716"/>
    <cellStyle name="표준 3 13 2 3" xfId="7796"/>
    <cellStyle name="표준 3 13 2 3 2" xfId="24500"/>
    <cellStyle name="표준 3 13 2 4" xfId="13364"/>
    <cellStyle name="표준 3 13 2 4 2" xfId="30068"/>
    <cellStyle name="표준 3 13 2 5" xfId="18932"/>
    <cellStyle name="표준 3 13 3" xfId="3620"/>
    <cellStyle name="표준 3 13 3 2" xfId="9188"/>
    <cellStyle name="표준 3 13 3 2 2" xfId="25892"/>
    <cellStyle name="표준 3 13 3 3" xfId="14756"/>
    <cellStyle name="표준 3 13 3 3 2" xfId="31460"/>
    <cellStyle name="표준 3 13 3 4" xfId="20324"/>
    <cellStyle name="표준 3 13 4" xfId="6404"/>
    <cellStyle name="표준 3 13 4 2" xfId="23108"/>
    <cellStyle name="표준 3 13 5" xfId="11972"/>
    <cellStyle name="표준 3 13 5 2" xfId="28676"/>
    <cellStyle name="표준 3 13 6" xfId="17540"/>
    <cellStyle name="표준 3 14" xfId="1532"/>
    <cellStyle name="표준 3 14 2" xfId="4316"/>
    <cellStyle name="표준 3 14 2 2" xfId="9884"/>
    <cellStyle name="표준 3 14 2 2 2" xfId="26588"/>
    <cellStyle name="표준 3 14 2 3" xfId="15452"/>
    <cellStyle name="표준 3 14 2 3 2" xfId="32156"/>
    <cellStyle name="표준 3 14 2 4" xfId="21020"/>
    <cellStyle name="표준 3 14 3" xfId="7100"/>
    <cellStyle name="표준 3 14 3 2" xfId="23804"/>
    <cellStyle name="표준 3 14 4" xfId="12668"/>
    <cellStyle name="표준 3 14 4 2" xfId="29372"/>
    <cellStyle name="표준 3 14 5" xfId="18236"/>
    <cellStyle name="표준 3 15" xfId="2924"/>
    <cellStyle name="표준 3 15 2" xfId="8492"/>
    <cellStyle name="표준 3 15 2 2" xfId="25196"/>
    <cellStyle name="표준 3 15 3" xfId="14060"/>
    <cellStyle name="표준 3 15 3 2" xfId="30764"/>
    <cellStyle name="표준 3 15 4" xfId="19628"/>
    <cellStyle name="표준 3 16" xfId="5708"/>
    <cellStyle name="표준 3 16 2" xfId="22412"/>
    <cellStyle name="표준 3 17" xfId="11276"/>
    <cellStyle name="표준 3 17 2" xfId="27980"/>
    <cellStyle name="표준 3 18" xfId="16844"/>
    <cellStyle name="표준 3 2" xfId="6"/>
    <cellStyle name="표준 3 2 10" xfId="605"/>
    <cellStyle name="표준 3 2 10 2" xfId="1301"/>
    <cellStyle name="표준 3 2 10 2 2" xfId="2693"/>
    <cellStyle name="표준 3 2 10 2 2 2" xfId="5477"/>
    <cellStyle name="표준 3 2 10 2 2 2 2" xfId="11045"/>
    <cellStyle name="표준 3 2 10 2 2 2 2 2" xfId="27749"/>
    <cellStyle name="표준 3 2 10 2 2 2 3" xfId="16613"/>
    <cellStyle name="표준 3 2 10 2 2 2 3 2" xfId="33317"/>
    <cellStyle name="표준 3 2 10 2 2 2 4" xfId="22181"/>
    <cellStyle name="표준 3 2 10 2 2 3" xfId="8261"/>
    <cellStyle name="표준 3 2 10 2 2 3 2" xfId="24965"/>
    <cellStyle name="표준 3 2 10 2 2 4" xfId="13829"/>
    <cellStyle name="표준 3 2 10 2 2 4 2" xfId="30533"/>
    <cellStyle name="표준 3 2 10 2 2 5" xfId="19397"/>
    <cellStyle name="표준 3 2 10 2 3" xfId="4085"/>
    <cellStyle name="표준 3 2 10 2 3 2" xfId="9653"/>
    <cellStyle name="표준 3 2 10 2 3 2 2" xfId="26357"/>
    <cellStyle name="표준 3 2 10 2 3 3" xfId="15221"/>
    <cellStyle name="표준 3 2 10 2 3 3 2" xfId="31925"/>
    <cellStyle name="표준 3 2 10 2 3 4" xfId="20789"/>
    <cellStyle name="표준 3 2 10 2 4" xfId="6869"/>
    <cellStyle name="표준 3 2 10 2 4 2" xfId="23573"/>
    <cellStyle name="표준 3 2 10 2 5" xfId="12437"/>
    <cellStyle name="표준 3 2 10 2 5 2" xfId="29141"/>
    <cellStyle name="표준 3 2 10 2 6" xfId="18005"/>
    <cellStyle name="표준 3 2 10 3" xfId="1997"/>
    <cellStyle name="표준 3 2 10 3 2" xfId="4781"/>
    <cellStyle name="표준 3 2 10 3 2 2" xfId="10349"/>
    <cellStyle name="표준 3 2 10 3 2 2 2" xfId="27053"/>
    <cellStyle name="표준 3 2 10 3 2 3" xfId="15917"/>
    <cellStyle name="표준 3 2 10 3 2 3 2" xfId="32621"/>
    <cellStyle name="표준 3 2 10 3 2 4" xfId="21485"/>
    <cellStyle name="표준 3 2 10 3 3" xfId="7565"/>
    <cellStyle name="표준 3 2 10 3 3 2" xfId="24269"/>
    <cellStyle name="표준 3 2 10 3 4" xfId="13133"/>
    <cellStyle name="표준 3 2 10 3 4 2" xfId="29837"/>
    <cellStyle name="표준 3 2 10 3 5" xfId="18701"/>
    <cellStyle name="표준 3 2 10 4" xfId="3389"/>
    <cellStyle name="표준 3 2 10 4 2" xfId="8957"/>
    <cellStyle name="표준 3 2 10 4 2 2" xfId="25661"/>
    <cellStyle name="표준 3 2 10 4 3" xfId="14525"/>
    <cellStyle name="표준 3 2 10 4 3 2" xfId="31229"/>
    <cellStyle name="표준 3 2 10 4 4" xfId="20093"/>
    <cellStyle name="표준 3 2 10 5" xfId="6173"/>
    <cellStyle name="표준 3 2 10 5 2" xfId="22877"/>
    <cellStyle name="표준 3 2 10 6" xfId="11741"/>
    <cellStyle name="표준 3 2 10 6 2" xfId="28445"/>
    <cellStyle name="표준 3 2 10 7" xfId="17309"/>
    <cellStyle name="표준 3 2 11" xfId="837"/>
    <cellStyle name="표준 3 2 11 2" xfId="2229"/>
    <cellStyle name="표준 3 2 11 2 2" xfId="5013"/>
    <cellStyle name="표준 3 2 11 2 2 2" xfId="10581"/>
    <cellStyle name="표준 3 2 11 2 2 2 2" xfId="27285"/>
    <cellStyle name="표준 3 2 11 2 2 3" xfId="16149"/>
    <cellStyle name="표준 3 2 11 2 2 3 2" xfId="32853"/>
    <cellStyle name="표준 3 2 11 2 2 4" xfId="21717"/>
    <cellStyle name="표준 3 2 11 2 3" xfId="7797"/>
    <cellStyle name="표준 3 2 11 2 3 2" xfId="24501"/>
    <cellStyle name="표준 3 2 11 2 4" xfId="13365"/>
    <cellStyle name="표준 3 2 11 2 4 2" xfId="30069"/>
    <cellStyle name="표준 3 2 11 2 5" xfId="18933"/>
    <cellStyle name="표준 3 2 11 3" xfId="3621"/>
    <cellStyle name="표준 3 2 11 3 2" xfId="9189"/>
    <cellStyle name="표준 3 2 11 3 2 2" xfId="25893"/>
    <cellStyle name="표준 3 2 11 3 3" xfId="14757"/>
    <cellStyle name="표준 3 2 11 3 3 2" xfId="31461"/>
    <cellStyle name="표준 3 2 11 3 4" xfId="20325"/>
    <cellStyle name="표준 3 2 11 4" xfId="6405"/>
    <cellStyle name="표준 3 2 11 4 2" xfId="23109"/>
    <cellStyle name="표준 3 2 11 5" xfId="11973"/>
    <cellStyle name="표준 3 2 11 5 2" xfId="28677"/>
    <cellStyle name="표준 3 2 11 6" xfId="17541"/>
    <cellStyle name="표준 3 2 12" xfId="1533"/>
    <cellStyle name="표준 3 2 12 2" xfId="4317"/>
    <cellStyle name="표준 3 2 12 2 2" xfId="9885"/>
    <cellStyle name="표준 3 2 12 2 2 2" xfId="26589"/>
    <cellStyle name="표준 3 2 12 2 3" xfId="15453"/>
    <cellStyle name="표준 3 2 12 2 3 2" xfId="32157"/>
    <cellStyle name="표준 3 2 12 2 4" xfId="21021"/>
    <cellStyle name="표준 3 2 12 3" xfId="7101"/>
    <cellStyle name="표준 3 2 12 3 2" xfId="23805"/>
    <cellStyle name="표준 3 2 12 4" xfId="12669"/>
    <cellStyle name="표준 3 2 12 4 2" xfId="29373"/>
    <cellStyle name="표준 3 2 12 5" xfId="18237"/>
    <cellStyle name="표준 3 2 13" xfId="2925"/>
    <cellStyle name="표준 3 2 13 2" xfId="8493"/>
    <cellStyle name="표준 3 2 13 2 2" xfId="25197"/>
    <cellStyle name="표준 3 2 13 3" xfId="14061"/>
    <cellStyle name="표준 3 2 13 3 2" xfId="30765"/>
    <cellStyle name="표준 3 2 13 4" xfId="19629"/>
    <cellStyle name="표준 3 2 14" xfId="5709"/>
    <cellStyle name="표준 3 2 14 2" xfId="22413"/>
    <cellStyle name="표준 3 2 15" xfId="11277"/>
    <cellStyle name="표준 3 2 15 2" xfId="27981"/>
    <cellStyle name="표준 3 2 16" xfId="16845"/>
    <cellStyle name="표준 3 2 2" xfId="8"/>
    <cellStyle name="표준 3 2 2 10" xfId="2927"/>
    <cellStyle name="표준 3 2 2 10 2" xfId="8495"/>
    <cellStyle name="표준 3 2 2 10 2 2" xfId="25199"/>
    <cellStyle name="표준 3 2 2 10 3" xfId="14063"/>
    <cellStyle name="표준 3 2 2 10 3 2" xfId="30767"/>
    <cellStyle name="표준 3 2 2 10 4" xfId="19631"/>
    <cellStyle name="표준 3 2 2 11" xfId="5711"/>
    <cellStyle name="표준 3 2 2 11 2" xfId="22415"/>
    <cellStyle name="표준 3 2 2 12" xfId="11279"/>
    <cellStyle name="표준 3 2 2 12 2" xfId="27983"/>
    <cellStyle name="표준 3 2 2 13" xfId="16847"/>
    <cellStyle name="표준 3 2 2 2" xfId="30"/>
    <cellStyle name="표준 3 2 2 3" xfId="172"/>
    <cellStyle name="표준 3 2 2 3 10" xfId="11308"/>
    <cellStyle name="표준 3 2 2 3 10 2" xfId="28012"/>
    <cellStyle name="표준 3 2 2 3 11" xfId="16876"/>
    <cellStyle name="표준 3 2 2 3 2" xfId="230"/>
    <cellStyle name="표준 3 2 2 3 2 10" xfId="16934"/>
    <cellStyle name="표준 3 2 2 3 2 2" xfId="346"/>
    <cellStyle name="표준 3 2 2 3 2 2 2" xfId="578"/>
    <cellStyle name="표준 3 2 2 3 2 2 2 2" xfId="1274"/>
    <cellStyle name="표준 3 2 2 3 2 2 2 2 2" xfId="2666"/>
    <cellStyle name="표준 3 2 2 3 2 2 2 2 2 2" xfId="5450"/>
    <cellStyle name="표준 3 2 2 3 2 2 2 2 2 2 2" xfId="11018"/>
    <cellStyle name="표준 3 2 2 3 2 2 2 2 2 2 2 2" xfId="27722"/>
    <cellStyle name="표준 3 2 2 3 2 2 2 2 2 2 3" xfId="16586"/>
    <cellStyle name="표준 3 2 2 3 2 2 2 2 2 2 3 2" xfId="33290"/>
    <cellStyle name="표준 3 2 2 3 2 2 2 2 2 2 4" xfId="22154"/>
    <cellStyle name="표준 3 2 2 3 2 2 2 2 2 3" xfId="8234"/>
    <cellStyle name="표준 3 2 2 3 2 2 2 2 2 3 2" xfId="24938"/>
    <cellStyle name="표준 3 2 2 3 2 2 2 2 2 4" xfId="13802"/>
    <cellStyle name="표준 3 2 2 3 2 2 2 2 2 4 2" xfId="30506"/>
    <cellStyle name="표준 3 2 2 3 2 2 2 2 2 5" xfId="19370"/>
    <cellStyle name="표준 3 2 2 3 2 2 2 2 3" xfId="4058"/>
    <cellStyle name="표준 3 2 2 3 2 2 2 2 3 2" xfId="9626"/>
    <cellStyle name="표준 3 2 2 3 2 2 2 2 3 2 2" xfId="26330"/>
    <cellStyle name="표준 3 2 2 3 2 2 2 2 3 3" xfId="15194"/>
    <cellStyle name="표준 3 2 2 3 2 2 2 2 3 3 2" xfId="31898"/>
    <cellStyle name="표준 3 2 2 3 2 2 2 2 3 4" xfId="20762"/>
    <cellStyle name="표준 3 2 2 3 2 2 2 2 4" xfId="6842"/>
    <cellStyle name="표준 3 2 2 3 2 2 2 2 4 2" xfId="23546"/>
    <cellStyle name="표준 3 2 2 3 2 2 2 2 5" xfId="12410"/>
    <cellStyle name="표준 3 2 2 3 2 2 2 2 5 2" xfId="29114"/>
    <cellStyle name="표준 3 2 2 3 2 2 2 2 6" xfId="17978"/>
    <cellStyle name="표준 3 2 2 3 2 2 2 3" xfId="1970"/>
    <cellStyle name="표준 3 2 2 3 2 2 2 3 2" xfId="4754"/>
    <cellStyle name="표준 3 2 2 3 2 2 2 3 2 2" xfId="10322"/>
    <cellStyle name="표준 3 2 2 3 2 2 2 3 2 2 2" xfId="27026"/>
    <cellStyle name="표준 3 2 2 3 2 2 2 3 2 3" xfId="15890"/>
    <cellStyle name="표준 3 2 2 3 2 2 2 3 2 3 2" xfId="32594"/>
    <cellStyle name="표준 3 2 2 3 2 2 2 3 2 4" xfId="21458"/>
    <cellStyle name="표준 3 2 2 3 2 2 2 3 3" xfId="7538"/>
    <cellStyle name="표준 3 2 2 3 2 2 2 3 3 2" xfId="24242"/>
    <cellStyle name="표준 3 2 2 3 2 2 2 3 4" xfId="13106"/>
    <cellStyle name="표준 3 2 2 3 2 2 2 3 4 2" xfId="29810"/>
    <cellStyle name="표준 3 2 2 3 2 2 2 3 5" xfId="18674"/>
    <cellStyle name="표준 3 2 2 3 2 2 2 4" xfId="3362"/>
    <cellStyle name="표준 3 2 2 3 2 2 2 4 2" xfId="8930"/>
    <cellStyle name="표준 3 2 2 3 2 2 2 4 2 2" xfId="25634"/>
    <cellStyle name="표준 3 2 2 3 2 2 2 4 3" xfId="14498"/>
    <cellStyle name="표준 3 2 2 3 2 2 2 4 3 2" xfId="31202"/>
    <cellStyle name="표준 3 2 2 3 2 2 2 4 4" xfId="20066"/>
    <cellStyle name="표준 3 2 2 3 2 2 2 5" xfId="6146"/>
    <cellStyle name="표준 3 2 2 3 2 2 2 5 2" xfId="22850"/>
    <cellStyle name="표준 3 2 2 3 2 2 2 6" xfId="11714"/>
    <cellStyle name="표준 3 2 2 3 2 2 2 6 2" xfId="28418"/>
    <cellStyle name="표준 3 2 2 3 2 2 2 7" xfId="17282"/>
    <cellStyle name="표준 3 2 2 3 2 2 3" xfId="810"/>
    <cellStyle name="표준 3 2 2 3 2 2 3 2" xfId="1506"/>
    <cellStyle name="표준 3 2 2 3 2 2 3 2 2" xfId="2898"/>
    <cellStyle name="표준 3 2 2 3 2 2 3 2 2 2" xfId="5682"/>
    <cellStyle name="표준 3 2 2 3 2 2 3 2 2 2 2" xfId="11250"/>
    <cellStyle name="표준 3 2 2 3 2 2 3 2 2 2 2 2" xfId="27954"/>
    <cellStyle name="표준 3 2 2 3 2 2 3 2 2 2 3" xfId="16818"/>
    <cellStyle name="표준 3 2 2 3 2 2 3 2 2 2 3 2" xfId="33522"/>
    <cellStyle name="표준 3 2 2 3 2 2 3 2 2 2 4" xfId="22386"/>
    <cellStyle name="표준 3 2 2 3 2 2 3 2 2 3" xfId="8466"/>
    <cellStyle name="표준 3 2 2 3 2 2 3 2 2 3 2" xfId="25170"/>
    <cellStyle name="표준 3 2 2 3 2 2 3 2 2 4" xfId="14034"/>
    <cellStyle name="표준 3 2 2 3 2 2 3 2 2 4 2" xfId="30738"/>
    <cellStyle name="표준 3 2 2 3 2 2 3 2 2 5" xfId="19602"/>
    <cellStyle name="표준 3 2 2 3 2 2 3 2 3" xfId="4290"/>
    <cellStyle name="표준 3 2 2 3 2 2 3 2 3 2" xfId="9858"/>
    <cellStyle name="표준 3 2 2 3 2 2 3 2 3 2 2" xfId="26562"/>
    <cellStyle name="표준 3 2 2 3 2 2 3 2 3 3" xfId="15426"/>
    <cellStyle name="표준 3 2 2 3 2 2 3 2 3 3 2" xfId="32130"/>
    <cellStyle name="표준 3 2 2 3 2 2 3 2 3 4" xfId="20994"/>
    <cellStyle name="표준 3 2 2 3 2 2 3 2 4" xfId="7074"/>
    <cellStyle name="표준 3 2 2 3 2 2 3 2 4 2" xfId="23778"/>
    <cellStyle name="표준 3 2 2 3 2 2 3 2 5" xfId="12642"/>
    <cellStyle name="표준 3 2 2 3 2 2 3 2 5 2" xfId="29346"/>
    <cellStyle name="표준 3 2 2 3 2 2 3 2 6" xfId="18210"/>
    <cellStyle name="표준 3 2 2 3 2 2 3 3" xfId="2202"/>
    <cellStyle name="표준 3 2 2 3 2 2 3 3 2" xfId="4986"/>
    <cellStyle name="표준 3 2 2 3 2 2 3 3 2 2" xfId="10554"/>
    <cellStyle name="표준 3 2 2 3 2 2 3 3 2 2 2" xfId="27258"/>
    <cellStyle name="표준 3 2 2 3 2 2 3 3 2 3" xfId="16122"/>
    <cellStyle name="표준 3 2 2 3 2 2 3 3 2 3 2" xfId="32826"/>
    <cellStyle name="표준 3 2 2 3 2 2 3 3 2 4" xfId="21690"/>
    <cellStyle name="표준 3 2 2 3 2 2 3 3 3" xfId="7770"/>
    <cellStyle name="표준 3 2 2 3 2 2 3 3 3 2" xfId="24474"/>
    <cellStyle name="표준 3 2 2 3 2 2 3 3 4" xfId="13338"/>
    <cellStyle name="표준 3 2 2 3 2 2 3 3 4 2" xfId="30042"/>
    <cellStyle name="표준 3 2 2 3 2 2 3 3 5" xfId="18906"/>
    <cellStyle name="표준 3 2 2 3 2 2 3 4" xfId="3594"/>
    <cellStyle name="표준 3 2 2 3 2 2 3 4 2" xfId="9162"/>
    <cellStyle name="표준 3 2 2 3 2 2 3 4 2 2" xfId="25866"/>
    <cellStyle name="표준 3 2 2 3 2 2 3 4 3" xfId="14730"/>
    <cellStyle name="표준 3 2 2 3 2 2 3 4 3 2" xfId="31434"/>
    <cellStyle name="표준 3 2 2 3 2 2 3 4 4" xfId="20298"/>
    <cellStyle name="표준 3 2 2 3 2 2 3 5" xfId="6378"/>
    <cellStyle name="표준 3 2 2 3 2 2 3 5 2" xfId="23082"/>
    <cellStyle name="표준 3 2 2 3 2 2 3 6" xfId="11946"/>
    <cellStyle name="표준 3 2 2 3 2 2 3 6 2" xfId="28650"/>
    <cellStyle name="표준 3 2 2 3 2 2 3 7" xfId="17514"/>
    <cellStyle name="표준 3 2 2 3 2 2 4" xfId="1042"/>
    <cellStyle name="표준 3 2 2 3 2 2 4 2" xfId="2434"/>
    <cellStyle name="표준 3 2 2 3 2 2 4 2 2" xfId="5218"/>
    <cellStyle name="표준 3 2 2 3 2 2 4 2 2 2" xfId="10786"/>
    <cellStyle name="표준 3 2 2 3 2 2 4 2 2 2 2" xfId="27490"/>
    <cellStyle name="표준 3 2 2 3 2 2 4 2 2 3" xfId="16354"/>
    <cellStyle name="표준 3 2 2 3 2 2 4 2 2 3 2" xfId="33058"/>
    <cellStyle name="표준 3 2 2 3 2 2 4 2 2 4" xfId="21922"/>
    <cellStyle name="표준 3 2 2 3 2 2 4 2 3" xfId="8002"/>
    <cellStyle name="표준 3 2 2 3 2 2 4 2 3 2" xfId="24706"/>
    <cellStyle name="표준 3 2 2 3 2 2 4 2 4" xfId="13570"/>
    <cellStyle name="표준 3 2 2 3 2 2 4 2 4 2" xfId="30274"/>
    <cellStyle name="표준 3 2 2 3 2 2 4 2 5" xfId="19138"/>
    <cellStyle name="표준 3 2 2 3 2 2 4 3" xfId="3826"/>
    <cellStyle name="표준 3 2 2 3 2 2 4 3 2" xfId="9394"/>
    <cellStyle name="표준 3 2 2 3 2 2 4 3 2 2" xfId="26098"/>
    <cellStyle name="표준 3 2 2 3 2 2 4 3 3" xfId="14962"/>
    <cellStyle name="표준 3 2 2 3 2 2 4 3 3 2" xfId="31666"/>
    <cellStyle name="표준 3 2 2 3 2 2 4 3 4" xfId="20530"/>
    <cellStyle name="표준 3 2 2 3 2 2 4 4" xfId="6610"/>
    <cellStyle name="표준 3 2 2 3 2 2 4 4 2" xfId="23314"/>
    <cellStyle name="표준 3 2 2 3 2 2 4 5" xfId="12178"/>
    <cellStyle name="표준 3 2 2 3 2 2 4 5 2" xfId="28882"/>
    <cellStyle name="표준 3 2 2 3 2 2 4 6" xfId="17746"/>
    <cellStyle name="표준 3 2 2 3 2 2 5" xfId="1738"/>
    <cellStyle name="표준 3 2 2 3 2 2 5 2" xfId="4522"/>
    <cellStyle name="표준 3 2 2 3 2 2 5 2 2" xfId="10090"/>
    <cellStyle name="표준 3 2 2 3 2 2 5 2 2 2" xfId="26794"/>
    <cellStyle name="표준 3 2 2 3 2 2 5 2 3" xfId="15658"/>
    <cellStyle name="표준 3 2 2 3 2 2 5 2 3 2" xfId="32362"/>
    <cellStyle name="표준 3 2 2 3 2 2 5 2 4" xfId="21226"/>
    <cellStyle name="표준 3 2 2 3 2 2 5 3" xfId="7306"/>
    <cellStyle name="표준 3 2 2 3 2 2 5 3 2" xfId="24010"/>
    <cellStyle name="표준 3 2 2 3 2 2 5 4" xfId="12874"/>
    <cellStyle name="표준 3 2 2 3 2 2 5 4 2" xfId="29578"/>
    <cellStyle name="표준 3 2 2 3 2 2 5 5" xfId="18442"/>
    <cellStyle name="표준 3 2 2 3 2 2 6" xfId="3130"/>
    <cellStyle name="표준 3 2 2 3 2 2 6 2" xfId="8698"/>
    <cellStyle name="표준 3 2 2 3 2 2 6 2 2" xfId="25402"/>
    <cellStyle name="표준 3 2 2 3 2 2 6 3" xfId="14266"/>
    <cellStyle name="표준 3 2 2 3 2 2 6 3 2" xfId="30970"/>
    <cellStyle name="표준 3 2 2 3 2 2 6 4" xfId="19834"/>
    <cellStyle name="표준 3 2 2 3 2 2 7" xfId="5914"/>
    <cellStyle name="표준 3 2 2 3 2 2 7 2" xfId="22618"/>
    <cellStyle name="표준 3 2 2 3 2 2 8" xfId="11482"/>
    <cellStyle name="표준 3 2 2 3 2 2 8 2" xfId="28186"/>
    <cellStyle name="표준 3 2 2 3 2 2 9" xfId="17050"/>
    <cellStyle name="표준 3 2 2 3 2 3" xfId="462"/>
    <cellStyle name="표준 3 2 2 3 2 3 2" xfId="1158"/>
    <cellStyle name="표준 3 2 2 3 2 3 2 2" xfId="2550"/>
    <cellStyle name="표준 3 2 2 3 2 3 2 2 2" xfId="5334"/>
    <cellStyle name="표준 3 2 2 3 2 3 2 2 2 2" xfId="10902"/>
    <cellStyle name="표준 3 2 2 3 2 3 2 2 2 2 2" xfId="27606"/>
    <cellStyle name="표준 3 2 2 3 2 3 2 2 2 3" xfId="16470"/>
    <cellStyle name="표준 3 2 2 3 2 3 2 2 2 3 2" xfId="33174"/>
    <cellStyle name="표준 3 2 2 3 2 3 2 2 2 4" xfId="22038"/>
    <cellStyle name="표준 3 2 2 3 2 3 2 2 3" xfId="8118"/>
    <cellStyle name="표준 3 2 2 3 2 3 2 2 3 2" xfId="24822"/>
    <cellStyle name="표준 3 2 2 3 2 3 2 2 4" xfId="13686"/>
    <cellStyle name="표준 3 2 2 3 2 3 2 2 4 2" xfId="30390"/>
    <cellStyle name="표준 3 2 2 3 2 3 2 2 5" xfId="19254"/>
    <cellStyle name="표준 3 2 2 3 2 3 2 3" xfId="3942"/>
    <cellStyle name="표준 3 2 2 3 2 3 2 3 2" xfId="9510"/>
    <cellStyle name="표준 3 2 2 3 2 3 2 3 2 2" xfId="26214"/>
    <cellStyle name="표준 3 2 2 3 2 3 2 3 3" xfId="15078"/>
    <cellStyle name="표준 3 2 2 3 2 3 2 3 3 2" xfId="31782"/>
    <cellStyle name="표준 3 2 2 3 2 3 2 3 4" xfId="20646"/>
    <cellStyle name="표준 3 2 2 3 2 3 2 4" xfId="6726"/>
    <cellStyle name="표준 3 2 2 3 2 3 2 4 2" xfId="23430"/>
    <cellStyle name="표준 3 2 2 3 2 3 2 5" xfId="12294"/>
    <cellStyle name="표준 3 2 2 3 2 3 2 5 2" xfId="28998"/>
    <cellStyle name="표준 3 2 2 3 2 3 2 6" xfId="17862"/>
    <cellStyle name="표준 3 2 2 3 2 3 3" xfId="1854"/>
    <cellStyle name="표준 3 2 2 3 2 3 3 2" xfId="4638"/>
    <cellStyle name="표준 3 2 2 3 2 3 3 2 2" xfId="10206"/>
    <cellStyle name="표준 3 2 2 3 2 3 3 2 2 2" xfId="26910"/>
    <cellStyle name="표준 3 2 2 3 2 3 3 2 3" xfId="15774"/>
    <cellStyle name="표준 3 2 2 3 2 3 3 2 3 2" xfId="32478"/>
    <cellStyle name="표준 3 2 2 3 2 3 3 2 4" xfId="21342"/>
    <cellStyle name="표준 3 2 2 3 2 3 3 3" xfId="7422"/>
    <cellStyle name="표준 3 2 2 3 2 3 3 3 2" xfId="24126"/>
    <cellStyle name="표준 3 2 2 3 2 3 3 4" xfId="12990"/>
    <cellStyle name="표준 3 2 2 3 2 3 3 4 2" xfId="29694"/>
    <cellStyle name="표준 3 2 2 3 2 3 3 5" xfId="18558"/>
    <cellStyle name="표준 3 2 2 3 2 3 4" xfId="3246"/>
    <cellStyle name="표준 3 2 2 3 2 3 4 2" xfId="8814"/>
    <cellStyle name="표준 3 2 2 3 2 3 4 2 2" xfId="25518"/>
    <cellStyle name="표준 3 2 2 3 2 3 4 3" xfId="14382"/>
    <cellStyle name="표준 3 2 2 3 2 3 4 3 2" xfId="31086"/>
    <cellStyle name="표준 3 2 2 3 2 3 4 4" xfId="19950"/>
    <cellStyle name="표준 3 2 2 3 2 3 5" xfId="6030"/>
    <cellStyle name="표준 3 2 2 3 2 3 5 2" xfId="22734"/>
    <cellStyle name="표준 3 2 2 3 2 3 6" xfId="11598"/>
    <cellStyle name="표준 3 2 2 3 2 3 6 2" xfId="28302"/>
    <cellStyle name="표준 3 2 2 3 2 3 7" xfId="17166"/>
    <cellStyle name="표준 3 2 2 3 2 4" xfId="694"/>
    <cellStyle name="표준 3 2 2 3 2 4 2" xfId="1390"/>
    <cellStyle name="표준 3 2 2 3 2 4 2 2" xfId="2782"/>
    <cellStyle name="표준 3 2 2 3 2 4 2 2 2" xfId="5566"/>
    <cellStyle name="표준 3 2 2 3 2 4 2 2 2 2" xfId="11134"/>
    <cellStyle name="표준 3 2 2 3 2 4 2 2 2 2 2" xfId="27838"/>
    <cellStyle name="표준 3 2 2 3 2 4 2 2 2 3" xfId="16702"/>
    <cellStyle name="표준 3 2 2 3 2 4 2 2 2 3 2" xfId="33406"/>
    <cellStyle name="표준 3 2 2 3 2 4 2 2 2 4" xfId="22270"/>
    <cellStyle name="표준 3 2 2 3 2 4 2 2 3" xfId="8350"/>
    <cellStyle name="표준 3 2 2 3 2 4 2 2 3 2" xfId="25054"/>
    <cellStyle name="표준 3 2 2 3 2 4 2 2 4" xfId="13918"/>
    <cellStyle name="표준 3 2 2 3 2 4 2 2 4 2" xfId="30622"/>
    <cellStyle name="표준 3 2 2 3 2 4 2 2 5" xfId="19486"/>
    <cellStyle name="표준 3 2 2 3 2 4 2 3" xfId="4174"/>
    <cellStyle name="표준 3 2 2 3 2 4 2 3 2" xfId="9742"/>
    <cellStyle name="표준 3 2 2 3 2 4 2 3 2 2" xfId="26446"/>
    <cellStyle name="표준 3 2 2 3 2 4 2 3 3" xfId="15310"/>
    <cellStyle name="표준 3 2 2 3 2 4 2 3 3 2" xfId="32014"/>
    <cellStyle name="표준 3 2 2 3 2 4 2 3 4" xfId="20878"/>
    <cellStyle name="표준 3 2 2 3 2 4 2 4" xfId="6958"/>
    <cellStyle name="표준 3 2 2 3 2 4 2 4 2" xfId="23662"/>
    <cellStyle name="표준 3 2 2 3 2 4 2 5" xfId="12526"/>
    <cellStyle name="표준 3 2 2 3 2 4 2 5 2" xfId="29230"/>
    <cellStyle name="표준 3 2 2 3 2 4 2 6" xfId="18094"/>
    <cellStyle name="표준 3 2 2 3 2 4 3" xfId="2086"/>
    <cellStyle name="표준 3 2 2 3 2 4 3 2" xfId="4870"/>
    <cellStyle name="표준 3 2 2 3 2 4 3 2 2" xfId="10438"/>
    <cellStyle name="표준 3 2 2 3 2 4 3 2 2 2" xfId="27142"/>
    <cellStyle name="표준 3 2 2 3 2 4 3 2 3" xfId="16006"/>
    <cellStyle name="표준 3 2 2 3 2 4 3 2 3 2" xfId="32710"/>
    <cellStyle name="표준 3 2 2 3 2 4 3 2 4" xfId="21574"/>
    <cellStyle name="표준 3 2 2 3 2 4 3 3" xfId="7654"/>
    <cellStyle name="표준 3 2 2 3 2 4 3 3 2" xfId="24358"/>
    <cellStyle name="표준 3 2 2 3 2 4 3 4" xfId="13222"/>
    <cellStyle name="표준 3 2 2 3 2 4 3 4 2" xfId="29926"/>
    <cellStyle name="표준 3 2 2 3 2 4 3 5" xfId="18790"/>
    <cellStyle name="표준 3 2 2 3 2 4 4" xfId="3478"/>
    <cellStyle name="표준 3 2 2 3 2 4 4 2" xfId="9046"/>
    <cellStyle name="표준 3 2 2 3 2 4 4 2 2" xfId="25750"/>
    <cellStyle name="표준 3 2 2 3 2 4 4 3" xfId="14614"/>
    <cellStyle name="표준 3 2 2 3 2 4 4 3 2" xfId="31318"/>
    <cellStyle name="표준 3 2 2 3 2 4 4 4" xfId="20182"/>
    <cellStyle name="표준 3 2 2 3 2 4 5" xfId="6262"/>
    <cellStyle name="표준 3 2 2 3 2 4 5 2" xfId="22966"/>
    <cellStyle name="표준 3 2 2 3 2 4 6" xfId="11830"/>
    <cellStyle name="표준 3 2 2 3 2 4 6 2" xfId="28534"/>
    <cellStyle name="표준 3 2 2 3 2 4 7" xfId="17398"/>
    <cellStyle name="표준 3 2 2 3 2 5" xfId="926"/>
    <cellStyle name="표준 3 2 2 3 2 5 2" xfId="2318"/>
    <cellStyle name="표준 3 2 2 3 2 5 2 2" xfId="5102"/>
    <cellStyle name="표준 3 2 2 3 2 5 2 2 2" xfId="10670"/>
    <cellStyle name="표준 3 2 2 3 2 5 2 2 2 2" xfId="27374"/>
    <cellStyle name="표준 3 2 2 3 2 5 2 2 3" xfId="16238"/>
    <cellStyle name="표준 3 2 2 3 2 5 2 2 3 2" xfId="32942"/>
    <cellStyle name="표준 3 2 2 3 2 5 2 2 4" xfId="21806"/>
    <cellStyle name="표준 3 2 2 3 2 5 2 3" xfId="7886"/>
    <cellStyle name="표준 3 2 2 3 2 5 2 3 2" xfId="24590"/>
    <cellStyle name="표준 3 2 2 3 2 5 2 4" xfId="13454"/>
    <cellStyle name="표준 3 2 2 3 2 5 2 4 2" xfId="30158"/>
    <cellStyle name="표준 3 2 2 3 2 5 2 5" xfId="19022"/>
    <cellStyle name="표준 3 2 2 3 2 5 3" xfId="3710"/>
    <cellStyle name="표준 3 2 2 3 2 5 3 2" xfId="9278"/>
    <cellStyle name="표준 3 2 2 3 2 5 3 2 2" xfId="25982"/>
    <cellStyle name="표준 3 2 2 3 2 5 3 3" xfId="14846"/>
    <cellStyle name="표준 3 2 2 3 2 5 3 3 2" xfId="31550"/>
    <cellStyle name="표준 3 2 2 3 2 5 3 4" xfId="20414"/>
    <cellStyle name="표준 3 2 2 3 2 5 4" xfId="6494"/>
    <cellStyle name="표준 3 2 2 3 2 5 4 2" xfId="23198"/>
    <cellStyle name="표준 3 2 2 3 2 5 5" xfId="12062"/>
    <cellStyle name="표준 3 2 2 3 2 5 5 2" xfId="28766"/>
    <cellStyle name="표준 3 2 2 3 2 5 6" xfId="17630"/>
    <cellStyle name="표준 3 2 2 3 2 6" xfId="1622"/>
    <cellStyle name="표준 3 2 2 3 2 6 2" xfId="4406"/>
    <cellStyle name="표준 3 2 2 3 2 6 2 2" xfId="9974"/>
    <cellStyle name="표준 3 2 2 3 2 6 2 2 2" xfId="26678"/>
    <cellStyle name="표준 3 2 2 3 2 6 2 3" xfId="15542"/>
    <cellStyle name="표준 3 2 2 3 2 6 2 3 2" xfId="32246"/>
    <cellStyle name="표준 3 2 2 3 2 6 2 4" xfId="21110"/>
    <cellStyle name="표준 3 2 2 3 2 6 3" xfId="7190"/>
    <cellStyle name="표준 3 2 2 3 2 6 3 2" xfId="23894"/>
    <cellStyle name="표준 3 2 2 3 2 6 4" xfId="12758"/>
    <cellStyle name="표준 3 2 2 3 2 6 4 2" xfId="29462"/>
    <cellStyle name="표준 3 2 2 3 2 6 5" xfId="18326"/>
    <cellStyle name="표준 3 2 2 3 2 7" xfId="3014"/>
    <cellStyle name="표준 3 2 2 3 2 7 2" xfId="8582"/>
    <cellStyle name="표준 3 2 2 3 2 7 2 2" xfId="25286"/>
    <cellStyle name="표준 3 2 2 3 2 7 3" xfId="14150"/>
    <cellStyle name="표준 3 2 2 3 2 7 3 2" xfId="30854"/>
    <cellStyle name="표준 3 2 2 3 2 7 4" xfId="19718"/>
    <cellStyle name="표준 3 2 2 3 2 8" xfId="5798"/>
    <cellStyle name="표준 3 2 2 3 2 8 2" xfId="22502"/>
    <cellStyle name="표준 3 2 2 3 2 9" xfId="11366"/>
    <cellStyle name="표준 3 2 2 3 2 9 2" xfId="28070"/>
    <cellStyle name="표준 3 2 2 3 3" xfId="288"/>
    <cellStyle name="표준 3 2 2 3 3 2" xfId="520"/>
    <cellStyle name="표준 3 2 2 3 3 2 2" xfId="1216"/>
    <cellStyle name="표준 3 2 2 3 3 2 2 2" xfId="2608"/>
    <cellStyle name="표준 3 2 2 3 3 2 2 2 2" xfId="5392"/>
    <cellStyle name="표준 3 2 2 3 3 2 2 2 2 2" xfId="10960"/>
    <cellStyle name="표준 3 2 2 3 3 2 2 2 2 2 2" xfId="27664"/>
    <cellStyle name="표준 3 2 2 3 3 2 2 2 2 3" xfId="16528"/>
    <cellStyle name="표준 3 2 2 3 3 2 2 2 2 3 2" xfId="33232"/>
    <cellStyle name="표준 3 2 2 3 3 2 2 2 2 4" xfId="22096"/>
    <cellStyle name="표준 3 2 2 3 3 2 2 2 3" xfId="8176"/>
    <cellStyle name="표준 3 2 2 3 3 2 2 2 3 2" xfId="24880"/>
    <cellStyle name="표준 3 2 2 3 3 2 2 2 4" xfId="13744"/>
    <cellStyle name="표준 3 2 2 3 3 2 2 2 4 2" xfId="30448"/>
    <cellStyle name="표준 3 2 2 3 3 2 2 2 5" xfId="19312"/>
    <cellStyle name="표준 3 2 2 3 3 2 2 3" xfId="4000"/>
    <cellStyle name="표준 3 2 2 3 3 2 2 3 2" xfId="9568"/>
    <cellStyle name="표준 3 2 2 3 3 2 2 3 2 2" xfId="26272"/>
    <cellStyle name="표준 3 2 2 3 3 2 2 3 3" xfId="15136"/>
    <cellStyle name="표준 3 2 2 3 3 2 2 3 3 2" xfId="31840"/>
    <cellStyle name="표준 3 2 2 3 3 2 2 3 4" xfId="20704"/>
    <cellStyle name="표준 3 2 2 3 3 2 2 4" xfId="6784"/>
    <cellStyle name="표준 3 2 2 3 3 2 2 4 2" xfId="23488"/>
    <cellStyle name="표준 3 2 2 3 3 2 2 5" xfId="12352"/>
    <cellStyle name="표준 3 2 2 3 3 2 2 5 2" xfId="29056"/>
    <cellStyle name="표준 3 2 2 3 3 2 2 6" xfId="17920"/>
    <cellStyle name="표준 3 2 2 3 3 2 3" xfId="1912"/>
    <cellStyle name="표준 3 2 2 3 3 2 3 2" xfId="4696"/>
    <cellStyle name="표준 3 2 2 3 3 2 3 2 2" xfId="10264"/>
    <cellStyle name="표준 3 2 2 3 3 2 3 2 2 2" xfId="26968"/>
    <cellStyle name="표준 3 2 2 3 3 2 3 2 3" xfId="15832"/>
    <cellStyle name="표준 3 2 2 3 3 2 3 2 3 2" xfId="32536"/>
    <cellStyle name="표준 3 2 2 3 3 2 3 2 4" xfId="21400"/>
    <cellStyle name="표준 3 2 2 3 3 2 3 3" xfId="7480"/>
    <cellStyle name="표준 3 2 2 3 3 2 3 3 2" xfId="24184"/>
    <cellStyle name="표준 3 2 2 3 3 2 3 4" xfId="13048"/>
    <cellStyle name="표준 3 2 2 3 3 2 3 4 2" xfId="29752"/>
    <cellStyle name="표준 3 2 2 3 3 2 3 5" xfId="18616"/>
    <cellStyle name="표준 3 2 2 3 3 2 4" xfId="3304"/>
    <cellStyle name="표준 3 2 2 3 3 2 4 2" xfId="8872"/>
    <cellStyle name="표준 3 2 2 3 3 2 4 2 2" xfId="25576"/>
    <cellStyle name="표준 3 2 2 3 3 2 4 3" xfId="14440"/>
    <cellStyle name="표준 3 2 2 3 3 2 4 3 2" xfId="31144"/>
    <cellStyle name="표준 3 2 2 3 3 2 4 4" xfId="20008"/>
    <cellStyle name="표준 3 2 2 3 3 2 5" xfId="6088"/>
    <cellStyle name="표준 3 2 2 3 3 2 5 2" xfId="22792"/>
    <cellStyle name="표준 3 2 2 3 3 2 6" xfId="11656"/>
    <cellStyle name="표준 3 2 2 3 3 2 6 2" xfId="28360"/>
    <cellStyle name="표준 3 2 2 3 3 2 7" xfId="17224"/>
    <cellStyle name="표준 3 2 2 3 3 3" xfId="752"/>
    <cellStyle name="표준 3 2 2 3 3 3 2" xfId="1448"/>
    <cellStyle name="표준 3 2 2 3 3 3 2 2" xfId="2840"/>
    <cellStyle name="표준 3 2 2 3 3 3 2 2 2" xfId="5624"/>
    <cellStyle name="표준 3 2 2 3 3 3 2 2 2 2" xfId="11192"/>
    <cellStyle name="표준 3 2 2 3 3 3 2 2 2 2 2" xfId="27896"/>
    <cellStyle name="표준 3 2 2 3 3 3 2 2 2 3" xfId="16760"/>
    <cellStyle name="표준 3 2 2 3 3 3 2 2 2 3 2" xfId="33464"/>
    <cellStyle name="표준 3 2 2 3 3 3 2 2 2 4" xfId="22328"/>
    <cellStyle name="표준 3 2 2 3 3 3 2 2 3" xfId="8408"/>
    <cellStyle name="표준 3 2 2 3 3 3 2 2 3 2" xfId="25112"/>
    <cellStyle name="표준 3 2 2 3 3 3 2 2 4" xfId="13976"/>
    <cellStyle name="표준 3 2 2 3 3 3 2 2 4 2" xfId="30680"/>
    <cellStyle name="표준 3 2 2 3 3 3 2 2 5" xfId="19544"/>
    <cellStyle name="표준 3 2 2 3 3 3 2 3" xfId="4232"/>
    <cellStyle name="표준 3 2 2 3 3 3 2 3 2" xfId="9800"/>
    <cellStyle name="표준 3 2 2 3 3 3 2 3 2 2" xfId="26504"/>
    <cellStyle name="표준 3 2 2 3 3 3 2 3 3" xfId="15368"/>
    <cellStyle name="표준 3 2 2 3 3 3 2 3 3 2" xfId="32072"/>
    <cellStyle name="표준 3 2 2 3 3 3 2 3 4" xfId="20936"/>
    <cellStyle name="표준 3 2 2 3 3 3 2 4" xfId="7016"/>
    <cellStyle name="표준 3 2 2 3 3 3 2 4 2" xfId="23720"/>
    <cellStyle name="표준 3 2 2 3 3 3 2 5" xfId="12584"/>
    <cellStyle name="표준 3 2 2 3 3 3 2 5 2" xfId="29288"/>
    <cellStyle name="표준 3 2 2 3 3 3 2 6" xfId="18152"/>
    <cellStyle name="표준 3 2 2 3 3 3 3" xfId="2144"/>
    <cellStyle name="표준 3 2 2 3 3 3 3 2" xfId="4928"/>
    <cellStyle name="표준 3 2 2 3 3 3 3 2 2" xfId="10496"/>
    <cellStyle name="표준 3 2 2 3 3 3 3 2 2 2" xfId="27200"/>
    <cellStyle name="표준 3 2 2 3 3 3 3 2 3" xfId="16064"/>
    <cellStyle name="표준 3 2 2 3 3 3 3 2 3 2" xfId="32768"/>
    <cellStyle name="표준 3 2 2 3 3 3 3 2 4" xfId="21632"/>
    <cellStyle name="표준 3 2 2 3 3 3 3 3" xfId="7712"/>
    <cellStyle name="표준 3 2 2 3 3 3 3 3 2" xfId="24416"/>
    <cellStyle name="표준 3 2 2 3 3 3 3 4" xfId="13280"/>
    <cellStyle name="표준 3 2 2 3 3 3 3 4 2" xfId="29984"/>
    <cellStyle name="표준 3 2 2 3 3 3 3 5" xfId="18848"/>
    <cellStyle name="표준 3 2 2 3 3 3 4" xfId="3536"/>
    <cellStyle name="표준 3 2 2 3 3 3 4 2" xfId="9104"/>
    <cellStyle name="표준 3 2 2 3 3 3 4 2 2" xfId="25808"/>
    <cellStyle name="표준 3 2 2 3 3 3 4 3" xfId="14672"/>
    <cellStyle name="표준 3 2 2 3 3 3 4 3 2" xfId="31376"/>
    <cellStyle name="표준 3 2 2 3 3 3 4 4" xfId="20240"/>
    <cellStyle name="표준 3 2 2 3 3 3 5" xfId="6320"/>
    <cellStyle name="표준 3 2 2 3 3 3 5 2" xfId="23024"/>
    <cellStyle name="표준 3 2 2 3 3 3 6" xfId="11888"/>
    <cellStyle name="표준 3 2 2 3 3 3 6 2" xfId="28592"/>
    <cellStyle name="표준 3 2 2 3 3 3 7" xfId="17456"/>
    <cellStyle name="표준 3 2 2 3 3 4" xfId="984"/>
    <cellStyle name="표준 3 2 2 3 3 4 2" xfId="2376"/>
    <cellStyle name="표준 3 2 2 3 3 4 2 2" xfId="5160"/>
    <cellStyle name="표준 3 2 2 3 3 4 2 2 2" xfId="10728"/>
    <cellStyle name="표준 3 2 2 3 3 4 2 2 2 2" xfId="27432"/>
    <cellStyle name="표준 3 2 2 3 3 4 2 2 3" xfId="16296"/>
    <cellStyle name="표준 3 2 2 3 3 4 2 2 3 2" xfId="33000"/>
    <cellStyle name="표준 3 2 2 3 3 4 2 2 4" xfId="21864"/>
    <cellStyle name="표준 3 2 2 3 3 4 2 3" xfId="7944"/>
    <cellStyle name="표준 3 2 2 3 3 4 2 3 2" xfId="24648"/>
    <cellStyle name="표준 3 2 2 3 3 4 2 4" xfId="13512"/>
    <cellStyle name="표준 3 2 2 3 3 4 2 4 2" xfId="30216"/>
    <cellStyle name="표준 3 2 2 3 3 4 2 5" xfId="19080"/>
    <cellStyle name="표준 3 2 2 3 3 4 3" xfId="3768"/>
    <cellStyle name="표준 3 2 2 3 3 4 3 2" xfId="9336"/>
    <cellStyle name="표준 3 2 2 3 3 4 3 2 2" xfId="26040"/>
    <cellStyle name="표준 3 2 2 3 3 4 3 3" xfId="14904"/>
    <cellStyle name="표준 3 2 2 3 3 4 3 3 2" xfId="31608"/>
    <cellStyle name="표준 3 2 2 3 3 4 3 4" xfId="20472"/>
    <cellStyle name="표준 3 2 2 3 3 4 4" xfId="6552"/>
    <cellStyle name="표준 3 2 2 3 3 4 4 2" xfId="23256"/>
    <cellStyle name="표준 3 2 2 3 3 4 5" xfId="12120"/>
    <cellStyle name="표준 3 2 2 3 3 4 5 2" xfId="28824"/>
    <cellStyle name="표준 3 2 2 3 3 4 6" xfId="17688"/>
    <cellStyle name="표준 3 2 2 3 3 5" xfId="1680"/>
    <cellStyle name="표준 3 2 2 3 3 5 2" xfId="4464"/>
    <cellStyle name="표준 3 2 2 3 3 5 2 2" xfId="10032"/>
    <cellStyle name="표준 3 2 2 3 3 5 2 2 2" xfId="26736"/>
    <cellStyle name="표준 3 2 2 3 3 5 2 3" xfId="15600"/>
    <cellStyle name="표준 3 2 2 3 3 5 2 3 2" xfId="32304"/>
    <cellStyle name="표준 3 2 2 3 3 5 2 4" xfId="21168"/>
    <cellStyle name="표준 3 2 2 3 3 5 3" xfId="7248"/>
    <cellStyle name="표준 3 2 2 3 3 5 3 2" xfId="23952"/>
    <cellStyle name="표준 3 2 2 3 3 5 4" xfId="12816"/>
    <cellStyle name="표준 3 2 2 3 3 5 4 2" xfId="29520"/>
    <cellStyle name="표준 3 2 2 3 3 5 5" xfId="18384"/>
    <cellStyle name="표준 3 2 2 3 3 6" xfId="3072"/>
    <cellStyle name="표준 3 2 2 3 3 6 2" xfId="8640"/>
    <cellStyle name="표준 3 2 2 3 3 6 2 2" xfId="25344"/>
    <cellStyle name="표준 3 2 2 3 3 6 3" xfId="14208"/>
    <cellStyle name="표준 3 2 2 3 3 6 3 2" xfId="30912"/>
    <cellStyle name="표준 3 2 2 3 3 6 4" xfId="19776"/>
    <cellStyle name="표준 3 2 2 3 3 7" xfId="5856"/>
    <cellStyle name="표준 3 2 2 3 3 7 2" xfId="22560"/>
    <cellStyle name="표준 3 2 2 3 3 8" xfId="11424"/>
    <cellStyle name="표준 3 2 2 3 3 8 2" xfId="28128"/>
    <cellStyle name="표준 3 2 2 3 3 9" xfId="16992"/>
    <cellStyle name="표준 3 2 2 3 4" xfId="404"/>
    <cellStyle name="표준 3 2 2 3 4 2" xfId="1100"/>
    <cellStyle name="표준 3 2 2 3 4 2 2" xfId="2492"/>
    <cellStyle name="표준 3 2 2 3 4 2 2 2" xfId="5276"/>
    <cellStyle name="표준 3 2 2 3 4 2 2 2 2" xfId="10844"/>
    <cellStyle name="표준 3 2 2 3 4 2 2 2 2 2" xfId="27548"/>
    <cellStyle name="표준 3 2 2 3 4 2 2 2 3" xfId="16412"/>
    <cellStyle name="표준 3 2 2 3 4 2 2 2 3 2" xfId="33116"/>
    <cellStyle name="표준 3 2 2 3 4 2 2 2 4" xfId="21980"/>
    <cellStyle name="표준 3 2 2 3 4 2 2 3" xfId="8060"/>
    <cellStyle name="표준 3 2 2 3 4 2 2 3 2" xfId="24764"/>
    <cellStyle name="표준 3 2 2 3 4 2 2 4" xfId="13628"/>
    <cellStyle name="표준 3 2 2 3 4 2 2 4 2" xfId="30332"/>
    <cellStyle name="표준 3 2 2 3 4 2 2 5" xfId="19196"/>
    <cellStyle name="표준 3 2 2 3 4 2 3" xfId="3884"/>
    <cellStyle name="표준 3 2 2 3 4 2 3 2" xfId="9452"/>
    <cellStyle name="표준 3 2 2 3 4 2 3 2 2" xfId="26156"/>
    <cellStyle name="표준 3 2 2 3 4 2 3 3" xfId="15020"/>
    <cellStyle name="표준 3 2 2 3 4 2 3 3 2" xfId="31724"/>
    <cellStyle name="표준 3 2 2 3 4 2 3 4" xfId="20588"/>
    <cellStyle name="표준 3 2 2 3 4 2 4" xfId="6668"/>
    <cellStyle name="표준 3 2 2 3 4 2 4 2" xfId="23372"/>
    <cellStyle name="표준 3 2 2 3 4 2 5" xfId="12236"/>
    <cellStyle name="표준 3 2 2 3 4 2 5 2" xfId="28940"/>
    <cellStyle name="표준 3 2 2 3 4 2 6" xfId="17804"/>
    <cellStyle name="표준 3 2 2 3 4 3" xfId="1796"/>
    <cellStyle name="표준 3 2 2 3 4 3 2" xfId="4580"/>
    <cellStyle name="표준 3 2 2 3 4 3 2 2" xfId="10148"/>
    <cellStyle name="표준 3 2 2 3 4 3 2 2 2" xfId="26852"/>
    <cellStyle name="표준 3 2 2 3 4 3 2 3" xfId="15716"/>
    <cellStyle name="표준 3 2 2 3 4 3 2 3 2" xfId="32420"/>
    <cellStyle name="표준 3 2 2 3 4 3 2 4" xfId="21284"/>
    <cellStyle name="표준 3 2 2 3 4 3 3" xfId="7364"/>
    <cellStyle name="표준 3 2 2 3 4 3 3 2" xfId="24068"/>
    <cellStyle name="표준 3 2 2 3 4 3 4" xfId="12932"/>
    <cellStyle name="표준 3 2 2 3 4 3 4 2" xfId="29636"/>
    <cellStyle name="표준 3 2 2 3 4 3 5" xfId="18500"/>
    <cellStyle name="표준 3 2 2 3 4 4" xfId="3188"/>
    <cellStyle name="표준 3 2 2 3 4 4 2" xfId="8756"/>
    <cellStyle name="표준 3 2 2 3 4 4 2 2" xfId="25460"/>
    <cellStyle name="표준 3 2 2 3 4 4 3" xfId="14324"/>
    <cellStyle name="표준 3 2 2 3 4 4 3 2" xfId="31028"/>
    <cellStyle name="표준 3 2 2 3 4 4 4" xfId="19892"/>
    <cellStyle name="표준 3 2 2 3 4 5" xfId="5972"/>
    <cellStyle name="표준 3 2 2 3 4 5 2" xfId="22676"/>
    <cellStyle name="표준 3 2 2 3 4 6" xfId="11540"/>
    <cellStyle name="표준 3 2 2 3 4 6 2" xfId="28244"/>
    <cellStyle name="표준 3 2 2 3 4 7" xfId="17108"/>
    <cellStyle name="표준 3 2 2 3 5" xfId="636"/>
    <cellStyle name="표준 3 2 2 3 5 2" xfId="1332"/>
    <cellStyle name="표준 3 2 2 3 5 2 2" xfId="2724"/>
    <cellStyle name="표준 3 2 2 3 5 2 2 2" xfId="5508"/>
    <cellStyle name="표준 3 2 2 3 5 2 2 2 2" xfId="11076"/>
    <cellStyle name="표준 3 2 2 3 5 2 2 2 2 2" xfId="27780"/>
    <cellStyle name="표준 3 2 2 3 5 2 2 2 3" xfId="16644"/>
    <cellStyle name="표준 3 2 2 3 5 2 2 2 3 2" xfId="33348"/>
    <cellStyle name="표준 3 2 2 3 5 2 2 2 4" xfId="22212"/>
    <cellStyle name="표준 3 2 2 3 5 2 2 3" xfId="8292"/>
    <cellStyle name="표준 3 2 2 3 5 2 2 3 2" xfId="24996"/>
    <cellStyle name="표준 3 2 2 3 5 2 2 4" xfId="13860"/>
    <cellStyle name="표준 3 2 2 3 5 2 2 4 2" xfId="30564"/>
    <cellStyle name="표준 3 2 2 3 5 2 2 5" xfId="19428"/>
    <cellStyle name="표준 3 2 2 3 5 2 3" xfId="4116"/>
    <cellStyle name="표준 3 2 2 3 5 2 3 2" xfId="9684"/>
    <cellStyle name="표준 3 2 2 3 5 2 3 2 2" xfId="26388"/>
    <cellStyle name="표준 3 2 2 3 5 2 3 3" xfId="15252"/>
    <cellStyle name="표준 3 2 2 3 5 2 3 3 2" xfId="31956"/>
    <cellStyle name="표준 3 2 2 3 5 2 3 4" xfId="20820"/>
    <cellStyle name="표준 3 2 2 3 5 2 4" xfId="6900"/>
    <cellStyle name="표준 3 2 2 3 5 2 4 2" xfId="23604"/>
    <cellStyle name="표준 3 2 2 3 5 2 5" xfId="12468"/>
    <cellStyle name="표준 3 2 2 3 5 2 5 2" xfId="29172"/>
    <cellStyle name="표준 3 2 2 3 5 2 6" xfId="18036"/>
    <cellStyle name="표준 3 2 2 3 5 3" xfId="2028"/>
    <cellStyle name="표준 3 2 2 3 5 3 2" xfId="4812"/>
    <cellStyle name="표준 3 2 2 3 5 3 2 2" xfId="10380"/>
    <cellStyle name="표준 3 2 2 3 5 3 2 2 2" xfId="27084"/>
    <cellStyle name="표준 3 2 2 3 5 3 2 3" xfId="15948"/>
    <cellStyle name="표준 3 2 2 3 5 3 2 3 2" xfId="32652"/>
    <cellStyle name="표준 3 2 2 3 5 3 2 4" xfId="21516"/>
    <cellStyle name="표준 3 2 2 3 5 3 3" xfId="7596"/>
    <cellStyle name="표준 3 2 2 3 5 3 3 2" xfId="24300"/>
    <cellStyle name="표준 3 2 2 3 5 3 4" xfId="13164"/>
    <cellStyle name="표준 3 2 2 3 5 3 4 2" xfId="29868"/>
    <cellStyle name="표준 3 2 2 3 5 3 5" xfId="18732"/>
    <cellStyle name="표준 3 2 2 3 5 4" xfId="3420"/>
    <cellStyle name="표준 3 2 2 3 5 4 2" xfId="8988"/>
    <cellStyle name="표준 3 2 2 3 5 4 2 2" xfId="25692"/>
    <cellStyle name="표준 3 2 2 3 5 4 3" xfId="14556"/>
    <cellStyle name="표준 3 2 2 3 5 4 3 2" xfId="31260"/>
    <cellStyle name="표준 3 2 2 3 5 4 4" xfId="20124"/>
    <cellStyle name="표준 3 2 2 3 5 5" xfId="6204"/>
    <cellStyle name="표준 3 2 2 3 5 5 2" xfId="22908"/>
    <cellStyle name="표준 3 2 2 3 5 6" xfId="11772"/>
    <cellStyle name="표준 3 2 2 3 5 6 2" xfId="28476"/>
    <cellStyle name="표준 3 2 2 3 5 7" xfId="17340"/>
    <cellStyle name="표준 3 2 2 3 6" xfId="868"/>
    <cellStyle name="표준 3 2 2 3 6 2" xfId="2260"/>
    <cellStyle name="표준 3 2 2 3 6 2 2" xfId="5044"/>
    <cellStyle name="표준 3 2 2 3 6 2 2 2" xfId="10612"/>
    <cellStyle name="표준 3 2 2 3 6 2 2 2 2" xfId="27316"/>
    <cellStyle name="표준 3 2 2 3 6 2 2 3" xfId="16180"/>
    <cellStyle name="표준 3 2 2 3 6 2 2 3 2" xfId="32884"/>
    <cellStyle name="표준 3 2 2 3 6 2 2 4" xfId="21748"/>
    <cellStyle name="표준 3 2 2 3 6 2 3" xfId="7828"/>
    <cellStyle name="표준 3 2 2 3 6 2 3 2" xfId="24532"/>
    <cellStyle name="표준 3 2 2 3 6 2 4" xfId="13396"/>
    <cellStyle name="표준 3 2 2 3 6 2 4 2" xfId="30100"/>
    <cellStyle name="표준 3 2 2 3 6 2 5" xfId="18964"/>
    <cellStyle name="표준 3 2 2 3 6 3" xfId="3652"/>
    <cellStyle name="표준 3 2 2 3 6 3 2" xfId="9220"/>
    <cellStyle name="표준 3 2 2 3 6 3 2 2" xfId="25924"/>
    <cellStyle name="표준 3 2 2 3 6 3 3" xfId="14788"/>
    <cellStyle name="표준 3 2 2 3 6 3 3 2" xfId="31492"/>
    <cellStyle name="표준 3 2 2 3 6 3 4" xfId="20356"/>
    <cellStyle name="표준 3 2 2 3 6 4" xfId="6436"/>
    <cellStyle name="표준 3 2 2 3 6 4 2" xfId="23140"/>
    <cellStyle name="표준 3 2 2 3 6 5" xfId="12004"/>
    <cellStyle name="표준 3 2 2 3 6 5 2" xfId="28708"/>
    <cellStyle name="표준 3 2 2 3 6 6" xfId="17572"/>
    <cellStyle name="표준 3 2 2 3 7" xfId="1564"/>
    <cellStyle name="표준 3 2 2 3 7 2" xfId="4348"/>
    <cellStyle name="표준 3 2 2 3 7 2 2" xfId="9916"/>
    <cellStyle name="표준 3 2 2 3 7 2 2 2" xfId="26620"/>
    <cellStyle name="표준 3 2 2 3 7 2 3" xfId="15484"/>
    <cellStyle name="표준 3 2 2 3 7 2 3 2" xfId="32188"/>
    <cellStyle name="표준 3 2 2 3 7 2 4" xfId="21052"/>
    <cellStyle name="표준 3 2 2 3 7 3" xfId="7132"/>
    <cellStyle name="표준 3 2 2 3 7 3 2" xfId="23836"/>
    <cellStyle name="표준 3 2 2 3 7 4" xfId="12700"/>
    <cellStyle name="표준 3 2 2 3 7 4 2" xfId="29404"/>
    <cellStyle name="표준 3 2 2 3 7 5" xfId="18268"/>
    <cellStyle name="표준 3 2 2 3 8" xfId="2956"/>
    <cellStyle name="표준 3 2 2 3 8 2" xfId="8524"/>
    <cellStyle name="표준 3 2 2 3 8 2 2" xfId="25228"/>
    <cellStyle name="표준 3 2 2 3 8 3" xfId="14092"/>
    <cellStyle name="표준 3 2 2 3 8 3 2" xfId="30796"/>
    <cellStyle name="표준 3 2 2 3 8 4" xfId="19660"/>
    <cellStyle name="표준 3 2 2 3 9" xfId="5740"/>
    <cellStyle name="표준 3 2 2 3 9 2" xfId="22444"/>
    <cellStyle name="표준 3 2 2 4" xfId="201"/>
    <cellStyle name="표준 3 2 2 4 10" xfId="16905"/>
    <cellStyle name="표준 3 2 2 4 2" xfId="317"/>
    <cellStyle name="표준 3 2 2 4 2 2" xfId="549"/>
    <cellStyle name="표준 3 2 2 4 2 2 2" xfId="1245"/>
    <cellStyle name="표준 3 2 2 4 2 2 2 2" xfId="2637"/>
    <cellStyle name="표준 3 2 2 4 2 2 2 2 2" xfId="5421"/>
    <cellStyle name="표준 3 2 2 4 2 2 2 2 2 2" xfId="10989"/>
    <cellStyle name="표준 3 2 2 4 2 2 2 2 2 2 2" xfId="27693"/>
    <cellStyle name="표준 3 2 2 4 2 2 2 2 2 3" xfId="16557"/>
    <cellStyle name="표준 3 2 2 4 2 2 2 2 2 3 2" xfId="33261"/>
    <cellStyle name="표준 3 2 2 4 2 2 2 2 2 4" xfId="22125"/>
    <cellStyle name="표준 3 2 2 4 2 2 2 2 3" xfId="8205"/>
    <cellStyle name="표준 3 2 2 4 2 2 2 2 3 2" xfId="24909"/>
    <cellStyle name="표준 3 2 2 4 2 2 2 2 4" xfId="13773"/>
    <cellStyle name="표준 3 2 2 4 2 2 2 2 4 2" xfId="30477"/>
    <cellStyle name="표준 3 2 2 4 2 2 2 2 5" xfId="19341"/>
    <cellStyle name="표준 3 2 2 4 2 2 2 3" xfId="4029"/>
    <cellStyle name="표준 3 2 2 4 2 2 2 3 2" xfId="9597"/>
    <cellStyle name="표준 3 2 2 4 2 2 2 3 2 2" xfId="26301"/>
    <cellStyle name="표준 3 2 2 4 2 2 2 3 3" xfId="15165"/>
    <cellStyle name="표준 3 2 2 4 2 2 2 3 3 2" xfId="31869"/>
    <cellStyle name="표준 3 2 2 4 2 2 2 3 4" xfId="20733"/>
    <cellStyle name="표준 3 2 2 4 2 2 2 4" xfId="6813"/>
    <cellStyle name="표준 3 2 2 4 2 2 2 4 2" xfId="23517"/>
    <cellStyle name="표준 3 2 2 4 2 2 2 5" xfId="12381"/>
    <cellStyle name="표준 3 2 2 4 2 2 2 5 2" xfId="29085"/>
    <cellStyle name="표준 3 2 2 4 2 2 2 6" xfId="17949"/>
    <cellStyle name="표준 3 2 2 4 2 2 3" xfId="1941"/>
    <cellStyle name="표준 3 2 2 4 2 2 3 2" xfId="4725"/>
    <cellStyle name="표준 3 2 2 4 2 2 3 2 2" xfId="10293"/>
    <cellStyle name="표준 3 2 2 4 2 2 3 2 2 2" xfId="26997"/>
    <cellStyle name="표준 3 2 2 4 2 2 3 2 3" xfId="15861"/>
    <cellStyle name="표준 3 2 2 4 2 2 3 2 3 2" xfId="32565"/>
    <cellStyle name="표준 3 2 2 4 2 2 3 2 4" xfId="21429"/>
    <cellStyle name="표준 3 2 2 4 2 2 3 3" xfId="7509"/>
    <cellStyle name="표준 3 2 2 4 2 2 3 3 2" xfId="24213"/>
    <cellStyle name="표준 3 2 2 4 2 2 3 4" xfId="13077"/>
    <cellStyle name="표준 3 2 2 4 2 2 3 4 2" xfId="29781"/>
    <cellStyle name="표준 3 2 2 4 2 2 3 5" xfId="18645"/>
    <cellStyle name="표준 3 2 2 4 2 2 4" xfId="3333"/>
    <cellStyle name="표준 3 2 2 4 2 2 4 2" xfId="8901"/>
    <cellStyle name="표준 3 2 2 4 2 2 4 2 2" xfId="25605"/>
    <cellStyle name="표준 3 2 2 4 2 2 4 3" xfId="14469"/>
    <cellStyle name="표준 3 2 2 4 2 2 4 3 2" xfId="31173"/>
    <cellStyle name="표준 3 2 2 4 2 2 4 4" xfId="20037"/>
    <cellStyle name="표준 3 2 2 4 2 2 5" xfId="6117"/>
    <cellStyle name="표준 3 2 2 4 2 2 5 2" xfId="22821"/>
    <cellStyle name="표준 3 2 2 4 2 2 6" xfId="11685"/>
    <cellStyle name="표준 3 2 2 4 2 2 6 2" xfId="28389"/>
    <cellStyle name="표준 3 2 2 4 2 2 7" xfId="17253"/>
    <cellStyle name="표준 3 2 2 4 2 3" xfId="781"/>
    <cellStyle name="표준 3 2 2 4 2 3 2" xfId="1477"/>
    <cellStyle name="표준 3 2 2 4 2 3 2 2" xfId="2869"/>
    <cellStyle name="표준 3 2 2 4 2 3 2 2 2" xfId="5653"/>
    <cellStyle name="표준 3 2 2 4 2 3 2 2 2 2" xfId="11221"/>
    <cellStyle name="표준 3 2 2 4 2 3 2 2 2 2 2" xfId="27925"/>
    <cellStyle name="표준 3 2 2 4 2 3 2 2 2 3" xfId="16789"/>
    <cellStyle name="표준 3 2 2 4 2 3 2 2 2 3 2" xfId="33493"/>
    <cellStyle name="표준 3 2 2 4 2 3 2 2 2 4" xfId="22357"/>
    <cellStyle name="표준 3 2 2 4 2 3 2 2 3" xfId="8437"/>
    <cellStyle name="표준 3 2 2 4 2 3 2 2 3 2" xfId="25141"/>
    <cellStyle name="표준 3 2 2 4 2 3 2 2 4" xfId="14005"/>
    <cellStyle name="표준 3 2 2 4 2 3 2 2 4 2" xfId="30709"/>
    <cellStyle name="표준 3 2 2 4 2 3 2 2 5" xfId="19573"/>
    <cellStyle name="표준 3 2 2 4 2 3 2 3" xfId="4261"/>
    <cellStyle name="표준 3 2 2 4 2 3 2 3 2" xfId="9829"/>
    <cellStyle name="표준 3 2 2 4 2 3 2 3 2 2" xfId="26533"/>
    <cellStyle name="표준 3 2 2 4 2 3 2 3 3" xfId="15397"/>
    <cellStyle name="표준 3 2 2 4 2 3 2 3 3 2" xfId="32101"/>
    <cellStyle name="표준 3 2 2 4 2 3 2 3 4" xfId="20965"/>
    <cellStyle name="표준 3 2 2 4 2 3 2 4" xfId="7045"/>
    <cellStyle name="표준 3 2 2 4 2 3 2 4 2" xfId="23749"/>
    <cellStyle name="표준 3 2 2 4 2 3 2 5" xfId="12613"/>
    <cellStyle name="표준 3 2 2 4 2 3 2 5 2" xfId="29317"/>
    <cellStyle name="표준 3 2 2 4 2 3 2 6" xfId="18181"/>
    <cellStyle name="표준 3 2 2 4 2 3 3" xfId="2173"/>
    <cellStyle name="표준 3 2 2 4 2 3 3 2" xfId="4957"/>
    <cellStyle name="표준 3 2 2 4 2 3 3 2 2" xfId="10525"/>
    <cellStyle name="표준 3 2 2 4 2 3 3 2 2 2" xfId="27229"/>
    <cellStyle name="표준 3 2 2 4 2 3 3 2 3" xfId="16093"/>
    <cellStyle name="표준 3 2 2 4 2 3 3 2 3 2" xfId="32797"/>
    <cellStyle name="표준 3 2 2 4 2 3 3 2 4" xfId="21661"/>
    <cellStyle name="표준 3 2 2 4 2 3 3 3" xfId="7741"/>
    <cellStyle name="표준 3 2 2 4 2 3 3 3 2" xfId="24445"/>
    <cellStyle name="표준 3 2 2 4 2 3 3 4" xfId="13309"/>
    <cellStyle name="표준 3 2 2 4 2 3 3 4 2" xfId="30013"/>
    <cellStyle name="표준 3 2 2 4 2 3 3 5" xfId="18877"/>
    <cellStyle name="표준 3 2 2 4 2 3 4" xfId="3565"/>
    <cellStyle name="표준 3 2 2 4 2 3 4 2" xfId="9133"/>
    <cellStyle name="표준 3 2 2 4 2 3 4 2 2" xfId="25837"/>
    <cellStyle name="표준 3 2 2 4 2 3 4 3" xfId="14701"/>
    <cellStyle name="표준 3 2 2 4 2 3 4 3 2" xfId="31405"/>
    <cellStyle name="표준 3 2 2 4 2 3 4 4" xfId="20269"/>
    <cellStyle name="표준 3 2 2 4 2 3 5" xfId="6349"/>
    <cellStyle name="표준 3 2 2 4 2 3 5 2" xfId="23053"/>
    <cellStyle name="표준 3 2 2 4 2 3 6" xfId="11917"/>
    <cellStyle name="표준 3 2 2 4 2 3 6 2" xfId="28621"/>
    <cellStyle name="표준 3 2 2 4 2 3 7" xfId="17485"/>
    <cellStyle name="표준 3 2 2 4 2 4" xfId="1013"/>
    <cellStyle name="표준 3 2 2 4 2 4 2" xfId="2405"/>
    <cellStyle name="표준 3 2 2 4 2 4 2 2" xfId="5189"/>
    <cellStyle name="표준 3 2 2 4 2 4 2 2 2" xfId="10757"/>
    <cellStyle name="표준 3 2 2 4 2 4 2 2 2 2" xfId="27461"/>
    <cellStyle name="표준 3 2 2 4 2 4 2 2 3" xfId="16325"/>
    <cellStyle name="표준 3 2 2 4 2 4 2 2 3 2" xfId="33029"/>
    <cellStyle name="표준 3 2 2 4 2 4 2 2 4" xfId="21893"/>
    <cellStyle name="표준 3 2 2 4 2 4 2 3" xfId="7973"/>
    <cellStyle name="표준 3 2 2 4 2 4 2 3 2" xfId="24677"/>
    <cellStyle name="표준 3 2 2 4 2 4 2 4" xfId="13541"/>
    <cellStyle name="표준 3 2 2 4 2 4 2 4 2" xfId="30245"/>
    <cellStyle name="표준 3 2 2 4 2 4 2 5" xfId="19109"/>
    <cellStyle name="표준 3 2 2 4 2 4 3" xfId="3797"/>
    <cellStyle name="표준 3 2 2 4 2 4 3 2" xfId="9365"/>
    <cellStyle name="표준 3 2 2 4 2 4 3 2 2" xfId="26069"/>
    <cellStyle name="표준 3 2 2 4 2 4 3 3" xfId="14933"/>
    <cellStyle name="표준 3 2 2 4 2 4 3 3 2" xfId="31637"/>
    <cellStyle name="표준 3 2 2 4 2 4 3 4" xfId="20501"/>
    <cellStyle name="표준 3 2 2 4 2 4 4" xfId="6581"/>
    <cellStyle name="표준 3 2 2 4 2 4 4 2" xfId="23285"/>
    <cellStyle name="표준 3 2 2 4 2 4 5" xfId="12149"/>
    <cellStyle name="표준 3 2 2 4 2 4 5 2" xfId="28853"/>
    <cellStyle name="표준 3 2 2 4 2 4 6" xfId="17717"/>
    <cellStyle name="표준 3 2 2 4 2 5" xfId="1709"/>
    <cellStyle name="표준 3 2 2 4 2 5 2" xfId="4493"/>
    <cellStyle name="표준 3 2 2 4 2 5 2 2" xfId="10061"/>
    <cellStyle name="표준 3 2 2 4 2 5 2 2 2" xfId="26765"/>
    <cellStyle name="표준 3 2 2 4 2 5 2 3" xfId="15629"/>
    <cellStyle name="표준 3 2 2 4 2 5 2 3 2" xfId="32333"/>
    <cellStyle name="표준 3 2 2 4 2 5 2 4" xfId="21197"/>
    <cellStyle name="표준 3 2 2 4 2 5 3" xfId="7277"/>
    <cellStyle name="표준 3 2 2 4 2 5 3 2" xfId="23981"/>
    <cellStyle name="표준 3 2 2 4 2 5 4" xfId="12845"/>
    <cellStyle name="표준 3 2 2 4 2 5 4 2" xfId="29549"/>
    <cellStyle name="표준 3 2 2 4 2 5 5" xfId="18413"/>
    <cellStyle name="표준 3 2 2 4 2 6" xfId="3101"/>
    <cellStyle name="표준 3 2 2 4 2 6 2" xfId="8669"/>
    <cellStyle name="표준 3 2 2 4 2 6 2 2" xfId="25373"/>
    <cellStyle name="표준 3 2 2 4 2 6 3" xfId="14237"/>
    <cellStyle name="표준 3 2 2 4 2 6 3 2" xfId="30941"/>
    <cellStyle name="표준 3 2 2 4 2 6 4" xfId="19805"/>
    <cellStyle name="표준 3 2 2 4 2 7" xfId="5885"/>
    <cellStyle name="표준 3 2 2 4 2 7 2" xfId="22589"/>
    <cellStyle name="표준 3 2 2 4 2 8" xfId="11453"/>
    <cellStyle name="표준 3 2 2 4 2 8 2" xfId="28157"/>
    <cellStyle name="표준 3 2 2 4 2 9" xfId="17021"/>
    <cellStyle name="표준 3 2 2 4 3" xfId="433"/>
    <cellStyle name="표준 3 2 2 4 3 2" xfId="1129"/>
    <cellStyle name="표준 3 2 2 4 3 2 2" xfId="2521"/>
    <cellStyle name="표준 3 2 2 4 3 2 2 2" xfId="5305"/>
    <cellStyle name="표준 3 2 2 4 3 2 2 2 2" xfId="10873"/>
    <cellStyle name="표준 3 2 2 4 3 2 2 2 2 2" xfId="27577"/>
    <cellStyle name="표준 3 2 2 4 3 2 2 2 3" xfId="16441"/>
    <cellStyle name="표준 3 2 2 4 3 2 2 2 3 2" xfId="33145"/>
    <cellStyle name="표준 3 2 2 4 3 2 2 2 4" xfId="22009"/>
    <cellStyle name="표준 3 2 2 4 3 2 2 3" xfId="8089"/>
    <cellStyle name="표준 3 2 2 4 3 2 2 3 2" xfId="24793"/>
    <cellStyle name="표준 3 2 2 4 3 2 2 4" xfId="13657"/>
    <cellStyle name="표준 3 2 2 4 3 2 2 4 2" xfId="30361"/>
    <cellStyle name="표준 3 2 2 4 3 2 2 5" xfId="19225"/>
    <cellStyle name="표준 3 2 2 4 3 2 3" xfId="3913"/>
    <cellStyle name="표준 3 2 2 4 3 2 3 2" xfId="9481"/>
    <cellStyle name="표준 3 2 2 4 3 2 3 2 2" xfId="26185"/>
    <cellStyle name="표준 3 2 2 4 3 2 3 3" xfId="15049"/>
    <cellStyle name="표준 3 2 2 4 3 2 3 3 2" xfId="31753"/>
    <cellStyle name="표준 3 2 2 4 3 2 3 4" xfId="20617"/>
    <cellStyle name="표준 3 2 2 4 3 2 4" xfId="6697"/>
    <cellStyle name="표준 3 2 2 4 3 2 4 2" xfId="23401"/>
    <cellStyle name="표준 3 2 2 4 3 2 5" xfId="12265"/>
    <cellStyle name="표준 3 2 2 4 3 2 5 2" xfId="28969"/>
    <cellStyle name="표준 3 2 2 4 3 2 6" xfId="17833"/>
    <cellStyle name="표준 3 2 2 4 3 3" xfId="1825"/>
    <cellStyle name="표준 3 2 2 4 3 3 2" xfId="4609"/>
    <cellStyle name="표준 3 2 2 4 3 3 2 2" xfId="10177"/>
    <cellStyle name="표준 3 2 2 4 3 3 2 2 2" xfId="26881"/>
    <cellStyle name="표준 3 2 2 4 3 3 2 3" xfId="15745"/>
    <cellStyle name="표준 3 2 2 4 3 3 2 3 2" xfId="32449"/>
    <cellStyle name="표준 3 2 2 4 3 3 2 4" xfId="21313"/>
    <cellStyle name="표준 3 2 2 4 3 3 3" xfId="7393"/>
    <cellStyle name="표준 3 2 2 4 3 3 3 2" xfId="24097"/>
    <cellStyle name="표준 3 2 2 4 3 3 4" xfId="12961"/>
    <cellStyle name="표준 3 2 2 4 3 3 4 2" xfId="29665"/>
    <cellStyle name="표준 3 2 2 4 3 3 5" xfId="18529"/>
    <cellStyle name="표준 3 2 2 4 3 4" xfId="3217"/>
    <cellStyle name="표준 3 2 2 4 3 4 2" xfId="8785"/>
    <cellStyle name="표준 3 2 2 4 3 4 2 2" xfId="25489"/>
    <cellStyle name="표준 3 2 2 4 3 4 3" xfId="14353"/>
    <cellStyle name="표준 3 2 2 4 3 4 3 2" xfId="31057"/>
    <cellStyle name="표준 3 2 2 4 3 4 4" xfId="19921"/>
    <cellStyle name="표준 3 2 2 4 3 5" xfId="6001"/>
    <cellStyle name="표준 3 2 2 4 3 5 2" xfId="22705"/>
    <cellStyle name="표준 3 2 2 4 3 6" xfId="11569"/>
    <cellStyle name="표준 3 2 2 4 3 6 2" xfId="28273"/>
    <cellStyle name="표준 3 2 2 4 3 7" xfId="17137"/>
    <cellStyle name="표준 3 2 2 4 4" xfId="665"/>
    <cellStyle name="표준 3 2 2 4 4 2" xfId="1361"/>
    <cellStyle name="표준 3 2 2 4 4 2 2" xfId="2753"/>
    <cellStyle name="표준 3 2 2 4 4 2 2 2" xfId="5537"/>
    <cellStyle name="표준 3 2 2 4 4 2 2 2 2" xfId="11105"/>
    <cellStyle name="표준 3 2 2 4 4 2 2 2 2 2" xfId="27809"/>
    <cellStyle name="표준 3 2 2 4 4 2 2 2 3" xfId="16673"/>
    <cellStyle name="표준 3 2 2 4 4 2 2 2 3 2" xfId="33377"/>
    <cellStyle name="표준 3 2 2 4 4 2 2 2 4" xfId="22241"/>
    <cellStyle name="표준 3 2 2 4 4 2 2 3" xfId="8321"/>
    <cellStyle name="표준 3 2 2 4 4 2 2 3 2" xfId="25025"/>
    <cellStyle name="표준 3 2 2 4 4 2 2 4" xfId="13889"/>
    <cellStyle name="표준 3 2 2 4 4 2 2 4 2" xfId="30593"/>
    <cellStyle name="표준 3 2 2 4 4 2 2 5" xfId="19457"/>
    <cellStyle name="표준 3 2 2 4 4 2 3" xfId="4145"/>
    <cellStyle name="표준 3 2 2 4 4 2 3 2" xfId="9713"/>
    <cellStyle name="표준 3 2 2 4 4 2 3 2 2" xfId="26417"/>
    <cellStyle name="표준 3 2 2 4 4 2 3 3" xfId="15281"/>
    <cellStyle name="표준 3 2 2 4 4 2 3 3 2" xfId="31985"/>
    <cellStyle name="표준 3 2 2 4 4 2 3 4" xfId="20849"/>
    <cellStyle name="표준 3 2 2 4 4 2 4" xfId="6929"/>
    <cellStyle name="표준 3 2 2 4 4 2 4 2" xfId="23633"/>
    <cellStyle name="표준 3 2 2 4 4 2 5" xfId="12497"/>
    <cellStyle name="표준 3 2 2 4 4 2 5 2" xfId="29201"/>
    <cellStyle name="표준 3 2 2 4 4 2 6" xfId="18065"/>
    <cellStyle name="표준 3 2 2 4 4 3" xfId="2057"/>
    <cellStyle name="표준 3 2 2 4 4 3 2" xfId="4841"/>
    <cellStyle name="표준 3 2 2 4 4 3 2 2" xfId="10409"/>
    <cellStyle name="표준 3 2 2 4 4 3 2 2 2" xfId="27113"/>
    <cellStyle name="표준 3 2 2 4 4 3 2 3" xfId="15977"/>
    <cellStyle name="표준 3 2 2 4 4 3 2 3 2" xfId="32681"/>
    <cellStyle name="표준 3 2 2 4 4 3 2 4" xfId="21545"/>
    <cellStyle name="표준 3 2 2 4 4 3 3" xfId="7625"/>
    <cellStyle name="표준 3 2 2 4 4 3 3 2" xfId="24329"/>
    <cellStyle name="표준 3 2 2 4 4 3 4" xfId="13193"/>
    <cellStyle name="표준 3 2 2 4 4 3 4 2" xfId="29897"/>
    <cellStyle name="표준 3 2 2 4 4 3 5" xfId="18761"/>
    <cellStyle name="표준 3 2 2 4 4 4" xfId="3449"/>
    <cellStyle name="표준 3 2 2 4 4 4 2" xfId="9017"/>
    <cellStyle name="표준 3 2 2 4 4 4 2 2" xfId="25721"/>
    <cellStyle name="표준 3 2 2 4 4 4 3" xfId="14585"/>
    <cellStyle name="표준 3 2 2 4 4 4 3 2" xfId="31289"/>
    <cellStyle name="표준 3 2 2 4 4 4 4" xfId="20153"/>
    <cellStyle name="표준 3 2 2 4 4 5" xfId="6233"/>
    <cellStyle name="표준 3 2 2 4 4 5 2" xfId="22937"/>
    <cellStyle name="표준 3 2 2 4 4 6" xfId="11801"/>
    <cellStyle name="표준 3 2 2 4 4 6 2" xfId="28505"/>
    <cellStyle name="표준 3 2 2 4 4 7" xfId="17369"/>
    <cellStyle name="표준 3 2 2 4 5" xfId="897"/>
    <cellStyle name="표준 3 2 2 4 5 2" xfId="2289"/>
    <cellStyle name="표준 3 2 2 4 5 2 2" xfId="5073"/>
    <cellStyle name="표준 3 2 2 4 5 2 2 2" xfId="10641"/>
    <cellStyle name="표준 3 2 2 4 5 2 2 2 2" xfId="27345"/>
    <cellStyle name="표준 3 2 2 4 5 2 2 3" xfId="16209"/>
    <cellStyle name="표준 3 2 2 4 5 2 2 3 2" xfId="32913"/>
    <cellStyle name="표준 3 2 2 4 5 2 2 4" xfId="21777"/>
    <cellStyle name="표준 3 2 2 4 5 2 3" xfId="7857"/>
    <cellStyle name="표준 3 2 2 4 5 2 3 2" xfId="24561"/>
    <cellStyle name="표준 3 2 2 4 5 2 4" xfId="13425"/>
    <cellStyle name="표준 3 2 2 4 5 2 4 2" xfId="30129"/>
    <cellStyle name="표준 3 2 2 4 5 2 5" xfId="18993"/>
    <cellStyle name="표준 3 2 2 4 5 3" xfId="3681"/>
    <cellStyle name="표준 3 2 2 4 5 3 2" xfId="9249"/>
    <cellStyle name="표준 3 2 2 4 5 3 2 2" xfId="25953"/>
    <cellStyle name="표준 3 2 2 4 5 3 3" xfId="14817"/>
    <cellStyle name="표준 3 2 2 4 5 3 3 2" xfId="31521"/>
    <cellStyle name="표준 3 2 2 4 5 3 4" xfId="20385"/>
    <cellStyle name="표준 3 2 2 4 5 4" xfId="6465"/>
    <cellStyle name="표준 3 2 2 4 5 4 2" xfId="23169"/>
    <cellStyle name="표준 3 2 2 4 5 5" xfId="12033"/>
    <cellStyle name="표준 3 2 2 4 5 5 2" xfId="28737"/>
    <cellStyle name="표준 3 2 2 4 5 6" xfId="17601"/>
    <cellStyle name="표준 3 2 2 4 6" xfId="1593"/>
    <cellStyle name="표준 3 2 2 4 6 2" xfId="4377"/>
    <cellStyle name="표준 3 2 2 4 6 2 2" xfId="9945"/>
    <cellStyle name="표준 3 2 2 4 6 2 2 2" xfId="26649"/>
    <cellStyle name="표준 3 2 2 4 6 2 3" xfId="15513"/>
    <cellStyle name="표준 3 2 2 4 6 2 3 2" xfId="32217"/>
    <cellStyle name="표준 3 2 2 4 6 2 4" xfId="21081"/>
    <cellStyle name="표준 3 2 2 4 6 3" xfId="7161"/>
    <cellStyle name="표준 3 2 2 4 6 3 2" xfId="23865"/>
    <cellStyle name="표준 3 2 2 4 6 4" xfId="12729"/>
    <cellStyle name="표준 3 2 2 4 6 4 2" xfId="29433"/>
    <cellStyle name="표준 3 2 2 4 6 5" xfId="18297"/>
    <cellStyle name="표준 3 2 2 4 7" xfId="2985"/>
    <cellStyle name="표준 3 2 2 4 7 2" xfId="8553"/>
    <cellStyle name="표준 3 2 2 4 7 2 2" xfId="25257"/>
    <cellStyle name="표준 3 2 2 4 7 3" xfId="14121"/>
    <cellStyle name="표준 3 2 2 4 7 3 2" xfId="30825"/>
    <cellStyle name="표준 3 2 2 4 7 4" xfId="19689"/>
    <cellStyle name="표준 3 2 2 4 8" xfId="5769"/>
    <cellStyle name="표준 3 2 2 4 8 2" xfId="22473"/>
    <cellStyle name="표준 3 2 2 4 9" xfId="11337"/>
    <cellStyle name="표준 3 2 2 4 9 2" xfId="28041"/>
    <cellStyle name="표준 3 2 2 5" xfId="259"/>
    <cellStyle name="표준 3 2 2 5 2" xfId="491"/>
    <cellStyle name="표준 3 2 2 5 2 2" xfId="1187"/>
    <cellStyle name="표준 3 2 2 5 2 2 2" xfId="2579"/>
    <cellStyle name="표준 3 2 2 5 2 2 2 2" xfId="5363"/>
    <cellStyle name="표준 3 2 2 5 2 2 2 2 2" xfId="10931"/>
    <cellStyle name="표준 3 2 2 5 2 2 2 2 2 2" xfId="27635"/>
    <cellStyle name="표준 3 2 2 5 2 2 2 2 3" xfId="16499"/>
    <cellStyle name="표준 3 2 2 5 2 2 2 2 3 2" xfId="33203"/>
    <cellStyle name="표준 3 2 2 5 2 2 2 2 4" xfId="22067"/>
    <cellStyle name="표준 3 2 2 5 2 2 2 3" xfId="8147"/>
    <cellStyle name="표준 3 2 2 5 2 2 2 3 2" xfId="24851"/>
    <cellStyle name="표준 3 2 2 5 2 2 2 4" xfId="13715"/>
    <cellStyle name="표준 3 2 2 5 2 2 2 4 2" xfId="30419"/>
    <cellStyle name="표준 3 2 2 5 2 2 2 5" xfId="19283"/>
    <cellStyle name="표준 3 2 2 5 2 2 3" xfId="3971"/>
    <cellStyle name="표준 3 2 2 5 2 2 3 2" xfId="9539"/>
    <cellStyle name="표준 3 2 2 5 2 2 3 2 2" xfId="26243"/>
    <cellStyle name="표준 3 2 2 5 2 2 3 3" xfId="15107"/>
    <cellStyle name="표준 3 2 2 5 2 2 3 3 2" xfId="31811"/>
    <cellStyle name="표준 3 2 2 5 2 2 3 4" xfId="20675"/>
    <cellStyle name="표준 3 2 2 5 2 2 4" xfId="6755"/>
    <cellStyle name="표준 3 2 2 5 2 2 4 2" xfId="23459"/>
    <cellStyle name="표준 3 2 2 5 2 2 5" xfId="12323"/>
    <cellStyle name="표준 3 2 2 5 2 2 5 2" xfId="29027"/>
    <cellStyle name="표준 3 2 2 5 2 2 6" xfId="17891"/>
    <cellStyle name="표준 3 2 2 5 2 3" xfId="1883"/>
    <cellStyle name="표준 3 2 2 5 2 3 2" xfId="4667"/>
    <cellStyle name="표준 3 2 2 5 2 3 2 2" xfId="10235"/>
    <cellStyle name="표준 3 2 2 5 2 3 2 2 2" xfId="26939"/>
    <cellStyle name="표준 3 2 2 5 2 3 2 3" xfId="15803"/>
    <cellStyle name="표준 3 2 2 5 2 3 2 3 2" xfId="32507"/>
    <cellStyle name="표준 3 2 2 5 2 3 2 4" xfId="21371"/>
    <cellStyle name="표준 3 2 2 5 2 3 3" xfId="7451"/>
    <cellStyle name="표준 3 2 2 5 2 3 3 2" xfId="24155"/>
    <cellStyle name="표준 3 2 2 5 2 3 4" xfId="13019"/>
    <cellStyle name="표준 3 2 2 5 2 3 4 2" xfId="29723"/>
    <cellStyle name="표준 3 2 2 5 2 3 5" xfId="18587"/>
    <cellStyle name="표준 3 2 2 5 2 4" xfId="3275"/>
    <cellStyle name="표준 3 2 2 5 2 4 2" xfId="8843"/>
    <cellStyle name="표준 3 2 2 5 2 4 2 2" xfId="25547"/>
    <cellStyle name="표준 3 2 2 5 2 4 3" xfId="14411"/>
    <cellStyle name="표준 3 2 2 5 2 4 3 2" xfId="31115"/>
    <cellStyle name="표준 3 2 2 5 2 4 4" xfId="19979"/>
    <cellStyle name="표준 3 2 2 5 2 5" xfId="6059"/>
    <cellStyle name="표준 3 2 2 5 2 5 2" xfId="22763"/>
    <cellStyle name="표준 3 2 2 5 2 6" xfId="11627"/>
    <cellStyle name="표준 3 2 2 5 2 6 2" xfId="28331"/>
    <cellStyle name="표준 3 2 2 5 2 7" xfId="17195"/>
    <cellStyle name="표준 3 2 2 5 3" xfId="723"/>
    <cellStyle name="표준 3 2 2 5 3 2" xfId="1419"/>
    <cellStyle name="표준 3 2 2 5 3 2 2" xfId="2811"/>
    <cellStyle name="표준 3 2 2 5 3 2 2 2" xfId="5595"/>
    <cellStyle name="표준 3 2 2 5 3 2 2 2 2" xfId="11163"/>
    <cellStyle name="표준 3 2 2 5 3 2 2 2 2 2" xfId="27867"/>
    <cellStyle name="표준 3 2 2 5 3 2 2 2 3" xfId="16731"/>
    <cellStyle name="표준 3 2 2 5 3 2 2 2 3 2" xfId="33435"/>
    <cellStyle name="표준 3 2 2 5 3 2 2 2 4" xfId="22299"/>
    <cellStyle name="표준 3 2 2 5 3 2 2 3" xfId="8379"/>
    <cellStyle name="표준 3 2 2 5 3 2 2 3 2" xfId="25083"/>
    <cellStyle name="표준 3 2 2 5 3 2 2 4" xfId="13947"/>
    <cellStyle name="표준 3 2 2 5 3 2 2 4 2" xfId="30651"/>
    <cellStyle name="표준 3 2 2 5 3 2 2 5" xfId="19515"/>
    <cellStyle name="표준 3 2 2 5 3 2 3" xfId="4203"/>
    <cellStyle name="표준 3 2 2 5 3 2 3 2" xfId="9771"/>
    <cellStyle name="표준 3 2 2 5 3 2 3 2 2" xfId="26475"/>
    <cellStyle name="표준 3 2 2 5 3 2 3 3" xfId="15339"/>
    <cellStyle name="표준 3 2 2 5 3 2 3 3 2" xfId="32043"/>
    <cellStyle name="표준 3 2 2 5 3 2 3 4" xfId="20907"/>
    <cellStyle name="표준 3 2 2 5 3 2 4" xfId="6987"/>
    <cellStyle name="표준 3 2 2 5 3 2 4 2" xfId="23691"/>
    <cellStyle name="표준 3 2 2 5 3 2 5" xfId="12555"/>
    <cellStyle name="표준 3 2 2 5 3 2 5 2" xfId="29259"/>
    <cellStyle name="표준 3 2 2 5 3 2 6" xfId="18123"/>
    <cellStyle name="표준 3 2 2 5 3 3" xfId="2115"/>
    <cellStyle name="표준 3 2 2 5 3 3 2" xfId="4899"/>
    <cellStyle name="표준 3 2 2 5 3 3 2 2" xfId="10467"/>
    <cellStyle name="표준 3 2 2 5 3 3 2 2 2" xfId="27171"/>
    <cellStyle name="표준 3 2 2 5 3 3 2 3" xfId="16035"/>
    <cellStyle name="표준 3 2 2 5 3 3 2 3 2" xfId="32739"/>
    <cellStyle name="표준 3 2 2 5 3 3 2 4" xfId="21603"/>
    <cellStyle name="표준 3 2 2 5 3 3 3" xfId="7683"/>
    <cellStyle name="표준 3 2 2 5 3 3 3 2" xfId="24387"/>
    <cellStyle name="표준 3 2 2 5 3 3 4" xfId="13251"/>
    <cellStyle name="표준 3 2 2 5 3 3 4 2" xfId="29955"/>
    <cellStyle name="표준 3 2 2 5 3 3 5" xfId="18819"/>
    <cellStyle name="표준 3 2 2 5 3 4" xfId="3507"/>
    <cellStyle name="표준 3 2 2 5 3 4 2" xfId="9075"/>
    <cellStyle name="표준 3 2 2 5 3 4 2 2" xfId="25779"/>
    <cellStyle name="표준 3 2 2 5 3 4 3" xfId="14643"/>
    <cellStyle name="표준 3 2 2 5 3 4 3 2" xfId="31347"/>
    <cellStyle name="표준 3 2 2 5 3 4 4" xfId="20211"/>
    <cellStyle name="표준 3 2 2 5 3 5" xfId="6291"/>
    <cellStyle name="표준 3 2 2 5 3 5 2" xfId="22995"/>
    <cellStyle name="표준 3 2 2 5 3 6" xfId="11859"/>
    <cellStyle name="표준 3 2 2 5 3 6 2" xfId="28563"/>
    <cellStyle name="표준 3 2 2 5 3 7" xfId="17427"/>
    <cellStyle name="표준 3 2 2 5 4" xfId="955"/>
    <cellStyle name="표준 3 2 2 5 4 2" xfId="2347"/>
    <cellStyle name="표준 3 2 2 5 4 2 2" xfId="5131"/>
    <cellStyle name="표준 3 2 2 5 4 2 2 2" xfId="10699"/>
    <cellStyle name="표준 3 2 2 5 4 2 2 2 2" xfId="27403"/>
    <cellStyle name="표준 3 2 2 5 4 2 2 3" xfId="16267"/>
    <cellStyle name="표준 3 2 2 5 4 2 2 3 2" xfId="32971"/>
    <cellStyle name="표준 3 2 2 5 4 2 2 4" xfId="21835"/>
    <cellStyle name="표준 3 2 2 5 4 2 3" xfId="7915"/>
    <cellStyle name="표준 3 2 2 5 4 2 3 2" xfId="24619"/>
    <cellStyle name="표준 3 2 2 5 4 2 4" xfId="13483"/>
    <cellStyle name="표준 3 2 2 5 4 2 4 2" xfId="30187"/>
    <cellStyle name="표준 3 2 2 5 4 2 5" xfId="19051"/>
    <cellStyle name="표준 3 2 2 5 4 3" xfId="3739"/>
    <cellStyle name="표준 3 2 2 5 4 3 2" xfId="9307"/>
    <cellStyle name="표준 3 2 2 5 4 3 2 2" xfId="26011"/>
    <cellStyle name="표준 3 2 2 5 4 3 3" xfId="14875"/>
    <cellStyle name="표준 3 2 2 5 4 3 3 2" xfId="31579"/>
    <cellStyle name="표준 3 2 2 5 4 3 4" xfId="20443"/>
    <cellStyle name="표준 3 2 2 5 4 4" xfId="6523"/>
    <cellStyle name="표준 3 2 2 5 4 4 2" xfId="23227"/>
    <cellStyle name="표준 3 2 2 5 4 5" xfId="12091"/>
    <cellStyle name="표준 3 2 2 5 4 5 2" xfId="28795"/>
    <cellStyle name="표준 3 2 2 5 4 6" xfId="17659"/>
    <cellStyle name="표준 3 2 2 5 5" xfId="1651"/>
    <cellStyle name="표준 3 2 2 5 5 2" xfId="4435"/>
    <cellStyle name="표준 3 2 2 5 5 2 2" xfId="10003"/>
    <cellStyle name="표준 3 2 2 5 5 2 2 2" xfId="26707"/>
    <cellStyle name="표준 3 2 2 5 5 2 3" xfId="15571"/>
    <cellStyle name="표준 3 2 2 5 5 2 3 2" xfId="32275"/>
    <cellStyle name="표준 3 2 2 5 5 2 4" xfId="21139"/>
    <cellStyle name="표준 3 2 2 5 5 3" xfId="7219"/>
    <cellStyle name="표준 3 2 2 5 5 3 2" xfId="23923"/>
    <cellStyle name="표준 3 2 2 5 5 4" xfId="12787"/>
    <cellStyle name="표준 3 2 2 5 5 4 2" xfId="29491"/>
    <cellStyle name="표준 3 2 2 5 5 5" xfId="18355"/>
    <cellStyle name="표준 3 2 2 5 6" xfId="3043"/>
    <cellStyle name="표준 3 2 2 5 6 2" xfId="8611"/>
    <cellStyle name="표준 3 2 2 5 6 2 2" xfId="25315"/>
    <cellStyle name="표준 3 2 2 5 6 3" xfId="14179"/>
    <cellStyle name="표준 3 2 2 5 6 3 2" xfId="30883"/>
    <cellStyle name="표준 3 2 2 5 6 4" xfId="19747"/>
    <cellStyle name="표준 3 2 2 5 7" xfId="5827"/>
    <cellStyle name="표준 3 2 2 5 7 2" xfId="22531"/>
    <cellStyle name="표준 3 2 2 5 8" xfId="11395"/>
    <cellStyle name="표준 3 2 2 5 8 2" xfId="28099"/>
    <cellStyle name="표준 3 2 2 5 9" xfId="16963"/>
    <cellStyle name="표준 3 2 2 6" xfId="375"/>
    <cellStyle name="표준 3 2 2 6 2" xfId="1071"/>
    <cellStyle name="표준 3 2 2 6 2 2" xfId="2463"/>
    <cellStyle name="표준 3 2 2 6 2 2 2" xfId="5247"/>
    <cellStyle name="표준 3 2 2 6 2 2 2 2" xfId="10815"/>
    <cellStyle name="표준 3 2 2 6 2 2 2 2 2" xfId="27519"/>
    <cellStyle name="표준 3 2 2 6 2 2 2 3" xfId="16383"/>
    <cellStyle name="표준 3 2 2 6 2 2 2 3 2" xfId="33087"/>
    <cellStyle name="표준 3 2 2 6 2 2 2 4" xfId="21951"/>
    <cellStyle name="표준 3 2 2 6 2 2 3" xfId="8031"/>
    <cellStyle name="표준 3 2 2 6 2 2 3 2" xfId="24735"/>
    <cellStyle name="표준 3 2 2 6 2 2 4" xfId="13599"/>
    <cellStyle name="표준 3 2 2 6 2 2 4 2" xfId="30303"/>
    <cellStyle name="표준 3 2 2 6 2 2 5" xfId="19167"/>
    <cellStyle name="표준 3 2 2 6 2 3" xfId="3855"/>
    <cellStyle name="표준 3 2 2 6 2 3 2" xfId="9423"/>
    <cellStyle name="표준 3 2 2 6 2 3 2 2" xfId="26127"/>
    <cellStyle name="표준 3 2 2 6 2 3 3" xfId="14991"/>
    <cellStyle name="표준 3 2 2 6 2 3 3 2" xfId="31695"/>
    <cellStyle name="표준 3 2 2 6 2 3 4" xfId="20559"/>
    <cellStyle name="표준 3 2 2 6 2 4" xfId="6639"/>
    <cellStyle name="표준 3 2 2 6 2 4 2" xfId="23343"/>
    <cellStyle name="표준 3 2 2 6 2 5" xfId="12207"/>
    <cellStyle name="표준 3 2 2 6 2 5 2" xfId="28911"/>
    <cellStyle name="표준 3 2 2 6 2 6" xfId="17775"/>
    <cellStyle name="표준 3 2 2 6 3" xfId="1767"/>
    <cellStyle name="표준 3 2 2 6 3 2" xfId="4551"/>
    <cellStyle name="표준 3 2 2 6 3 2 2" xfId="10119"/>
    <cellStyle name="표준 3 2 2 6 3 2 2 2" xfId="26823"/>
    <cellStyle name="표준 3 2 2 6 3 2 3" xfId="15687"/>
    <cellStyle name="표준 3 2 2 6 3 2 3 2" xfId="32391"/>
    <cellStyle name="표준 3 2 2 6 3 2 4" xfId="21255"/>
    <cellStyle name="표준 3 2 2 6 3 3" xfId="7335"/>
    <cellStyle name="표준 3 2 2 6 3 3 2" xfId="24039"/>
    <cellStyle name="표준 3 2 2 6 3 4" xfId="12903"/>
    <cellStyle name="표준 3 2 2 6 3 4 2" xfId="29607"/>
    <cellStyle name="표준 3 2 2 6 3 5" xfId="18471"/>
    <cellStyle name="표준 3 2 2 6 4" xfId="3159"/>
    <cellStyle name="표준 3 2 2 6 4 2" xfId="8727"/>
    <cellStyle name="표준 3 2 2 6 4 2 2" xfId="25431"/>
    <cellStyle name="표준 3 2 2 6 4 3" xfId="14295"/>
    <cellStyle name="표준 3 2 2 6 4 3 2" xfId="30999"/>
    <cellStyle name="표준 3 2 2 6 4 4" xfId="19863"/>
    <cellStyle name="표준 3 2 2 6 5" xfId="5943"/>
    <cellStyle name="표준 3 2 2 6 5 2" xfId="22647"/>
    <cellStyle name="표준 3 2 2 6 6" xfId="11511"/>
    <cellStyle name="표준 3 2 2 6 6 2" xfId="28215"/>
    <cellStyle name="표준 3 2 2 6 7" xfId="17079"/>
    <cellStyle name="표준 3 2 2 7" xfId="607"/>
    <cellStyle name="표준 3 2 2 7 2" xfId="1303"/>
    <cellStyle name="표준 3 2 2 7 2 2" xfId="2695"/>
    <cellStyle name="표준 3 2 2 7 2 2 2" xfId="5479"/>
    <cellStyle name="표준 3 2 2 7 2 2 2 2" xfId="11047"/>
    <cellStyle name="표준 3 2 2 7 2 2 2 2 2" xfId="27751"/>
    <cellStyle name="표준 3 2 2 7 2 2 2 3" xfId="16615"/>
    <cellStyle name="표준 3 2 2 7 2 2 2 3 2" xfId="33319"/>
    <cellStyle name="표준 3 2 2 7 2 2 2 4" xfId="22183"/>
    <cellStyle name="표준 3 2 2 7 2 2 3" xfId="8263"/>
    <cellStyle name="표준 3 2 2 7 2 2 3 2" xfId="24967"/>
    <cellStyle name="표준 3 2 2 7 2 2 4" xfId="13831"/>
    <cellStyle name="표준 3 2 2 7 2 2 4 2" xfId="30535"/>
    <cellStyle name="표준 3 2 2 7 2 2 5" xfId="19399"/>
    <cellStyle name="표준 3 2 2 7 2 3" xfId="4087"/>
    <cellStyle name="표준 3 2 2 7 2 3 2" xfId="9655"/>
    <cellStyle name="표준 3 2 2 7 2 3 2 2" xfId="26359"/>
    <cellStyle name="표준 3 2 2 7 2 3 3" xfId="15223"/>
    <cellStyle name="표준 3 2 2 7 2 3 3 2" xfId="31927"/>
    <cellStyle name="표준 3 2 2 7 2 3 4" xfId="20791"/>
    <cellStyle name="표준 3 2 2 7 2 4" xfId="6871"/>
    <cellStyle name="표준 3 2 2 7 2 4 2" xfId="23575"/>
    <cellStyle name="표준 3 2 2 7 2 5" xfId="12439"/>
    <cellStyle name="표준 3 2 2 7 2 5 2" xfId="29143"/>
    <cellStyle name="표준 3 2 2 7 2 6" xfId="18007"/>
    <cellStyle name="표준 3 2 2 7 3" xfId="1999"/>
    <cellStyle name="표준 3 2 2 7 3 2" xfId="4783"/>
    <cellStyle name="표준 3 2 2 7 3 2 2" xfId="10351"/>
    <cellStyle name="표준 3 2 2 7 3 2 2 2" xfId="27055"/>
    <cellStyle name="표준 3 2 2 7 3 2 3" xfId="15919"/>
    <cellStyle name="표준 3 2 2 7 3 2 3 2" xfId="32623"/>
    <cellStyle name="표준 3 2 2 7 3 2 4" xfId="21487"/>
    <cellStyle name="표준 3 2 2 7 3 3" xfId="7567"/>
    <cellStyle name="표준 3 2 2 7 3 3 2" xfId="24271"/>
    <cellStyle name="표준 3 2 2 7 3 4" xfId="13135"/>
    <cellStyle name="표준 3 2 2 7 3 4 2" xfId="29839"/>
    <cellStyle name="표준 3 2 2 7 3 5" xfId="18703"/>
    <cellStyle name="표준 3 2 2 7 4" xfId="3391"/>
    <cellStyle name="표준 3 2 2 7 4 2" xfId="8959"/>
    <cellStyle name="표준 3 2 2 7 4 2 2" xfId="25663"/>
    <cellStyle name="표준 3 2 2 7 4 3" xfId="14527"/>
    <cellStyle name="표준 3 2 2 7 4 3 2" xfId="31231"/>
    <cellStyle name="표준 3 2 2 7 4 4" xfId="20095"/>
    <cellStyle name="표준 3 2 2 7 5" xfId="6175"/>
    <cellStyle name="표준 3 2 2 7 5 2" xfId="22879"/>
    <cellStyle name="표준 3 2 2 7 6" xfId="11743"/>
    <cellStyle name="표준 3 2 2 7 6 2" xfId="28447"/>
    <cellStyle name="표준 3 2 2 7 7" xfId="17311"/>
    <cellStyle name="표준 3 2 2 8" xfId="839"/>
    <cellStyle name="표준 3 2 2 8 2" xfId="2231"/>
    <cellStyle name="표준 3 2 2 8 2 2" xfId="5015"/>
    <cellStyle name="표준 3 2 2 8 2 2 2" xfId="10583"/>
    <cellStyle name="표준 3 2 2 8 2 2 2 2" xfId="27287"/>
    <cellStyle name="표준 3 2 2 8 2 2 3" xfId="16151"/>
    <cellStyle name="표준 3 2 2 8 2 2 3 2" xfId="32855"/>
    <cellStyle name="표준 3 2 2 8 2 2 4" xfId="21719"/>
    <cellStyle name="표준 3 2 2 8 2 3" xfId="7799"/>
    <cellStyle name="표준 3 2 2 8 2 3 2" xfId="24503"/>
    <cellStyle name="표준 3 2 2 8 2 4" xfId="13367"/>
    <cellStyle name="표준 3 2 2 8 2 4 2" xfId="30071"/>
    <cellStyle name="표준 3 2 2 8 2 5" xfId="18935"/>
    <cellStyle name="표준 3 2 2 8 3" xfId="3623"/>
    <cellStyle name="표준 3 2 2 8 3 2" xfId="9191"/>
    <cellStyle name="표준 3 2 2 8 3 2 2" xfId="25895"/>
    <cellStyle name="표준 3 2 2 8 3 3" xfId="14759"/>
    <cellStyle name="표준 3 2 2 8 3 3 2" xfId="31463"/>
    <cellStyle name="표준 3 2 2 8 3 4" xfId="20327"/>
    <cellStyle name="표준 3 2 2 8 4" xfId="6407"/>
    <cellStyle name="표준 3 2 2 8 4 2" xfId="23111"/>
    <cellStyle name="표준 3 2 2 8 5" xfId="11975"/>
    <cellStyle name="표준 3 2 2 8 5 2" xfId="28679"/>
    <cellStyle name="표준 3 2 2 8 6" xfId="17543"/>
    <cellStyle name="표준 3 2 2 9" xfId="1535"/>
    <cellStyle name="표준 3 2 2 9 2" xfId="4319"/>
    <cellStyle name="표준 3 2 2 9 2 2" xfId="9887"/>
    <cellStyle name="표준 3 2 2 9 2 2 2" xfId="26591"/>
    <cellStyle name="표준 3 2 2 9 2 3" xfId="15455"/>
    <cellStyle name="표준 3 2 2 9 2 3 2" xfId="32159"/>
    <cellStyle name="표준 3 2 2 9 2 4" xfId="21023"/>
    <cellStyle name="표준 3 2 2 9 3" xfId="7103"/>
    <cellStyle name="표준 3 2 2 9 3 2" xfId="23807"/>
    <cellStyle name="표준 3 2 2 9 4" xfId="12671"/>
    <cellStyle name="표준 3 2 2 9 4 2" xfId="29375"/>
    <cellStyle name="표준 3 2 2 9 5" xfId="18239"/>
    <cellStyle name="표준 3 2 3" xfId="31"/>
    <cellStyle name="표준 3 2 4" xfId="29"/>
    <cellStyle name="표준 3 2 5" xfId="13"/>
    <cellStyle name="표준 3 2 6" xfId="170"/>
    <cellStyle name="표준 3 2 6 10" xfId="11306"/>
    <cellStyle name="표준 3 2 6 10 2" xfId="28010"/>
    <cellStyle name="표준 3 2 6 11" xfId="16874"/>
    <cellStyle name="표준 3 2 6 2" xfId="228"/>
    <cellStyle name="표준 3 2 6 2 10" xfId="16932"/>
    <cellStyle name="표준 3 2 6 2 2" xfId="344"/>
    <cellStyle name="표준 3 2 6 2 2 2" xfId="576"/>
    <cellStyle name="표준 3 2 6 2 2 2 2" xfId="1272"/>
    <cellStyle name="표준 3 2 6 2 2 2 2 2" xfId="2664"/>
    <cellStyle name="표준 3 2 6 2 2 2 2 2 2" xfId="5448"/>
    <cellStyle name="표준 3 2 6 2 2 2 2 2 2 2" xfId="11016"/>
    <cellStyle name="표준 3 2 6 2 2 2 2 2 2 2 2" xfId="27720"/>
    <cellStyle name="표준 3 2 6 2 2 2 2 2 2 3" xfId="16584"/>
    <cellStyle name="표준 3 2 6 2 2 2 2 2 2 3 2" xfId="33288"/>
    <cellStyle name="표준 3 2 6 2 2 2 2 2 2 4" xfId="22152"/>
    <cellStyle name="표준 3 2 6 2 2 2 2 2 3" xfId="8232"/>
    <cellStyle name="표준 3 2 6 2 2 2 2 2 3 2" xfId="24936"/>
    <cellStyle name="표준 3 2 6 2 2 2 2 2 4" xfId="13800"/>
    <cellStyle name="표준 3 2 6 2 2 2 2 2 4 2" xfId="30504"/>
    <cellStyle name="표준 3 2 6 2 2 2 2 2 5" xfId="19368"/>
    <cellStyle name="표준 3 2 6 2 2 2 2 3" xfId="4056"/>
    <cellStyle name="표준 3 2 6 2 2 2 2 3 2" xfId="9624"/>
    <cellStyle name="표준 3 2 6 2 2 2 2 3 2 2" xfId="26328"/>
    <cellStyle name="표준 3 2 6 2 2 2 2 3 3" xfId="15192"/>
    <cellStyle name="표준 3 2 6 2 2 2 2 3 3 2" xfId="31896"/>
    <cellStyle name="표준 3 2 6 2 2 2 2 3 4" xfId="20760"/>
    <cellStyle name="표준 3 2 6 2 2 2 2 4" xfId="6840"/>
    <cellStyle name="표준 3 2 6 2 2 2 2 4 2" xfId="23544"/>
    <cellStyle name="표준 3 2 6 2 2 2 2 5" xfId="12408"/>
    <cellStyle name="표준 3 2 6 2 2 2 2 5 2" xfId="29112"/>
    <cellStyle name="표준 3 2 6 2 2 2 2 6" xfId="17976"/>
    <cellStyle name="표준 3 2 6 2 2 2 3" xfId="1968"/>
    <cellStyle name="표준 3 2 6 2 2 2 3 2" xfId="4752"/>
    <cellStyle name="표준 3 2 6 2 2 2 3 2 2" xfId="10320"/>
    <cellStyle name="표준 3 2 6 2 2 2 3 2 2 2" xfId="27024"/>
    <cellStyle name="표준 3 2 6 2 2 2 3 2 3" xfId="15888"/>
    <cellStyle name="표준 3 2 6 2 2 2 3 2 3 2" xfId="32592"/>
    <cellStyle name="표준 3 2 6 2 2 2 3 2 4" xfId="21456"/>
    <cellStyle name="표준 3 2 6 2 2 2 3 3" xfId="7536"/>
    <cellStyle name="표준 3 2 6 2 2 2 3 3 2" xfId="24240"/>
    <cellStyle name="표준 3 2 6 2 2 2 3 4" xfId="13104"/>
    <cellStyle name="표준 3 2 6 2 2 2 3 4 2" xfId="29808"/>
    <cellStyle name="표준 3 2 6 2 2 2 3 5" xfId="18672"/>
    <cellStyle name="표준 3 2 6 2 2 2 4" xfId="3360"/>
    <cellStyle name="표준 3 2 6 2 2 2 4 2" xfId="8928"/>
    <cellStyle name="표준 3 2 6 2 2 2 4 2 2" xfId="25632"/>
    <cellStyle name="표준 3 2 6 2 2 2 4 3" xfId="14496"/>
    <cellStyle name="표준 3 2 6 2 2 2 4 3 2" xfId="31200"/>
    <cellStyle name="표준 3 2 6 2 2 2 4 4" xfId="20064"/>
    <cellStyle name="표준 3 2 6 2 2 2 5" xfId="6144"/>
    <cellStyle name="표준 3 2 6 2 2 2 5 2" xfId="22848"/>
    <cellStyle name="표준 3 2 6 2 2 2 6" xfId="11712"/>
    <cellStyle name="표준 3 2 6 2 2 2 6 2" xfId="28416"/>
    <cellStyle name="표준 3 2 6 2 2 2 7" xfId="17280"/>
    <cellStyle name="표준 3 2 6 2 2 3" xfId="808"/>
    <cellStyle name="표준 3 2 6 2 2 3 2" xfId="1504"/>
    <cellStyle name="표준 3 2 6 2 2 3 2 2" xfId="2896"/>
    <cellStyle name="표준 3 2 6 2 2 3 2 2 2" xfId="5680"/>
    <cellStyle name="표준 3 2 6 2 2 3 2 2 2 2" xfId="11248"/>
    <cellStyle name="표준 3 2 6 2 2 3 2 2 2 2 2" xfId="27952"/>
    <cellStyle name="표준 3 2 6 2 2 3 2 2 2 3" xfId="16816"/>
    <cellStyle name="표준 3 2 6 2 2 3 2 2 2 3 2" xfId="33520"/>
    <cellStyle name="표준 3 2 6 2 2 3 2 2 2 4" xfId="22384"/>
    <cellStyle name="표준 3 2 6 2 2 3 2 2 3" xfId="8464"/>
    <cellStyle name="표준 3 2 6 2 2 3 2 2 3 2" xfId="25168"/>
    <cellStyle name="표준 3 2 6 2 2 3 2 2 4" xfId="14032"/>
    <cellStyle name="표준 3 2 6 2 2 3 2 2 4 2" xfId="30736"/>
    <cellStyle name="표준 3 2 6 2 2 3 2 2 5" xfId="19600"/>
    <cellStyle name="표준 3 2 6 2 2 3 2 3" xfId="4288"/>
    <cellStyle name="표준 3 2 6 2 2 3 2 3 2" xfId="9856"/>
    <cellStyle name="표준 3 2 6 2 2 3 2 3 2 2" xfId="26560"/>
    <cellStyle name="표준 3 2 6 2 2 3 2 3 3" xfId="15424"/>
    <cellStyle name="표준 3 2 6 2 2 3 2 3 3 2" xfId="32128"/>
    <cellStyle name="표준 3 2 6 2 2 3 2 3 4" xfId="20992"/>
    <cellStyle name="표준 3 2 6 2 2 3 2 4" xfId="7072"/>
    <cellStyle name="표준 3 2 6 2 2 3 2 4 2" xfId="23776"/>
    <cellStyle name="표준 3 2 6 2 2 3 2 5" xfId="12640"/>
    <cellStyle name="표준 3 2 6 2 2 3 2 5 2" xfId="29344"/>
    <cellStyle name="표준 3 2 6 2 2 3 2 6" xfId="18208"/>
    <cellStyle name="표준 3 2 6 2 2 3 3" xfId="2200"/>
    <cellStyle name="표준 3 2 6 2 2 3 3 2" xfId="4984"/>
    <cellStyle name="표준 3 2 6 2 2 3 3 2 2" xfId="10552"/>
    <cellStyle name="표준 3 2 6 2 2 3 3 2 2 2" xfId="27256"/>
    <cellStyle name="표준 3 2 6 2 2 3 3 2 3" xfId="16120"/>
    <cellStyle name="표준 3 2 6 2 2 3 3 2 3 2" xfId="32824"/>
    <cellStyle name="표준 3 2 6 2 2 3 3 2 4" xfId="21688"/>
    <cellStyle name="표준 3 2 6 2 2 3 3 3" xfId="7768"/>
    <cellStyle name="표준 3 2 6 2 2 3 3 3 2" xfId="24472"/>
    <cellStyle name="표준 3 2 6 2 2 3 3 4" xfId="13336"/>
    <cellStyle name="표준 3 2 6 2 2 3 3 4 2" xfId="30040"/>
    <cellStyle name="표준 3 2 6 2 2 3 3 5" xfId="18904"/>
    <cellStyle name="표준 3 2 6 2 2 3 4" xfId="3592"/>
    <cellStyle name="표준 3 2 6 2 2 3 4 2" xfId="9160"/>
    <cellStyle name="표준 3 2 6 2 2 3 4 2 2" xfId="25864"/>
    <cellStyle name="표준 3 2 6 2 2 3 4 3" xfId="14728"/>
    <cellStyle name="표준 3 2 6 2 2 3 4 3 2" xfId="31432"/>
    <cellStyle name="표준 3 2 6 2 2 3 4 4" xfId="20296"/>
    <cellStyle name="표준 3 2 6 2 2 3 5" xfId="6376"/>
    <cellStyle name="표준 3 2 6 2 2 3 5 2" xfId="23080"/>
    <cellStyle name="표준 3 2 6 2 2 3 6" xfId="11944"/>
    <cellStyle name="표준 3 2 6 2 2 3 6 2" xfId="28648"/>
    <cellStyle name="표준 3 2 6 2 2 3 7" xfId="17512"/>
    <cellStyle name="표준 3 2 6 2 2 4" xfId="1040"/>
    <cellStyle name="표준 3 2 6 2 2 4 2" xfId="2432"/>
    <cellStyle name="표준 3 2 6 2 2 4 2 2" xfId="5216"/>
    <cellStyle name="표준 3 2 6 2 2 4 2 2 2" xfId="10784"/>
    <cellStyle name="표준 3 2 6 2 2 4 2 2 2 2" xfId="27488"/>
    <cellStyle name="표준 3 2 6 2 2 4 2 2 3" xfId="16352"/>
    <cellStyle name="표준 3 2 6 2 2 4 2 2 3 2" xfId="33056"/>
    <cellStyle name="표준 3 2 6 2 2 4 2 2 4" xfId="21920"/>
    <cellStyle name="표준 3 2 6 2 2 4 2 3" xfId="8000"/>
    <cellStyle name="표준 3 2 6 2 2 4 2 3 2" xfId="24704"/>
    <cellStyle name="표준 3 2 6 2 2 4 2 4" xfId="13568"/>
    <cellStyle name="표준 3 2 6 2 2 4 2 4 2" xfId="30272"/>
    <cellStyle name="표준 3 2 6 2 2 4 2 5" xfId="19136"/>
    <cellStyle name="표준 3 2 6 2 2 4 3" xfId="3824"/>
    <cellStyle name="표준 3 2 6 2 2 4 3 2" xfId="9392"/>
    <cellStyle name="표준 3 2 6 2 2 4 3 2 2" xfId="26096"/>
    <cellStyle name="표준 3 2 6 2 2 4 3 3" xfId="14960"/>
    <cellStyle name="표준 3 2 6 2 2 4 3 3 2" xfId="31664"/>
    <cellStyle name="표준 3 2 6 2 2 4 3 4" xfId="20528"/>
    <cellStyle name="표준 3 2 6 2 2 4 4" xfId="6608"/>
    <cellStyle name="표준 3 2 6 2 2 4 4 2" xfId="23312"/>
    <cellStyle name="표준 3 2 6 2 2 4 5" xfId="12176"/>
    <cellStyle name="표준 3 2 6 2 2 4 5 2" xfId="28880"/>
    <cellStyle name="표준 3 2 6 2 2 4 6" xfId="17744"/>
    <cellStyle name="표준 3 2 6 2 2 5" xfId="1736"/>
    <cellStyle name="표준 3 2 6 2 2 5 2" xfId="4520"/>
    <cellStyle name="표준 3 2 6 2 2 5 2 2" xfId="10088"/>
    <cellStyle name="표준 3 2 6 2 2 5 2 2 2" xfId="26792"/>
    <cellStyle name="표준 3 2 6 2 2 5 2 3" xfId="15656"/>
    <cellStyle name="표준 3 2 6 2 2 5 2 3 2" xfId="32360"/>
    <cellStyle name="표준 3 2 6 2 2 5 2 4" xfId="21224"/>
    <cellStyle name="표준 3 2 6 2 2 5 3" xfId="7304"/>
    <cellStyle name="표준 3 2 6 2 2 5 3 2" xfId="24008"/>
    <cellStyle name="표준 3 2 6 2 2 5 4" xfId="12872"/>
    <cellStyle name="표준 3 2 6 2 2 5 4 2" xfId="29576"/>
    <cellStyle name="표준 3 2 6 2 2 5 5" xfId="18440"/>
    <cellStyle name="표준 3 2 6 2 2 6" xfId="3128"/>
    <cellStyle name="표준 3 2 6 2 2 6 2" xfId="8696"/>
    <cellStyle name="표준 3 2 6 2 2 6 2 2" xfId="25400"/>
    <cellStyle name="표준 3 2 6 2 2 6 3" xfId="14264"/>
    <cellStyle name="표준 3 2 6 2 2 6 3 2" xfId="30968"/>
    <cellStyle name="표준 3 2 6 2 2 6 4" xfId="19832"/>
    <cellStyle name="표준 3 2 6 2 2 7" xfId="5912"/>
    <cellStyle name="표준 3 2 6 2 2 7 2" xfId="22616"/>
    <cellStyle name="표준 3 2 6 2 2 8" xfId="11480"/>
    <cellStyle name="표준 3 2 6 2 2 8 2" xfId="28184"/>
    <cellStyle name="표준 3 2 6 2 2 9" xfId="17048"/>
    <cellStyle name="표준 3 2 6 2 3" xfId="460"/>
    <cellStyle name="표준 3 2 6 2 3 2" xfId="1156"/>
    <cellStyle name="표준 3 2 6 2 3 2 2" xfId="2548"/>
    <cellStyle name="표준 3 2 6 2 3 2 2 2" xfId="5332"/>
    <cellStyle name="표준 3 2 6 2 3 2 2 2 2" xfId="10900"/>
    <cellStyle name="표준 3 2 6 2 3 2 2 2 2 2" xfId="27604"/>
    <cellStyle name="표준 3 2 6 2 3 2 2 2 3" xfId="16468"/>
    <cellStyle name="표준 3 2 6 2 3 2 2 2 3 2" xfId="33172"/>
    <cellStyle name="표준 3 2 6 2 3 2 2 2 4" xfId="22036"/>
    <cellStyle name="표준 3 2 6 2 3 2 2 3" xfId="8116"/>
    <cellStyle name="표준 3 2 6 2 3 2 2 3 2" xfId="24820"/>
    <cellStyle name="표준 3 2 6 2 3 2 2 4" xfId="13684"/>
    <cellStyle name="표준 3 2 6 2 3 2 2 4 2" xfId="30388"/>
    <cellStyle name="표준 3 2 6 2 3 2 2 5" xfId="19252"/>
    <cellStyle name="표준 3 2 6 2 3 2 3" xfId="3940"/>
    <cellStyle name="표준 3 2 6 2 3 2 3 2" xfId="9508"/>
    <cellStyle name="표준 3 2 6 2 3 2 3 2 2" xfId="26212"/>
    <cellStyle name="표준 3 2 6 2 3 2 3 3" xfId="15076"/>
    <cellStyle name="표준 3 2 6 2 3 2 3 3 2" xfId="31780"/>
    <cellStyle name="표준 3 2 6 2 3 2 3 4" xfId="20644"/>
    <cellStyle name="표준 3 2 6 2 3 2 4" xfId="6724"/>
    <cellStyle name="표준 3 2 6 2 3 2 4 2" xfId="23428"/>
    <cellStyle name="표준 3 2 6 2 3 2 5" xfId="12292"/>
    <cellStyle name="표준 3 2 6 2 3 2 5 2" xfId="28996"/>
    <cellStyle name="표준 3 2 6 2 3 2 6" xfId="17860"/>
    <cellStyle name="표준 3 2 6 2 3 3" xfId="1852"/>
    <cellStyle name="표준 3 2 6 2 3 3 2" xfId="4636"/>
    <cellStyle name="표준 3 2 6 2 3 3 2 2" xfId="10204"/>
    <cellStyle name="표준 3 2 6 2 3 3 2 2 2" xfId="26908"/>
    <cellStyle name="표준 3 2 6 2 3 3 2 3" xfId="15772"/>
    <cellStyle name="표준 3 2 6 2 3 3 2 3 2" xfId="32476"/>
    <cellStyle name="표준 3 2 6 2 3 3 2 4" xfId="21340"/>
    <cellStyle name="표준 3 2 6 2 3 3 3" xfId="7420"/>
    <cellStyle name="표준 3 2 6 2 3 3 3 2" xfId="24124"/>
    <cellStyle name="표준 3 2 6 2 3 3 4" xfId="12988"/>
    <cellStyle name="표준 3 2 6 2 3 3 4 2" xfId="29692"/>
    <cellStyle name="표준 3 2 6 2 3 3 5" xfId="18556"/>
    <cellStyle name="표준 3 2 6 2 3 4" xfId="3244"/>
    <cellStyle name="표준 3 2 6 2 3 4 2" xfId="8812"/>
    <cellStyle name="표준 3 2 6 2 3 4 2 2" xfId="25516"/>
    <cellStyle name="표준 3 2 6 2 3 4 3" xfId="14380"/>
    <cellStyle name="표준 3 2 6 2 3 4 3 2" xfId="31084"/>
    <cellStyle name="표준 3 2 6 2 3 4 4" xfId="19948"/>
    <cellStyle name="표준 3 2 6 2 3 5" xfId="6028"/>
    <cellStyle name="표준 3 2 6 2 3 5 2" xfId="22732"/>
    <cellStyle name="표준 3 2 6 2 3 6" xfId="11596"/>
    <cellStyle name="표준 3 2 6 2 3 6 2" xfId="28300"/>
    <cellStyle name="표준 3 2 6 2 3 7" xfId="17164"/>
    <cellStyle name="표준 3 2 6 2 4" xfId="692"/>
    <cellStyle name="표준 3 2 6 2 4 2" xfId="1388"/>
    <cellStyle name="표준 3 2 6 2 4 2 2" xfId="2780"/>
    <cellStyle name="표준 3 2 6 2 4 2 2 2" xfId="5564"/>
    <cellStyle name="표준 3 2 6 2 4 2 2 2 2" xfId="11132"/>
    <cellStyle name="표준 3 2 6 2 4 2 2 2 2 2" xfId="27836"/>
    <cellStyle name="표준 3 2 6 2 4 2 2 2 3" xfId="16700"/>
    <cellStyle name="표준 3 2 6 2 4 2 2 2 3 2" xfId="33404"/>
    <cellStyle name="표준 3 2 6 2 4 2 2 2 4" xfId="22268"/>
    <cellStyle name="표준 3 2 6 2 4 2 2 3" xfId="8348"/>
    <cellStyle name="표준 3 2 6 2 4 2 2 3 2" xfId="25052"/>
    <cellStyle name="표준 3 2 6 2 4 2 2 4" xfId="13916"/>
    <cellStyle name="표준 3 2 6 2 4 2 2 4 2" xfId="30620"/>
    <cellStyle name="표준 3 2 6 2 4 2 2 5" xfId="19484"/>
    <cellStyle name="표준 3 2 6 2 4 2 3" xfId="4172"/>
    <cellStyle name="표준 3 2 6 2 4 2 3 2" xfId="9740"/>
    <cellStyle name="표준 3 2 6 2 4 2 3 2 2" xfId="26444"/>
    <cellStyle name="표준 3 2 6 2 4 2 3 3" xfId="15308"/>
    <cellStyle name="표준 3 2 6 2 4 2 3 3 2" xfId="32012"/>
    <cellStyle name="표준 3 2 6 2 4 2 3 4" xfId="20876"/>
    <cellStyle name="표준 3 2 6 2 4 2 4" xfId="6956"/>
    <cellStyle name="표준 3 2 6 2 4 2 4 2" xfId="23660"/>
    <cellStyle name="표준 3 2 6 2 4 2 5" xfId="12524"/>
    <cellStyle name="표준 3 2 6 2 4 2 5 2" xfId="29228"/>
    <cellStyle name="표준 3 2 6 2 4 2 6" xfId="18092"/>
    <cellStyle name="표준 3 2 6 2 4 3" xfId="2084"/>
    <cellStyle name="표준 3 2 6 2 4 3 2" xfId="4868"/>
    <cellStyle name="표준 3 2 6 2 4 3 2 2" xfId="10436"/>
    <cellStyle name="표준 3 2 6 2 4 3 2 2 2" xfId="27140"/>
    <cellStyle name="표준 3 2 6 2 4 3 2 3" xfId="16004"/>
    <cellStyle name="표준 3 2 6 2 4 3 2 3 2" xfId="32708"/>
    <cellStyle name="표준 3 2 6 2 4 3 2 4" xfId="21572"/>
    <cellStyle name="표준 3 2 6 2 4 3 3" xfId="7652"/>
    <cellStyle name="표준 3 2 6 2 4 3 3 2" xfId="24356"/>
    <cellStyle name="표준 3 2 6 2 4 3 4" xfId="13220"/>
    <cellStyle name="표준 3 2 6 2 4 3 4 2" xfId="29924"/>
    <cellStyle name="표준 3 2 6 2 4 3 5" xfId="18788"/>
    <cellStyle name="표준 3 2 6 2 4 4" xfId="3476"/>
    <cellStyle name="표준 3 2 6 2 4 4 2" xfId="9044"/>
    <cellStyle name="표준 3 2 6 2 4 4 2 2" xfId="25748"/>
    <cellStyle name="표준 3 2 6 2 4 4 3" xfId="14612"/>
    <cellStyle name="표준 3 2 6 2 4 4 3 2" xfId="31316"/>
    <cellStyle name="표준 3 2 6 2 4 4 4" xfId="20180"/>
    <cellStyle name="표준 3 2 6 2 4 5" xfId="6260"/>
    <cellStyle name="표준 3 2 6 2 4 5 2" xfId="22964"/>
    <cellStyle name="표준 3 2 6 2 4 6" xfId="11828"/>
    <cellStyle name="표준 3 2 6 2 4 6 2" xfId="28532"/>
    <cellStyle name="표준 3 2 6 2 4 7" xfId="17396"/>
    <cellStyle name="표준 3 2 6 2 5" xfId="924"/>
    <cellStyle name="표준 3 2 6 2 5 2" xfId="2316"/>
    <cellStyle name="표준 3 2 6 2 5 2 2" xfId="5100"/>
    <cellStyle name="표준 3 2 6 2 5 2 2 2" xfId="10668"/>
    <cellStyle name="표준 3 2 6 2 5 2 2 2 2" xfId="27372"/>
    <cellStyle name="표준 3 2 6 2 5 2 2 3" xfId="16236"/>
    <cellStyle name="표준 3 2 6 2 5 2 2 3 2" xfId="32940"/>
    <cellStyle name="표준 3 2 6 2 5 2 2 4" xfId="21804"/>
    <cellStyle name="표준 3 2 6 2 5 2 3" xfId="7884"/>
    <cellStyle name="표준 3 2 6 2 5 2 3 2" xfId="24588"/>
    <cellStyle name="표준 3 2 6 2 5 2 4" xfId="13452"/>
    <cellStyle name="표준 3 2 6 2 5 2 4 2" xfId="30156"/>
    <cellStyle name="표준 3 2 6 2 5 2 5" xfId="19020"/>
    <cellStyle name="표준 3 2 6 2 5 3" xfId="3708"/>
    <cellStyle name="표준 3 2 6 2 5 3 2" xfId="9276"/>
    <cellStyle name="표준 3 2 6 2 5 3 2 2" xfId="25980"/>
    <cellStyle name="표준 3 2 6 2 5 3 3" xfId="14844"/>
    <cellStyle name="표준 3 2 6 2 5 3 3 2" xfId="31548"/>
    <cellStyle name="표준 3 2 6 2 5 3 4" xfId="20412"/>
    <cellStyle name="표준 3 2 6 2 5 4" xfId="6492"/>
    <cellStyle name="표준 3 2 6 2 5 4 2" xfId="23196"/>
    <cellStyle name="표준 3 2 6 2 5 5" xfId="12060"/>
    <cellStyle name="표준 3 2 6 2 5 5 2" xfId="28764"/>
    <cellStyle name="표준 3 2 6 2 5 6" xfId="17628"/>
    <cellStyle name="표준 3 2 6 2 6" xfId="1620"/>
    <cellStyle name="표준 3 2 6 2 6 2" xfId="4404"/>
    <cellStyle name="표준 3 2 6 2 6 2 2" xfId="9972"/>
    <cellStyle name="표준 3 2 6 2 6 2 2 2" xfId="26676"/>
    <cellStyle name="표준 3 2 6 2 6 2 3" xfId="15540"/>
    <cellStyle name="표준 3 2 6 2 6 2 3 2" xfId="32244"/>
    <cellStyle name="표준 3 2 6 2 6 2 4" xfId="21108"/>
    <cellStyle name="표준 3 2 6 2 6 3" xfId="7188"/>
    <cellStyle name="표준 3 2 6 2 6 3 2" xfId="23892"/>
    <cellStyle name="표준 3 2 6 2 6 4" xfId="12756"/>
    <cellStyle name="표준 3 2 6 2 6 4 2" xfId="29460"/>
    <cellStyle name="표준 3 2 6 2 6 5" xfId="18324"/>
    <cellStyle name="표준 3 2 6 2 7" xfId="3012"/>
    <cellStyle name="표준 3 2 6 2 7 2" xfId="8580"/>
    <cellStyle name="표준 3 2 6 2 7 2 2" xfId="25284"/>
    <cellStyle name="표준 3 2 6 2 7 3" xfId="14148"/>
    <cellStyle name="표준 3 2 6 2 7 3 2" xfId="30852"/>
    <cellStyle name="표준 3 2 6 2 7 4" xfId="19716"/>
    <cellStyle name="표준 3 2 6 2 8" xfId="5796"/>
    <cellStyle name="표준 3 2 6 2 8 2" xfId="22500"/>
    <cellStyle name="표준 3 2 6 2 9" xfId="11364"/>
    <cellStyle name="표준 3 2 6 2 9 2" xfId="28068"/>
    <cellStyle name="표준 3 2 6 3" xfId="286"/>
    <cellStyle name="표준 3 2 6 3 2" xfId="518"/>
    <cellStyle name="표준 3 2 6 3 2 2" xfId="1214"/>
    <cellStyle name="표준 3 2 6 3 2 2 2" xfId="2606"/>
    <cellStyle name="표준 3 2 6 3 2 2 2 2" xfId="5390"/>
    <cellStyle name="표준 3 2 6 3 2 2 2 2 2" xfId="10958"/>
    <cellStyle name="표준 3 2 6 3 2 2 2 2 2 2" xfId="27662"/>
    <cellStyle name="표준 3 2 6 3 2 2 2 2 3" xfId="16526"/>
    <cellStyle name="표준 3 2 6 3 2 2 2 2 3 2" xfId="33230"/>
    <cellStyle name="표준 3 2 6 3 2 2 2 2 4" xfId="22094"/>
    <cellStyle name="표준 3 2 6 3 2 2 2 3" xfId="8174"/>
    <cellStyle name="표준 3 2 6 3 2 2 2 3 2" xfId="24878"/>
    <cellStyle name="표준 3 2 6 3 2 2 2 4" xfId="13742"/>
    <cellStyle name="표준 3 2 6 3 2 2 2 4 2" xfId="30446"/>
    <cellStyle name="표준 3 2 6 3 2 2 2 5" xfId="19310"/>
    <cellStyle name="표준 3 2 6 3 2 2 3" xfId="3998"/>
    <cellStyle name="표준 3 2 6 3 2 2 3 2" xfId="9566"/>
    <cellStyle name="표준 3 2 6 3 2 2 3 2 2" xfId="26270"/>
    <cellStyle name="표준 3 2 6 3 2 2 3 3" xfId="15134"/>
    <cellStyle name="표준 3 2 6 3 2 2 3 3 2" xfId="31838"/>
    <cellStyle name="표준 3 2 6 3 2 2 3 4" xfId="20702"/>
    <cellStyle name="표준 3 2 6 3 2 2 4" xfId="6782"/>
    <cellStyle name="표준 3 2 6 3 2 2 4 2" xfId="23486"/>
    <cellStyle name="표준 3 2 6 3 2 2 5" xfId="12350"/>
    <cellStyle name="표준 3 2 6 3 2 2 5 2" xfId="29054"/>
    <cellStyle name="표준 3 2 6 3 2 2 6" xfId="17918"/>
    <cellStyle name="표준 3 2 6 3 2 3" xfId="1910"/>
    <cellStyle name="표준 3 2 6 3 2 3 2" xfId="4694"/>
    <cellStyle name="표준 3 2 6 3 2 3 2 2" xfId="10262"/>
    <cellStyle name="표준 3 2 6 3 2 3 2 2 2" xfId="26966"/>
    <cellStyle name="표준 3 2 6 3 2 3 2 3" xfId="15830"/>
    <cellStyle name="표준 3 2 6 3 2 3 2 3 2" xfId="32534"/>
    <cellStyle name="표준 3 2 6 3 2 3 2 4" xfId="21398"/>
    <cellStyle name="표준 3 2 6 3 2 3 3" xfId="7478"/>
    <cellStyle name="표준 3 2 6 3 2 3 3 2" xfId="24182"/>
    <cellStyle name="표준 3 2 6 3 2 3 4" xfId="13046"/>
    <cellStyle name="표준 3 2 6 3 2 3 4 2" xfId="29750"/>
    <cellStyle name="표준 3 2 6 3 2 3 5" xfId="18614"/>
    <cellStyle name="표준 3 2 6 3 2 4" xfId="3302"/>
    <cellStyle name="표준 3 2 6 3 2 4 2" xfId="8870"/>
    <cellStyle name="표준 3 2 6 3 2 4 2 2" xfId="25574"/>
    <cellStyle name="표준 3 2 6 3 2 4 3" xfId="14438"/>
    <cellStyle name="표준 3 2 6 3 2 4 3 2" xfId="31142"/>
    <cellStyle name="표준 3 2 6 3 2 4 4" xfId="20006"/>
    <cellStyle name="표준 3 2 6 3 2 5" xfId="6086"/>
    <cellStyle name="표준 3 2 6 3 2 5 2" xfId="22790"/>
    <cellStyle name="표준 3 2 6 3 2 6" xfId="11654"/>
    <cellStyle name="표준 3 2 6 3 2 6 2" xfId="28358"/>
    <cellStyle name="표준 3 2 6 3 2 7" xfId="17222"/>
    <cellStyle name="표준 3 2 6 3 3" xfId="750"/>
    <cellStyle name="표준 3 2 6 3 3 2" xfId="1446"/>
    <cellStyle name="표준 3 2 6 3 3 2 2" xfId="2838"/>
    <cellStyle name="표준 3 2 6 3 3 2 2 2" xfId="5622"/>
    <cellStyle name="표준 3 2 6 3 3 2 2 2 2" xfId="11190"/>
    <cellStyle name="표준 3 2 6 3 3 2 2 2 2 2" xfId="27894"/>
    <cellStyle name="표준 3 2 6 3 3 2 2 2 3" xfId="16758"/>
    <cellStyle name="표준 3 2 6 3 3 2 2 2 3 2" xfId="33462"/>
    <cellStyle name="표준 3 2 6 3 3 2 2 2 4" xfId="22326"/>
    <cellStyle name="표준 3 2 6 3 3 2 2 3" xfId="8406"/>
    <cellStyle name="표준 3 2 6 3 3 2 2 3 2" xfId="25110"/>
    <cellStyle name="표준 3 2 6 3 3 2 2 4" xfId="13974"/>
    <cellStyle name="표준 3 2 6 3 3 2 2 4 2" xfId="30678"/>
    <cellStyle name="표준 3 2 6 3 3 2 2 5" xfId="19542"/>
    <cellStyle name="표준 3 2 6 3 3 2 3" xfId="4230"/>
    <cellStyle name="표준 3 2 6 3 3 2 3 2" xfId="9798"/>
    <cellStyle name="표준 3 2 6 3 3 2 3 2 2" xfId="26502"/>
    <cellStyle name="표준 3 2 6 3 3 2 3 3" xfId="15366"/>
    <cellStyle name="표준 3 2 6 3 3 2 3 3 2" xfId="32070"/>
    <cellStyle name="표준 3 2 6 3 3 2 3 4" xfId="20934"/>
    <cellStyle name="표준 3 2 6 3 3 2 4" xfId="7014"/>
    <cellStyle name="표준 3 2 6 3 3 2 4 2" xfId="23718"/>
    <cellStyle name="표준 3 2 6 3 3 2 5" xfId="12582"/>
    <cellStyle name="표준 3 2 6 3 3 2 5 2" xfId="29286"/>
    <cellStyle name="표준 3 2 6 3 3 2 6" xfId="18150"/>
    <cellStyle name="표준 3 2 6 3 3 3" xfId="2142"/>
    <cellStyle name="표준 3 2 6 3 3 3 2" xfId="4926"/>
    <cellStyle name="표준 3 2 6 3 3 3 2 2" xfId="10494"/>
    <cellStyle name="표준 3 2 6 3 3 3 2 2 2" xfId="27198"/>
    <cellStyle name="표준 3 2 6 3 3 3 2 3" xfId="16062"/>
    <cellStyle name="표준 3 2 6 3 3 3 2 3 2" xfId="32766"/>
    <cellStyle name="표준 3 2 6 3 3 3 2 4" xfId="21630"/>
    <cellStyle name="표준 3 2 6 3 3 3 3" xfId="7710"/>
    <cellStyle name="표준 3 2 6 3 3 3 3 2" xfId="24414"/>
    <cellStyle name="표준 3 2 6 3 3 3 4" xfId="13278"/>
    <cellStyle name="표준 3 2 6 3 3 3 4 2" xfId="29982"/>
    <cellStyle name="표준 3 2 6 3 3 3 5" xfId="18846"/>
    <cellStyle name="표준 3 2 6 3 3 4" xfId="3534"/>
    <cellStyle name="표준 3 2 6 3 3 4 2" xfId="9102"/>
    <cellStyle name="표준 3 2 6 3 3 4 2 2" xfId="25806"/>
    <cellStyle name="표준 3 2 6 3 3 4 3" xfId="14670"/>
    <cellStyle name="표준 3 2 6 3 3 4 3 2" xfId="31374"/>
    <cellStyle name="표준 3 2 6 3 3 4 4" xfId="20238"/>
    <cellStyle name="표준 3 2 6 3 3 5" xfId="6318"/>
    <cellStyle name="표준 3 2 6 3 3 5 2" xfId="23022"/>
    <cellStyle name="표준 3 2 6 3 3 6" xfId="11886"/>
    <cellStyle name="표준 3 2 6 3 3 6 2" xfId="28590"/>
    <cellStyle name="표준 3 2 6 3 3 7" xfId="17454"/>
    <cellStyle name="표준 3 2 6 3 4" xfId="982"/>
    <cellStyle name="표준 3 2 6 3 4 2" xfId="2374"/>
    <cellStyle name="표준 3 2 6 3 4 2 2" xfId="5158"/>
    <cellStyle name="표준 3 2 6 3 4 2 2 2" xfId="10726"/>
    <cellStyle name="표준 3 2 6 3 4 2 2 2 2" xfId="27430"/>
    <cellStyle name="표준 3 2 6 3 4 2 2 3" xfId="16294"/>
    <cellStyle name="표준 3 2 6 3 4 2 2 3 2" xfId="32998"/>
    <cellStyle name="표준 3 2 6 3 4 2 2 4" xfId="21862"/>
    <cellStyle name="표준 3 2 6 3 4 2 3" xfId="7942"/>
    <cellStyle name="표준 3 2 6 3 4 2 3 2" xfId="24646"/>
    <cellStyle name="표준 3 2 6 3 4 2 4" xfId="13510"/>
    <cellStyle name="표준 3 2 6 3 4 2 4 2" xfId="30214"/>
    <cellStyle name="표준 3 2 6 3 4 2 5" xfId="19078"/>
    <cellStyle name="표준 3 2 6 3 4 3" xfId="3766"/>
    <cellStyle name="표준 3 2 6 3 4 3 2" xfId="9334"/>
    <cellStyle name="표준 3 2 6 3 4 3 2 2" xfId="26038"/>
    <cellStyle name="표준 3 2 6 3 4 3 3" xfId="14902"/>
    <cellStyle name="표준 3 2 6 3 4 3 3 2" xfId="31606"/>
    <cellStyle name="표준 3 2 6 3 4 3 4" xfId="20470"/>
    <cellStyle name="표준 3 2 6 3 4 4" xfId="6550"/>
    <cellStyle name="표준 3 2 6 3 4 4 2" xfId="23254"/>
    <cellStyle name="표준 3 2 6 3 4 5" xfId="12118"/>
    <cellStyle name="표준 3 2 6 3 4 5 2" xfId="28822"/>
    <cellStyle name="표준 3 2 6 3 4 6" xfId="17686"/>
    <cellStyle name="표준 3 2 6 3 5" xfId="1678"/>
    <cellStyle name="표준 3 2 6 3 5 2" xfId="4462"/>
    <cellStyle name="표준 3 2 6 3 5 2 2" xfId="10030"/>
    <cellStyle name="표준 3 2 6 3 5 2 2 2" xfId="26734"/>
    <cellStyle name="표준 3 2 6 3 5 2 3" xfId="15598"/>
    <cellStyle name="표준 3 2 6 3 5 2 3 2" xfId="32302"/>
    <cellStyle name="표준 3 2 6 3 5 2 4" xfId="21166"/>
    <cellStyle name="표준 3 2 6 3 5 3" xfId="7246"/>
    <cellStyle name="표준 3 2 6 3 5 3 2" xfId="23950"/>
    <cellStyle name="표준 3 2 6 3 5 4" xfId="12814"/>
    <cellStyle name="표준 3 2 6 3 5 4 2" xfId="29518"/>
    <cellStyle name="표준 3 2 6 3 5 5" xfId="18382"/>
    <cellStyle name="표준 3 2 6 3 6" xfId="3070"/>
    <cellStyle name="표준 3 2 6 3 6 2" xfId="8638"/>
    <cellStyle name="표준 3 2 6 3 6 2 2" xfId="25342"/>
    <cellStyle name="표준 3 2 6 3 6 3" xfId="14206"/>
    <cellStyle name="표준 3 2 6 3 6 3 2" xfId="30910"/>
    <cellStyle name="표준 3 2 6 3 6 4" xfId="19774"/>
    <cellStyle name="표준 3 2 6 3 7" xfId="5854"/>
    <cellStyle name="표준 3 2 6 3 7 2" xfId="22558"/>
    <cellStyle name="표준 3 2 6 3 8" xfId="11422"/>
    <cellStyle name="표준 3 2 6 3 8 2" xfId="28126"/>
    <cellStyle name="표준 3 2 6 3 9" xfId="16990"/>
    <cellStyle name="표준 3 2 6 4" xfId="402"/>
    <cellStyle name="표준 3 2 6 4 2" xfId="1098"/>
    <cellStyle name="표준 3 2 6 4 2 2" xfId="2490"/>
    <cellStyle name="표준 3 2 6 4 2 2 2" xfId="5274"/>
    <cellStyle name="표준 3 2 6 4 2 2 2 2" xfId="10842"/>
    <cellStyle name="표준 3 2 6 4 2 2 2 2 2" xfId="27546"/>
    <cellStyle name="표준 3 2 6 4 2 2 2 3" xfId="16410"/>
    <cellStyle name="표준 3 2 6 4 2 2 2 3 2" xfId="33114"/>
    <cellStyle name="표준 3 2 6 4 2 2 2 4" xfId="21978"/>
    <cellStyle name="표준 3 2 6 4 2 2 3" xfId="8058"/>
    <cellStyle name="표준 3 2 6 4 2 2 3 2" xfId="24762"/>
    <cellStyle name="표준 3 2 6 4 2 2 4" xfId="13626"/>
    <cellStyle name="표준 3 2 6 4 2 2 4 2" xfId="30330"/>
    <cellStyle name="표준 3 2 6 4 2 2 5" xfId="19194"/>
    <cellStyle name="표준 3 2 6 4 2 3" xfId="3882"/>
    <cellStyle name="표준 3 2 6 4 2 3 2" xfId="9450"/>
    <cellStyle name="표준 3 2 6 4 2 3 2 2" xfId="26154"/>
    <cellStyle name="표준 3 2 6 4 2 3 3" xfId="15018"/>
    <cellStyle name="표준 3 2 6 4 2 3 3 2" xfId="31722"/>
    <cellStyle name="표준 3 2 6 4 2 3 4" xfId="20586"/>
    <cellStyle name="표준 3 2 6 4 2 4" xfId="6666"/>
    <cellStyle name="표준 3 2 6 4 2 4 2" xfId="23370"/>
    <cellStyle name="표준 3 2 6 4 2 5" xfId="12234"/>
    <cellStyle name="표준 3 2 6 4 2 5 2" xfId="28938"/>
    <cellStyle name="표준 3 2 6 4 2 6" xfId="17802"/>
    <cellStyle name="표준 3 2 6 4 3" xfId="1794"/>
    <cellStyle name="표준 3 2 6 4 3 2" xfId="4578"/>
    <cellStyle name="표준 3 2 6 4 3 2 2" xfId="10146"/>
    <cellStyle name="표준 3 2 6 4 3 2 2 2" xfId="26850"/>
    <cellStyle name="표준 3 2 6 4 3 2 3" xfId="15714"/>
    <cellStyle name="표준 3 2 6 4 3 2 3 2" xfId="32418"/>
    <cellStyle name="표준 3 2 6 4 3 2 4" xfId="21282"/>
    <cellStyle name="표준 3 2 6 4 3 3" xfId="7362"/>
    <cellStyle name="표준 3 2 6 4 3 3 2" xfId="24066"/>
    <cellStyle name="표준 3 2 6 4 3 4" xfId="12930"/>
    <cellStyle name="표준 3 2 6 4 3 4 2" xfId="29634"/>
    <cellStyle name="표준 3 2 6 4 3 5" xfId="18498"/>
    <cellStyle name="표준 3 2 6 4 4" xfId="3186"/>
    <cellStyle name="표준 3 2 6 4 4 2" xfId="8754"/>
    <cellStyle name="표준 3 2 6 4 4 2 2" xfId="25458"/>
    <cellStyle name="표준 3 2 6 4 4 3" xfId="14322"/>
    <cellStyle name="표준 3 2 6 4 4 3 2" xfId="31026"/>
    <cellStyle name="표준 3 2 6 4 4 4" xfId="19890"/>
    <cellStyle name="표준 3 2 6 4 5" xfId="5970"/>
    <cellStyle name="표준 3 2 6 4 5 2" xfId="22674"/>
    <cellStyle name="표준 3 2 6 4 6" xfId="11538"/>
    <cellStyle name="표준 3 2 6 4 6 2" xfId="28242"/>
    <cellStyle name="표준 3 2 6 4 7" xfId="17106"/>
    <cellStyle name="표준 3 2 6 5" xfId="634"/>
    <cellStyle name="표준 3 2 6 5 2" xfId="1330"/>
    <cellStyle name="표준 3 2 6 5 2 2" xfId="2722"/>
    <cellStyle name="표준 3 2 6 5 2 2 2" xfId="5506"/>
    <cellStyle name="표준 3 2 6 5 2 2 2 2" xfId="11074"/>
    <cellStyle name="표준 3 2 6 5 2 2 2 2 2" xfId="27778"/>
    <cellStyle name="표준 3 2 6 5 2 2 2 3" xfId="16642"/>
    <cellStyle name="표준 3 2 6 5 2 2 2 3 2" xfId="33346"/>
    <cellStyle name="표준 3 2 6 5 2 2 2 4" xfId="22210"/>
    <cellStyle name="표준 3 2 6 5 2 2 3" xfId="8290"/>
    <cellStyle name="표준 3 2 6 5 2 2 3 2" xfId="24994"/>
    <cellStyle name="표준 3 2 6 5 2 2 4" xfId="13858"/>
    <cellStyle name="표준 3 2 6 5 2 2 4 2" xfId="30562"/>
    <cellStyle name="표준 3 2 6 5 2 2 5" xfId="19426"/>
    <cellStyle name="표준 3 2 6 5 2 3" xfId="4114"/>
    <cellStyle name="표준 3 2 6 5 2 3 2" xfId="9682"/>
    <cellStyle name="표준 3 2 6 5 2 3 2 2" xfId="26386"/>
    <cellStyle name="표준 3 2 6 5 2 3 3" xfId="15250"/>
    <cellStyle name="표준 3 2 6 5 2 3 3 2" xfId="31954"/>
    <cellStyle name="표준 3 2 6 5 2 3 4" xfId="20818"/>
    <cellStyle name="표준 3 2 6 5 2 4" xfId="6898"/>
    <cellStyle name="표준 3 2 6 5 2 4 2" xfId="23602"/>
    <cellStyle name="표준 3 2 6 5 2 5" xfId="12466"/>
    <cellStyle name="표준 3 2 6 5 2 5 2" xfId="29170"/>
    <cellStyle name="표준 3 2 6 5 2 6" xfId="18034"/>
    <cellStyle name="표준 3 2 6 5 3" xfId="2026"/>
    <cellStyle name="표준 3 2 6 5 3 2" xfId="4810"/>
    <cellStyle name="표준 3 2 6 5 3 2 2" xfId="10378"/>
    <cellStyle name="표준 3 2 6 5 3 2 2 2" xfId="27082"/>
    <cellStyle name="표준 3 2 6 5 3 2 3" xfId="15946"/>
    <cellStyle name="표준 3 2 6 5 3 2 3 2" xfId="32650"/>
    <cellStyle name="표준 3 2 6 5 3 2 4" xfId="21514"/>
    <cellStyle name="표준 3 2 6 5 3 3" xfId="7594"/>
    <cellStyle name="표준 3 2 6 5 3 3 2" xfId="24298"/>
    <cellStyle name="표준 3 2 6 5 3 4" xfId="13162"/>
    <cellStyle name="표준 3 2 6 5 3 4 2" xfId="29866"/>
    <cellStyle name="표준 3 2 6 5 3 5" xfId="18730"/>
    <cellStyle name="표준 3 2 6 5 4" xfId="3418"/>
    <cellStyle name="표준 3 2 6 5 4 2" xfId="8986"/>
    <cellStyle name="표준 3 2 6 5 4 2 2" xfId="25690"/>
    <cellStyle name="표준 3 2 6 5 4 3" xfId="14554"/>
    <cellStyle name="표준 3 2 6 5 4 3 2" xfId="31258"/>
    <cellStyle name="표준 3 2 6 5 4 4" xfId="20122"/>
    <cellStyle name="표준 3 2 6 5 5" xfId="6202"/>
    <cellStyle name="표준 3 2 6 5 5 2" xfId="22906"/>
    <cellStyle name="표준 3 2 6 5 6" xfId="11770"/>
    <cellStyle name="표준 3 2 6 5 6 2" xfId="28474"/>
    <cellStyle name="표준 3 2 6 5 7" xfId="17338"/>
    <cellStyle name="표준 3 2 6 6" xfId="866"/>
    <cellStyle name="표준 3 2 6 6 2" xfId="2258"/>
    <cellStyle name="표준 3 2 6 6 2 2" xfId="5042"/>
    <cellStyle name="표준 3 2 6 6 2 2 2" xfId="10610"/>
    <cellStyle name="표준 3 2 6 6 2 2 2 2" xfId="27314"/>
    <cellStyle name="표준 3 2 6 6 2 2 3" xfId="16178"/>
    <cellStyle name="표준 3 2 6 6 2 2 3 2" xfId="32882"/>
    <cellStyle name="표준 3 2 6 6 2 2 4" xfId="21746"/>
    <cellStyle name="표준 3 2 6 6 2 3" xfId="7826"/>
    <cellStyle name="표준 3 2 6 6 2 3 2" xfId="24530"/>
    <cellStyle name="표준 3 2 6 6 2 4" xfId="13394"/>
    <cellStyle name="표준 3 2 6 6 2 4 2" xfId="30098"/>
    <cellStyle name="표준 3 2 6 6 2 5" xfId="18962"/>
    <cellStyle name="표준 3 2 6 6 3" xfId="3650"/>
    <cellStyle name="표준 3 2 6 6 3 2" xfId="9218"/>
    <cellStyle name="표준 3 2 6 6 3 2 2" xfId="25922"/>
    <cellStyle name="표준 3 2 6 6 3 3" xfId="14786"/>
    <cellStyle name="표준 3 2 6 6 3 3 2" xfId="31490"/>
    <cellStyle name="표준 3 2 6 6 3 4" xfId="20354"/>
    <cellStyle name="표준 3 2 6 6 4" xfId="6434"/>
    <cellStyle name="표준 3 2 6 6 4 2" xfId="23138"/>
    <cellStyle name="표준 3 2 6 6 5" xfId="12002"/>
    <cellStyle name="표준 3 2 6 6 5 2" xfId="28706"/>
    <cellStyle name="표준 3 2 6 6 6" xfId="17570"/>
    <cellStyle name="표준 3 2 6 7" xfId="1562"/>
    <cellStyle name="표준 3 2 6 7 2" xfId="4346"/>
    <cellStyle name="표준 3 2 6 7 2 2" xfId="9914"/>
    <cellStyle name="표준 3 2 6 7 2 2 2" xfId="26618"/>
    <cellStyle name="표준 3 2 6 7 2 3" xfId="15482"/>
    <cellStyle name="표준 3 2 6 7 2 3 2" xfId="32186"/>
    <cellStyle name="표준 3 2 6 7 2 4" xfId="21050"/>
    <cellStyle name="표준 3 2 6 7 3" xfId="7130"/>
    <cellStyle name="표준 3 2 6 7 3 2" xfId="23834"/>
    <cellStyle name="표준 3 2 6 7 4" xfId="12698"/>
    <cellStyle name="표준 3 2 6 7 4 2" xfId="29402"/>
    <cellStyle name="표준 3 2 6 7 5" xfId="18266"/>
    <cellStyle name="표준 3 2 6 8" xfId="2954"/>
    <cellStyle name="표준 3 2 6 8 2" xfId="8522"/>
    <cellStyle name="표준 3 2 6 8 2 2" xfId="25226"/>
    <cellStyle name="표준 3 2 6 8 3" xfId="14090"/>
    <cellStyle name="표준 3 2 6 8 3 2" xfId="30794"/>
    <cellStyle name="표준 3 2 6 8 4" xfId="19658"/>
    <cellStyle name="표준 3 2 6 9" xfId="5738"/>
    <cellStyle name="표준 3 2 6 9 2" xfId="22442"/>
    <cellStyle name="표준 3 2 7" xfId="199"/>
    <cellStyle name="표준 3 2 7 10" xfId="16903"/>
    <cellStyle name="표준 3 2 7 2" xfId="315"/>
    <cellStyle name="표준 3 2 7 2 2" xfId="547"/>
    <cellStyle name="표준 3 2 7 2 2 2" xfId="1243"/>
    <cellStyle name="표준 3 2 7 2 2 2 2" xfId="2635"/>
    <cellStyle name="표준 3 2 7 2 2 2 2 2" xfId="5419"/>
    <cellStyle name="표준 3 2 7 2 2 2 2 2 2" xfId="10987"/>
    <cellStyle name="표준 3 2 7 2 2 2 2 2 2 2" xfId="27691"/>
    <cellStyle name="표준 3 2 7 2 2 2 2 2 3" xfId="16555"/>
    <cellStyle name="표준 3 2 7 2 2 2 2 2 3 2" xfId="33259"/>
    <cellStyle name="표준 3 2 7 2 2 2 2 2 4" xfId="22123"/>
    <cellStyle name="표준 3 2 7 2 2 2 2 3" xfId="8203"/>
    <cellStyle name="표준 3 2 7 2 2 2 2 3 2" xfId="24907"/>
    <cellStyle name="표준 3 2 7 2 2 2 2 4" xfId="13771"/>
    <cellStyle name="표준 3 2 7 2 2 2 2 4 2" xfId="30475"/>
    <cellStyle name="표준 3 2 7 2 2 2 2 5" xfId="19339"/>
    <cellStyle name="표준 3 2 7 2 2 2 3" xfId="4027"/>
    <cellStyle name="표준 3 2 7 2 2 2 3 2" xfId="9595"/>
    <cellStyle name="표준 3 2 7 2 2 2 3 2 2" xfId="26299"/>
    <cellStyle name="표준 3 2 7 2 2 2 3 3" xfId="15163"/>
    <cellStyle name="표준 3 2 7 2 2 2 3 3 2" xfId="31867"/>
    <cellStyle name="표준 3 2 7 2 2 2 3 4" xfId="20731"/>
    <cellStyle name="표준 3 2 7 2 2 2 4" xfId="6811"/>
    <cellStyle name="표준 3 2 7 2 2 2 4 2" xfId="23515"/>
    <cellStyle name="표준 3 2 7 2 2 2 5" xfId="12379"/>
    <cellStyle name="표준 3 2 7 2 2 2 5 2" xfId="29083"/>
    <cellStyle name="표준 3 2 7 2 2 2 6" xfId="17947"/>
    <cellStyle name="표준 3 2 7 2 2 3" xfId="1939"/>
    <cellStyle name="표준 3 2 7 2 2 3 2" xfId="4723"/>
    <cellStyle name="표준 3 2 7 2 2 3 2 2" xfId="10291"/>
    <cellStyle name="표준 3 2 7 2 2 3 2 2 2" xfId="26995"/>
    <cellStyle name="표준 3 2 7 2 2 3 2 3" xfId="15859"/>
    <cellStyle name="표준 3 2 7 2 2 3 2 3 2" xfId="32563"/>
    <cellStyle name="표준 3 2 7 2 2 3 2 4" xfId="21427"/>
    <cellStyle name="표준 3 2 7 2 2 3 3" xfId="7507"/>
    <cellStyle name="표준 3 2 7 2 2 3 3 2" xfId="24211"/>
    <cellStyle name="표준 3 2 7 2 2 3 4" xfId="13075"/>
    <cellStyle name="표준 3 2 7 2 2 3 4 2" xfId="29779"/>
    <cellStyle name="표준 3 2 7 2 2 3 5" xfId="18643"/>
    <cellStyle name="표준 3 2 7 2 2 4" xfId="3331"/>
    <cellStyle name="표준 3 2 7 2 2 4 2" xfId="8899"/>
    <cellStyle name="표준 3 2 7 2 2 4 2 2" xfId="25603"/>
    <cellStyle name="표준 3 2 7 2 2 4 3" xfId="14467"/>
    <cellStyle name="표준 3 2 7 2 2 4 3 2" xfId="31171"/>
    <cellStyle name="표준 3 2 7 2 2 4 4" xfId="20035"/>
    <cellStyle name="표준 3 2 7 2 2 5" xfId="6115"/>
    <cellStyle name="표준 3 2 7 2 2 5 2" xfId="22819"/>
    <cellStyle name="표준 3 2 7 2 2 6" xfId="11683"/>
    <cellStyle name="표준 3 2 7 2 2 6 2" xfId="28387"/>
    <cellStyle name="표준 3 2 7 2 2 7" xfId="17251"/>
    <cellStyle name="표준 3 2 7 2 3" xfId="779"/>
    <cellStyle name="표준 3 2 7 2 3 2" xfId="1475"/>
    <cellStyle name="표준 3 2 7 2 3 2 2" xfId="2867"/>
    <cellStyle name="표준 3 2 7 2 3 2 2 2" xfId="5651"/>
    <cellStyle name="표준 3 2 7 2 3 2 2 2 2" xfId="11219"/>
    <cellStyle name="표준 3 2 7 2 3 2 2 2 2 2" xfId="27923"/>
    <cellStyle name="표준 3 2 7 2 3 2 2 2 3" xfId="16787"/>
    <cellStyle name="표준 3 2 7 2 3 2 2 2 3 2" xfId="33491"/>
    <cellStyle name="표준 3 2 7 2 3 2 2 2 4" xfId="22355"/>
    <cellStyle name="표준 3 2 7 2 3 2 2 3" xfId="8435"/>
    <cellStyle name="표준 3 2 7 2 3 2 2 3 2" xfId="25139"/>
    <cellStyle name="표준 3 2 7 2 3 2 2 4" xfId="14003"/>
    <cellStyle name="표준 3 2 7 2 3 2 2 4 2" xfId="30707"/>
    <cellStyle name="표준 3 2 7 2 3 2 2 5" xfId="19571"/>
    <cellStyle name="표준 3 2 7 2 3 2 3" xfId="4259"/>
    <cellStyle name="표준 3 2 7 2 3 2 3 2" xfId="9827"/>
    <cellStyle name="표준 3 2 7 2 3 2 3 2 2" xfId="26531"/>
    <cellStyle name="표준 3 2 7 2 3 2 3 3" xfId="15395"/>
    <cellStyle name="표준 3 2 7 2 3 2 3 3 2" xfId="32099"/>
    <cellStyle name="표준 3 2 7 2 3 2 3 4" xfId="20963"/>
    <cellStyle name="표준 3 2 7 2 3 2 4" xfId="7043"/>
    <cellStyle name="표준 3 2 7 2 3 2 4 2" xfId="23747"/>
    <cellStyle name="표준 3 2 7 2 3 2 5" xfId="12611"/>
    <cellStyle name="표준 3 2 7 2 3 2 5 2" xfId="29315"/>
    <cellStyle name="표준 3 2 7 2 3 2 6" xfId="18179"/>
    <cellStyle name="표준 3 2 7 2 3 3" xfId="2171"/>
    <cellStyle name="표준 3 2 7 2 3 3 2" xfId="4955"/>
    <cellStyle name="표준 3 2 7 2 3 3 2 2" xfId="10523"/>
    <cellStyle name="표준 3 2 7 2 3 3 2 2 2" xfId="27227"/>
    <cellStyle name="표준 3 2 7 2 3 3 2 3" xfId="16091"/>
    <cellStyle name="표준 3 2 7 2 3 3 2 3 2" xfId="32795"/>
    <cellStyle name="표준 3 2 7 2 3 3 2 4" xfId="21659"/>
    <cellStyle name="표준 3 2 7 2 3 3 3" xfId="7739"/>
    <cellStyle name="표준 3 2 7 2 3 3 3 2" xfId="24443"/>
    <cellStyle name="표준 3 2 7 2 3 3 4" xfId="13307"/>
    <cellStyle name="표준 3 2 7 2 3 3 4 2" xfId="30011"/>
    <cellStyle name="표준 3 2 7 2 3 3 5" xfId="18875"/>
    <cellStyle name="표준 3 2 7 2 3 4" xfId="3563"/>
    <cellStyle name="표준 3 2 7 2 3 4 2" xfId="9131"/>
    <cellStyle name="표준 3 2 7 2 3 4 2 2" xfId="25835"/>
    <cellStyle name="표준 3 2 7 2 3 4 3" xfId="14699"/>
    <cellStyle name="표준 3 2 7 2 3 4 3 2" xfId="31403"/>
    <cellStyle name="표준 3 2 7 2 3 4 4" xfId="20267"/>
    <cellStyle name="표준 3 2 7 2 3 5" xfId="6347"/>
    <cellStyle name="표준 3 2 7 2 3 5 2" xfId="23051"/>
    <cellStyle name="표준 3 2 7 2 3 6" xfId="11915"/>
    <cellStyle name="표준 3 2 7 2 3 6 2" xfId="28619"/>
    <cellStyle name="표준 3 2 7 2 3 7" xfId="17483"/>
    <cellStyle name="표준 3 2 7 2 4" xfId="1011"/>
    <cellStyle name="표준 3 2 7 2 4 2" xfId="2403"/>
    <cellStyle name="표준 3 2 7 2 4 2 2" xfId="5187"/>
    <cellStyle name="표준 3 2 7 2 4 2 2 2" xfId="10755"/>
    <cellStyle name="표준 3 2 7 2 4 2 2 2 2" xfId="27459"/>
    <cellStyle name="표준 3 2 7 2 4 2 2 3" xfId="16323"/>
    <cellStyle name="표준 3 2 7 2 4 2 2 3 2" xfId="33027"/>
    <cellStyle name="표준 3 2 7 2 4 2 2 4" xfId="21891"/>
    <cellStyle name="표준 3 2 7 2 4 2 3" xfId="7971"/>
    <cellStyle name="표준 3 2 7 2 4 2 3 2" xfId="24675"/>
    <cellStyle name="표준 3 2 7 2 4 2 4" xfId="13539"/>
    <cellStyle name="표준 3 2 7 2 4 2 4 2" xfId="30243"/>
    <cellStyle name="표준 3 2 7 2 4 2 5" xfId="19107"/>
    <cellStyle name="표준 3 2 7 2 4 3" xfId="3795"/>
    <cellStyle name="표준 3 2 7 2 4 3 2" xfId="9363"/>
    <cellStyle name="표준 3 2 7 2 4 3 2 2" xfId="26067"/>
    <cellStyle name="표준 3 2 7 2 4 3 3" xfId="14931"/>
    <cellStyle name="표준 3 2 7 2 4 3 3 2" xfId="31635"/>
    <cellStyle name="표준 3 2 7 2 4 3 4" xfId="20499"/>
    <cellStyle name="표준 3 2 7 2 4 4" xfId="6579"/>
    <cellStyle name="표준 3 2 7 2 4 4 2" xfId="23283"/>
    <cellStyle name="표준 3 2 7 2 4 5" xfId="12147"/>
    <cellStyle name="표준 3 2 7 2 4 5 2" xfId="28851"/>
    <cellStyle name="표준 3 2 7 2 4 6" xfId="17715"/>
    <cellStyle name="표준 3 2 7 2 5" xfId="1707"/>
    <cellStyle name="표준 3 2 7 2 5 2" xfId="4491"/>
    <cellStyle name="표준 3 2 7 2 5 2 2" xfId="10059"/>
    <cellStyle name="표준 3 2 7 2 5 2 2 2" xfId="26763"/>
    <cellStyle name="표준 3 2 7 2 5 2 3" xfId="15627"/>
    <cellStyle name="표준 3 2 7 2 5 2 3 2" xfId="32331"/>
    <cellStyle name="표준 3 2 7 2 5 2 4" xfId="21195"/>
    <cellStyle name="표준 3 2 7 2 5 3" xfId="7275"/>
    <cellStyle name="표준 3 2 7 2 5 3 2" xfId="23979"/>
    <cellStyle name="표준 3 2 7 2 5 4" xfId="12843"/>
    <cellStyle name="표준 3 2 7 2 5 4 2" xfId="29547"/>
    <cellStyle name="표준 3 2 7 2 5 5" xfId="18411"/>
    <cellStyle name="표준 3 2 7 2 6" xfId="3099"/>
    <cellStyle name="표준 3 2 7 2 6 2" xfId="8667"/>
    <cellStyle name="표준 3 2 7 2 6 2 2" xfId="25371"/>
    <cellStyle name="표준 3 2 7 2 6 3" xfId="14235"/>
    <cellStyle name="표준 3 2 7 2 6 3 2" xfId="30939"/>
    <cellStyle name="표준 3 2 7 2 6 4" xfId="19803"/>
    <cellStyle name="표준 3 2 7 2 7" xfId="5883"/>
    <cellStyle name="표준 3 2 7 2 7 2" xfId="22587"/>
    <cellStyle name="표준 3 2 7 2 8" xfId="11451"/>
    <cellStyle name="표준 3 2 7 2 8 2" xfId="28155"/>
    <cellStyle name="표준 3 2 7 2 9" xfId="17019"/>
    <cellStyle name="표준 3 2 7 3" xfId="431"/>
    <cellStyle name="표준 3 2 7 3 2" xfId="1127"/>
    <cellStyle name="표준 3 2 7 3 2 2" xfId="2519"/>
    <cellStyle name="표준 3 2 7 3 2 2 2" xfId="5303"/>
    <cellStyle name="표준 3 2 7 3 2 2 2 2" xfId="10871"/>
    <cellStyle name="표준 3 2 7 3 2 2 2 2 2" xfId="27575"/>
    <cellStyle name="표준 3 2 7 3 2 2 2 3" xfId="16439"/>
    <cellStyle name="표준 3 2 7 3 2 2 2 3 2" xfId="33143"/>
    <cellStyle name="표준 3 2 7 3 2 2 2 4" xfId="22007"/>
    <cellStyle name="표준 3 2 7 3 2 2 3" xfId="8087"/>
    <cellStyle name="표준 3 2 7 3 2 2 3 2" xfId="24791"/>
    <cellStyle name="표준 3 2 7 3 2 2 4" xfId="13655"/>
    <cellStyle name="표준 3 2 7 3 2 2 4 2" xfId="30359"/>
    <cellStyle name="표준 3 2 7 3 2 2 5" xfId="19223"/>
    <cellStyle name="표준 3 2 7 3 2 3" xfId="3911"/>
    <cellStyle name="표준 3 2 7 3 2 3 2" xfId="9479"/>
    <cellStyle name="표준 3 2 7 3 2 3 2 2" xfId="26183"/>
    <cellStyle name="표준 3 2 7 3 2 3 3" xfId="15047"/>
    <cellStyle name="표준 3 2 7 3 2 3 3 2" xfId="31751"/>
    <cellStyle name="표준 3 2 7 3 2 3 4" xfId="20615"/>
    <cellStyle name="표준 3 2 7 3 2 4" xfId="6695"/>
    <cellStyle name="표준 3 2 7 3 2 4 2" xfId="23399"/>
    <cellStyle name="표준 3 2 7 3 2 5" xfId="12263"/>
    <cellStyle name="표준 3 2 7 3 2 5 2" xfId="28967"/>
    <cellStyle name="표준 3 2 7 3 2 6" xfId="17831"/>
    <cellStyle name="표준 3 2 7 3 3" xfId="1823"/>
    <cellStyle name="표준 3 2 7 3 3 2" xfId="4607"/>
    <cellStyle name="표준 3 2 7 3 3 2 2" xfId="10175"/>
    <cellStyle name="표준 3 2 7 3 3 2 2 2" xfId="26879"/>
    <cellStyle name="표준 3 2 7 3 3 2 3" xfId="15743"/>
    <cellStyle name="표준 3 2 7 3 3 2 3 2" xfId="32447"/>
    <cellStyle name="표준 3 2 7 3 3 2 4" xfId="21311"/>
    <cellStyle name="표준 3 2 7 3 3 3" xfId="7391"/>
    <cellStyle name="표준 3 2 7 3 3 3 2" xfId="24095"/>
    <cellStyle name="표준 3 2 7 3 3 4" xfId="12959"/>
    <cellStyle name="표준 3 2 7 3 3 4 2" xfId="29663"/>
    <cellStyle name="표준 3 2 7 3 3 5" xfId="18527"/>
    <cellStyle name="표준 3 2 7 3 4" xfId="3215"/>
    <cellStyle name="표준 3 2 7 3 4 2" xfId="8783"/>
    <cellStyle name="표준 3 2 7 3 4 2 2" xfId="25487"/>
    <cellStyle name="표준 3 2 7 3 4 3" xfId="14351"/>
    <cellStyle name="표준 3 2 7 3 4 3 2" xfId="31055"/>
    <cellStyle name="표준 3 2 7 3 4 4" xfId="19919"/>
    <cellStyle name="표준 3 2 7 3 5" xfId="5999"/>
    <cellStyle name="표준 3 2 7 3 5 2" xfId="22703"/>
    <cellStyle name="표준 3 2 7 3 6" xfId="11567"/>
    <cellStyle name="표준 3 2 7 3 6 2" xfId="28271"/>
    <cellStyle name="표준 3 2 7 3 7" xfId="17135"/>
    <cellStyle name="표준 3 2 7 4" xfId="663"/>
    <cellStyle name="표준 3 2 7 4 2" xfId="1359"/>
    <cellStyle name="표준 3 2 7 4 2 2" xfId="2751"/>
    <cellStyle name="표준 3 2 7 4 2 2 2" xfId="5535"/>
    <cellStyle name="표준 3 2 7 4 2 2 2 2" xfId="11103"/>
    <cellStyle name="표준 3 2 7 4 2 2 2 2 2" xfId="27807"/>
    <cellStyle name="표준 3 2 7 4 2 2 2 3" xfId="16671"/>
    <cellStyle name="표준 3 2 7 4 2 2 2 3 2" xfId="33375"/>
    <cellStyle name="표준 3 2 7 4 2 2 2 4" xfId="22239"/>
    <cellStyle name="표준 3 2 7 4 2 2 3" xfId="8319"/>
    <cellStyle name="표준 3 2 7 4 2 2 3 2" xfId="25023"/>
    <cellStyle name="표준 3 2 7 4 2 2 4" xfId="13887"/>
    <cellStyle name="표준 3 2 7 4 2 2 4 2" xfId="30591"/>
    <cellStyle name="표준 3 2 7 4 2 2 5" xfId="19455"/>
    <cellStyle name="표준 3 2 7 4 2 3" xfId="4143"/>
    <cellStyle name="표준 3 2 7 4 2 3 2" xfId="9711"/>
    <cellStyle name="표준 3 2 7 4 2 3 2 2" xfId="26415"/>
    <cellStyle name="표준 3 2 7 4 2 3 3" xfId="15279"/>
    <cellStyle name="표준 3 2 7 4 2 3 3 2" xfId="31983"/>
    <cellStyle name="표준 3 2 7 4 2 3 4" xfId="20847"/>
    <cellStyle name="표준 3 2 7 4 2 4" xfId="6927"/>
    <cellStyle name="표준 3 2 7 4 2 4 2" xfId="23631"/>
    <cellStyle name="표준 3 2 7 4 2 5" xfId="12495"/>
    <cellStyle name="표준 3 2 7 4 2 5 2" xfId="29199"/>
    <cellStyle name="표준 3 2 7 4 2 6" xfId="18063"/>
    <cellStyle name="표준 3 2 7 4 3" xfId="2055"/>
    <cellStyle name="표준 3 2 7 4 3 2" xfId="4839"/>
    <cellStyle name="표준 3 2 7 4 3 2 2" xfId="10407"/>
    <cellStyle name="표준 3 2 7 4 3 2 2 2" xfId="27111"/>
    <cellStyle name="표준 3 2 7 4 3 2 3" xfId="15975"/>
    <cellStyle name="표준 3 2 7 4 3 2 3 2" xfId="32679"/>
    <cellStyle name="표준 3 2 7 4 3 2 4" xfId="21543"/>
    <cellStyle name="표준 3 2 7 4 3 3" xfId="7623"/>
    <cellStyle name="표준 3 2 7 4 3 3 2" xfId="24327"/>
    <cellStyle name="표준 3 2 7 4 3 4" xfId="13191"/>
    <cellStyle name="표준 3 2 7 4 3 4 2" xfId="29895"/>
    <cellStyle name="표준 3 2 7 4 3 5" xfId="18759"/>
    <cellStyle name="표준 3 2 7 4 4" xfId="3447"/>
    <cellStyle name="표준 3 2 7 4 4 2" xfId="9015"/>
    <cellStyle name="표준 3 2 7 4 4 2 2" xfId="25719"/>
    <cellStyle name="표준 3 2 7 4 4 3" xfId="14583"/>
    <cellStyle name="표준 3 2 7 4 4 3 2" xfId="31287"/>
    <cellStyle name="표준 3 2 7 4 4 4" xfId="20151"/>
    <cellStyle name="표준 3 2 7 4 5" xfId="6231"/>
    <cellStyle name="표준 3 2 7 4 5 2" xfId="22935"/>
    <cellStyle name="표준 3 2 7 4 6" xfId="11799"/>
    <cellStyle name="표준 3 2 7 4 6 2" xfId="28503"/>
    <cellStyle name="표준 3 2 7 4 7" xfId="17367"/>
    <cellStyle name="표준 3 2 7 5" xfId="895"/>
    <cellStyle name="표준 3 2 7 5 2" xfId="2287"/>
    <cellStyle name="표준 3 2 7 5 2 2" xfId="5071"/>
    <cellStyle name="표준 3 2 7 5 2 2 2" xfId="10639"/>
    <cellStyle name="표준 3 2 7 5 2 2 2 2" xfId="27343"/>
    <cellStyle name="표준 3 2 7 5 2 2 3" xfId="16207"/>
    <cellStyle name="표준 3 2 7 5 2 2 3 2" xfId="32911"/>
    <cellStyle name="표준 3 2 7 5 2 2 4" xfId="21775"/>
    <cellStyle name="표준 3 2 7 5 2 3" xfId="7855"/>
    <cellStyle name="표준 3 2 7 5 2 3 2" xfId="24559"/>
    <cellStyle name="표준 3 2 7 5 2 4" xfId="13423"/>
    <cellStyle name="표준 3 2 7 5 2 4 2" xfId="30127"/>
    <cellStyle name="표준 3 2 7 5 2 5" xfId="18991"/>
    <cellStyle name="표준 3 2 7 5 3" xfId="3679"/>
    <cellStyle name="표준 3 2 7 5 3 2" xfId="9247"/>
    <cellStyle name="표준 3 2 7 5 3 2 2" xfId="25951"/>
    <cellStyle name="표준 3 2 7 5 3 3" xfId="14815"/>
    <cellStyle name="표준 3 2 7 5 3 3 2" xfId="31519"/>
    <cellStyle name="표준 3 2 7 5 3 4" xfId="20383"/>
    <cellStyle name="표준 3 2 7 5 4" xfId="6463"/>
    <cellStyle name="표준 3 2 7 5 4 2" xfId="23167"/>
    <cellStyle name="표준 3 2 7 5 5" xfId="12031"/>
    <cellStyle name="표준 3 2 7 5 5 2" xfId="28735"/>
    <cellStyle name="표준 3 2 7 5 6" xfId="17599"/>
    <cellStyle name="표준 3 2 7 6" xfId="1591"/>
    <cellStyle name="표준 3 2 7 6 2" xfId="4375"/>
    <cellStyle name="표준 3 2 7 6 2 2" xfId="9943"/>
    <cellStyle name="표준 3 2 7 6 2 2 2" xfId="26647"/>
    <cellStyle name="표준 3 2 7 6 2 3" xfId="15511"/>
    <cellStyle name="표준 3 2 7 6 2 3 2" xfId="32215"/>
    <cellStyle name="표준 3 2 7 6 2 4" xfId="21079"/>
    <cellStyle name="표준 3 2 7 6 3" xfId="7159"/>
    <cellStyle name="표준 3 2 7 6 3 2" xfId="23863"/>
    <cellStyle name="표준 3 2 7 6 4" xfId="12727"/>
    <cellStyle name="표준 3 2 7 6 4 2" xfId="29431"/>
    <cellStyle name="표준 3 2 7 6 5" xfId="18295"/>
    <cellStyle name="표준 3 2 7 7" xfId="2983"/>
    <cellStyle name="표준 3 2 7 7 2" xfId="8551"/>
    <cellStyle name="표준 3 2 7 7 2 2" xfId="25255"/>
    <cellStyle name="표준 3 2 7 7 3" xfId="14119"/>
    <cellStyle name="표준 3 2 7 7 3 2" xfId="30823"/>
    <cellStyle name="표준 3 2 7 7 4" xfId="19687"/>
    <cellStyle name="표준 3 2 7 8" xfId="5767"/>
    <cellStyle name="표준 3 2 7 8 2" xfId="22471"/>
    <cellStyle name="표준 3 2 7 9" xfId="11335"/>
    <cellStyle name="표준 3 2 7 9 2" xfId="28039"/>
    <cellStyle name="표준 3 2 8" xfId="257"/>
    <cellStyle name="표준 3 2 8 2" xfId="489"/>
    <cellStyle name="표준 3 2 8 2 2" xfId="1185"/>
    <cellStyle name="표준 3 2 8 2 2 2" xfId="2577"/>
    <cellStyle name="표준 3 2 8 2 2 2 2" xfId="5361"/>
    <cellStyle name="표준 3 2 8 2 2 2 2 2" xfId="10929"/>
    <cellStyle name="표준 3 2 8 2 2 2 2 2 2" xfId="27633"/>
    <cellStyle name="표준 3 2 8 2 2 2 2 3" xfId="16497"/>
    <cellStyle name="표준 3 2 8 2 2 2 2 3 2" xfId="33201"/>
    <cellStyle name="표준 3 2 8 2 2 2 2 4" xfId="22065"/>
    <cellStyle name="표준 3 2 8 2 2 2 3" xfId="8145"/>
    <cellStyle name="표준 3 2 8 2 2 2 3 2" xfId="24849"/>
    <cellStyle name="표준 3 2 8 2 2 2 4" xfId="13713"/>
    <cellStyle name="표준 3 2 8 2 2 2 4 2" xfId="30417"/>
    <cellStyle name="표준 3 2 8 2 2 2 5" xfId="19281"/>
    <cellStyle name="표준 3 2 8 2 2 3" xfId="3969"/>
    <cellStyle name="표준 3 2 8 2 2 3 2" xfId="9537"/>
    <cellStyle name="표준 3 2 8 2 2 3 2 2" xfId="26241"/>
    <cellStyle name="표준 3 2 8 2 2 3 3" xfId="15105"/>
    <cellStyle name="표준 3 2 8 2 2 3 3 2" xfId="31809"/>
    <cellStyle name="표준 3 2 8 2 2 3 4" xfId="20673"/>
    <cellStyle name="표준 3 2 8 2 2 4" xfId="6753"/>
    <cellStyle name="표준 3 2 8 2 2 4 2" xfId="23457"/>
    <cellStyle name="표준 3 2 8 2 2 5" xfId="12321"/>
    <cellStyle name="표준 3 2 8 2 2 5 2" xfId="29025"/>
    <cellStyle name="표준 3 2 8 2 2 6" xfId="17889"/>
    <cellStyle name="표준 3 2 8 2 3" xfId="1881"/>
    <cellStyle name="표준 3 2 8 2 3 2" xfId="4665"/>
    <cellStyle name="표준 3 2 8 2 3 2 2" xfId="10233"/>
    <cellStyle name="표준 3 2 8 2 3 2 2 2" xfId="26937"/>
    <cellStyle name="표준 3 2 8 2 3 2 3" xfId="15801"/>
    <cellStyle name="표준 3 2 8 2 3 2 3 2" xfId="32505"/>
    <cellStyle name="표준 3 2 8 2 3 2 4" xfId="21369"/>
    <cellStyle name="표준 3 2 8 2 3 3" xfId="7449"/>
    <cellStyle name="표준 3 2 8 2 3 3 2" xfId="24153"/>
    <cellStyle name="표준 3 2 8 2 3 4" xfId="13017"/>
    <cellStyle name="표준 3 2 8 2 3 4 2" xfId="29721"/>
    <cellStyle name="표준 3 2 8 2 3 5" xfId="18585"/>
    <cellStyle name="표준 3 2 8 2 4" xfId="3273"/>
    <cellStyle name="표준 3 2 8 2 4 2" xfId="8841"/>
    <cellStyle name="표준 3 2 8 2 4 2 2" xfId="25545"/>
    <cellStyle name="표준 3 2 8 2 4 3" xfId="14409"/>
    <cellStyle name="표준 3 2 8 2 4 3 2" xfId="31113"/>
    <cellStyle name="표준 3 2 8 2 4 4" xfId="19977"/>
    <cellStyle name="표준 3 2 8 2 5" xfId="6057"/>
    <cellStyle name="표준 3 2 8 2 5 2" xfId="22761"/>
    <cellStyle name="표준 3 2 8 2 6" xfId="11625"/>
    <cellStyle name="표준 3 2 8 2 6 2" xfId="28329"/>
    <cellStyle name="표준 3 2 8 2 7" xfId="17193"/>
    <cellStyle name="표준 3 2 8 3" xfId="721"/>
    <cellStyle name="표준 3 2 8 3 2" xfId="1417"/>
    <cellStyle name="표준 3 2 8 3 2 2" xfId="2809"/>
    <cellStyle name="표준 3 2 8 3 2 2 2" xfId="5593"/>
    <cellStyle name="표준 3 2 8 3 2 2 2 2" xfId="11161"/>
    <cellStyle name="표준 3 2 8 3 2 2 2 2 2" xfId="27865"/>
    <cellStyle name="표준 3 2 8 3 2 2 2 3" xfId="16729"/>
    <cellStyle name="표준 3 2 8 3 2 2 2 3 2" xfId="33433"/>
    <cellStyle name="표준 3 2 8 3 2 2 2 4" xfId="22297"/>
    <cellStyle name="표준 3 2 8 3 2 2 3" xfId="8377"/>
    <cellStyle name="표준 3 2 8 3 2 2 3 2" xfId="25081"/>
    <cellStyle name="표준 3 2 8 3 2 2 4" xfId="13945"/>
    <cellStyle name="표준 3 2 8 3 2 2 4 2" xfId="30649"/>
    <cellStyle name="표준 3 2 8 3 2 2 5" xfId="19513"/>
    <cellStyle name="표준 3 2 8 3 2 3" xfId="4201"/>
    <cellStyle name="표준 3 2 8 3 2 3 2" xfId="9769"/>
    <cellStyle name="표준 3 2 8 3 2 3 2 2" xfId="26473"/>
    <cellStyle name="표준 3 2 8 3 2 3 3" xfId="15337"/>
    <cellStyle name="표준 3 2 8 3 2 3 3 2" xfId="32041"/>
    <cellStyle name="표준 3 2 8 3 2 3 4" xfId="20905"/>
    <cellStyle name="표준 3 2 8 3 2 4" xfId="6985"/>
    <cellStyle name="표준 3 2 8 3 2 4 2" xfId="23689"/>
    <cellStyle name="표준 3 2 8 3 2 5" xfId="12553"/>
    <cellStyle name="표준 3 2 8 3 2 5 2" xfId="29257"/>
    <cellStyle name="표준 3 2 8 3 2 6" xfId="18121"/>
    <cellStyle name="표준 3 2 8 3 3" xfId="2113"/>
    <cellStyle name="표준 3 2 8 3 3 2" xfId="4897"/>
    <cellStyle name="표준 3 2 8 3 3 2 2" xfId="10465"/>
    <cellStyle name="표준 3 2 8 3 3 2 2 2" xfId="27169"/>
    <cellStyle name="표준 3 2 8 3 3 2 3" xfId="16033"/>
    <cellStyle name="표준 3 2 8 3 3 2 3 2" xfId="32737"/>
    <cellStyle name="표준 3 2 8 3 3 2 4" xfId="21601"/>
    <cellStyle name="표준 3 2 8 3 3 3" xfId="7681"/>
    <cellStyle name="표준 3 2 8 3 3 3 2" xfId="24385"/>
    <cellStyle name="표준 3 2 8 3 3 4" xfId="13249"/>
    <cellStyle name="표준 3 2 8 3 3 4 2" xfId="29953"/>
    <cellStyle name="표준 3 2 8 3 3 5" xfId="18817"/>
    <cellStyle name="표준 3 2 8 3 4" xfId="3505"/>
    <cellStyle name="표준 3 2 8 3 4 2" xfId="9073"/>
    <cellStyle name="표준 3 2 8 3 4 2 2" xfId="25777"/>
    <cellStyle name="표준 3 2 8 3 4 3" xfId="14641"/>
    <cellStyle name="표준 3 2 8 3 4 3 2" xfId="31345"/>
    <cellStyle name="표준 3 2 8 3 4 4" xfId="20209"/>
    <cellStyle name="표준 3 2 8 3 5" xfId="6289"/>
    <cellStyle name="표준 3 2 8 3 5 2" xfId="22993"/>
    <cellStyle name="표준 3 2 8 3 6" xfId="11857"/>
    <cellStyle name="표준 3 2 8 3 6 2" xfId="28561"/>
    <cellStyle name="표준 3 2 8 3 7" xfId="17425"/>
    <cellStyle name="표준 3 2 8 4" xfId="953"/>
    <cellStyle name="표준 3 2 8 4 2" xfId="2345"/>
    <cellStyle name="표준 3 2 8 4 2 2" xfId="5129"/>
    <cellStyle name="표준 3 2 8 4 2 2 2" xfId="10697"/>
    <cellStyle name="표준 3 2 8 4 2 2 2 2" xfId="27401"/>
    <cellStyle name="표준 3 2 8 4 2 2 3" xfId="16265"/>
    <cellStyle name="표준 3 2 8 4 2 2 3 2" xfId="32969"/>
    <cellStyle name="표준 3 2 8 4 2 2 4" xfId="21833"/>
    <cellStyle name="표준 3 2 8 4 2 3" xfId="7913"/>
    <cellStyle name="표준 3 2 8 4 2 3 2" xfId="24617"/>
    <cellStyle name="표준 3 2 8 4 2 4" xfId="13481"/>
    <cellStyle name="표준 3 2 8 4 2 4 2" xfId="30185"/>
    <cellStyle name="표준 3 2 8 4 2 5" xfId="19049"/>
    <cellStyle name="표준 3 2 8 4 3" xfId="3737"/>
    <cellStyle name="표준 3 2 8 4 3 2" xfId="9305"/>
    <cellStyle name="표준 3 2 8 4 3 2 2" xfId="26009"/>
    <cellStyle name="표준 3 2 8 4 3 3" xfId="14873"/>
    <cellStyle name="표준 3 2 8 4 3 3 2" xfId="31577"/>
    <cellStyle name="표준 3 2 8 4 3 4" xfId="20441"/>
    <cellStyle name="표준 3 2 8 4 4" xfId="6521"/>
    <cellStyle name="표준 3 2 8 4 4 2" xfId="23225"/>
    <cellStyle name="표준 3 2 8 4 5" xfId="12089"/>
    <cellStyle name="표준 3 2 8 4 5 2" xfId="28793"/>
    <cellStyle name="표준 3 2 8 4 6" xfId="17657"/>
    <cellStyle name="표준 3 2 8 5" xfId="1649"/>
    <cellStyle name="표준 3 2 8 5 2" xfId="4433"/>
    <cellStyle name="표준 3 2 8 5 2 2" xfId="10001"/>
    <cellStyle name="표준 3 2 8 5 2 2 2" xfId="26705"/>
    <cellStyle name="표준 3 2 8 5 2 3" xfId="15569"/>
    <cellStyle name="표준 3 2 8 5 2 3 2" xfId="32273"/>
    <cellStyle name="표준 3 2 8 5 2 4" xfId="21137"/>
    <cellStyle name="표준 3 2 8 5 3" xfId="7217"/>
    <cellStyle name="표준 3 2 8 5 3 2" xfId="23921"/>
    <cellStyle name="표준 3 2 8 5 4" xfId="12785"/>
    <cellStyle name="표준 3 2 8 5 4 2" xfId="29489"/>
    <cellStyle name="표준 3 2 8 5 5" xfId="18353"/>
    <cellStyle name="표준 3 2 8 6" xfId="3041"/>
    <cellStyle name="표준 3 2 8 6 2" xfId="8609"/>
    <cellStyle name="표준 3 2 8 6 2 2" xfId="25313"/>
    <cellStyle name="표준 3 2 8 6 3" xfId="14177"/>
    <cellStyle name="표준 3 2 8 6 3 2" xfId="30881"/>
    <cellStyle name="표준 3 2 8 6 4" xfId="19745"/>
    <cellStyle name="표준 3 2 8 7" xfId="5825"/>
    <cellStyle name="표준 3 2 8 7 2" xfId="22529"/>
    <cellStyle name="표준 3 2 8 8" xfId="11393"/>
    <cellStyle name="표준 3 2 8 8 2" xfId="28097"/>
    <cellStyle name="표준 3 2 8 9" xfId="16961"/>
    <cellStyle name="표준 3 2 9" xfId="373"/>
    <cellStyle name="표준 3 2 9 2" xfId="1069"/>
    <cellStyle name="표준 3 2 9 2 2" xfId="2461"/>
    <cellStyle name="표준 3 2 9 2 2 2" xfId="5245"/>
    <cellStyle name="표준 3 2 9 2 2 2 2" xfId="10813"/>
    <cellStyle name="표준 3 2 9 2 2 2 2 2" xfId="27517"/>
    <cellStyle name="표준 3 2 9 2 2 2 3" xfId="16381"/>
    <cellStyle name="표준 3 2 9 2 2 2 3 2" xfId="33085"/>
    <cellStyle name="표준 3 2 9 2 2 2 4" xfId="21949"/>
    <cellStyle name="표준 3 2 9 2 2 3" xfId="8029"/>
    <cellStyle name="표준 3 2 9 2 2 3 2" xfId="24733"/>
    <cellStyle name="표준 3 2 9 2 2 4" xfId="13597"/>
    <cellStyle name="표준 3 2 9 2 2 4 2" xfId="30301"/>
    <cellStyle name="표준 3 2 9 2 2 5" xfId="19165"/>
    <cellStyle name="표준 3 2 9 2 3" xfId="3853"/>
    <cellStyle name="표준 3 2 9 2 3 2" xfId="9421"/>
    <cellStyle name="표준 3 2 9 2 3 2 2" xfId="26125"/>
    <cellStyle name="표준 3 2 9 2 3 3" xfId="14989"/>
    <cellStyle name="표준 3 2 9 2 3 3 2" xfId="31693"/>
    <cellStyle name="표준 3 2 9 2 3 4" xfId="20557"/>
    <cellStyle name="표준 3 2 9 2 4" xfId="6637"/>
    <cellStyle name="표준 3 2 9 2 4 2" xfId="23341"/>
    <cellStyle name="표준 3 2 9 2 5" xfId="12205"/>
    <cellStyle name="표준 3 2 9 2 5 2" xfId="28909"/>
    <cellStyle name="표준 3 2 9 2 6" xfId="17773"/>
    <cellStyle name="표준 3 2 9 3" xfId="1765"/>
    <cellStyle name="표준 3 2 9 3 2" xfId="4549"/>
    <cellStyle name="표준 3 2 9 3 2 2" xfId="10117"/>
    <cellStyle name="표준 3 2 9 3 2 2 2" xfId="26821"/>
    <cellStyle name="표준 3 2 9 3 2 3" xfId="15685"/>
    <cellStyle name="표준 3 2 9 3 2 3 2" xfId="32389"/>
    <cellStyle name="표준 3 2 9 3 2 4" xfId="21253"/>
    <cellStyle name="표준 3 2 9 3 3" xfId="7333"/>
    <cellStyle name="표준 3 2 9 3 3 2" xfId="24037"/>
    <cellStyle name="표준 3 2 9 3 4" xfId="12901"/>
    <cellStyle name="표준 3 2 9 3 4 2" xfId="29605"/>
    <cellStyle name="표준 3 2 9 3 5" xfId="18469"/>
    <cellStyle name="표준 3 2 9 4" xfId="3157"/>
    <cellStyle name="표준 3 2 9 4 2" xfId="8725"/>
    <cellStyle name="표준 3 2 9 4 2 2" xfId="25429"/>
    <cellStyle name="표준 3 2 9 4 3" xfId="14293"/>
    <cellStyle name="표준 3 2 9 4 3 2" xfId="30997"/>
    <cellStyle name="표준 3 2 9 4 4" xfId="19861"/>
    <cellStyle name="표준 3 2 9 5" xfId="5941"/>
    <cellStyle name="표준 3 2 9 5 2" xfId="22645"/>
    <cellStyle name="표준 3 2 9 6" xfId="11509"/>
    <cellStyle name="표준 3 2 9 6 2" xfId="28213"/>
    <cellStyle name="표준 3 2 9 7" xfId="17077"/>
    <cellStyle name="표준 3 3" xfId="7"/>
    <cellStyle name="표준 3 3 10" xfId="2926"/>
    <cellStyle name="표준 3 3 10 2" xfId="8494"/>
    <cellStyle name="표준 3 3 10 2 2" xfId="25198"/>
    <cellStyle name="표준 3 3 10 3" xfId="14062"/>
    <cellStyle name="표준 3 3 10 3 2" xfId="30766"/>
    <cellStyle name="표준 3 3 10 4" xfId="19630"/>
    <cellStyle name="표준 3 3 11" xfId="5710"/>
    <cellStyle name="표준 3 3 11 2" xfId="22414"/>
    <cellStyle name="표준 3 3 12" xfId="11278"/>
    <cellStyle name="표준 3 3 12 2" xfId="27982"/>
    <cellStyle name="표준 3 3 13" xfId="16846"/>
    <cellStyle name="표준 3 3 2" xfId="148"/>
    <cellStyle name="표준 3 3 3" xfId="171"/>
    <cellStyle name="표준 3 3 3 10" xfId="11307"/>
    <cellStyle name="표준 3 3 3 10 2" xfId="28011"/>
    <cellStyle name="표준 3 3 3 11" xfId="16875"/>
    <cellStyle name="표준 3 3 3 2" xfId="229"/>
    <cellStyle name="표준 3 3 3 2 10" xfId="16933"/>
    <cellStyle name="표준 3 3 3 2 2" xfId="345"/>
    <cellStyle name="표준 3 3 3 2 2 2" xfId="577"/>
    <cellStyle name="표준 3 3 3 2 2 2 2" xfId="1273"/>
    <cellStyle name="표준 3 3 3 2 2 2 2 2" xfId="2665"/>
    <cellStyle name="표준 3 3 3 2 2 2 2 2 2" xfId="5449"/>
    <cellStyle name="표준 3 3 3 2 2 2 2 2 2 2" xfId="11017"/>
    <cellStyle name="표준 3 3 3 2 2 2 2 2 2 2 2" xfId="27721"/>
    <cellStyle name="표준 3 3 3 2 2 2 2 2 2 3" xfId="16585"/>
    <cellStyle name="표준 3 3 3 2 2 2 2 2 2 3 2" xfId="33289"/>
    <cellStyle name="표준 3 3 3 2 2 2 2 2 2 4" xfId="22153"/>
    <cellStyle name="표준 3 3 3 2 2 2 2 2 3" xfId="8233"/>
    <cellStyle name="표준 3 3 3 2 2 2 2 2 3 2" xfId="24937"/>
    <cellStyle name="표준 3 3 3 2 2 2 2 2 4" xfId="13801"/>
    <cellStyle name="표준 3 3 3 2 2 2 2 2 4 2" xfId="30505"/>
    <cellStyle name="표준 3 3 3 2 2 2 2 2 5" xfId="19369"/>
    <cellStyle name="표준 3 3 3 2 2 2 2 3" xfId="4057"/>
    <cellStyle name="표준 3 3 3 2 2 2 2 3 2" xfId="9625"/>
    <cellStyle name="표준 3 3 3 2 2 2 2 3 2 2" xfId="26329"/>
    <cellStyle name="표준 3 3 3 2 2 2 2 3 3" xfId="15193"/>
    <cellStyle name="표준 3 3 3 2 2 2 2 3 3 2" xfId="31897"/>
    <cellStyle name="표준 3 3 3 2 2 2 2 3 4" xfId="20761"/>
    <cellStyle name="표준 3 3 3 2 2 2 2 4" xfId="6841"/>
    <cellStyle name="표준 3 3 3 2 2 2 2 4 2" xfId="23545"/>
    <cellStyle name="표준 3 3 3 2 2 2 2 5" xfId="12409"/>
    <cellStyle name="표준 3 3 3 2 2 2 2 5 2" xfId="29113"/>
    <cellStyle name="표준 3 3 3 2 2 2 2 6" xfId="17977"/>
    <cellStyle name="표준 3 3 3 2 2 2 3" xfId="1969"/>
    <cellStyle name="표준 3 3 3 2 2 2 3 2" xfId="4753"/>
    <cellStyle name="표준 3 3 3 2 2 2 3 2 2" xfId="10321"/>
    <cellStyle name="표준 3 3 3 2 2 2 3 2 2 2" xfId="27025"/>
    <cellStyle name="표준 3 3 3 2 2 2 3 2 3" xfId="15889"/>
    <cellStyle name="표준 3 3 3 2 2 2 3 2 3 2" xfId="32593"/>
    <cellStyle name="표준 3 3 3 2 2 2 3 2 4" xfId="21457"/>
    <cellStyle name="표준 3 3 3 2 2 2 3 3" xfId="7537"/>
    <cellStyle name="표준 3 3 3 2 2 2 3 3 2" xfId="24241"/>
    <cellStyle name="표준 3 3 3 2 2 2 3 4" xfId="13105"/>
    <cellStyle name="표준 3 3 3 2 2 2 3 4 2" xfId="29809"/>
    <cellStyle name="표준 3 3 3 2 2 2 3 5" xfId="18673"/>
    <cellStyle name="표준 3 3 3 2 2 2 4" xfId="3361"/>
    <cellStyle name="표준 3 3 3 2 2 2 4 2" xfId="8929"/>
    <cellStyle name="표준 3 3 3 2 2 2 4 2 2" xfId="25633"/>
    <cellStyle name="표준 3 3 3 2 2 2 4 3" xfId="14497"/>
    <cellStyle name="표준 3 3 3 2 2 2 4 3 2" xfId="31201"/>
    <cellStyle name="표준 3 3 3 2 2 2 4 4" xfId="20065"/>
    <cellStyle name="표준 3 3 3 2 2 2 5" xfId="6145"/>
    <cellStyle name="표준 3 3 3 2 2 2 5 2" xfId="22849"/>
    <cellStyle name="표준 3 3 3 2 2 2 6" xfId="11713"/>
    <cellStyle name="표준 3 3 3 2 2 2 6 2" xfId="28417"/>
    <cellStyle name="표준 3 3 3 2 2 2 7" xfId="17281"/>
    <cellStyle name="표준 3 3 3 2 2 3" xfId="809"/>
    <cellStyle name="표준 3 3 3 2 2 3 2" xfId="1505"/>
    <cellStyle name="표준 3 3 3 2 2 3 2 2" xfId="2897"/>
    <cellStyle name="표준 3 3 3 2 2 3 2 2 2" xfId="5681"/>
    <cellStyle name="표준 3 3 3 2 2 3 2 2 2 2" xfId="11249"/>
    <cellStyle name="표준 3 3 3 2 2 3 2 2 2 2 2" xfId="27953"/>
    <cellStyle name="표준 3 3 3 2 2 3 2 2 2 3" xfId="16817"/>
    <cellStyle name="표준 3 3 3 2 2 3 2 2 2 3 2" xfId="33521"/>
    <cellStyle name="표준 3 3 3 2 2 3 2 2 2 4" xfId="22385"/>
    <cellStyle name="표준 3 3 3 2 2 3 2 2 3" xfId="8465"/>
    <cellStyle name="표준 3 3 3 2 2 3 2 2 3 2" xfId="25169"/>
    <cellStyle name="표준 3 3 3 2 2 3 2 2 4" xfId="14033"/>
    <cellStyle name="표준 3 3 3 2 2 3 2 2 4 2" xfId="30737"/>
    <cellStyle name="표준 3 3 3 2 2 3 2 2 5" xfId="19601"/>
    <cellStyle name="표준 3 3 3 2 2 3 2 3" xfId="4289"/>
    <cellStyle name="표준 3 3 3 2 2 3 2 3 2" xfId="9857"/>
    <cellStyle name="표준 3 3 3 2 2 3 2 3 2 2" xfId="26561"/>
    <cellStyle name="표준 3 3 3 2 2 3 2 3 3" xfId="15425"/>
    <cellStyle name="표준 3 3 3 2 2 3 2 3 3 2" xfId="32129"/>
    <cellStyle name="표준 3 3 3 2 2 3 2 3 4" xfId="20993"/>
    <cellStyle name="표준 3 3 3 2 2 3 2 4" xfId="7073"/>
    <cellStyle name="표준 3 3 3 2 2 3 2 4 2" xfId="23777"/>
    <cellStyle name="표준 3 3 3 2 2 3 2 5" xfId="12641"/>
    <cellStyle name="표준 3 3 3 2 2 3 2 5 2" xfId="29345"/>
    <cellStyle name="표준 3 3 3 2 2 3 2 6" xfId="18209"/>
    <cellStyle name="표준 3 3 3 2 2 3 3" xfId="2201"/>
    <cellStyle name="표준 3 3 3 2 2 3 3 2" xfId="4985"/>
    <cellStyle name="표준 3 3 3 2 2 3 3 2 2" xfId="10553"/>
    <cellStyle name="표준 3 3 3 2 2 3 3 2 2 2" xfId="27257"/>
    <cellStyle name="표준 3 3 3 2 2 3 3 2 3" xfId="16121"/>
    <cellStyle name="표준 3 3 3 2 2 3 3 2 3 2" xfId="32825"/>
    <cellStyle name="표준 3 3 3 2 2 3 3 2 4" xfId="21689"/>
    <cellStyle name="표준 3 3 3 2 2 3 3 3" xfId="7769"/>
    <cellStyle name="표준 3 3 3 2 2 3 3 3 2" xfId="24473"/>
    <cellStyle name="표준 3 3 3 2 2 3 3 4" xfId="13337"/>
    <cellStyle name="표준 3 3 3 2 2 3 3 4 2" xfId="30041"/>
    <cellStyle name="표준 3 3 3 2 2 3 3 5" xfId="18905"/>
    <cellStyle name="표준 3 3 3 2 2 3 4" xfId="3593"/>
    <cellStyle name="표준 3 3 3 2 2 3 4 2" xfId="9161"/>
    <cellStyle name="표준 3 3 3 2 2 3 4 2 2" xfId="25865"/>
    <cellStyle name="표준 3 3 3 2 2 3 4 3" xfId="14729"/>
    <cellStyle name="표준 3 3 3 2 2 3 4 3 2" xfId="31433"/>
    <cellStyle name="표준 3 3 3 2 2 3 4 4" xfId="20297"/>
    <cellStyle name="표준 3 3 3 2 2 3 5" xfId="6377"/>
    <cellStyle name="표준 3 3 3 2 2 3 5 2" xfId="23081"/>
    <cellStyle name="표준 3 3 3 2 2 3 6" xfId="11945"/>
    <cellStyle name="표준 3 3 3 2 2 3 6 2" xfId="28649"/>
    <cellStyle name="표준 3 3 3 2 2 3 7" xfId="17513"/>
    <cellStyle name="표준 3 3 3 2 2 4" xfId="1041"/>
    <cellStyle name="표준 3 3 3 2 2 4 2" xfId="2433"/>
    <cellStyle name="표준 3 3 3 2 2 4 2 2" xfId="5217"/>
    <cellStyle name="표준 3 3 3 2 2 4 2 2 2" xfId="10785"/>
    <cellStyle name="표준 3 3 3 2 2 4 2 2 2 2" xfId="27489"/>
    <cellStyle name="표준 3 3 3 2 2 4 2 2 3" xfId="16353"/>
    <cellStyle name="표준 3 3 3 2 2 4 2 2 3 2" xfId="33057"/>
    <cellStyle name="표준 3 3 3 2 2 4 2 2 4" xfId="21921"/>
    <cellStyle name="표준 3 3 3 2 2 4 2 3" xfId="8001"/>
    <cellStyle name="표준 3 3 3 2 2 4 2 3 2" xfId="24705"/>
    <cellStyle name="표준 3 3 3 2 2 4 2 4" xfId="13569"/>
    <cellStyle name="표준 3 3 3 2 2 4 2 4 2" xfId="30273"/>
    <cellStyle name="표준 3 3 3 2 2 4 2 5" xfId="19137"/>
    <cellStyle name="표준 3 3 3 2 2 4 3" xfId="3825"/>
    <cellStyle name="표준 3 3 3 2 2 4 3 2" xfId="9393"/>
    <cellStyle name="표준 3 3 3 2 2 4 3 2 2" xfId="26097"/>
    <cellStyle name="표준 3 3 3 2 2 4 3 3" xfId="14961"/>
    <cellStyle name="표준 3 3 3 2 2 4 3 3 2" xfId="31665"/>
    <cellStyle name="표준 3 3 3 2 2 4 3 4" xfId="20529"/>
    <cellStyle name="표준 3 3 3 2 2 4 4" xfId="6609"/>
    <cellStyle name="표준 3 3 3 2 2 4 4 2" xfId="23313"/>
    <cellStyle name="표준 3 3 3 2 2 4 5" xfId="12177"/>
    <cellStyle name="표준 3 3 3 2 2 4 5 2" xfId="28881"/>
    <cellStyle name="표준 3 3 3 2 2 4 6" xfId="17745"/>
    <cellStyle name="표준 3 3 3 2 2 5" xfId="1737"/>
    <cellStyle name="표준 3 3 3 2 2 5 2" xfId="4521"/>
    <cellStyle name="표준 3 3 3 2 2 5 2 2" xfId="10089"/>
    <cellStyle name="표준 3 3 3 2 2 5 2 2 2" xfId="26793"/>
    <cellStyle name="표준 3 3 3 2 2 5 2 3" xfId="15657"/>
    <cellStyle name="표준 3 3 3 2 2 5 2 3 2" xfId="32361"/>
    <cellStyle name="표준 3 3 3 2 2 5 2 4" xfId="21225"/>
    <cellStyle name="표준 3 3 3 2 2 5 3" xfId="7305"/>
    <cellStyle name="표준 3 3 3 2 2 5 3 2" xfId="24009"/>
    <cellStyle name="표준 3 3 3 2 2 5 4" xfId="12873"/>
    <cellStyle name="표준 3 3 3 2 2 5 4 2" xfId="29577"/>
    <cellStyle name="표준 3 3 3 2 2 5 5" xfId="18441"/>
    <cellStyle name="표준 3 3 3 2 2 6" xfId="3129"/>
    <cellStyle name="표준 3 3 3 2 2 6 2" xfId="8697"/>
    <cellStyle name="표준 3 3 3 2 2 6 2 2" xfId="25401"/>
    <cellStyle name="표준 3 3 3 2 2 6 3" xfId="14265"/>
    <cellStyle name="표준 3 3 3 2 2 6 3 2" xfId="30969"/>
    <cellStyle name="표준 3 3 3 2 2 6 4" xfId="19833"/>
    <cellStyle name="표준 3 3 3 2 2 7" xfId="5913"/>
    <cellStyle name="표준 3 3 3 2 2 7 2" xfId="22617"/>
    <cellStyle name="표준 3 3 3 2 2 8" xfId="11481"/>
    <cellStyle name="표준 3 3 3 2 2 8 2" xfId="28185"/>
    <cellStyle name="표준 3 3 3 2 2 9" xfId="17049"/>
    <cellStyle name="표준 3 3 3 2 3" xfId="461"/>
    <cellStyle name="표준 3 3 3 2 3 2" xfId="1157"/>
    <cellStyle name="표준 3 3 3 2 3 2 2" xfId="2549"/>
    <cellStyle name="표준 3 3 3 2 3 2 2 2" xfId="5333"/>
    <cellStyle name="표준 3 3 3 2 3 2 2 2 2" xfId="10901"/>
    <cellStyle name="표준 3 3 3 2 3 2 2 2 2 2" xfId="27605"/>
    <cellStyle name="표준 3 3 3 2 3 2 2 2 3" xfId="16469"/>
    <cellStyle name="표준 3 3 3 2 3 2 2 2 3 2" xfId="33173"/>
    <cellStyle name="표준 3 3 3 2 3 2 2 2 4" xfId="22037"/>
    <cellStyle name="표준 3 3 3 2 3 2 2 3" xfId="8117"/>
    <cellStyle name="표준 3 3 3 2 3 2 2 3 2" xfId="24821"/>
    <cellStyle name="표준 3 3 3 2 3 2 2 4" xfId="13685"/>
    <cellStyle name="표준 3 3 3 2 3 2 2 4 2" xfId="30389"/>
    <cellStyle name="표준 3 3 3 2 3 2 2 5" xfId="19253"/>
    <cellStyle name="표준 3 3 3 2 3 2 3" xfId="3941"/>
    <cellStyle name="표준 3 3 3 2 3 2 3 2" xfId="9509"/>
    <cellStyle name="표준 3 3 3 2 3 2 3 2 2" xfId="26213"/>
    <cellStyle name="표준 3 3 3 2 3 2 3 3" xfId="15077"/>
    <cellStyle name="표준 3 3 3 2 3 2 3 3 2" xfId="31781"/>
    <cellStyle name="표준 3 3 3 2 3 2 3 4" xfId="20645"/>
    <cellStyle name="표준 3 3 3 2 3 2 4" xfId="6725"/>
    <cellStyle name="표준 3 3 3 2 3 2 4 2" xfId="23429"/>
    <cellStyle name="표준 3 3 3 2 3 2 5" xfId="12293"/>
    <cellStyle name="표준 3 3 3 2 3 2 5 2" xfId="28997"/>
    <cellStyle name="표준 3 3 3 2 3 2 6" xfId="17861"/>
    <cellStyle name="표준 3 3 3 2 3 3" xfId="1853"/>
    <cellStyle name="표준 3 3 3 2 3 3 2" xfId="4637"/>
    <cellStyle name="표준 3 3 3 2 3 3 2 2" xfId="10205"/>
    <cellStyle name="표준 3 3 3 2 3 3 2 2 2" xfId="26909"/>
    <cellStyle name="표준 3 3 3 2 3 3 2 3" xfId="15773"/>
    <cellStyle name="표준 3 3 3 2 3 3 2 3 2" xfId="32477"/>
    <cellStyle name="표준 3 3 3 2 3 3 2 4" xfId="21341"/>
    <cellStyle name="표준 3 3 3 2 3 3 3" xfId="7421"/>
    <cellStyle name="표준 3 3 3 2 3 3 3 2" xfId="24125"/>
    <cellStyle name="표준 3 3 3 2 3 3 4" xfId="12989"/>
    <cellStyle name="표준 3 3 3 2 3 3 4 2" xfId="29693"/>
    <cellStyle name="표준 3 3 3 2 3 3 5" xfId="18557"/>
    <cellStyle name="표준 3 3 3 2 3 4" xfId="3245"/>
    <cellStyle name="표준 3 3 3 2 3 4 2" xfId="8813"/>
    <cellStyle name="표준 3 3 3 2 3 4 2 2" xfId="25517"/>
    <cellStyle name="표준 3 3 3 2 3 4 3" xfId="14381"/>
    <cellStyle name="표준 3 3 3 2 3 4 3 2" xfId="31085"/>
    <cellStyle name="표준 3 3 3 2 3 4 4" xfId="19949"/>
    <cellStyle name="표준 3 3 3 2 3 5" xfId="6029"/>
    <cellStyle name="표준 3 3 3 2 3 5 2" xfId="22733"/>
    <cellStyle name="표준 3 3 3 2 3 6" xfId="11597"/>
    <cellStyle name="표준 3 3 3 2 3 6 2" xfId="28301"/>
    <cellStyle name="표준 3 3 3 2 3 7" xfId="17165"/>
    <cellStyle name="표준 3 3 3 2 4" xfId="693"/>
    <cellStyle name="표준 3 3 3 2 4 2" xfId="1389"/>
    <cellStyle name="표준 3 3 3 2 4 2 2" xfId="2781"/>
    <cellStyle name="표준 3 3 3 2 4 2 2 2" xfId="5565"/>
    <cellStyle name="표준 3 3 3 2 4 2 2 2 2" xfId="11133"/>
    <cellStyle name="표준 3 3 3 2 4 2 2 2 2 2" xfId="27837"/>
    <cellStyle name="표준 3 3 3 2 4 2 2 2 3" xfId="16701"/>
    <cellStyle name="표준 3 3 3 2 4 2 2 2 3 2" xfId="33405"/>
    <cellStyle name="표준 3 3 3 2 4 2 2 2 4" xfId="22269"/>
    <cellStyle name="표준 3 3 3 2 4 2 2 3" xfId="8349"/>
    <cellStyle name="표준 3 3 3 2 4 2 2 3 2" xfId="25053"/>
    <cellStyle name="표준 3 3 3 2 4 2 2 4" xfId="13917"/>
    <cellStyle name="표준 3 3 3 2 4 2 2 4 2" xfId="30621"/>
    <cellStyle name="표준 3 3 3 2 4 2 2 5" xfId="19485"/>
    <cellStyle name="표준 3 3 3 2 4 2 3" xfId="4173"/>
    <cellStyle name="표준 3 3 3 2 4 2 3 2" xfId="9741"/>
    <cellStyle name="표준 3 3 3 2 4 2 3 2 2" xfId="26445"/>
    <cellStyle name="표준 3 3 3 2 4 2 3 3" xfId="15309"/>
    <cellStyle name="표준 3 3 3 2 4 2 3 3 2" xfId="32013"/>
    <cellStyle name="표준 3 3 3 2 4 2 3 4" xfId="20877"/>
    <cellStyle name="표준 3 3 3 2 4 2 4" xfId="6957"/>
    <cellStyle name="표준 3 3 3 2 4 2 4 2" xfId="23661"/>
    <cellStyle name="표준 3 3 3 2 4 2 5" xfId="12525"/>
    <cellStyle name="표준 3 3 3 2 4 2 5 2" xfId="29229"/>
    <cellStyle name="표준 3 3 3 2 4 2 6" xfId="18093"/>
    <cellStyle name="표준 3 3 3 2 4 3" xfId="2085"/>
    <cellStyle name="표준 3 3 3 2 4 3 2" xfId="4869"/>
    <cellStyle name="표준 3 3 3 2 4 3 2 2" xfId="10437"/>
    <cellStyle name="표준 3 3 3 2 4 3 2 2 2" xfId="27141"/>
    <cellStyle name="표준 3 3 3 2 4 3 2 3" xfId="16005"/>
    <cellStyle name="표준 3 3 3 2 4 3 2 3 2" xfId="32709"/>
    <cellStyle name="표준 3 3 3 2 4 3 2 4" xfId="21573"/>
    <cellStyle name="표준 3 3 3 2 4 3 3" xfId="7653"/>
    <cellStyle name="표준 3 3 3 2 4 3 3 2" xfId="24357"/>
    <cellStyle name="표준 3 3 3 2 4 3 4" xfId="13221"/>
    <cellStyle name="표준 3 3 3 2 4 3 4 2" xfId="29925"/>
    <cellStyle name="표준 3 3 3 2 4 3 5" xfId="18789"/>
    <cellStyle name="표준 3 3 3 2 4 4" xfId="3477"/>
    <cellStyle name="표준 3 3 3 2 4 4 2" xfId="9045"/>
    <cellStyle name="표준 3 3 3 2 4 4 2 2" xfId="25749"/>
    <cellStyle name="표준 3 3 3 2 4 4 3" xfId="14613"/>
    <cellStyle name="표준 3 3 3 2 4 4 3 2" xfId="31317"/>
    <cellStyle name="표준 3 3 3 2 4 4 4" xfId="20181"/>
    <cellStyle name="표준 3 3 3 2 4 5" xfId="6261"/>
    <cellStyle name="표준 3 3 3 2 4 5 2" xfId="22965"/>
    <cellStyle name="표준 3 3 3 2 4 6" xfId="11829"/>
    <cellStyle name="표준 3 3 3 2 4 6 2" xfId="28533"/>
    <cellStyle name="표준 3 3 3 2 4 7" xfId="17397"/>
    <cellStyle name="표준 3 3 3 2 5" xfId="925"/>
    <cellStyle name="표준 3 3 3 2 5 2" xfId="2317"/>
    <cellStyle name="표준 3 3 3 2 5 2 2" xfId="5101"/>
    <cellStyle name="표준 3 3 3 2 5 2 2 2" xfId="10669"/>
    <cellStyle name="표준 3 3 3 2 5 2 2 2 2" xfId="27373"/>
    <cellStyle name="표준 3 3 3 2 5 2 2 3" xfId="16237"/>
    <cellStyle name="표준 3 3 3 2 5 2 2 3 2" xfId="32941"/>
    <cellStyle name="표준 3 3 3 2 5 2 2 4" xfId="21805"/>
    <cellStyle name="표준 3 3 3 2 5 2 3" xfId="7885"/>
    <cellStyle name="표준 3 3 3 2 5 2 3 2" xfId="24589"/>
    <cellStyle name="표준 3 3 3 2 5 2 4" xfId="13453"/>
    <cellStyle name="표준 3 3 3 2 5 2 4 2" xfId="30157"/>
    <cellStyle name="표준 3 3 3 2 5 2 5" xfId="19021"/>
    <cellStyle name="표준 3 3 3 2 5 3" xfId="3709"/>
    <cellStyle name="표준 3 3 3 2 5 3 2" xfId="9277"/>
    <cellStyle name="표준 3 3 3 2 5 3 2 2" xfId="25981"/>
    <cellStyle name="표준 3 3 3 2 5 3 3" xfId="14845"/>
    <cellStyle name="표준 3 3 3 2 5 3 3 2" xfId="31549"/>
    <cellStyle name="표준 3 3 3 2 5 3 4" xfId="20413"/>
    <cellStyle name="표준 3 3 3 2 5 4" xfId="6493"/>
    <cellStyle name="표준 3 3 3 2 5 4 2" xfId="23197"/>
    <cellStyle name="표준 3 3 3 2 5 5" xfId="12061"/>
    <cellStyle name="표준 3 3 3 2 5 5 2" xfId="28765"/>
    <cellStyle name="표준 3 3 3 2 5 6" xfId="17629"/>
    <cellStyle name="표준 3 3 3 2 6" xfId="1621"/>
    <cellStyle name="표준 3 3 3 2 6 2" xfId="4405"/>
    <cellStyle name="표준 3 3 3 2 6 2 2" xfId="9973"/>
    <cellStyle name="표준 3 3 3 2 6 2 2 2" xfId="26677"/>
    <cellStyle name="표준 3 3 3 2 6 2 3" xfId="15541"/>
    <cellStyle name="표준 3 3 3 2 6 2 3 2" xfId="32245"/>
    <cellStyle name="표준 3 3 3 2 6 2 4" xfId="21109"/>
    <cellStyle name="표준 3 3 3 2 6 3" xfId="7189"/>
    <cellStyle name="표준 3 3 3 2 6 3 2" xfId="23893"/>
    <cellStyle name="표준 3 3 3 2 6 4" xfId="12757"/>
    <cellStyle name="표준 3 3 3 2 6 4 2" xfId="29461"/>
    <cellStyle name="표준 3 3 3 2 6 5" xfId="18325"/>
    <cellStyle name="표준 3 3 3 2 7" xfId="3013"/>
    <cellStyle name="표준 3 3 3 2 7 2" xfId="8581"/>
    <cellStyle name="표준 3 3 3 2 7 2 2" xfId="25285"/>
    <cellStyle name="표준 3 3 3 2 7 3" xfId="14149"/>
    <cellStyle name="표준 3 3 3 2 7 3 2" xfId="30853"/>
    <cellStyle name="표준 3 3 3 2 7 4" xfId="19717"/>
    <cellStyle name="표준 3 3 3 2 8" xfId="5797"/>
    <cellStyle name="표준 3 3 3 2 8 2" xfId="22501"/>
    <cellStyle name="표준 3 3 3 2 9" xfId="11365"/>
    <cellStyle name="표준 3 3 3 2 9 2" xfId="28069"/>
    <cellStyle name="표준 3 3 3 3" xfId="287"/>
    <cellStyle name="표준 3 3 3 3 2" xfId="519"/>
    <cellStyle name="표준 3 3 3 3 2 2" xfId="1215"/>
    <cellStyle name="표준 3 3 3 3 2 2 2" xfId="2607"/>
    <cellStyle name="표준 3 3 3 3 2 2 2 2" xfId="5391"/>
    <cellStyle name="표준 3 3 3 3 2 2 2 2 2" xfId="10959"/>
    <cellStyle name="표준 3 3 3 3 2 2 2 2 2 2" xfId="27663"/>
    <cellStyle name="표준 3 3 3 3 2 2 2 2 3" xfId="16527"/>
    <cellStyle name="표준 3 3 3 3 2 2 2 2 3 2" xfId="33231"/>
    <cellStyle name="표준 3 3 3 3 2 2 2 2 4" xfId="22095"/>
    <cellStyle name="표준 3 3 3 3 2 2 2 3" xfId="8175"/>
    <cellStyle name="표준 3 3 3 3 2 2 2 3 2" xfId="24879"/>
    <cellStyle name="표준 3 3 3 3 2 2 2 4" xfId="13743"/>
    <cellStyle name="표준 3 3 3 3 2 2 2 4 2" xfId="30447"/>
    <cellStyle name="표준 3 3 3 3 2 2 2 5" xfId="19311"/>
    <cellStyle name="표준 3 3 3 3 2 2 3" xfId="3999"/>
    <cellStyle name="표준 3 3 3 3 2 2 3 2" xfId="9567"/>
    <cellStyle name="표준 3 3 3 3 2 2 3 2 2" xfId="26271"/>
    <cellStyle name="표준 3 3 3 3 2 2 3 3" xfId="15135"/>
    <cellStyle name="표준 3 3 3 3 2 2 3 3 2" xfId="31839"/>
    <cellStyle name="표준 3 3 3 3 2 2 3 4" xfId="20703"/>
    <cellStyle name="표준 3 3 3 3 2 2 4" xfId="6783"/>
    <cellStyle name="표준 3 3 3 3 2 2 4 2" xfId="23487"/>
    <cellStyle name="표준 3 3 3 3 2 2 5" xfId="12351"/>
    <cellStyle name="표준 3 3 3 3 2 2 5 2" xfId="29055"/>
    <cellStyle name="표준 3 3 3 3 2 2 6" xfId="17919"/>
    <cellStyle name="표준 3 3 3 3 2 3" xfId="1911"/>
    <cellStyle name="표준 3 3 3 3 2 3 2" xfId="4695"/>
    <cellStyle name="표준 3 3 3 3 2 3 2 2" xfId="10263"/>
    <cellStyle name="표준 3 3 3 3 2 3 2 2 2" xfId="26967"/>
    <cellStyle name="표준 3 3 3 3 2 3 2 3" xfId="15831"/>
    <cellStyle name="표준 3 3 3 3 2 3 2 3 2" xfId="32535"/>
    <cellStyle name="표준 3 3 3 3 2 3 2 4" xfId="21399"/>
    <cellStyle name="표준 3 3 3 3 2 3 3" xfId="7479"/>
    <cellStyle name="표준 3 3 3 3 2 3 3 2" xfId="24183"/>
    <cellStyle name="표준 3 3 3 3 2 3 4" xfId="13047"/>
    <cellStyle name="표준 3 3 3 3 2 3 4 2" xfId="29751"/>
    <cellStyle name="표준 3 3 3 3 2 3 5" xfId="18615"/>
    <cellStyle name="표준 3 3 3 3 2 4" xfId="3303"/>
    <cellStyle name="표준 3 3 3 3 2 4 2" xfId="8871"/>
    <cellStyle name="표준 3 3 3 3 2 4 2 2" xfId="25575"/>
    <cellStyle name="표준 3 3 3 3 2 4 3" xfId="14439"/>
    <cellStyle name="표준 3 3 3 3 2 4 3 2" xfId="31143"/>
    <cellStyle name="표준 3 3 3 3 2 4 4" xfId="20007"/>
    <cellStyle name="표준 3 3 3 3 2 5" xfId="6087"/>
    <cellStyle name="표준 3 3 3 3 2 5 2" xfId="22791"/>
    <cellStyle name="표준 3 3 3 3 2 6" xfId="11655"/>
    <cellStyle name="표준 3 3 3 3 2 6 2" xfId="28359"/>
    <cellStyle name="표준 3 3 3 3 2 7" xfId="17223"/>
    <cellStyle name="표준 3 3 3 3 3" xfId="751"/>
    <cellStyle name="표준 3 3 3 3 3 2" xfId="1447"/>
    <cellStyle name="표준 3 3 3 3 3 2 2" xfId="2839"/>
    <cellStyle name="표준 3 3 3 3 3 2 2 2" xfId="5623"/>
    <cellStyle name="표준 3 3 3 3 3 2 2 2 2" xfId="11191"/>
    <cellStyle name="표준 3 3 3 3 3 2 2 2 2 2" xfId="27895"/>
    <cellStyle name="표준 3 3 3 3 3 2 2 2 3" xfId="16759"/>
    <cellStyle name="표준 3 3 3 3 3 2 2 2 3 2" xfId="33463"/>
    <cellStyle name="표준 3 3 3 3 3 2 2 2 4" xfId="22327"/>
    <cellStyle name="표준 3 3 3 3 3 2 2 3" xfId="8407"/>
    <cellStyle name="표준 3 3 3 3 3 2 2 3 2" xfId="25111"/>
    <cellStyle name="표준 3 3 3 3 3 2 2 4" xfId="13975"/>
    <cellStyle name="표준 3 3 3 3 3 2 2 4 2" xfId="30679"/>
    <cellStyle name="표준 3 3 3 3 3 2 2 5" xfId="19543"/>
    <cellStyle name="표준 3 3 3 3 3 2 3" xfId="4231"/>
    <cellStyle name="표준 3 3 3 3 3 2 3 2" xfId="9799"/>
    <cellStyle name="표준 3 3 3 3 3 2 3 2 2" xfId="26503"/>
    <cellStyle name="표준 3 3 3 3 3 2 3 3" xfId="15367"/>
    <cellStyle name="표준 3 3 3 3 3 2 3 3 2" xfId="32071"/>
    <cellStyle name="표준 3 3 3 3 3 2 3 4" xfId="20935"/>
    <cellStyle name="표준 3 3 3 3 3 2 4" xfId="7015"/>
    <cellStyle name="표준 3 3 3 3 3 2 4 2" xfId="23719"/>
    <cellStyle name="표준 3 3 3 3 3 2 5" xfId="12583"/>
    <cellStyle name="표준 3 3 3 3 3 2 5 2" xfId="29287"/>
    <cellStyle name="표준 3 3 3 3 3 2 6" xfId="18151"/>
    <cellStyle name="표준 3 3 3 3 3 3" xfId="2143"/>
    <cellStyle name="표준 3 3 3 3 3 3 2" xfId="4927"/>
    <cellStyle name="표준 3 3 3 3 3 3 2 2" xfId="10495"/>
    <cellStyle name="표준 3 3 3 3 3 3 2 2 2" xfId="27199"/>
    <cellStyle name="표준 3 3 3 3 3 3 2 3" xfId="16063"/>
    <cellStyle name="표준 3 3 3 3 3 3 2 3 2" xfId="32767"/>
    <cellStyle name="표준 3 3 3 3 3 3 2 4" xfId="21631"/>
    <cellStyle name="표준 3 3 3 3 3 3 3" xfId="7711"/>
    <cellStyle name="표준 3 3 3 3 3 3 3 2" xfId="24415"/>
    <cellStyle name="표준 3 3 3 3 3 3 4" xfId="13279"/>
    <cellStyle name="표준 3 3 3 3 3 3 4 2" xfId="29983"/>
    <cellStyle name="표준 3 3 3 3 3 3 5" xfId="18847"/>
    <cellStyle name="표준 3 3 3 3 3 4" xfId="3535"/>
    <cellStyle name="표준 3 3 3 3 3 4 2" xfId="9103"/>
    <cellStyle name="표준 3 3 3 3 3 4 2 2" xfId="25807"/>
    <cellStyle name="표준 3 3 3 3 3 4 3" xfId="14671"/>
    <cellStyle name="표준 3 3 3 3 3 4 3 2" xfId="31375"/>
    <cellStyle name="표준 3 3 3 3 3 4 4" xfId="20239"/>
    <cellStyle name="표준 3 3 3 3 3 5" xfId="6319"/>
    <cellStyle name="표준 3 3 3 3 3 5 2" xfId="23023"/>
    <cellStyle name="표준 3 3 3 3 3 6" xfId="11887"/>
    <cellStyle name="표준 3 3 3 3 3 6 2" xfId="28591"/>
    <cellStyle name="표준 3 3 3 3 3 7" xfId="17455"/>
    <cellStyle name="표준 3 3 3 3 4" xfId="983"/>
    <cellStyle name="표준 3 3 3 3 4 2" xfId="2375"/>
    <cellStyle name="표준 3 3 3 3 4 2 2" xfId="5159"/>
    <cellStyle name="표준 3 3 3 3 4 2 2 2" xfId="10727"/>
    <cellStyle name="표준 3 3 3 3 4 2 2 2 2" xfId="27431"/>
    <cellStyle name="표준 3 3 3 3 4 2 2 3" xfId="16295"/>
    <cellStyle name="표준 3 3 3 3 4 2 2 3 2" xfId="32999"/>
    <cellStyle name="표준 3 3 3 3 4 2 2 4" xfId="21863"/>
    <cellStyle name="표준 3 3 3 3 4 2 3" xfId="7943"/>
    <cellStyle name="표준 3 3 3 3 4 2 3 2" xfId="24647"/>
    <cellStyle name="표준 3 3 3 3 4 2 4" xfId="13511"/>
    <cellStyle name="표준 3 3 3 3 4 2 4 2" xfId="30215"/>
    <cellStyle name="표준 3 3 3 3 4 2 5" xfId="19079"/>
    <cellStyle name="표준 3 3 3 3 4 3" xfId="3767"/>
    <cellStyle name="표준 3 3 3 3 4 3 2" xfId="9335"/>
    <cellStyle name="표준 3 3 3 3 4 3 2 2" xfId="26039"/>
    <cellStyle name="표준 3 3 3 3 4 3 3" xfId="14903"/>
    <cellStyle name="표준 3 3 3 3 4 3 3 2" xfId="31607"/>
    <cellStyle name="표준 3 3 3 3 4 3 4" xfId="20471"/>
    <cellStyle name="표준 3 3 3 3 4 4" xfId="6551"/>
    <cellStyle name="표준 3 3 3 3 4 4 2" xfId="23255"/>
    <cellStyle name="표준 3 3 3 3 4 5" xfId="12119"/>
    <cellStyle name="표준 3 3 3 3 4 5 2" xfId="28823"/>
    <cellStyle name="표준 3 3 3 3 4 6" xfId="17687"/>
    <cellStyle name="표준 3 3 3 3 5" xfId="1679"/>
    <cellStyle name="표준 3 3 3 3 5 2" xfId="4463"/>
    <cellStyle name="표준 3 3 3 3 5 2 2" xfId="10031"/>
    <cellStyle name="표준 3 3 3 3 5 2 2 2" xfId="26735"/>
    <cellStyle name="표준 3 3 3 3 5 2 3" xfId="15599"/>
    <cellStyle name="표준 3 3 3 3 5 2 3 2" xfId="32303"/>
    <cellStyle name="표준 3 3 3 3 5 2 4" xfId="21167"/>
    <cellStyle name="표준 3 3 3 3 5 3" xfId="7247"/>
    <cellStyle name="표준 3 3 3 3 5 3 2" xfId="23951"/>
    <cellStyle name="표준 3 3 3 3 5 4" xfId="12815"/>
    <cellStyle name="표준 3 3 3 3 5 4 2" xfId="29519"/>
    <cellStyle name="표준 3 3 3 3 5 5" xfId="18383"/>
    <cellStyle name="표준 3 3 3 3 6" xfId="3071"/>
    <cellStyle name="표준 3 3 3 3 6 2" xfId="8639"/>
    <cellStyle name="표준 3 3 3 3 6 2 2" xfId="25343"/>
    <cellStyle name="표준 3 3 3 3 6 3" xfId="14207"/>
    <cellStyle name="표준 3 3 3 3 6 3 2" xfId="30911"/>
    <cellStyle name="표준 3 3 3 3 6 4" xfId="19775"/>
    <cellStyle name="표준 3 3 3 3 7" xfId="5855"/>
    <cellStyle name="표준 3 3 3 3 7 2" xfId="22559"/>
    <cellStyle name="표준 3 3 3 3 8" xfId="11423"/>
    <cellStyle name="표준 3 3 3 3 8 2" xfId="28127"/>
    <cellStyle name="표준 3 3 3 3 9" xfId="16991"/>
    <cellStyle name="표준 3 3 3 4" xfId="403"/>
    <cellStyle name="표준 3 3 3 4 2" xfId="1099"/>
    <cellStyle name="표준 3 3 3 4 2 2" xfId="2491"/>
    <cellStyle name="표준 3 3 3 4 2 2 2" xfId="5275"/>
    <cellStyle name="표준 3 3 3 4 2 2 2 2" xfId="10843"/>
    <cellStyle name="표준 3 3 3 4 2 2 2 2 2" xfId="27547"/>
    <cellStyle name="표준 3 3 3 4 2 2 2 3" xfId="16411"/>
    <cellStyle name="표준 3 3 3 4 2 2 2 3 2" xfId="33115"/>
    <cellStyle name="표준 3 3 3 4 2 2 2 4" xfId="21979"/>
    <cellStyle name="표준 3 3 3 4 2 2 3" xfId="8059"/>
    <cellStyle name="표준 3 3 3 4 2 2 3 2" xfId="24763"/>
    <cellStyle name="표준 3 3 3 4 2 2 4" xfId="13627"/>
    <cellStyle name="표준 3 3 3 4 2 2 4 2" xfId="30331"/>
    <cellStyle name="표준 3 3 3 4 2 2 5" xfId="19195"/>
    <cellStyle name="표준 3 3 3 4 2 3" xfId="3883"/>
    <cellStyle name="표준 3 3 3 4 2 3 2" xfId="9451"/>
    <cellStyle name="표준 3 3 3 4 2 3 2 2" xfId="26155"/>
    <cellStyle name="표준 3 3 3 4 2 3 3" xfId="15019"/>
    <cellStyle name="표준 3 3 3 4 2 3 3 2" xfId="31723"/>
    <cellStyle name="표준 3 3 3 4 2 3 4" xfId="20587"/>
    <cellStyle name="표준 3 3 3 4 2 4" xfId="6667"/>
    <cellStyle name="표준 3 3 3 4 2 4 2" xfId="23371"/>
    <cellStyle name="표준 3 3 3 4 2 5" xfId="12235"/>
    <cellStyle name="표준 3 3 3 4 2 5 2" xfId="28939"/>
    <cellStyle name="표준 3 3 3 4 2 6" xfId="17803"/>
    <cellStyle name="표준 3 3 3 4 3" xfId="1795"/>
    <cellStyle name="표준 3 3 3 4 3 2" xfId="4579"/>
    <cellStyle name="표준 3 3 3 4 3 2 2" xfId="10147"/>
    <cellStyle name="표준 3 3 3 4 3 2 2 2" xfId="26851"/>
    <cellStyle name="표준 3 3 3 4 3 2 3" xfId="15715"/>
    <cellStyle name="표준 3 3 3 4 3 2 3 2" xfId="32419"/>
    <cellStyle name="표준 3 3 3 4 3 2 4" xfId="21283"/>
    <cellStyle name="표준 3 3 3 4 3 3" xfId="7363"/>
    <cellStyle name="표준 3 3 3 4 3 3 2" xfId="24067"/>
    <cellStyle name="표준 3 3 3 4 3 4" xfId="12931"/>
    <cellStyle name="표준 3 3 3 4 3 4 2" xfId="29635"/>
    <cellStyle name="표준 3 3 3 4 3 5" xfId="18499"/>
    <cellStyle name="표준 3 3 3 4 4" xfId="3187"/>
    <cellStyle name="표준 3 3 3 4 4 2" xfId="8755"/>
    <cellStyle name="표준 3 3 3 4 4 2 2" xfId="25459"/>
    <cellStyle name="표준 3 3 3 4 4 3" xfId="14323"/>
    <cellStyle name="표준 3 3 3 4 4 3 2" xfId="31027"/>
    <cellStyle name="표준 3 3 3 4 4 4" xfId="19891"/>
    <cellStyle name="표준 3 3 3 4 5" xfId="5971"/>
    <cellStyle name="표준 3 3 3 4 5 2" xfId="22675"/>
    <cellStyle name="표준 3 3 3 4 6" xfId="11539"/>
    <cellStyle name="표준 3 3 3 4 6 2" xfId="28243"/>
    <cellStyle name="표준 3 3 3 4 7" xfId="17107"/>
    <cellStyle name="표준 3 3 3 5" xfId="635"/>
    <cellStyle name="표준 3 3 3 5 2" xfId="1331"/>
    <cellStyle name="표준 3 3 3 5 2 2" xfId="2723"/>
    <cellStyle name="표준 3 3 3 5 2 2 2" xfId="5507"/>
    <cellStyle name="표준 3 3 3 5 2 2 2 2" xfId="11075"/>
    <cellStyle name="표준 3 3 3 5 2 2 2 2 2" xfId="27779"/>
    <cellStyle name="표준 3 3 3 5 2 2 2 3" xfId="16643"/>
    <cellStyle name="표준 3 3 3 5 2 2 2 3 2" xfId="33347"/>
    <cellStyle name="표준 3 3 3 5 2 2 2 4" xfId="22211"/>
    <cellStyle name="표준 3 3 3 5 2 2 3" xfId="8291"/>
    <cellStyle name="표준 3 3 3 5 2 2 3 2" xfId="24995"/>
    <cellStyle name="표준 3 3 3 5 2 2 4" xfId="13859"/>
    <cellStyle name="표준 3 3 3 5 2 2 4 2" xfId="30563"/>
    <cellStyle name="표준 3 3 3 5 2 2 5" xfId="19427"/>
    <cellStyle name="표준 3 3 3 5 2 3" xfId="4115"/>
    <cellStyle name="표준 3 3 3 5 2 3 2" xfId="9683"/>
    <cellStyle name="표준 3 3 3 5 2 3 2 2" xfId="26387"/>
    <cellStyle name="표준 3 3 3 5 2 3 3" xfId="15251"/>
    <cellStyle name="표준 3 3 3 5 2 3 3 2" xfId="31955"/>
    <cellStyle name="표준 3 3 3 5 2 3 4" xfId="20819"/>
    <cellStyle name="표준 3 3 3 5 2 4" xfId="6899"/>
    <cellStyle name="표준 3 3 3 5 2 4 2" xfId="23603"/>
    <cellStyle name="표준 3 3 3 5 2 5" xfId="12467"/>
    <cellStyle name="표준 3 3 3 5 2 5 2" xfId="29171"/>
    <cellStyle name="표준 3 3 3 5 2 6" xfId="18035"/>
    <cellStyle name="표준 3 3 3 5 3" xfId="2027"/>
    <cellStyle name="표준 3 3 3 5 3 2" xfId="4811"/>
    <cellStyle name="표준 3 3 3 5 3 2 2" xfId="10379"/>
    <cellStyle name="표준 3 3 3 5 3 2 2 2" xfId="27083"/>
    <cellStyle name="표준 3 3 3 5 3 2 3" xfId="15947"/>
    <cellStyle name="표준 3 3 3 5 3 2 3 2" xfId="32651"/>
    <cellStyle name="표준 3 3 3 5 3 2 4" xfId="21515"/>
    <cellStyle name="표준 3 3 3 5 3 3" xfId="7595"/>
    <cellStyle name="표준 3 3 3 5 3 3 2" xfId="24299"/>
    <cellStyle name="표준 3 3 3 5 3 4" xfId="13163"/>
    <cellStyle name="표준 3 3 3 5 3 4 2" xfId="29867"/>
    <cellStyle name="표준 3 3 3 5 3 5" xfId="18731"/>
    <cellStyle name="표준 3 3 3 5 4" xfId="3419"/>
    <cellStyle name="표준 3 3 3 5 4 2" xfId="8987"/>
    <cellStyle name="표준 3 3 3 5 4 2 2" xfId="25691"/>
    <cellStyle name="표준 3 3 3 5 4 3" xfId="14555"/>
    <cellStyle name="표준 3 3 3 5 4 3 2" xfId="31259"/>
    <cellStyle name="표준 3 3 3 5 4 4" xfId="20123"/>
    <cellStyle name="표준 3 3 3 5 5" xfId="6203"/>
    <cellStyle name="표준 3 3 3 5 5 2" xfId="22907"/>
    <cellStyle name="표준 3 3 3 5 6" xfId="11771"/>
    <cellStyle name="표준 3 3 3 5 6 2" xfId="28475"/>
    <cellStyle name="표준 3 3 3 5 7" xfId="17339"/>
    <cellStyle name="표준 3 3 3 6" xfId="867"/>
    <cellStyle name="표준 3 3 3 6 2" xfId="2259"/>
    <cellStyle name="표준 3 3 3 6 2 2" xfId="5043"/>
    <cellStyle name="표준 3 3 3 6 2 2 2" xfId="10611"/>
    <cellStyle name="표준 3 3 3 6 2 2 2 2" xfId="27315"/>
    <cellStyle name="표준 3 3 3 6 2 2 3" xfId="16179"/>
    <cellStyle name="표준 3 3 3 6 2 2 3 2" xfId="32883"/>
    <cellStyle name="표준 3 3 3 6 2 2 4" xfId="21747"/>
    <cellStyle name="표준 3 3 3 6 2 3" xfId="7827"/>
    <cellStyle name="표준 3 3 3 6 2 3 2" xfId="24531"/>
    <cellStyle name="표준 3 3 3 6 2 4" xfId="13395"/>
    <cellStyle name="표준 3 3 3 6 2 4 2" xfId="30099"/>
    <cellStyle name="표준 3 3 3 6 2 5" xfId="18963"/>
    <cellStyle name="표준 3 3 3 6 3" xfId="3651"/>
    <cellStyle name="표준 3 3 3 6 3 2" xfId="9219"/>
    <cellStyle name="표준 3 3 3 6 3 2 2" xfId="25923"/>
    <cellStyle name="표준 3 3 3 6 3 3" xfId="14787"/>
    <cellStyle name="표준 3 3 3 6 3 3 2" xfId="31491"/>
    <cellStyle name="표준 3 3 3 6 3 4" xfId="20355"/>
    <cellStyle name="표준 3 3 3 6 4" xfId="6435"/>
    <cellStyle name="표준 3 3 3 6 4 2" xfId="23139"/>
    <cellStyle name="표준 3 3 3 6 5" xfId="12003"/>
    <cellStyle name="표준 3 3 3 6 5 2" xfId="28707"/>
    <cellStyle name="표준 3 3 3 6 6" xfId="17571"/>
    <cellStyle name="표준 3 3 3 7" xfId="1563"/>
    <cellStyle name="표준 3 3 3 7 2" xfId="4347"/>
    <cellStyle name="표준 3 3 3 7 2 2" xfId="9915"/>
    <cellStyle name="표준 3 3 3 7 2 2 2" xfId="26619"/>
    <cellStyle name="표준 3 3 3 7 2 3" xfId="15483"/>
    <cellStyle name="표준 3 3 3 7 2 3 2" xfId="32187"/>
    <cellStyle name="표준 3 3 3 7 2 4" xfId="21051"/>
    <cellStyle name="표준 3 3 3 7 3" xfId="7131"/>
    <cellStyle name="표준 3 3 3 7 3 2" xfId="23835"/>
    <cellStyle name="표준 3 3 3 7 4" xfId="12699"/>
    <cellStyle name="표준 3 3 3 7 4 2" xfId="29403"/>
    <cellStyle name="표준 3 3 3 7 5" xfId="18267"/>
    <cellStyle name="표준 3 3 3 8" xfId="2955"/>
    <cellStyle name="표준 3 3 3 8 2" xfId="8523"/>
    <cellStyle name="표준 3 3 3 8 2 2" xfId="25227"/>
    <cellStyle name="표준 3 3 3 8 3" xfId="14091"/>
    <cellStyle name="표준 3 3 3 8 3 2" xfId="30795"/>
    <cellStyle name="표준 3 3 3 8 4" xfId="19659"/>
    <cellStyle name="표준 3 3 3 9" xfId="5739"/>
    <cellStyle name="표준 3 3 3 9 2" xfId="22443"/>
    <cellStyle name="표준 3 3 4" xfId="200"/>
    <cellStyle name="표준 3 3 4 10" xfId="16904"/>
    <cellStyle name="표준 3 3 4 2" xfId="316"/>
    <cellStyle name="표준 3 3 4 2 2" xfId="548"/>
    <cellStyle name="표준 3 3 4 2 2 2" xfId="1244"/>
    <cellStyle name="표준 3 3 4 2 2 2 2" xfId="2636"/>
    <cellStyle name="표준 3 3 4 2 2 2 2 2" xfId="5420"/>
    <cellStyle name="표준 3 3 4 2 2 2 2 2 2" xfId="10988"/>
    <cellStyle name="표준 3 3 4 2 2 2 2 2 2 2" xfId="27692"/>
    <cellStyle name="표준 3 3 4 2 2 2 2 2 3" xfId="16556"/>
    <cellStyle name="표준 3 3 4 2 2 2 2 2 3 2" xfId="33260"/>
    <cellStyle name="표준 3 3 4 2 2 2 2 2 4" xfId="22124"/>
    <cellStyle name="표준 3 3 4 2 2 2 2 3" xfId="8204"/>
    <cellStyle name="표준 3 3 4 2 2 2 2 3 2" xfId="24908"/>
    <cellStyle name="표준 3 3 4 2 2 2 2 4" xfId="13772"/>
    <cellStyle name="표준 3 3 4 2 2 2 2 4 2" xfId="30476"/>
    <cellStyle name="표준 3 3 4 2 2 2 2 5" xfId="19340"/>
    <cellStyle name="표준 3 3 4 2 2 2 3" xfId="4028"/>
    <cellStyle name="표준 3 3 4 2 2 2 3 2" xfId="9596"/>
    <cellStyle name="표준 3 3 4 2 2 2 3 2 2" xfId="26300"/>
    <cellStyle name="표준 3 3 4 2 2 2 3 3" xfId="15164"/>
    <cellStyle name="표준 3 3 4 2 2 2 3 3 2" xfId="31868"/>
    <cellStyle name="표준 3 3 4 2 2 2 3 4" xfId="20732"/>
    <cellStyle name="표준 3 3 4 2 2 2 4" xfId="6812"/>
    <cellStyle name="표준 3 3 4 2 2 2 4 2" xfId="23516"/>
    <cellStyle name="표준 3 3 4 2 2 2 5" xfId="12380"/>
    <cellStyle name="표준 3 3 4 2 2 2 5 2" xfId="29084"/>
    <cellStyle name="표준 3 3 4 2 2 2 6" xfId="17948"/>
    <cellStyle name="표준 3 3 4 2 2 3" xfId="1940"/>
    <cellStyle name="표준 3 3 4 2 2 3 2" xfId="4724"/>
    <cellStyle name="표준 3 3 4 2 2 3 2 2" xfId="10292"/>
    <cellStyle name="표준 3 3 4 2 2 3 2 2 2" xfId="26996"/>
    <cellStyle name="표준 3 3 4 2 2 3 2 3" xfId="15860"/>
    <cellStyle name="표준 3 3 4 2 2 3 2 3 2" xfId="32564"/>
    <cellStyle name="표준 3 3 4 2 2 3 2 4" xfId="21428"/>
    <cellStyle name="표준 3 3 4 2 2 3 3" xfId="7508"/>
    <cellStyle name="표준 3 3 4 2 2 3 3 2" xfId="24212"/>
    <cellStyle name="표준 3 3 4 2 2 3 4" xfId="13076"/>
    <cellStyle name="표준 3 3 4 2 2 3 4 2" xfId="29780"/>
    <cellStyle name="표준 3 3 4 2 2 3 5" xfId="18644"/>
    <cellStyle name="표준 3 3 4 2 2 4" xfId="3332"/>
    <cellStyle name="표준 3 3 4 2 2 4 2" xfId="8900"/>
    <cellStyle name="표준 3 3 4 2 2 4 2 2" xfId="25604"/>
    <cellStyle name="표준 3 3 4 2 2 4 3" xfId="14468"/>
    <cellStyle name="표준 3 3 4 2 2 4 3 2" xfId="31172"/>
    <cellStyle name="표준 3 3 4 2 2 4 4" xfId="20036"/>
    <cellStyle name="표준 3 3 4 2 2 5" xfId="6116"/>
    <cellStyle name="표준 3 3 4 2 2 5 2" xfId="22820"/>
    <cellStyle name="표준 3 3 4 2 2 6" xfId="11684"/>
    <cellStyle name="표준 3 3 4 2 2 6 2" xfId="28388"/>
    <cellStyle name="표준 3 3 4 2 2 7" xfId="17252"/>
    <cellStyle name="표준 3 3 4 2 3" xfId="780"/>
    <cellStyle name="표준 3 3 4 2 3 2" xfId="1476"/>
    <cellStyle name="표준 3 3 4 2 3 2 2" xfId="2868"/>
    <cellStyle name="표준 3 3 4 2 3 2 2 2" xfId="5652"/>
    <cellStyle name="표준 3 3 4 2 3 2 2 2 2" xfId="11220"/>
    <cellStyle name="표준 3 3 4 2 3 2 2 2 2 2" xfId="27924"/>
    <cellStyle name="표준 3 3 4 2 3 2 2 2 3" xfId="16788"/>
    <cellStyle name="표준 3 3 4 2 3 2 2 2 3 2" xfId="33492"/>
    <cellStyle name="표준 3 3 4 2 3 2 2 2 4" xfId="22356"/>
    <cellStyle name="표준 3 3 4 2 3 2 2 3" xfId="8436"/>
    <cellStyle name="표준 3 3 4 2 3 2 2 3 2" xfId="25140"/>
    <cellStyle name="표준 3 3 4 2 3 2 2 4" xfId="14004"/>
    <cellStyle name="표준 3 3 4 2 3 2 2 4 2" xfId="30708"/>
    <cellStyle name="표준 3 3 4 2 3 2 2 5" xfId="19572"/>
    <cellStyle name="표준 3 3 4 2 3 2 3" xfId="4260"/>
    <cellStyle name="표준 3 3 4 2 3 2 3 2" xfId="9828"/>
    <cellStyle name="표준 3 3 4 2 3 2 3 2 2" xfId="26532"/>
    <cellStyle name="표준 3 3 4 2 3 2 3 3" xfId="15396"/>
    <cellStyle name="표준 3 3 4 2 3 2 3 3 2" xfId="32100"/>
    <cellStyle name="표준 3 3 4 2 3 2 3 4" xfId="20964"/>
    <cellStyle name="표준 3 3 4 2 3 2 4" xfId="7044"/>
    <cellStyle name="표준 3 3 4 2 3 2 4 2" xfId="23748"/>
    <cellStyle name="표준 3 3 4 2 3 2 5" xfId="12612"/>
    <cellStyle name="표준 3 3 4 2 3 2 5 2" xfId="29316"/>
    <cellStyle name="표준 3 3 4 2 3 2 6" xfId="18180"/>
    <cellStyle name="표준 3 3 4 2 3 3" xfId="2172"/>
    <cellStyle name="표준 3 3 4 2 3 3 2" xfId="4956"/>
    <cellStyle name="표준 3 3 4 2 3 3 2 2" xfId="10524"/>
    <cellStyle name="표준 3 3 4 2 3 3 2 2 2" xfId="27228"/>
    <cellStyle name="표준 3 3 4 2 3 3 2 3" xfId="16092"/>
    <cellStyle name="표준 3 3 4 2 3 3 2 3 2" xfId="32796"/>
    <cellStyle name="표준 3 3 4 2 3 3 2 4" xfId="21660"/>
    <cellStyle name="표준 3 3 4 2 3 3 3" xfId="7740"/>
    <cellStyle name="표준 3 3 4 2 3 3 3 2" xfId="24444"/>
    <cellStyle name="표준 3 3 4 2 3 3 4" xfId="13308"/>
    <cellStyle name="표준 3 3 4 2 3 3 4 2" xfId="30012"/>
    <cellStyle name="표준 3 3 4 2 3 3 5" xfId="18876"/>
    <cellStyle name="표준 3 3 4 2 3 4" xfId="3564"/>
    <cellStyle name="표준 3 3 4 2 3 4 2" xfId="9132"/>
    <cellStyle name="표준 3 3 4 2 3 4 2 2" xfId="25836"/>
    <cellStyle name="표준 3 3 4 2 3 4 3" xfId="14700"/>
    <cellStyle name="표준 3 3 4 2 3 4 3 2" xfId="31404"/>
    <cellStyle name="표준 3 3 4 2 3 4 4" xfId="20268"/>
    <cellStyle name="표준 3 3 4 2 3 5" xfId="6348"/>
    <cellStyle name="표준 3 3 4 2 3 5 2" xfId="23052"/>
    <cellStyle name="표준 3 3 4 2 3 6" xfId="11916"/>
    <cellStyle name="표준 3 3 4 2 3 6 2" xfId="28620"/>
    <cellStyle name="표준 3 3 4 2 3 7" xfId="17484"/>
    <cellStyle name="표준 3 3 4 2 4" xfId="1012"/>
    <cellStyle name="표준 3 3 4 2 4 2" xfId="2404"/>
    <cellStyle name="표준 3 3 4 2 4 2 2" xfId="5188"/>
    <cellStyle name="표준 3 3 4 2 4 2 2 2" xfId="10756"/>
    <cellStyle name="표준 3 3 4 2 4 2 2 2 2" xfId="27460"/>
    <cellStyle name="표준 3 3 4 2 4 2 2 3" xfId="16324"/>
    <cellStyle name="표준 3 3 4 2 4 2 2 3 2" xfId="33028"/>
    <cellStyle name="표준 3 3 4 2 4 2 2 4" xfId="21892"/>
    <cellStyle name="표준 3 3 4 2 4 2 3" xfId="7972"/>
    <cellStyle name="표준 3 3 4 2 4 2 3 2" xfId="24676"/>
    <cellStyle name="표준 3 3 4 2 4 2 4" xfId="13540"/>
    <cellStyle name="표준 3 3 4 2 4 2 4 2" xfId="30244"/>
    <cellStyle name="표준 3 3 4 2 4 2 5" xfId="19108"/>
    <cellStyle name="표준 3 3 4 2 4 3" xfId="3796"/>
    <cellStyle name="표준 3 3 4 2 4 3 2" xfId="9364"/>
    <cellStyle name="표준 3 3 4 2 4 3 2 2" xfId="26068"/>
    <cellStyle name="표준 3 3 4 2 4 3 3" xfId="14932"/>
    <cellStyle name="표준 3 3 4 2 4 3 3 2" xfId="31636"/>
    <cellStyle name="표준 3 3 4 2 4 3 4" xfId="20500"/>
    <cellStyle name="표준 3 3 4 2 4 4" xfId="6580"/>
    <cellStyle name="표준 3 3 4 2 4 4 2" xfId="23284"/>
    <cellStyle name="표준 3 3 4 2 4 5" xfId="12148"/>
    <cellStyle name="표준 3 3 4 2 4 5 2" xfId="28852"/>
    <cellStyle name="표준 3 3 4 2 4 6" xfId="17716"/>
    <cellStyle name="표준 3 3 4 2 5" xfId="1708"/>
    <cellStyle name="표준 3 3 4 2 5 2" xfId="4492"/>
    <cellStyle name="표준 3 3 4 2 5 2 2" xfId="10060"/>
    <cellStyle name="표준 3 3 4 2 5 2 2 2" xfId="26764"/>
    <cellStyle name="표준 3 3 4 2 5 2 3" xfId="15628"/>
    <cellStyle name="표준 3 3 4 2 5 2 3 2" xfId="32332"/>
    <cellStyle name="표준 3 3 4 2 5 2 4" xfId="21196"/>
    <cellStyle name="표준 3 3 4 2 5 3" xfId="7276"/>
    <cellStyle name="표준 3 3 4 2 5 3 2" xfId="23980"/>
    <cellStyle name="표준 3 3 4 2 5 4" xfId="12844"/>
    <cellStyle name="표준 3 3 4 2 5 4 2" xfId="29548"/>
    <cellStyle name="표준 3 3 4 2 5 5" xfId="18412"/>
    <cellStyle name="표준 3 3 4 2 6" xfId="3100"/>
    <cellStyle name="표준 3 3 4 2 6 2" xfId="8668"/>
    <cellStyle name="표준 3 3 4 2 6 2 2" xfId="25372"/>
    <cellStyle name="표준 3 3 4 2 6 3" xfId="14236"/>
    <cellStyle name="표준 3 3 4 2 6 3 2" xfId="30940"/>
    <cellStyle name="표준 3 3 4 2 6 4" xfId="19804"/>
    <cellStyle name="표준 3 3 4 2 7" xfId="5884"/>
    <cellStyle name="표준 3 3 4 2 7 2" xfId="22588"/>
    <cellStyle name="표준 3 3 4 2 8" xfId="11452"/>
    <cellStyle name="표준 3 3 4 2 8 2" xfId="28156"/>
    <cellStyle name="표준 3 3 4 2 9" xfId="17020"/>
    <cellStyle name="표준 3 3 4 3" xfId="432"/>
    <cellStyle name="표준 3 3 4 3 2" xfId="1128"/>
    <cellStyle name="표준 3 3 4 3 2 2" xfId="2520"/>
    <cellStyle name="표준 3 3 4 3 2 2 2" xfId="5304"/>
    <cellStyle name="표준 3 3 4 3 2 2 2 2" xfId="10872"/>
    <cellStyle name="표준 3 3 4 3 2 2 2 2 2" xfId="27576"/>
    <cellStyle name="표준 3 3 4 3 2 2 2 3" xfId="16440"/>
    <cellStyle name="표준 3 3 4 3 2 2 2 3 2" xfId="33144"/>
    <cellStyle name="표준 3 3 4 3 2 2 2 4" xfId="22008"/>
    <cellStyle name="표준 3 3 4 3 2 2 3" xfId="8088"/>
    <cellStyle name="표준 3 3 4 3 2 2 3 2" xfId="24792"/>
    <cellStyle name="표준 3 3 4 3 2 2 4" xfId="13656"/>
    <cellStyle name="표준 3 3 4 3 2 2 4 2" xfId="30360"/>
    <cellStyle name="표준 3 3 4 3 2 2 5" xfId="19224"/>
    <cellStyle name="표준 3 3 4 3 2 3" xfId="3912"/>
    <cellStyle name="표준 3 3 4 3 2 3 2" xfId="9480"/>
    <cellStyle name="표준 3 3 4 3 2 3 2 2" xfId="26184"/>
    <cellStyle name="표준 3 3 4 3 2 3 3" xfId="15048"/>
    <cellStyle name="표준 3 3 4 3 2 3 3 2" xfId="31752"/>
    <cellStyle name="표준 3 3 4 3 2 3 4" xfId="20616"/>
    <cellStyle name="표준 3 3 4 3 2 4" xfId="6696"/>
    <cellStyle name="표준 3 3 4 3 2 4 2" xfId="23400"/>
    <cellStyle name="표준 3 3 4 3 2 5" xfId="12264"/>
    <cellStyle name="표준 3 3 4 3 2 5 2" xfId="28968"/>
    <cellStyle name="표준 3 3 4 3 2 6" xfId="17832"/>
    <cellStyle name="표준 3 3 4 3 3" xfId="1824"/>
    <cellStyle name="표준 3 3 4 3 3 2" xfId="4608"/>
    <cellStyle name="표준 3 3 4 3 3 2 2" xfId="10176"/>
    <cellStyle name="표준 3 3 4 3 3 2 2 2" xfId="26880"/>
    <cellStyle name="표준 3 3 4 3 3 2 3" xfId="15744"/>
    <cellStyle name="표준 3 3 4 3 3 2 3 2" xfId="32448"/>
    <cellStyle name="표준 3 3 4 3 3 2 4" xfId="21312"/>
    <cellStyle name="표준 3 3 4 3 3 3" xfId="7392"/>
    <cellStyle name="표준 3 3 4 3 3 3 2" xfId="24096"/>
    <cellStyle name="표준 3 3 4 3 3 4" xfId="12960"/>
    <cellStyle name="표준 3 3 4 3 3 4 2" xfId="29664"/>
    <cellStyle name="표준 3 3 4 3 3 5" xfId="18528"/>
    <cellStyle name="표준 3 3 4 3 4" xfId="3216"/>
    <cellStyle name="표준 3 3 4 3 4 2" xfId="8784"/>
    <cellStyle name="표준 3 3 4 3 4 2 2" xfId="25488"/>
    <cellStyle name="표준 3 3 4 3 4 3" xfId="14352"/>
    <cellStyle name="표준 3 3 4 3 4 3 2" xfId="31056"/>
    <cellStyle name="표준 3 3 4 3 4 4" xfId="19920"/>
    <cellStyle name="표준 3 3 4 3 5" xfId="6000"/>
    <cellStyle name="표준 3 3 4 3 5 2" xfId="22704"/>
    <cellStyle name="표준 3 3 4 3 6" xfId="11568"/>
    <cellStyle name="표준 3 3 4 3 6 2" xfId="28272"/>
    <cellStyle name="표준 3 3 4 3 7" xfId="17136"/>
    <cellStyle name="표준 3 3 4 4" xfId="664"/>
    <cellStyle name="표준 3 3 4 4 2" xfId="1360"/>
    <cellStyle name="표준 3 3 4 4 2 2" xfId="2752"/>
    <cellStyle name="표준 3 3 4 4 2 2 2" xfId="5536"/>
    <cellStyle name="표준 3 3 4 4 2 2 2 2" xfId="11104"/>
    <cellStyle name="표준 3 3 4 4 2 2 2 2 2" xfId="27808"/>
    <cellStyle name="표준 3 3 4 4 2 2 2 3" xfId="16672"/>
    <cellStyle name="표준 3 3 4 4 2 2 2 3 2" xfId="33376"/>
    <cellStyle name="표준 3 3 4 4 2 2 2 4" xfId="22240"/>
    <cellStyle name="표준 3 3 4 4 2 2 3" xfId="8320"/>
    <cellStyle name="표준 3 3 4 4 2 2 3 2" xfId="25024"/>
    <cellStyle name="표준 3 3 4 4 2 2 4" xfId="13888"/>
    <cellStyle name="표준 3 3 4 4 2 2 4 2" xfId="30592"/>
    <cellStyle name="표준 3 3 4 4 2 2 5" xfId="19456"/>
    <cellStyle name="표준 3 3 4 4 2 3" xfId="4144"/>
    <cellStyle name="표준 3 3 4 4 2 3 2" xfId="9712"/>
    <cellStyle name="표준 3 3 4 4 2 3 2 2" xfId="26416"/>
    <cellStyle name="표준 3 3 4 4 2 3 3" xfId="15280"/>
    <cellStyle name="표준 3 3 4 4 2 3 3 2" xfId="31984"/>
    <cellStyle name="표준 3 3 4 4 2 3 4" xfId="20848"/>
    <cellStyle name="표준 3 3 4 4 2 4" xfId="6928"/>
    <cellStyle name="표준 3 3 4 4 2 4 2" xfId="23632"/>
    <cellStyle name="표준 3 3 4 4 2 5" xfId="12496"/>
    <cellStyle name="표준 3 3 4 4 2 5 2" xfId="29200"/>
    <cellStyle name="표준 3 3 4 4 2 6" xfId="18064"/>
    <cellStyle name="표준 3 3 4 4 3" xfId="2056"/>
    <cellStyle name="표준 3 3 4 4 3 2" xfId="4840"/>
    <cellStyle name="표준 3 3 4 4 3 2 2" xfId="10408"/>
    <cellStyle name="표준 3 3 4 4 3 2 2 2" xfId="27112"/>
    <cellStyle name="표준 3 3 4 4 3 2 3" xfId="15976"/>
    <cellStyle name="표준 3 3 4 4 3 2 3 2" xfId="32680"/>
    <cellStyle name="표준 3 3 4 4 3 2 4" xfId="21544"/>
    <cellStyle name="표준 3 3 4 4 3 3" xfId="7624"/>
    <cellStyle name="표준 3 3 4 4 3 3 2" xfId="24328"/>
    <cellStyle name="표준 3 3 4 4 3 4" xfId="13192"/>
    <cellStyle name="표준 3 3 4 4 3 4 2" xfId="29896"/>
    <cellStyle name="표준 3 3 4 4 3 5" xfId="18760"/>
    <cellStyle name="표준 3 3 4 4 4" xfId="3448"/>
    <cellStyle name="표준 3 3 4 4 4 2" xfId="9016"/>
    <cellStyle name="표준 3 3 4 4 4 2 2" xfId="25720"/>
    <cellStyle name="표준 3 3 4 4 4 3" xfId="14584"/>
    <cellStyle name="표준 3 3 4 4 4 3 2" xfId="31288"/>
    <cellStyle name="표준 3 3 4 4 4 4" xfId="20152"/>
    <cellStyle name="표준 3 3 4 4 5" xfId="6232"/>
    <cellStyle name="표준 3 3 4 4 5 2" xfId="22936"/>
    <cellStyle name="표준 3 3 4 4 6" xfId="11800"/>
    <cellStyle name="표준 3 3 4 4 6 2" xfId="28504"/>
    <cellStyle name="표준 3 3 4 4 7" xfId="17368"/>
    <cellStyle name="표준 3 3 4 5" xfId="896"/>
    <cellStyle name="표준 3 3 4 5 2" xfId="2288"/>
    <cellStyle name="표준 3 3 4 5 2 2" xfId="5072"/>
    <cellStyle name="표준 3 3 4 5 2 2 2" xfId="10640"/>
    <cellStyle name="표준 3 3 4 5 2 2 2 2" xfId="27344"/>
    <cellStyle name="표준 3 3 4 5 2 2 3" xfId="16208"/>
    <cellStyle name="표준 3 3 4 5 2 2 3 2" xfId="32912"/>
    <cellStyle name="표준 3 3 4 5 2 2 4" xfId="21776"/>
    <cellStyle name="표준 3 3 4 5 2 3" xfId="7856"/>
    <cellStyle name="표준 3 3 4 5 2 3 2" xfId="24560"/>
    <cellStyle name="표준 3 3 4 5 2 4" xfId="13424"/>
    <cellStyle name="표준 3 3 4 5 2 4 2" xfId="30128"/>
    <cellStyle name="표준 3 3 4 5 2 5" xfId="18992"/>
    <cellStyle name="표준 3 3 4 5 3" xfId="3680"/>
    <cellStyle name="표준 3 3 4 5 3 2" xfId="9248"/>
    <cellStyle name="표준 3 3 4 5 3 2 2" xfId="25952"/>
    <cellStyle name="표준 3 3 4 5 3 3" xfId="14816"/>
    <cellStyle name="표준 3 3 4 5 3 3 2" xfId="31520"/>
    <cellStyle name="표준 3 3 4 5 3 4" xfId="20384"/>
    <cellStyle name="표준 3 3 4 5 4" xfId="6464"/>
    <cellStyle name="표준 3 3 4 5 4 2" xfId="23168"/>
    <cellStyle name="표준 3 3 4 5 5" xfId="12032"/>
    <cellStyle name="표준 3 3 4 5 5 2" xfId="28736"/>
    <cellStyle name="표준 3 3 4 5 6" xfId="17600"/>
    <cellStyle name="표준 3 3 4 6" xfId="1592"/>
    <cellStyle name="표준 3 3 4 6 2" xfId="4376"/>
    <cellStyle name="표준 3 3 4 6 2 2" xfId="9944"/>
    <cellStyle name="표준 3 3 4 6 2 2 2" xfId="26648"/>
    <cellStyle name="표준 3 3 4 6 2 3" xfId="15512"/>
    <cellStyle name="표준 3 3 4 6 2 3 2" xfId="32216"/>
    <cellStyle name="표준 3 3 4 6 2 4" xfId="21080"/>
    <cellStyle name="표준 3 3 4 6 3" xfId="7160"/>
    <cellStyle name="표준 3 3 4 6 3 2" xfId="23864"/>
    <cellStyle name="표준 3 3 4 6 4" xfId="12728"/>
    <cellStyle name="표준 3 3 4 6 4 2" xfId="29432"/>
    <cellStyle name="표준 3 3 4 6 5" xfId="18296"/>
    <cellStyle name="표준 3 3 4 7" xfId="2984"/>
    <cellStyle name="표준 3 3 4 7 2" xfId="8552"/>
    <cellStyle name="표준 3 3 4 7 2 2" xfId="25256"/>
    <cellStyle name="표준 3 3 4 7 3" xfId="14120"/>
    <cellStyle name="표준 3 3 4 7 3 2" xfId="30824"/>
    <cellStyle name="표준 3 3 4 7 4" xfId="19688"/>
    <cellStyle name="표준 3 3 4 8" xfId="5768"/>
    <cellStyle name="표준 3 3 4 8 2" xfId="22472"/>
    <cellStyle name="표준 3 3 4 9" xfId="11336"/>
    <cellStyle name="표준 3 3 4 9 2" xfId="28040"/>
    <cellStyle name="표준 3 3 5" xfId="258"/>
    <cellStyle name="표준 3 3 5 2" xfId="490"/>
    <cellStyle name="표준 3 3 5 2 2" xfId="1186"/>
    <cellStyle name="표준 3 3 5 2 2 2" xfId="2578"/>
    <cellStyle name="표준 3 3 5 2 2 2 2" xfId="5362"/>
    <cellStyle name="표준 3 3 5 2 2 2 2 2" xfId="10930"/>
    <cellStyle name="표준 3 3 5 2 2 2 2 2 2" xfId="27634"/>
    <cellStyle name="표준 3 3 5 2 2 2 2 3" xfId="16498"/>
    <cellStyle name="표준 3 3 5 2 2 2 2 3 2" xfId="33202"/>
    <cellStyle name="표준 3 3 5 2 2 2 2 4" xfId="22066"/>
    <cellStyle name="표준 3 3 5 2 2 2 3" xfId="8146"/>
    <cellStyle name="표준 3 3 5 2 2 2 3 2" xfId="24850"/>
    <cellStyle name="표준 3 3 5 2 2 2 4" xfId="13714"/>
    <cellStyle name="표준 3 3 5 2 2 2 4 2" xfId="30418"/>
    <cellStyle name="표준 3 3 5 2 2 2 5" xfId="19282"/>
    <cellStyle name="표준 3 3 5 2 2 3" xfId="3970"/>
    <cellStyle name="표준 3 3 5 2 2 3 2" xfId="9538"/>
    <cellStyle name="표준 3 3 5 2 2 3 2 2" xfId="26242"/>
    <cellStyle name="표준 3 3 5 2 2 3 3" xfId="15106"/>
    <cellStyle name="표준 3 3 5 2 2 3 3 2" xfId="31810"/>
    <cellStyle name="표준 3 3 5 2 2 3 4" xfId="20674"/>
    <cellStyle name="표준 3 3 5 2 2 4" xfId="6754"/>
    <cellStyle name="표준 3 3 5 2 2 4 2" xfId="23458"/>
    <cellStyle name="표준 3 3 5 2 2 5" xfId="12322"/>
    <cellStyle name="표준 3 3 5 2 2 5 2" xfId="29026"/>
    <cellStyle name="표준 3 3 5 2 2 6" xfId="17890"/>
    <cellStyle name="표준 3 3 5 2 3" xfId="1882"/>
    <cellStyle name="표준 3 3 5 2 3 2" xfId="4666"/>
    <cellStyle name="표준 3 3 5 2 3 2 2" xfId="10234"/>
    <cellStyle name="표준 3 3 5 2 3 2 2 2" xfId="26938"/>
    <cellStyle name="표준 3 3 5 2 3 2 3" xfId="15802"/>
    <cellStyle name="표준 3 3 5 2 3 2 3 2" xfId="32506"/>
    <cellStyle name="표준 3 3 5 2 3 2 4" xfId="21370"/>
    <cellStyle name="표준 3 3 5 2 3 3" xfId="7450"/>
    <cellStyle name="표준 3 3 5 2 3 3 2" xfId="24154"/>
    <cellStyle name="표준 3 3 5 2 3 4" xfId="13018"/>
    <cellStyle name="표준 3 3 5 2 3 4 2" xfId="29722"/>
    <cellStyle name="표준 3 3 5 2 3 5" xfId="18586"/>
    <cellStyle name="표준 3 3 5 2 4" xfId="3274"/>
    <cellStyle name="표준 3 3 5 2 4 2" xfId="8842"/>
    <cellStyle name="표준 3 3 5 2 4 2 2" xfId="25546"/>
    <cellStyle name="표준 3 3 5 2 4 3" xfId="14410"/>
    <cellStyle name="표준 3 3 5 2 4 3 2" xfId="31114"/>
    <cellStyle name="표준 3 3 5 2 4 4" xfId="19978"/>
    <cellStyle name="표준 3 3 5 2 5" xfId="6058"/>
    <cellStyle name="표준 3 3 5 2 5 2" xfId="22762"/>
    <cellStyle name="표준 3 3 5 2 6" xfId="11626"/>
    <cellStyle name="표준 3 3 5 2 6 2" xfId="28330"/>
    <cellStyle name="표준 3 3 5 2 7" xfId="17194"/>
    <cellStyle name="표준 3 3 5 3" xfId="722"/>
    <cellStyle name="표준 3 3 5 3 2" xfId="1418"/>
    <cellStyle name="표준 3 3 5 3 2 2" xfId="2810"/>
    <cellStyle name="표준 3 3 5 3 2 2 2" xfId="5594"/>
    <cellStyle name="표준 3 3 5 3 2 2 2 2" xfId="11162"/>
    <cellStyle name="표준 3 3 5 3 2 2 2 2 2" xfId="27866"/>
    <cellStyle name="표준 3 3 5 3 2 2 2 3" xfId="16730"/>
    <cellStyle name="표준 3 3 5 3 2 2 2 3 2" xfId="33434"/>
    <cellStyle name="표준 3 3 5 3 2 2 2 4" xfId="22298"/>
    <cellStyle name="표준 3 3 5 3 2 2 3" xfId="8378"/>
    <cellStyle name="표준 3 3 5 3 2 2 3 2" xfId="25082"/>
    <cellStyle name="표준 3 3 5 3 2 2 4" xfId="13946"/>
    <cellStyle name="표준 3 3 5 3 2 2 4 2" xfId="30650"/>
    <cellStyle name="표준 3 3 5 3 2 2 5" xfId="19514"/>
    <cellStyle name="표준 3 3 5 3 2 3" xfId="4202"/>
    <cellStyle name="표준 3 3 5 3 2 3 2" xfId="9770"/>
    <cellStyle name="표준 3 3 5 3 2 3 2 2" xfId="26474"/>
    <cellStyle name="표준 3 3 5 3 2 3 3" xfId="15338"/>
    <cellStyle name="표준 3 3 5 3 2 3 3 2" xfId="32042"/>
    <cellStyle name="표준 3 3 5 3 2 3 4" xfId="20906"/>
    <cellStyle name="표준 3 3 5 3 2 4" xfId="6986"/>
    <cellStyle name="표준 3 3 5 3 2 4 2" xfId="23690"/>
    <cellStyle name="표준 3 3 5 3 2 5" xfId="12554"/>
    <cellStyle name="표준 3 3 5 3 2 5 2" xfId="29258"/>
    <cellStyle name="표준 3 3 5 3 2 6" xfId="18122"/>
    <cellStyle name="표준 3 3 5 3 3" xfId="2114"/>
    <cellStyle name="표준 3 3 5 3 3 2" xfId="4898"/>
    <cellStyle name="표준 3 3 5 3 3 2 2" xfId="10466"/>
    <cellStyle name="표준 3 3 5 3 3 2 2 2" xfId="27170"/>
    <cellStyle name="표준 3 3 5 3 3 2 3" xfId="16034"/>
    <cellStyle name="표준 3 3 5 3 3 2 3 2" xfId="32738"/>
    <cellStyle name="표준 3 3 5 3 3 2 4" xfId="21602"/>
    <cellStyle name="표준 3 3 5 3 3 3" xfId="7682"/>
    <cellStyle name="표준 3 3 5 3 3 3 2" xfId="24386"/>
    <cellStyle name="표준 3 3 5 3 3 4" xfId="13250"/>
    <cellStyle name="표준 3 3 5 3 3 4 2" xfId="29954"/>
    <cellStyle name="표준 3 3 5 3 3 5" xfId="18818"/>
    <cellStyle name="표준 3 3 5 3 4" xfId="3506"/>
    <cellStyle name="표준 3 3 5 3 4 2" xfId="9074"/>
    <cellStyle name="표준 3 3 5 3 4 2 2" xfId="25778"/>
    <cellStyle name="표준 3 3 5 3 4 3" xfId="14642"/>
    <cellStyle name="표준 3 3 5 3 4 3 2" xfId="31346"/>
    <cellStyle name="표준 3 3 5 3 4 4" xfId="20210"/>
    <cellStyle name="표준 3 3 5 3 5" xfId="6290"/>
    <cellStyle name="표준 3 3 5 3 5 2" xfId="22994"/>
    <cellStyle name="표준 3 3 5 3 6" xfId="11858"/>
    <cellStyle name="표준 3 3 5 3 6 2" xfId="28562"/>
    <cellStyle name="표준 3 3 5 3 7" xfId="17426"/>
    <cellStyle name="표준 3 3 5 4" xfId="954"/>
    <cellStyle name="표준 3 3 5 4 2" xfId="2346"/>
    <cellStyle name="표준 3 3 5 4 2 2" xfId="5130"/>
    <cellStyle name="표준 3 3 5 4 2 2 2" xfId="10698"/>
    <cellStyle name="표준 3 3 5 4 2 2 2 2" xfId="27402"/>
    <cellStyle name="표준 3 3 5 4 2 2 3" xfId="16266"/>
    <cellStyle name="표준 3 3 5 4 2 2 3 2" xfId="32970"/>
    <cellStyle name="표준 3 3 5 4 2 2 4" xfId="21834"/>
    <cellStyle name="표준 3 3 5 4 2 3" xfId="7914"/>
    <cellStyle name="표준 3 3 5 4 2 3 2" xfId="24618"/>
    <cellStyle name="표준 3 3 5 4 2 4" xfId="13482"/>
    <cellStyle name="표준 3 3 5 4 2 4 2" xfId="30186"/>
    <cellStyle name="표준 3 3 5 4 2 5" xfId="19050"/>
    <cellStyle name="표준 3 3 5 4 3" xfId="3738"/>
    <cellStyle name="표준 3 3 5 4 3 2" xfId="9306"/>
    <cellStyle name="표준 3 3 5 4 3 2 2" xfId="26010"/>
    <cellStyle name="표준 3 3 5 4 3 3" xfId="14874"/>
    <cellStyle name="표준 3 3 5 4 3 3 2" xfId="31578"/>
    <cellStyle name="표준 3 3 5 4 3 4" xfId="20442"/>
    <cellStyle name="표준 3 3 5 4 4" xfId="6522"/>
    <cellStyle name="표준 3 3 5 4 4 2" xfId="23226"/>
    <cellStyle name="표준 3 3 5 4 5" xfId="12090"/>
    <cellStyle name="표준 3 3 5 4 5 2" xfId="28794"/>
    <cellStyle name="표준 3 3 5 4 6" xfId="17658"/>
    <cellStyle name="표준 3 3 5 5" xfId="1650"/>
    <cellStyle name="표준 3 3 5 5 2" xfId="4434"/>
    <cellStyle name="표준 3 3 5 5 2 2" xfId="10002"/>
    <cellStyle name="표준 3 3 5 5 2 2 2" xfId="26706"/>
    <cellStyle name="표준 3 3 5 5 2 3" xfId="15570"/>
    <cellStyle name="표준 3 3 5 5 2 3 2" xfId="32274"/>
    <cellStyle name="표준 3 3 5 5 2 4" xfId="21138"/>
    <cellStyle name="표준 3 3 5 5 3" xfId="7218"/>
    <cellStyle name="표준 3 3 5 5 3 2" xfId="23922"/>
    <cellStyle name="표준 3 3 5 5 4" xfId="12786"/>
    <cellStyle name="표준 3 3 5 5 4 2" xfId="29490"/>
    <cellStyle name="표준 3 3 5 5 5" xfId="18354"/>
    <cellStyle name="표준 3 3 5 6" xfId="3042"/>
    <cellStyle name="표준 3 3 5 6 2" xfId="8610"/>
    <cellStyle name="표준 3 3 5 6 2 2" xfId="25314"/>
    <cellStyle name="표준 3 3 5 6 3" xfId="14178"/>
    <cellStyle name="표준 3 3 5 6 3 2" xfId="30882"/>
    <cellStyle name="표준 3 3 5 6 4" xfId="19746"/>
    <cellStyle name="표준 3 3 5 7" xfId="5826"/>
    <cellStyle name="표준 3 3 5 7 2" xfId="22530"/>
    <cellStyle name="표준 3 3 5 8" xfId="11394"/>
    <cellStyle name="표준 3 3 5 8 2" xfId="28098"/>
    <cellStyle name="표준 3 3 5 9" xfId="16962"/>
    <cellStyle name="표준 3 3 6" xfId="374"/>
    <cellStyle name="표준 3 3 6 2" xfId="1070"/>
    <cellStyle name="표준 3 3 6 2 2" xfId="2462"/>
    <cellStyle name="표준 3 3 6 2 2 2" xfId="5246"/>
    <cellStyle name="표준 3 3 6 2 2 2 2" xfId="10814"/>
    <cellStyle name="표준 3 3 6 2 2 2 2 2" xfId="27518"/>
    <cellStyle name="표준 3 3 6 2 2 2 3" xfId="16382"/>
    <cellStyle name="표준 3 3 6 2 2 2 3 2" xfId="33086"/>
    <cellStyle name="표준 3 3 6 2 2 2 4" xfId="21950"/>
    <cellStyle name="표준 3 3 6 2 2 3" xfId="8030"/>
    <cellStyle name="표준 3 3 6 2 2 3 2" xfId="24734"/>
    <cellStyle name="표준 3 3 6 2 2 4" xfId="13598"/>
    <cellStyle name="표준 3 3 6 2 2 4 2" xfId="30302"/>
    <cellStyle name="표준 3 3 6 2 2 5" xfId="19166"/>
    <cellStyle name="표준 3 3 6 2 3" xfId="3854"/>
    <cellStyle name="표준 3 3 6 2 3 2" xfId="9422"/>
    <cellStyle name="표준 3 3 6 2 3 2 2" xfId="26126"/>
    <cellStyle name="표준 3 3 6 2 3 3" xfId="14990"/>
    <cellStyle name="표준 3 3 6 2 3 3 2" xfId="31694"/>
    <cellStyle name="표준 3 3 6 2 3 4" xfId="20558"/>
    <cellStyle name="표준 3 3 6 2 4" xfId="6638"/>
    <cellStyle name="표준 3 3 6 2 4 2" xfId="23342"/>
    <cellStyle name="표준 3 3 6 2 5" xfId="12206"/>
    <cellStyle name="표준 3 3 6 2 5 2" xfId="28910"/>
    <cellStyle name="표준 3 3 6 2 6" xfId="17774"/>
    <cellStyle name="표준 3 3 6 3" xfId="1766"/>
    <cellStyle name="표준 3 3 6 3 2" xfId="4550"/>
    <cellStyle name="표준 3 3 6 3 2 2" xfId="10118"/>
    <cellStyle name="표준 3 3 6 3 2 2 2" xfId="26822"/>
    <cellStyle name="표준 3 3 6 3 2 3" xfId="15686"/>
    <cellStyle name="표준 3 3 6 3 2 3 2" xfId="32390"/>
    <cellStyle name="표준 3 3 6 3 2 4" xfId="21254"/>
    <cellStyle name="표준 3 3 6 3 3" xfId="7334"/>
    <cellStyle name="표준 3 3 6 3 3 2" xfId="24038"/>
    <cellStyle name="표준 3 3 6 3 4" xfId="12902"/>
    <cellStyle name="표준 3 3 6 3 4 2" xfId="29606"/>
    <cellStyle name="표준 3 3 6 3 5" xfId="18470"/>
    <cellStyle name="표준 3 3 6 4" xfId="3158"/>
    <cellStyle name="표준 3 3 6 4 2" xfId="8726"/>
    <cellStyle name="표준 3 3 6 4 2 2" xfId="25430"/>
    <cellStyle name="표준 3 3 6 4 3" xfId="14294"/>
    <cellStyle name="표준 3 3 6 4 3 2" xfId="30998"/>
    <cellStyle name="표준 3 3 6 4 4" xfId="19862"/>
    <cellStyle name="표준 3 3 6 5" xfId="5942"/>
    <cellStyle name="표준 3 3 6 5 2" xfId="22646"/>
    <cellStyle name="표준 3 3 6 6" xfId="11510"/>
    <cellStyle name="표준 3 3 6 6 2" xfId="28214"/>
    <cellStyle name="표준 3 3 6 7" xfId="17078"/>
    <cellStyle name="표준 3 3 7" xfId="606"/>
    <cellStyle name="표준 3 3 7 2" xfId="1302"/>
    <cellStyle name="표준 3 3 7 2 2" xfId="2694"/>
    <cellStyle name="표준 3 3 7 2 2 2" xfId="5478"/>
    <cellStyle name="표준 3 3 7 2 2 2 2" xfId="11046"/>
    <cellStyle name="표준 3 3 7 2 2 2 2 2" xfId="27750"/>
    <cellStyle name="표준 3 3 7 2 2 2 3" xfId="16614"/>
    <cellStyle name="표준 3 3 7 2 2 2 3 2" xfId="33318"/>
    <cellStyle name="표준 3 3 7 2 2 2 4" xfId="22182"/>
    <cellStyle name="표준 3 3 7 2 2 3" xfId="8262"/>
    <cellStyle name="표준 3 3 7 2 2 3 2" xfId="24966"/>
    <cellStyle name="표준 3 3 7 2 2 4" xfId="13830"/>
    <cellStyle name="표준 3 3 7 2 2 4 2" xfId="30534"/>
    <cellStyle name="표준 3 3 7 2 2 5" xfId="19398"/>
    <cellStyle name="표준 3 3 7 2 3" xfId="4086"/>
    <cellStyle name="표준 3 3 7 2 3 2" xfId="9654"/>
    <cellStyle name="표준 3 3 7 2 3 2 2" xfId="26358"/>
    <cellStyle name="표준 3 3 7 2 3 3" xfId="15222"/>
    <cellStyle name="표준 3 3 7 2 3 3 2" xfId="31926"/>
    <cellStyle name="표준 3 3 7 2 3 4" xfId="20790"/>
    <cellStyle name="표준 3 3 7 2 4" xfId="6870"/>
    <cellStyle name="표준 3 3 7 2 4 2" xfId="23574"/>
    <cellStyle name="표준 3 3 7 2 5" xfId="12438"/>
    <cellStyle name="표준 3 3 7 2 5 2" xfId="29142"/>
    <cellStyle name="표준 3 3 7 2 6" xfId="18006"/>
    <cellStyle name="표준 3 3 7 3" xfId="1998"/>
    <cellStyle name="표준 3 3 7 3 2" xfId="4782"/>
    <cellStyle name="표준 3 3 7 3 2 2" xfId="10350"/>
    <cellStyle name="표준 3 3 7 3 2 2 2" xfId="27054"/>
    <cellStyle name="표준 3 3 7 3 2 3" xfId="15918"/>
    <cellStyle name="표준 3 3 7 3 2 3 2" xfId="32622"/>
    <cellStyle name="표준 3 3 7 3 2 4" xfId="21486"/>
    <cellStyle name="표준 3 3 7 3 3" xfId="7566"/>
    <cellStyle name="표준 3 3 7 3 3 2" xfId="24270"/>
    <cellStyle name="표준 3 3 7 3 4" xfId="13134"/>
    <cellStyle name="표준 3 3 7 3 4 2" xfId="29838"/>
    <cellStyle name="표준 3 3 7 3 5" xfId="18702"/>
    <cellStyle name="표준 3 3 7 4" xfId="3390"/>
    <cellStyle name="표준 3 3 7 4 2" xfId="8958"/>
    <cellStyle name="표준 3 3 7 4 2 2" xfId="25662"/>
    <cellStyle name="표준 3 3 7 4 3" xfId="14526"/>
    <cellStyle name="표준 3 3 7 4 3 2" xfId="31230"/>
    <cellStyle name="표준 3 3 7 4 4" xfId="20094"/>
    <cellStyle name="표준 3 3 7 5" xfId="6174"/>
    <cellStyle name="표준 3 3 7 5 2" xfId="22878"/>
    <cellStyle name="표준 3 3 7 6" xfId="11742"/>
    <cellStyle name="표준 3 3 7 6 2" xfId="28446"/>
    <cellStyle name="표준 3 3 7 7" xfId="17310"/>
    <cellStyle name="표준 3 3 8" xfId="838"/>
    <cellStyle name="표준 3 3 8 2" xfId="2230"/>
    <cellStyle name="표준 3 3 8 2 2" xfId="5014"/>
    <cellStyle name="표준 3 3 8 2 2 2" xfId="10582"/>
    <cellStyle name="표준 3 3 8 2 2 2 2" xfId="27286"/>
    <cellStyle name="표준 3 3 8 2 2 3" xfId="16150"/>
    <cellStyle name="표준 3 3 8 2 2 3 2" xfId="32854"/>
    <cellStyle name="표준 3 3 8 2 2 4" xfId="21718"/>
    <cellStyle name="표준 3 3 8 2 3" xfId="7798"/>
    <cellStyle name="표준 3 3 8 2 3 2" xfId="24502"/>
    <cellStyle name="표준 3 3 8 2 4" xfId="13366"/>
    <cellStyle name="표준 3 3 8 2 4 2" xfId="30070"/>
    <cellStyle name="표준 3 3 8 2 5" xfId="18934"/>
    <cellStyle name="표준 3 3 8 3" xfId="3622"/>
    <cellStyle name="표준 3 3 8 3 2" xfId="9190"/>
    <cellStyle name="표준 3 3 8 3 2 2" xfId="25894"/>
    <cellStyle name="표준 3 3 8 3 3" xfId="14758"/>
    <cellStyle name="표준 3 3 8 3 3 2" xfId="31462"/>
    <cellStyle name="표준 3 3 8 3 4" xfId="20326"/>
    <cellStyle name="표준 3 3 8 4" xfId="6406"/>
    <cellStyle name="표준 3 3 8 4 2" xfId="23110"/>
    <cellStyle name="표준 3 3 8 5" xfId="11974"/>
    <cellStyle name="표준 3 3 8 5 2" xfId="28678"/>
    <cellStyle name="표준 3 3 8 6" xfId="17542"/>
    <cellStyle name="표준 3 3 9" xfId="1534"/>
    <cellStyle name="표준 3 3 9 2" xfId="4318"/>
    <cellStyle name="표준 3 3 9 2 2" xfId="9886"/>
    <cellStyle name="표준 3 3 9 2 2 2" xfId="26590"/>
    <cellStyle name="표준 3 3 9 2 3" xfId="15454"/>
    <cellStyle name="표준 3 3 9 2 3 2" xfId="32158"/>
    <cellStyle name="표준 3 3 9 2 4" xfId="21022"/>
    <cellStyle name="표준 3 3 9 3" xfId="7102"/>
    <cellStyle name="표준 3 3 9 3 2" xfId="23806"/>
    <cellStyle name="표준 3 3 9 4" xfId="12670"/>
    <cellStyle name="표준 3 3 9 4 2" xfId="29374"/>
    <cellStyle name="표준 3 3 9 5" xfId="18238"/>
    <cellStyle name="표준 3 4" xfId="156"/>
    <cellStyle name="표준 3 5" xfId="147"/>
    <cellStyle name="표준 3 6" xfId="17"/>
    <cellStyle name="표준 3 7" xfId="10"/>
    <cellStyle name="표준 3 7 10" xfId="5713"/>
    <cellStyle name="표준 3 7 10 2" xfId="22417"/>
    <cellStyle name="표준 3 7 11" xfId="11281"/>
    <cellStyle name="표준 3 7 11 2" xfId="27985"/>
    <cellStyle name="표준 3 7 12" xfId="16849"/>
    <cellStyle name="표준 3 7 2" xfId="174"/>
    <cellStyle name="표준 3 7 2 10" xfId="11310"/>
    <cellStyle name="표준 3 7 2 10 2" xfId="28014"/>
    <cellStyle name="표준 3 7 2 11" xfId="16878"/>
    <cellStyle name="표준 3 7 2 2" xfId="232"/>
    <cellStyle name="표준 3 7 2 2 10" xfId="16936"/>
    <cellStyle name="표준 3 7 2 2 2" xfId="348"/>
    <cellStyle name="표준 3 7 2 2 2 2" xfId="580"/>
    <cellStyle name="표준 3 7 2 2 2 2 2" xfId="1276"/>
    <cellStyle name="표준 3 7 2 2 2 2 2 2" xfId="2668"/>
    <cellStyle name="표준 3 7 2 2 2 2 2 2 2" xfId="5452"/>
    <cellStyle name="표준 3 7 2 2 2 2 2 2 2 2" xfId="11020"/>
    <cellStyle name="표준 3 7 2 2 2 2 2 2 2 2 2" xfId="27724"/>
    <cellStyle name="표준 3 7 2 2 2 2 2 2 2 3" xfId="16588"/>
    <cellStyle name="표준 3 7 2 2 2 2 2 2 2 3 2" xfId="33292"/>
    <cellStyle name="표준 3 7 2 2 2 2 2 2 2 4" xfId="22156"/>
    <cellStyle name="표준 3 7 2 2 2 2 2 2 3" xfId="8236"/>
    <cellStyle name="표준 3 7 2 2 2 2 2 2 3 2" xfId="24940"/>
    <cellStyle name="표준 3 7 2 2 2 2 2 2 4" xfId="13804"/>
    <cellStyle name="표준 3 7 2 2 2 2 2 2 4 2" xfId="30508"/>
    <cellStyle name="표준 3 7 2 2 2 2 2 2 5" xfId="19372"/>
    <cellStyle name="표준 3 7 2 2 2 2 2 3" xfId="4060"/>
    <cellStyle name="표준 3 7 2 2 2 2 2 3 2" xfId="9628"/>
    <cellStyle name="표준 3 7 2 2 2 2 2 3 2 2" xfId="26332"/>
    <cellStyle name="표준 3 7 2 2 2 2 2 3 3" xfId="15196"/>
    <cellStyle name="표준 3 7 2 2 2 2 2 3 3 2" xfId="31900"/>
    <cellStyle name="표준 3 7 2 2 2 2 2 3 4" xfId="20764"/>
    <cellStyle name="표준 3 7 2 2 2 2 2 4" xfId="6844"/>
    <cellStyle name="표준 3 7 2 2 2 2 2 4 2" xfId="23548"/>
    <cellStyle name="표준 3 7 2 2 2 2 2 5" xfId="12412"/>
    <cellStyle name="표준 3 7 2 2 2 2 2 5 2" xfId="29116"/>
    <cellStyle name="표준 3 7 2 2 2 2 2 6" xfId="17980"/>
    <cellStyle name="표준 3 7 2 2 2 2 3" xfId="1972"/>
    <cellStyle name="표준 3 7 2 2 2 2 3 2" xfId="4756"/>
    <cellStyle name="표준 3 7 2 2 2 2 3 2 2" xfId="10324"/>
    <cellStyle name="표준 3 7 2 2 2 2 3 2 2 2" xfId="27028"/>
    <cellStyle name="표준 3 7 2 2 2 2 3 2 3" xfId="15892"/>
    <cellStyle name="표준 3 7 2 2 2 2 3 2 3 2" xfId="32596"/>
    <cellStyle name="표준 3 7 2 2 2 2 3 2 4" xfId="21460"/>
    <cellStyle name="표준 3 7 2 2 2 2 3 3" xfId="7540"/>
    <cellStyle name="표준 3 7 2 2 2 2 3 3 2" xfId="24244"/>
    <cellStyle name="표준 3 7 2 2 2 2 3 4" xfId="13108"/>
    <cellStyle name="표준 3 7 2 2 2 2 3 4 2" xfId="29812"/>
    <cellStyle name="표준 3 7 2 2 2 2 3 5" xfId="18676"/>
    <cellStyle name="표준 3 7 2 2 2 2 4" xfId="3364"/>
    <cellStyle name="표준 3 7 2 2 2 2 4 2" xfId="8932"/>
    <cellStyle name="표준 3 7 2 2 2 2 4 2 2" xfId="25636"/>
    <cellStyle name="표준 3 7 2 2 2 2 4 3" xfId="14500"/>
    <cellStyle name="표준 3 7 2 2 2 2 4 3 2" xfId="31204"/>
    <cellStyle name="표준 3 7 2 2 2 2 4 4" xfId="20068"/>
    <cellStyle name="표준 3 7 2 2 2 2 5" xfId="6148"/>
    <cellStyle name="표준 3 7 2 2 2 2 5 2" xfId="22852"/>
    <cellStyle name="표준 3 7 2 2 2 2 6" xfId="11716"/>
    <cellStyle name="표준 3 7 2 2 2 2 6 2" xfId="28420"/>
    <cellStyle name="표준 3 7 2 2 2 2 7" xfId="17284"/>
    <cellStyle name="표준 3 7 2 2 2 3" xfId="812"/>
    <cellStyle name="표준 3 7 2 2 2 3 2" xfId="1508"/>
    <cellStyle name="표준 3 7 2 2 2 3 2 2" xfId="2900"/>
    <cellStyle name="표준 3 7 2 2 2 3 2 2 2" xfId="5684"/>
    <cellStyle name="표준 3 7 2 2 2 3 2 2 2 2" xfId="11252"/>
    <cellStyle name="표준 3 7 2 2 2 3 2 2 2 2 2" xfId="27956"/>
    <cellStyle name="표준 3 7 2 2 2 3 2 2 2 3" xfId="16820"/>
    <cellStyle name="표준 3 7 2 2 2 3 2 2 2 3 2" xfId="33524"/>
    <cellStyle name="표준 3 7 2 2 2 3 2 2 2 4" xfId="22388"/>
    <cellStyle name="표준 3 7 2 2 2 3 2 2 3" xfId="8468"/>
    <cellStyle name="표준 3 7 2 2 2 3 2 2 3 2" xfId="25172"/>
    <cellStyle name="표준 3 7 2 2 2 3 2 2 4" xfId="14036"/>
    <cellStyle name="표준 3 7 2 2 2 3 2 2 4 2" xfId="30740"/>
    <cellStyle name="표준 3 7 2 2 2 3 2 2 5" xfId="19604"/>
    <cellStyle name="표준 3 7 2 2 2 3 2 3" xfId="4292"/>
    <cellStyle name="표준 3 7 2 2 2 3 2 3 2" xfId="9860"/>
    <cellStyle name="표준 3 7 2 2 2 3 2 3 2 2" xfId="26564"/>
    <cellStyle name="표준 3 7 2 2 2 3 2 3 3" xfId="15428"/>
    <cellStyle name="표준 3 7 2 2 2 3 2 3 3 2" xfId="32132"/>
    <cellStyle name="표준 3 7 2 2 2 3 2 3 4" xfId="20996"/>
    <cellStyle name="표준 3 7 2 2 2 3 2 4" xfId="7076"/>
    <cellStyle name="표준 3 7 2 2 2 3 2 4 2" xfId="23780"/>
    <cellStyle name="표준 3 7 2 2 2 3 2 5" xfId="12644"/>
    <cellStyle name="표준 3 7 2 2 2 3 2 5 2" xfId="29348"/>
    <cellStyle name="표준 3 7 2 2 2 3 2 6" xfId="18212"/>
    <cellStyle name="표준 3 7 2 2 2 3 3" xfId="2204"/>
    <cellStyle name="표준 3 7 2 2 2 3 3 2" xfId="4988"/>
    <cellStyle name="표준 3 7 2 2 2 3 3 2 2" xfId="10556"/>
    <cellStyle name="표준 3 7 2 2 2 3 3 2 2 2" xfId="27260"/>
    <cellStyle name="표준 3 7 2 2 2 3 3 2 3" xfId="16124"/>
    <cellStyle name="표준 3 7 2 2 2 3 3 2 3 2" xfId="32828"/>
    <cellStyle name="표준 3 7 2 2 2 3 3 2 4" xfId="21692"/>
    <cellStyle name="표준 3 7 2 2 2 3 3 3" xfId="7772"/>
    <cellStyle name="표준 3 7 2 2 2 3 3 3 2" xfId="24476"/>
    <cellStyle name="표준 3 7 2 2 2 3 3 4" xfId="13340"/>
    <cellStyle name="표준 3 7 2 2 2 3 3 4 2" xfId="30044"/>
    <cellStyle name="표준 3 7 2 2 2 3 3 5" xfId="18908"/>
    <cellStyle name="표준 3 7 2 2 2 3 4" xfId="3596"/>
    <cellStyle name="표준 3 7 2 2 2 3 4 2" xfId="9164"/>
    <cellStyle name="표준 3 7 2 2 2 3 4 2 2" xfId="25868"/>
    <cellStyle name="표준 3 7 2 2 2 3 4 3" xfId="14732"/>
    <cellStyle name="표준 3 7 2 2 2 3 4 3 2" xfId="31436"/>
    <cellStyle name="표준 3 7 2 2 2 3 4 4" xfId="20300"/>
    <cellStyle name="표준 3 7 2 2 2 3 5" xfId="6380"/>
    <cellStyle name="표준 3 7 2 2 2 3 5 2" xfId="23084"/>
    <cellStyle name="표준 3 7 2 2 2 3 6" xfId="11948"/>
    <cellStyle name="표준 3 7 2 2 2 3 6 2" xfId="28652"/>
    <cellStyle name="표준 3 7 2 2 2 3 7" xfId="17516"/>
    <cellStyle name="표준 3 7 2 2 2 4" xfId="1044"/>
    <cellStyle name="표준 3 7 2 2 2 4 2" xfId="2436"/>
    <cellStyle name="표준 3 7 2 2 2 4 2 2" xfId="5220"/>
    <cellStyle name="표준 3 7 2 2 2 4 2 2 2" xfId="10788"/>
    <cellStyle name="표준 3 7 2 2 2 4 2 2 2 2" xfId="27492"/>
    <cellStyle name="표준 3 7 2 2 2 4 2 2 3" xfId="16356"/>
    <cellStyle name="표준 3 7 2 2 2 4 2 2 3 2" xfId="33060"/>
    <cellStyle name="표준 3 7 2 2 2 4 2 2 4" xfId="21924"/>
    <cellStyle name="표준 3 7 2 2 2 4 2 3" xfId="8004"/>
    <cellStyle name="표준 3 7 2 2 2 4 2 3 2" xfId="24708"/>
    <cellStyle name="표준 3 7 2 2 2 4 2 4" xfId="13572"/>
    <cellStyle name="표준 3 7 2 2 2 4 2 4 2" xfId="30276"/>
    <cellStyle name="표준 3 7 2 2 2 4 2 5" xfId="19140"/>
    <cellStyle name="표준 3 7 2 2 2 4 3" xfId="3828"/>
    <cellStyle name="표준 3 7 2 2 2 4 3 2" xfId="9396"/>
    <cellStyle name="표준 3 7 2 2 2 4 3 2 2" xfId="26100"/>
    <cellStyle name="표준 3 7 2 2 2 4 3 3" xfId="14964"/>
    <cellStyle name="표준 3 7 2 2 2 4 3 3 2" xfId="31668"/>
    <cellStyle name="표준 3 7 2 2 2 4 3 4" xfId="20532"/>
    <cellStyle name="표준 3 7 2 2 2 4 4" xfId="6612"/>
    <cellStyle name="표준 3 7 2 2 2 4 4 2" xfId="23316"/>
    <cellStyle name="표준 3 7 2 2 2 4 5" xfId="12180"/>
    <cellStyle name="표준 3 7 2 2 2 4 5 2" xfId="28884"/>
    <cellStyle name="표준 3 7 2 2 2 4 6" xfId="17748"/>
    <cellStyle name="표준 3 7 2 2 2 5" xfId="1740"/>
    <cellStyle name="표준 3 7 2 2 2 5 2" xfId="4524"/>
    <cellStyle name="표준 3 7 2 2 2 5 2 2" xfId="10092"/>
    <cellStyle name="표준 3 7 2 2 2 5 2 2 2" xfId="26796"/>
    <cellStyle name="표준 3 7 2 2 2 5 2 3" xfId="15660"/>
    <cellStyle name="표준 3 7 2 2 2 5 2 3 2" xfId="32364"/>
    <cellStyle name="표준 3 7 2 2 2 5 2 4" xfId="21228"/>
    <cellStyle name="표준 3 7 2 2 2 5 3" xfId="7308"/>
    <cellStyle name="표준 3 7 2 2 2 5 3 2" xfId="24012"/>
    <cellStyle name="표준 3 7 2 2 2 5 4" xfId="12876"/>
    <cellStyle name="표준 3 7 2 2 2 5 4 2" xfId="29580"/>
    <cellStyle name="표준 3 7 2 2 2 5 5" xfId="18444"/>
    <cellStyle name="표준 3 7 2 2 2 6" xfId="3132"/>
    <cellStyle name="표준 3 7 2 2 2 6 2" xfId="8700"/>
    <cellStyle name="표준 3 7 2 2 2 6 2 2" xfId="25404"/>
    <cellStyle name="표준 3 7 2 2 2 6 3" xfId="14268"/>
    <cellStyle name="표준 3 7 2 2 2 6 3 2" xfId="30972"/>
    <cellStyle name="표준 3 7 2 2 2 6 4" xfId="19836"/>
    <cellStyle name="표준 3 7 2 2 2 7" xfId="5916"/>
    <cellStyle name="표준 3 7 2 2 2 7 2" xfId="22620"/>
    <cellStyle name="표준 3 7 2 2 2 8" xfId="11484"/>
    <cellStyle name="표준 3 7 2 2 2 8 2" xfId="28188"/>
    <cellStyle name="표준 3 7 2 2 2 9" xfId="17052"/>
    <cellStyle name="표준 3 7 2 2 3" xfId="464"/>
    <cellStyle name="표준 3 7 2 2 3 2" xfId="1160"/>
    <cellStyle name="표준 3 7 2 2 3 2 2" xfId="2552"/>
    <cellStyle name="표준 3 7 2 2 3 2 2 2" xfId="5336"/>
    <cellStyle name="표준 3 7 2 2 3 2 2 2 2" xfId="10904"/>
    <cellStyle name="표준 3 7 2 2 3 2 2 2 2 2" xfId="27608"/>
    <cellStyle name="표준 3 7 2 2 3 2 2 2 3" xfId="16472"/>
    <cellStyle name="표준 3 7 2 2 3 2 2 2 3 2" xfId="33176"/>
    <cellStyle name="표준 3 7 2 2 3 2 2 2 4" xfId="22040"/>
    <cellStyle name="표준 3 7 2 2 3 2 2 3" xfId="8120"/>
    <cellStyle name="표준 3 7 2 2 3 2 2 3 2" xfId="24824"/>
    <cellStyle name="표준 3 7 2 2 3 2 2 4" xfId="13688"/>
    <cellStyle name="표준 3 7 2 2 3 2 2 4 2" xfId="30392"/>
    <cellStyle name="표준 3 7 2 2 3 2 2 5" xfId="19256"/>
    <cellStyle name="표준 3 7 2 2 3 2 3" xfId="3944"/>
    <cellStyle name="표준 3 7 2 2 3 2 3 2" xfId="9512"/>
    <cellStyle name="표준 3 7 2 2 3 2 3 2 2" xfId="26216"/>
    <cellStyle name="표준 3 7 2 2 3 2 3 3" xfId="15080"/>
    <cellStyle name="표준 3 7 2 2 3 2 3 3 2" xfId="31784"/>
    <cellStyle name="표준 3 7 2 2 3 2 3 4" xfId="20648"/>
    <cellStyle name="표준 3 7 2 2 3 2 4" xfId="6728"/>
    <cellStyle name="표준 3 7 2 2 3 2 4 2" xfId="23432"/>
    <cellStyle name="표준 3 7 2 2 3 2 5" xfId="12296"/>
    <cellStyle name="표준 3 7 2 2 3 2 5 2" xfId="29000"/>
    <cellStyle name="표준 3 7 2 2 3 2 6" xfId="17864"/>
    <cellStyle name="표준 3 7 2 2 3 3" xfId="1856"/>
    <cellStyle name="표준 3 7 2 2 3 3 2" xfId="4640"/>
    <cellStyle name="표준 3 7 2 2 3 3 2 2" xfId="10208"/>
    <cellStyle name="표준 3 7 2 2 3 3 2 2 2" xfId="26912"/>
    <cellStyle name="표준 3 7 2 2 3 3 2 3" xfId="15776"/>
    <cellStyle name="표준 3 7 2 2 3 3 2 3 2" xfId="32480"/>
    <cellStyle name="표준 3 7 2 2 3 3 2 4" xfId="21344"/>
    <cellStyle name="표준 3 7 2 2 3 3 3" xfId="7424"/>
    <cellStyle name="표준 3 7 2 2 3 3 3 2" xfId="24128"/>
    <cellStyle name="표준 3 7 2 2 3 3 4" xfId="12992"/>
    <cellStyle name="표준 3 7 2 2 3 3 4 2" xfId="29696"/>
    <cellStyle name="표준 3 7 2 2 3 3 5" xfId="18560"/>
    <cellStyle name="표준 3 7 2 2 3 4" xfId="3248"/>
    <cellStyle name="표준 3 7 2 2 3 4 2" xfId="8816"/>
    <cellStyle name="표준 3 7 2 2 3 4 2 2" xfId="25520"/>
    <cellStyle name="표준 3 7 2 2 3 4 3" xfId="14384"/>
    <cellStyle name="표준 3 7 2 2 3 4 3 2" xfId="31088"/>
    <cellStyle name="표준 3 7 2 2 3 4 4" xfId="19952"/>
    <cellStyle name="표준 3 7 2 2 3 5" xfId="6032"/>
    <cellStyle name="표준 3 7 2 2 3 5 2" xfId="22736"/>
    <cellStyle name="표준 3 7 2 2 3 6" xfId="11600"/>
    <cellStyle name="표준 3 7 2 2 3 6 2" xfId="28304"/>
    <cellStyle name="표준 3 7 2 2 3 7" xfId="17168"/>
    <cellStyle name="표준 3 7 2 2 4" xfId="696"/>
    <cellStyle name="표준 3 7 2 2 4 2" xfId="1392"/>
    <cellStyle name="표준 3 7 2 2 4 2 2" xfId="2784"/>
    <cellStyle name="표준 3 7 2 2 4 2 2 2" xfId="5568"/>
    <cellStyle name="표준 3 7 2 2 4 2 2 2 2" xfId="11136"/>
    <cellStyle name="표준 3 7 2 2 4 2 2 2 2 2" xfId="27840"/>
    <cellStyle name="표준 3 7 2 2 4 2 2 2 3" xfId="16704"/>
    <cellStyle name="표준 3 7 2 2 4 2 2 2 3 2" xfId="33408"/>
    <cellStyle name="표준 3 7 2 2 4 2 2 2 4" xfId="22272"/>
    <cellStyle name="표준 3 7 2 2 4 2 2 3" xfId="8352"/>
    <cellStyle name="표준 3 7 2 2 4 2 2 3 2" xfId="25056"/>
    <cellStyle name="표준 3 7 2 2 4 2 2 4" xfId="13920"/>
    <cellStyle name="표준 3 7 2 2 4 2 2 4 2" xfId="30624"/>
    <cellStyle name="표준 3 7 2 2 4 2 2 5" xfId="19488"/>
    <cellStyle name="표준 3 7 2 2 4 2 3" xfId="4176"/>
    <cellStyle name="표준 3 7 2 2 4 2 3 2" xfId="9744"/>
    <cellStyle name="표준 3 7 2 2 4 2 3 2 2" xfId="26448"/>
    <cellStyle name="표준 3 7 2 2 4 2 3 3" xfId="15312"/>
    <cellStyle name="표준 3 7 2 2 4 2 3 3 2" xfId="32016"/>
    <cellStyle name="표준 3 7 2 2 4 2 3 4" xfId="20880"/>
    <cellStyle name="표준 3 7 2 2 4 2 4" xfId="6960"/>
    <cellStyle name="표준 3 7 2 2 4 2 4 2" xfId="23664"/>
    <cellStyle name="표준 3 7 2 2 4 2 5" xfId="12528"/>
    <cellStyle name="표준 3 7 2 2 4 2 5 2" xfId="29232"/>
    <cellStyle name="표준 3 7 2 2 4 2 6" xfId="18096"/>
    <cellStyle name="표준 3 7 2 2 4 3" xfId="2088"/>
    <cellStyle name="표준 3 7 2 2 4 3 2" xfId="4872"/>
    <cellStyle name="표준 3 7 2 2 4 3 2 2" xfId="10440"/>
    <cellStyle name="표준 3 7 2 2 4 3 2 2 2" xfId="27144"/>
    <cellStyle name="표준 3 7 2 2 4 3 2 3" xfId="16008"/>
    <cellStyle name="표준 3 7 2 2 4 3 2 3 2" xfId="32712"/>
    <cellStyle name="표준 3 7 2 2 4 3 2 4" xfId="21576"/>
    <cellStyle name="표준 3 7 2 2 4 3 3" xfId="7656"/>
    <cellStyle name="표준 3 7 2 2 4 3 3 2" xfId="24360"/>
    <cellStyle name="표준 3 7 2 2 4 3 4" xfId="13224"/>
    <cellStyle name="표준 3 7 2 2 4 3 4 2" xfId="29928"/>
    <cellStyle name="표준 3 7 2 2 4 3 5" xfId="18792"/>
    <cellStyle name="표준 3 7 2 2 4 4" xfId="3480"/>
    <cellStyle name="표준 3 7 2 2 4 4 2" xfId="9048"/>
    <cellStyle name="표준 3 7 2 2 4 4 2 2" xfId="25752"/>
    <cellStyle name="표준 3 7 2 2 4 4 3" xfId="14616"/>
    <cellStyle name="표준 3 7 2 2 4 4 3 2" xfId="31320"/>
    <cellStyle name="표준 3 7 2 2 4 4 4" xfId="20184"/>
    <cellStyle name="표준 3 7 2 2 4 5" xfId="6264"/>
    <cellStyle name="표준 3 7 2 2 4 5 2" xfId="22968"/>
    <cellStyle name="표준 3 7 2 2 4 6" xfId="11832"/>
    <cellStyle name="표준 3 7 2 2 4 6 2" xfId="28536"/>
    <cellStyle name="표준 3 7 2 2 4 7" xfId="17400"/>
    <cellStyle name="표준 3 7 2 2 5" xfId="928"/>
    <cellStyle name="표준 3 7 2 2 5 2" xfId="2320"/>
    <cellStyle name="표준 3 7 2 2 5 2 2" xfId="5104"/>
    <cellStyle name="표준 3 7 2 2 5 2 2 2" xfId="10672"/>
    <cellStyle name="표준 3 7 2 2 5 2 2 2 2" xfId="27376"/>
    <cellStyle name="표준 3 7 2 2 5 2 2 3" xfId="16240"/>
    <cellStyle name="표준 3 7 2 2 5 2 2 3 2" xfId="32944"/>
    <cellStyle name="표준 3 7 2 2 5 2 2 4" xfId="21808"/>
    <cellStyle name="표준 3 7 2 2 5 2 3" xfId="7888"/>
    <cellStyle name="표준 3 7 2 2 5 2 3 2" xfId="24592"/>
    <cellStyle name="표준 3 7 2 2 5 2 4" xfId="13456"/>
    <cellStyle name="표준 3 7 2 2 5 2 4 2" xfId="30160"/>
    <cellStyle name="표준 3 7 2 2 5 2 5" xfId="19024"/>
    <cellStyle name="표준 3 7 2 2 5 3" xfId="3712"/>
    <cellStyle name="표준 3 7 2 2 5 3 2" xfId="9280"/>
    <cellStyle name="표준 3 7 2 2 5 3 2 2" xfId="25984"/>
    <cellStyle name="표준 3 7 2 2 5 3 3" xfId="14848"/>
    <cellStyle name="표준 3 7 2 2 5 3 3 2" xfId="31552"/>
    <cellStyle name="표준 3 7 2 2 5 3 4" xfId="20416"/>
    <cellStyle name="표준 3 7 2 2 5 4" xfId="6496"/>
    <cellStyle name="표준 3 7 2 2 5 4 2" xfId="23200"/>
    <cellStyle name="표준 3 7 2 2 5 5" xfId="12064"/>
    <cellStyle name="표준 3 7 2 2 5 5 2" xfId="28768"/>
    <cellStyle name="표준 3 7 2 2 5 6" xfId="17632"/>
    <cellStyle name="표준 3 7 2 2 6" xfId="1624"/>
    <cellStyle name="표준 3 7 2 2 6 2" xfId="4408"/>
    <cellStyle name="표준 3 7 2 2 6 2 2" xfId="9976"/>
    <cellStyle name="표준 3 7 2 2 6 2 2 2" xfId="26680"/>
    <cellStyle name="표준 3 7 2 2 6 2 3" xfId="15544"/>
    <cellStyle name="표준 3 7 2 2 6 2 3 2" xfId="32248"/>
    <cellStyle name="표준 3 7 2 2 6 2 4" xfId="21112"/>
    <cellStyle name="표준 3 7 2 2 6 3" xfId="7192"/>
    <cellStyle name="표준 3 7 2 2 6 3 2" xfId="23896"/>
    <cellStyle name="표준 3 7 2 2 6 4" xfId="12760"/>
    <cellStyle name="표준 3 7 2 2 6 4 2" xfId="29464"/>
    <cellStyle name="표준 3 7 2 2 6 5" xfId="18328"/>
    <cellStyle name="표준 3 7 2 2 7" xfId="3016"/>
    <cellStyle name="표준 3 7 2 2 7 2" xfId="8584"/>
    <cellStyle name="표준 3 7 2 2 7 2 2" xfId="25288"/>
    <cellStyle name="표준 3 7 2 2 7 3" xfId="14152"/>
    <cellStyle name="표준 3 7 2 2 7 3 2" xfId="30856"/>
    <cellStyle name="표준 3 7 2 2 7 4" xfId="19720"/>
    <cellStyle name="표준 3 7 2 2 8" xfId="5800"/>
    <cellStyle name="표준 3 7 2 2 8 2" xfId="22504"/>
    <cellStyle name="표준 3 7 2 2 9" xfId="11368"/>
    <cellStyle name="표준 3 7 2 2 9 2" xfId="28072"/>
    <cellStyle name="표준 3 7 2 3" xfId="290"/>
    <cellStyle name="표준 3 7 2 3 2" xfId="522"/>
    <cellStyle name="표준 3 7 2 3 2 2" xfId="1218"/>
    <cellStyle name="표준 3 7 2 3 2 2 2" xfId="2610"/>
    <cellStyle name="표준 3 7 2 3 2 2 2 2" xfId="5394"/>
    <cellStyle name="표준 3 7 2 3 2 2 2 2 2" xfId="10962"/>
    <cellStyle name="표준 3 7 2 3 2 2 2 2 2 2" xfId="27666"/>
    <cellStyle name="표준 3 7 2 3 2 2 2 2 3" xfId="16530"/>
    <cellStyle name="표준 3 7 2 3 2 2 2 2 3 2" xfId="33234"/>
    <cellStyle name="표준 3 7 2 3 2 2 2 2 4" xfId="22098"/>
    <cellStyle name="표준 3 7 2 3 2 2 2 3" xfId="8178"/>
    <cellStyle name="표준 3 7 2 3 2 2 2 3 2" xfId="24882"/>
    <cellStyle name="표준 3 7 2 3 2 2 2 4" xfId="13746"/>
    <cellStyle name="표준 3 7 2 3 2 2 2 4 2" xfId="30450"/>
    <cellStyle name="표준 3 7 2 3 2 2 2 5" xfId="19314"/>
    <cellStyle name="표준 3 7 2 3 2 2 3" xfId="4002"/>
    <cellStyle name="표준 3 7 2 3 2 2 3 2" xfId="9570"/>
    <cellStyle name="표준 3 7 2 3 2 2 3 2 2" xfId="26274"/>
    <cellStyle name="표준 3 7 2 3 2 2 3 3" xfId="15138"/>
    <cellStyle name="표준 3 7 2 3 2 2 3 3 2" xfId="31842"/>
    <cellStyle name="표준 3 7 2 3 2 2 3 4" xfId="20706"/>
    <cellStyle name="표준 3 7 2 3 2 2 4" xfId="6786"/>
    <cellStyle name="표준 3 7 2 3 2 2 4 2" xfId="23490"/>
    <cellStyle name="표준 3 7 2 3 2 2 5" xfId="12354"/>
    <cellStyle name="표준 3 7 2 3 2 2 5 2" xfId="29058"/>
    <cellStyle name="표준 3 7 2 3 2 2 6" xfId="17922"/>
    <cellStyle name="표준 3 7 2 3 2 3" xfId="1914"/>
    <cellStyle name="표준 3 7 2 3 2 3 2" xfId="4698"/>
    <cellStyle name="표준 3 7 2 3 2 3 2 2" xfId="10266"/>
    <cellStyle name="표준 3 7 2 3 2 3 2 2 2" xfId="26970"/>
    <cellStyle name="표준 3 7 2 3 2 3 2 3" xfId="15834"/>
    <cellStyle name="표준 3 7 2 3 2 3 2 3 2" xfId="32538"/>
    <cellStyle name="표준 3 7 2 3 2 3 2 4" xfId="21402"/>
    <cellStyle name="표준 3 7 2 3 2 3 3" xfId="7482"/>
    <cellStyle name="표준 3 7 2 3 2 3 3 2" xfId="24186"/>
    <cellStyle name="표준 3 7 2 3 2 3 4" xfId="13050"/>
    <cellStyle name="표준 3 7 2 3 2 3 4 2" xfId="29754"/>
    <cellStyle name="표준 3 7 2 3 2 3 5" xfId="18618"/>
    <cellStyle name="표준 3 7 2 3 2 4" xfId="3306"/>
    <cellStyle name="표준 3 7 2 3 2 4 2" xfId="8874"/>
    <cellStyle name="표준 3 7 2 3 2 4 2 2" xfId="25578"/>
    <cellStyle name="표준 3 7 2 3 2 4 3" xfId="14442"/>
    <cellStyle name="표준 3 7 2 3 2 4 3 2" xfId="31146"/>
    <cellStyle name="표준 3 7 2 3 2 4 4" xfId="20010"/>
    <cellStyle name="표준 3 7 2 3 2 5" xfId="6090"/>
    <cellStyle name="표준 3 7 2 3 2 5 2" xfId="22794"/>
    <cellStyle name="표준 3 7 2 3 2 6" xfId="11658"/>
    <cellStyle name="표준 3 7 2 3 2 6 2" xfId="28362"/>
    <cellStyle name="표준 3 7 2 3 2 7" xfId="17226"/>
    <cellStyle name="표준 3 7 2 3 3" xfId="754"/>
    <cellStyle name="표준 3 7 2 3 3 2" xfId="1450"/>
    <cellStyle name="표준 3 7 2 3 3 2 2" xfId="2842"/>
    <cellStyle name="표준 3 7 2 3 3 2 2 2" xfId="5626"/>
    <cellStyle name="표준 3 7 2 3 3 2 2 2 2" xfId="11194"/>
    <cellStyle name="표준 3 7 2 3 3 2 2 2 2 2" xfId="27898"/>
    <cellStyle name="표준 3 7 2 3 3 2 2 2 3" xfId="16762"/>
    <cellStyle name="표준 3 7 2 3 3 2 2 2 3 2" xfId="33466"/>
    <cellStyle name="표준 3 7 2 3 3 2 2 2 4" xfId="22330"/>
    <cellStyle name="표준 3 7 2 3 3 2 2 3" xfId="8410"/>
    <cellStyle name="표준 3 7 2 3 3 2 2 3 2" xfId="25114"/>
    <cellStyle name="표준 3 7 2 3 3 2 2 4" xfId="13978"/>
    <cellStyle name="표준 3 7 2 3 3 2 2 4 2" xfId="30682"/>
    <cellStyle name="표준 3 7 2 3 3 2 2 5" xfId="19546"/>
    <cellStyle name="표준 3 7 2 3 3 2 3" xfId="4234"/>
    <cellStyle name="표준 3 7 2 3 3 2 3 2" xfId="9802"/>
    <cellStyle name="표준 3 7 2 3 3 2 3 2 2" xfId="26506"/>
    <cellStyle name="표준 3 7 2 3 3 2 3 3" xfId="15370"/>
    <cellStyle name="표준 3 7 2 3 3 2 3 3 2" xfId="32074"/>
    <cellStyle name="표준 3 7 2 3 3 2 3 4" xfId="20938"/>
    <cellStyle name="표준 3 7 2 3 3 2 4" xfId="7018"/>
    <cellStyle name="표준 3 7 2 3 3 2 4 2" xfId="23722"/>
    <cellStyle name="표준 3 7 2 3 3 2 5" xfId="12586"/>
    <cellStyle name="표준 3 7 2 3 3 2 5 2" xfId="29290"/>
    <cellStyle name="표준 3 7 2 3 3 2 6" xfId="18154"/>
    <cellStyle name="표준 3 7 2 3 3 3" xfId="2146"/>
    <cellStyle name="표준 3 7 2 3 3 3 2" xfId="4930"/>
    <cellStyle name="표준 3 7 2 3 3 3 2 2" xfId="10498"/>
    <cellStyle name="표준 3 7 2 3 3 3 2 2 2" xfId="27202"/>
    <cellStyle name="표준 3 7 2 3 3 3 2 3" xfId="16066"/>
    <cellStyle name="표준 3 7 2 3 3 3 2 3 2" xfId="32770"/>
    <cellStyle name="표준 3 7 2 3 3 3 2 4" xfId="21634"/>
    <cellStyle name="표준 3 7 2 3 3 3 3" xfId="7714"/>
    <cellStyle name="표준 3 7 2 3 3 3 3 2" xfId="24418"/>
    <cellStyle name="표준 3 7 2 3 3 3 4" xfId="13282"/>
    <cellStyle name="표준 3 7 2 3 3 3 4 2" xfId="29986"/>
    <cellStyle name="표준 3 7 2 3 3 3 5" xfId="18850"/>
    <cellStyle name="표준 3 7 2 3 3 4" xfId="3538"/>
    <cellStyle name="표준 3 7 2 3 3 4 2" xfId="9106"/>
    <cellStyle name="표준 3 7 2 3 3 4 2 2" xfId="25810"/>
    <cellStyle name="표준 3 7 2 3 3 4 3" xfId="14674"/>
    <cellStyle name="표준 3 7 2 3 3 4 3 2" xfId="31378"/>
    <cellStyle name="표준 3 7 2 3 3 4 4" xfId="20242"/>
    <cellStyle name="표준 3 7 2 3 3 5" xfId="6322"/>
    <cellStyle name="표준 3 7 2 3 3 5 2" xfId="23026"/>
    <cellStyle name="표준 3 7 2 3 3 6" xfId="11890"/>
    <cellStyle name="표준 3 7 2 3 3 6 2" xfId="28594"/>
    <cellStyle name="표준 3 7 2 3 3 7" xfId="17458"/>
    <cellStyle name="표준 3 7 2 3 4" xfId="986"/>
    <cellStyle name="표준 3 7 2 3 4 2" xfId="2378"/>
    <cellStyle name="표준 3 7 2 3 4 2 2" xfId="5162"/>
    <cellStyle name="표준 3 7 2 3 4 2 2 2" xfId="10730"/>
    <cellStyle name="표준 3 7 2 3 4 2 2 2 2" xfId="27434"/>
    <cellStyle name="표준 3 7 2 3 4 2 2 3" xfId="16298"/>
    <cellStyle name="표준 3 7 2 3 4 2 2 3 2" xfId="33002"/>
    <cellStyle name="표준 3 7 2 3 4 2 2 4" xfId="21866"/>
    <cellStyle name="표준 3 7 2 3 4 2 3" xfId="7946"/>
    <cellStyle name="표준 3 7 2 3 4 2 3 2" xfId="24650"/>
    <cellStyle name="표준 3 7 2 3 4 2 4" xfId="13514"/>
    <cellStyle name="표준 3 7 2 3 4 2 4 2" xfId="30218"/>
    <cellStyle name="표준 3 7 2 3 4 2 5" xfId="19082"/>
    <cellStyle name="표준 3 7 2 3 4 3" xfId="3770"/>
    <cellStyle name="표준 3 7 2 3 4 3 2" xfId="9338"/>
    <cellStyle name="표준 3 7 2 3 4 3 2 2" xfId="26042"/>
    <cellStyle name="표준 3 7 2 3 4 3 3" xfId="14906"/>
    <cellStyle name="표준 3 7 2 3 4 3 3 2" xfId="31610"/>
    <cellStyle name="표준 3 7 2 3 4 3 4" xfId="20474"/>
    <cellStyle name="표준 3 7 2 3 4 4" xfId="6554"/>
    <cellStyle name="표준 3 7 2 3 4 4 2" xfId="23258"/>
    <cellStyle name="표준 3 7 2 3 4 5" xfId="12122"/>
    <cellStyle name="표준 3 7 2 3 4 5 2" xfId="28826"/>
    <cellStyle name="표준 3 7 2 3 4 6" xfId="17690"/>
    <cellStyle name="표준 3 7 2 3 5" xfId="1682"/>
    <cellStyle name="표준 3 7 2 3 5 2" xfId="4466"/>
    <cellStyle name="표준 3 7 2 3 5 2 2" xfId="10034"/>
    <cellStyle name="표준 3 7 2 3 5 2 2 2" xfId="26738"/>
    <cellStyle name="표준 3 7 2 3 5 2 3" xfId="15602"/>
    <cellStyle name="표준 3 7 2 3 5 2 3 2" xfId="32306"/>
    <cellStyle name="표준 3 7 2 3 5 2 4" xfId="21170"/>
    <cellStyle name="표준 3 7 2 3 5 3" xfId="7250"/>
    <cellStyle name="표준 3 7 2 3 5 3 2" xfId="23954"/>
    <cellStyle name="표준 3 7 2 3 5 4" xfId="12818"/>
    <cellStyle name="표준 3 7 2 3 5 4 2" xfId="29522"/>
    <cellStyle name="표준 3 7 2 3 5 5" xfId="18386"/>
    <cellStyle name="표준 3 7 2 3 6" xfId="3074"/>
    <cellStyle name="표준 3 7 2 3 6 2" xfId="8642"/>
    <cellStyle name="표준 3 7 2 3 6 2 2" xfId="25346"/>
    <cellStyle name="표준 3 7 2 3 6 3" xfId="14210"/>
    <cellStyle name="표준 3 7 2 3 6 3 2" xfId="30914"/>
    <cellStyle name="표준 3 7 2 3 6 4" xfId="19778"/>
    <cellStyle name="표준 3 7 2 3 7" xfId="5858"/>
    <cellStyle name="표준 3 7 2 3 7 2" xfId="22562"/>
    <cellStyle name="표준 3 7 2 3 8" xfId="11426"/>
    <cellStyle name="표준 3 7 2 3 8 2" xfId="28130"/>
    <cellStyle name="표준 3 7 2 3 9" xfId="16994"/>
    <cellStyle name="표준 3 7 2 4" xfId="406"/>
    <cellStyle name="표준 3 7 2 4 2" xfId="1102"/>
    <cellStyle name="표준 3 7 2 4 2 2" xfId="2494"/>
    <cellStyle name="표준 3 7 2 4 2 2 2" xfId="5278"/>
    <cellStyle name="표준 3 7 2 4 2 2 2 2" xfId="10846"/>
    <cellStyle name="표준 3 7 2 4 2 2 2 2 2" xfId="27550"/>
    <cellStyle name="표준 3 7 2 4 2 2 2 3" xfId="16414"/>
    <cellStyle name="표준 3 7 2 4 2 2 2 3 2" xfId="33118"/>
    <cellStyle name="표준 3 7 2 4 2 2 2 4" xfId="21982"/>
    <cellStyle name="표준 3 7 2 4 2 2 3" xfId="8062"/>
    <cellStyle name="표준 3 7 2 4 2 2 3 2" xfId="24766"/>
    <cellStyle name="표준 3 7 2 4 2 2 4" xfId="13630"/>
    <cellStyle name="표준 3 7 2 4 2 2 4 2" xfId="30334"/>
    <cellStyle name="표준 3 7 2 4 2 2 5" xfId="19198"/>
    <cellStyle name="표준 3 7 2 4 2 3" xfId="3886"/>
    <cellStyle name="표준 3 7 2 4 2 3 2" xfId="9454"/>
    <cellStyle name="표준 3 7 2 4 2 3 2 2" xfId="26158"/>
    <cellStyle name="표준 3 7 2 4 2 3 3" xfId="15022"/>
    <cellStyle name="표준 3 7 2 4 2 3 3 2" xfId="31726"/>
    <cellStyle name="표준 3 7 2 4 2 3 4" xfId="20590"/>
    <cellStyle name="표준 3 7 2 4 2 4" xfId="6670"/>
    <cellStyle name="표준 3 7 2 4 2 4 2" xfId="23374"/>
    <cellStyle name="표준 3 7 2 4 2 5" xfId="12238"/>
    <cellStyle name="표준 3 7 2 4 2 5 2" xfId="28942"/>
    <cellStyle name="표준 3 7 2 4 2 6" xfId="17806"/>
    <cellStyle name="표준 3 7 2 4 3" xfId="1798"/>
    <cellStyle name="표준 3 7 2 4 3 2" xfId="4582"/>
    <cellStyle name="표준 3 7 2 4 3 2 2" xfId="10150"/>
    <cellStyle name="표준 3 7 2 4 3 2 2 2" xfId="26854"/>
    <cellStyle name="표준 3 7 2 4 3 2 3" xfId="15718"/>
    <cellStyle name="표준 3 7 2 4 3 2 3 2" xfId="32422"/>
    <cellStyle name="표준 3 7 2 4 3 2 4" xfId="21286"/>
    <cellStyle name="표준 3 7 2 4 3 3" xfId="7366"/>
    <cellStyle name="표준 3 7 2 4 3 3 2" xfId="24070"/>
    <cellStyle name="표준 3 7 2 4 3 4" xfId="12934"/>
    <cellStyle name="표준 3 7 2 4 3 4 2" xfId="29638"/>
    <cellStyle name="표준 3 7 2 4 3 5" xfId="18502"/>
    <cellStyle name="표준 3 7 2 4 4" xfId="3190"/>
    <cellStyle name="표준 3 7 2 4 4 2" xfId="8758"/>
    <cellStyle name="표준 3 7 2 4 4 2 2" xfId="25462"/>
    <cellStyle name="표준 3 7 2 4 4 3" xfId="14326"/>
    <cellStyle name="표준 3 7 2 4 4 3 2" xfId="31030"/>
    <cellStyle name="표준 3 7 2 4 4 4" xfId="19894"/>
    <cellStyle name="표준 3 7 2 4 5" xfId="5974"/>
    <cellStyle name="표준 3 7 2 4 5 2" xfId="22678"/>
    <cellStyle name="표준 3 7 2 4 6" xfId="11542"/>
    <cellStyle name="표준 3 7 2 4 6 2" xfId="28246"/>
    <cellStyle name="표준 3 7 2 4 7" xfId="17110"/>
    <cellStyle name="표준 3 7 2 5" xfId="638"/>
    <cellStyle name="표준 3 7 2 5 2" xfId="1334"/>
    <cellStyle name="표준 3 7 2 5 2 2" xfId="2726"/>
    <cellStyle name="표준 3 7 2 5 2 2 2" xfId="5510"/>
    <cellStyle name="표준 3 7 2 5 2 2 2 2" xfId="11078"/>
    <cellStyle name="표준 3 7 2 5 2 2 2 2 2" xfId="27782"/>
    <cellStyle name="표준 3 7 2 5 2 2 2 3" xfId="16646"/>
    <cellStyle name="표준 3 7 2 5 2 2 2 3 2" xfId="33350"/>
    <cellStyle name="표준 3 7 2 5 2 2 2 4" xfId="22214"/>
    <cellStyle name="표준 3 7 2 5 2 2 3" xfId="8294"/>
    <cellStyle name="표준 3 7 2 5 2 2 3 2" xfId="24998"/>
    <cellStyle name="표준 3 7 2 5 2 2 4" xfId="13862"/>
    <cellStyle name="표준 3 7 2 5 2 2 4 2" xfId="30566"/>
    <cellStyle name="표준 3 7 2 5 2 2 5" xfId="19430"/>
    <cellStyle name="표준 3 7 2 5 2 3" xfId="4118"/>
    <cellStyle name="표준 3 7 2 5 2 3 2" xfId="9686"/>
    <cellStyle name="표준 3 7 2 5 2 3 2 2" xfId="26390"/>
    <cellStyle name="표준 3 7 2 5 2 3 3" xfId="15254"/>
    <cellStyle name="표준 3 7 2 5 2 3 3 2" xfId="31958"/>
    <cellStyle name="표준 3 7 2 5 2 3 4" xfId="20822"/>
    <cellStyle name="표준 3 7 2 5 2 4" xfId="6902"/>
    <cellStyle name="표준 3 7 2 5 2 4 2" xfId="23606"/>
    <cellStyle name="표준 3 7 2 5 2 5" xfId="12470"/>
    <cellStyle name="표준 3 7 2 5 2 5 2" xfId="29174"/>
    <cellStyle name="표준 3 7 2 5 2 6" xfId="18038"/>
    <cellStyle name="표준 3 7 2 5 3" xfId="2030"/>
    <cellStyle name="표준 3 7 2 5 3 2" xfId="4814"/>
    <cellStyle name="표준 3 7 2 5 3 2 2" xfId="10382"/>
    <cellStyle name="표준 3 7 2 5 3 2 2 2" xfId="27086"/>
    <cellStyle name="표준 3 7 2 5 3 2 3" xfId="15950"/>
    <cellStyle name="표준 3 7 2 5 3 2 3 2" xfId="32654"/>
    <cellStyle name="표준 3 7 2 5 3 2 4" xfId="21518"/>
    <cellStyle name="표준 3 7 2 5 3 3" xfId="7598"/>
    <cellStyle name="표준 3 7 2 5 3 3 2" xfId="24302"/>
    <cellStyle name="표준 3 7 2 5 3 4" xfId="13166"/>
    <cellStyle name="표준 3 7 2 5 3 4 2" xfId="29870"/>
    <cellStyle name="표준 3 7 2 5 3 5" xfId="18734"/>
    <cellStyle name="표준 3 7 2 5 4" xfId="3422"/>
    <cellStyle name="표준 3 7 2 5 4 2" xfId="8990"/>
    <cellStyle name="표준 3 7 2 5 4 2 2" xfId="25694"/>
    <cellStyle name="표준 3 7 2 5 4 3" xfId="14558"/>
    <cellStyle name="표준 3 7 2 5 4 3 2" xfId="31262"/>
    <cellStyle name="표준 3 7 2 5 4 4" xfId="20126"/>
    <cellStyle name="표준 3 7 2 5 5" xfId="6206"/>
    <cellStyle name="표준 3 7 2 5 5 2" xfId="22910"/>
    <cellStyle name="표준 3 7 2 5 6" xfId="11774"/>
    <cellStyle name="표준 3 7 2 5 6 2" xfId="28478"/>
    <cellStyle name="표준 3 7 2 5 7" xfId="17342"/>
    <cellStyle name="표준 3 7 2 6" xfId="870"/>
    <cellStyle name="표준 3 7 2 6 2" xfId="2262"/>
    <cellStyle name="표준 3 7 2 6 2 2" xfId="5046"/>
    <cellStyle name="표준 3 7 2 6 2 2 2" xfId="10614"/>
    <cellStyle name="표준 3 7 2 6 2 2 2 2" xfId="27318"/>
    <cellStyle name="표준 3 7 2 6 2 2 3" xfId="16182"/>
    <cellStyle name="표준 3 7 2 6 2 2 3 2" xfId="32886"/>
    <cellStyle name="표준 3 7 2 6 2 2 4" xfId="21750"/>
    <cellStyle name="표준 3 7 2 6 2 3" xfId="7830"/>
    <cellStyle name="표준 3 7 2 6 2 3 2" xfId="24534"/>
    <cellStyle name="표준 3 7 2 6 2 4" xfId="13398"/>
    <cellStyle name="표준 3 7 2 6 2 4 2" xfId="30102"/>
    <cellStyle name="표준 3 7 2 6 2 5" xfId="18966"/>
    <cellStyle name="표준 3 7 2 6 3" xfId="3654"/>
    <cellStyle name="표준 3 7 2 6 3 2" xfId="9222"/>
    <cellStyle name="표준 3 7 2 6 3 2 2" xfId="25926"/>
    <cellStyle name="표준 3 7 2 6 3 3" xfId="14790"/>
    <cellStyle name="표준 3 7 2 6 3 3 2" xfId="31494"/>
    <cellStyle name="표준 3 7 2 6 3 4" xfId="20358"/>
    <cellStyle name="표준 3 7 2 6 4" xfId="6438"/>
    <cellStyle name="표준 3 7 2 6 4 2" xfId="23142"/>
    <cellStyle name="표준 3 7 2 6 5" xfId="12006"/>
    <cellStyle name="표준 3 7 2 6 5 2" xfId="28710"/>
    <cellStyle name="표준 3 7 2 6 6" xfId="17574"/>
    <cellStyle name="표준 3 7 2 7" xfId="1566"/>
    <cellStyle name="표준 3 7 2 7 2" xfId="4350"/>
    <cellStyle name="표준 3 7 2 7 2 2" xfId="9918"/>
    <cellStyle name="표준 3 7 2 7 2 2 2" xfId="26622"/>
    <cellStyle name="표준 3 7 2 7 2 3" xfId="15486"/>
    <cellStyle name="표준 3 7 2 7 2 3 2" xfId="32190"/>
    <cellStyle name="표준 3 7 2 7 2 4" xfId="21054"/>
    <cellStyle name="표준 3 7 2 7 3" xfId="7134"/>
    <cellStyle name="표준 3 7 2 7 3 2" xfId="23838"/>
    <cellStyle name="표준 3 7 2 7 4" xfId="12702"/>
    <cellStyle name="표준 3 7 2 7 4 2" xfId="29406"/>
    <cellStyle name="표준 3 7 2 7 5" xfId="18270"/>
    <cellStyle name="표준 3 7 2 8" xfId="2958"/>
    <cellStyle name="표준 3 7 2 8 2" xfId="8526"/>
    <cellStyle name="표준 3 7 2 8 2 2" xfId="25230"/>
    <cellStyle name="표준 3 7 2 8 3" xfId="14094"/>
    <cellStyle name="표준 3 7 2 8 3 2" xfId="30798"/>
    <cellStyle name="표준 3 7 2 8 4" xfId="19662"/>
    <cellStyle name="표준 3 7 2 9" xfId="5742"/>
    <cellStyle name="표준 3 7 2 9 2" xfId="22446"/>
    <cellStyle name="표준 3 7 3" xfId="203"/>
    <cellStyle name="표준 3 7 3 10" xfId="16907"/>
    <cellStyle name="표준 3 7 3 2" xfId="319"/>
    <cellStyle name="표준 3 7 3 2 2" xfId="551"/>
    <cellStyle name="표준 3 7 3 2 2 2" xfId="1247"/>
    <cellStyle name="표준 3 7 3 2 2 2 2" xfId="2639"/>
    <cellStyle name="표준 3 7 3 2 2 2 2 2" xfId="5423"/>
    <cellStyle name="표준 3 7 3 2 2 2 2 2 2" xfId="10991"/>
    <cellStyle name="표준 3 7 3 2 2 2 2 2 2 2" xfId="27695"/>
    <cellStyle name="표준 3 7 3 2 2 2 2 2 3" xfId="16559"/>
    <cellStyle name="표준 3 7 3 2 2 2 2 2 3 2" xfId="33263"/>
    <cellStyle name="표준 3 7 3 2 2 2 2 2 4" xfId="22127"/>
    <cellStyle name="표준 3 7 3 2 2 2 2 3" xfId="8207"/>
    <cellStyle name="표준 3 7 3 2 2 2 2 3 2" xfId="24911"/>
    <cellStyle name="표준 3 7 3 2 2 2 2 4" xfId="13775"/>
    <cellStyle name="표준 3 7 3 2 2 2 2 4 2" xfId="30479"/>
    <cellStyle name="표준 3 7 3 2 2 2 2 5" xfId="19343"/>
    <cellStyle name="표준 3 7 3 2 2 2 3" xfId="4031"/>
    <cellStyle name="표준 3 7 3 2 2 2 3 2" xfId="9599"/>
    <cellStyle name="표준 3 7 3 2 2 2 3 2 2" xfId="26303"/>
    <cellStyle name="표준 3 7 3 2 2 2 3 3" xfId="15167"/>
    <cellStyle name="표준 3 7 3 2 2 2 3 3 2" xfId="31871"/>
    <cellStyle name="표준 3 7 3 2 2 2 3 4" xfId="20735"/>
    <cellStyle name="표준 3 7 3 2 2 2 4" xfId="6815"/>
    <cellStyle name="표준 3 7 3 2 2 2 4 2" xfId="23519"/>
    <cellStyle name="표준 3 7 3 2 2 2 5" xfId="12383"/>
    <cellStyle name="표준 3 7 3 2 2 2 5 2" xfId="29087"/>
    <cellStyle name="표준 3 7 3 2 2 2 6" xfId="17951"/>
    <cellStyle name="표준 3 7 3 2 2 3" xfId="1943"/>
    <cellStyle name="표준 3 7 3 2 2 3 2" xfId="4727"/>
    <cellStyle name="표준 3 7 3 2 2 3 2 2" xfId="10295"/>
    <cellStyle name="표준 3 7 3 2 2 3 2 2 2" xfId="26999"/>
    <cellStyle name="표준 3 7 3 2 2 3 2 3" xfId="15863"/>
    <cellStyle name="표준 3 7 3 2 2 3 2 3 2" xfId="32567"/>
    <cellStyle name="표준 3 7 3 2 2 3 2 4" xfId="21431"/>
    <cellStyle name="표준 3 7 3 2 2 3 3" xfId="7511"/>
    <cellStyle name="표준 3 7 3 2 2 3 3 2" xfId="24215"/>
    <cellStyle name="표준 3 7 3 2 2 3 4" xfId="13079"/>
    <cellStyle name="표준 3 7 3 2 2 3 4 2" xfId="29783"/>
    <cellStyle name="표준 3 7 3 2 2 3 5" xfId="18647"/>
    <cellStyle name="표준 3 7 3 2 2 4" xfId="3335"/>
    <cellStyle name="표준 3 7 3 2 2 4 2" xfId="8903"/>
    <cellStyle name="표준 3 7 3 2 2 4 2 2" xfId="25607"/>
    <cellStyle name="표준 3 7 3 2 2 4 3" xfId="14471"/>
    <cellStyle name="표준 3 7 3 2 2 4 3 2" xfId="31175"/>
    <cellStyle name="표준 3 7 3 2 2 4 4" xfId="20039"/>
    <cellStyle name="표준 3 7 3 2 2 5" xfId="6119"/>
    <cellStyle name="표준 3 7 3 2 2 5 2" xfId="22823"/>
    <cellStyle name="표준 3 7 3 2 2 6" xfId="11687"/>
    <cellStyle name="표준 3 7 3 2 2 6 2" xfId="28391"/>
    <cellStyle name="표준 3 7 3 2 2 7" xfId="17255"/>
    <cellStyle name="표준 3 7 3 2 3" xfId="783"/>
    <cellStyle name="표준 3 7 3 2 3 2" xfId="1479"/>
    <cellStyle name="표준 3 7 3 2 3 2 2" xfId="2871"/>
    <cellStyle name="표준 3 7 3 2 3 2 2 2" xfId="5655"/>
    <cellStyle name="표준 3 7 3 2 3 2 2 2 2" xfId="11223"/>
    <cellStyle name="표준 3 7 3 2 3 2 2 2 2 2" xfId="27927"/>
    <cellStyle name="표준 3 7 3 2 3 2 2 2 3" xfId="16791"/>
    <cellStyle name="표준 3 7 3 2 3 2 2 2 3 2" xfId="33495"/>
    <cellStyle name="표준 3 7 3 2 3 2 2 2 4" xfId="22359"/>
    <cellStyle name="표준 3 7 3 2 3 2 2 3" xfId="8439"/>
    <cellStyle name="표준 3 7 3 2 3 2 2 3 2" xfId="25143"/>
    <cellStyle name="표준 3 7 3 2 3 2 2 4" xfId="14007"/>
    <cellStyle name="표준 3 7 3 2 3 2 2 4 2" xfId="30711"/>
    <cellStyle name="표준 3 7 3 2 3 2 2 5" xfId="19575"/>
    <cellStyle name="표준 3 7 3 2 3 2 3" xfId="4263"/>
    <cellStyle name="표준 3 7 3 2 3 2 3 2" xfId="9831"/>
    <cellStyle name="표준 3 7 3 2 3 2 3 2 2" xfId="26535"/>
    <cellStyle name="표준 3 7 3 2 3 2 3 3" xfId="15399"/>
    <cellStyle name="표준 3 7 3 2 3 2 3 3 2" xfId="32103"/>
    <cellStyle name="표준 3 7 3 2 3 2 3 4" xfId="20967"/>
    <cellStyle name="표준 3 7 3 2 3 2 4" xfId="7047"/>
    <cellStyle name="표준 3 7 3 2 3 2 4 2" xfId="23751"/>
    <cellStyle name="표준 3 7 3 2 3 2 5" xfId="12615"/>
    <cellStyle name="표준 3 7 3 2 3 2 5 2" xfId="29319"/>
    <cellStyle name="표준 3 7 3 2 3 2 6" xfId="18183"/>
    <cellStyle name="표준 3 7 3 2 3 3" xfId="2175"/>
    <cellStyle name="표준 3 7 3 2 3 3 2" xfId="4959"/>
    <cellStyle name="표준 3 7 3 2 3 3 2 2" xfId="10527"/>
    <cellStyle name="표준 3 7 3 2 3 3 2 2 2" xfId="27231"/>
    <cellStyle name="표준 3 7 3 2 3 3 2 3" xfId="16095"/>
    <cellStyle name="표준 3 7 3 2 3 3 2 3 2" xfId="32799"/>
    <cellStyle name="표준 3 7 3 2 3 3 2 4" xfId="21663"/>
    <cellStyle name="표준 3 7 3 2 3 3 3" xfId="7743"/>
    <cellStyle name="표준 3 7 3 2 3 3 3 2" xfId="24447"/>
    <cellStyle name="표준 3 7 3 2 3 3 4" xfId="13311"/>
    <cellStyle name="표준 3 7 3 2 3 3 4 2" xfId="30015"/>
    <cellStyle name="표준 3 7 3 2 3 3 5" xfId="18879"/>
    <cellStyle name="표준 3 7 3 2 3 4" xfId="3567"/>
    <cellStyle name="표준 3 7 3 2 3 4 2" xfId="9135"/>
    <cellStyle name="표준 3 7 3 2 3 4 2 2" xfId="25839"/>
    <cellStyle name="표준 3 7 3 2 3 4 3" xfId="14703"/>
    <cellStyle name="표준 3 7 3 2 3 4 3 2" xfId="31407"/>
    <cellStyle name="표준 3 7 3 2 3 4 4" xfId="20271"/>
    <cellStyle name="표준 3 7 3 2 3 5" xfId="6351"/>
    <cellStyle name="표준 3 7 3 2 3 5 2" xfId="23055"/>
    <cellStyle name="표준 3 7 3 2 3 6" xfId="11919"/>
    <cellStyle name="표준 3 7 3 2 3 6 2" xfId="28623"/>
    <cellStyle name="표준 3 7 3 2 3 7" xfId="17487"/>
    <cellStyle name="표준 3 7 3 2 4" xfId="1015"/>
    <cellStyle name="표준 3 7 3 2 4 2" xfId="2407"/>
    <cellStyle name="표준 3 7 3 2 4 2 2" xfId="5191"/>
    <cellStyle name="표준 3 7 3 2 4 2 2 2" xfId="10759"/>
    <cellStyle name="표준 3 7 3 2 4 2 2 2 2" xfId="27463"/>
    <cellStyle name="표준 3 7 3 2 4 2 2 3" xfId="16327"/>
    <cellStyle name="표준 3 7 3 2 4 2 2 3 2" xfId="33031"/>
    <cellStyle name="표준 3 7 3 2 4 2 2 4" xfId="21895"/>
    <cellStyle name="표준 3 7 3 2 4 2 3" xfId="7975"/>
    <cellStyle name="표준 3 7 3 2 4 2 3 2" xfId="24679"/>
    <cellStyle name="표준 3 7 3 2 4 2 4" xfId="13543"/>
    <cellStyle name="표준 3 7 3 2 4 2 4 2" xfId="30247"/>
    <cellStyle name="표준 3 7 3 2 4 2 5" xfId="19111"/>
    <cellStyle name="표준 3 7 3 2 4 3" xfId="3799"/>
    <cellStyle name="표준 3 7 3 2 4 3 2" xfId="9367"/>
    <cellStyle name="표준 3 7 3 2 4 3 2 2" xfId="26071"/>
    <cellStyle name="표준 3 7 3 2 4 3 3" xfId="14935"/>
    <cellStyle name="표준 3 7 3 2 4 3 3 2" xfId="31639"/>
    <cellStyle name="표준 3 7 3 2 4 3 4" xfId="20503"/>
    <cellStyle name="표준 3 7 3 2 4 4" xfId="6583"/>
    <cellStyle name="표준 3 7 3 2 4 4 2" xfId="23287"/>
    <cellStyle name="표준 3 7 3 2 4 5" xfId="12151"/>
    <cellStyle name="표준 3 7 3 2 4 5 2" xfId="28855"/>
    <cellStyle name="표준 3 7 3 2 4 6" xfId="17719"/>
    <cellStyle name="표준 3 7 3 2 5" xfId="1711"/>
    <cellStyle name="표준 3 7 3 2 5 2" xfId="4495"/>
    <cellStyle name="표준 3 7 3 2 5 2 2" xfId="10063"/>
    <cellStyle name="표준 3 7 3 2 5 2 2 2" xfId="26767"/>
    <cellStyle name="표준 3 7 3 2 5 2 3" xfId="15631"/>
    <cellStyle name="표준 3 7 3 2 5 2 3 2" xfId="32335"/>
    <cellStyle name="표준 3 7 3 2 5 2 4" xfId="21199"/>
    <cellStyle name="표준 3 7 3 2 5 3" xfId="7279"/>
    <cellStyle name="표준 3 7 3 2 5 3 2" xfId="23983"/>
    <cellStyle name="표준 3 7 3 2 5 4" xfId="12847"/>
    <cellStyle name="표준 3 7 3 2 5 4 2" xfId="29551"/>
    <cellStyle name="표준 3 7 3 2 5 5" xfId="18415"/>
    <cellStyle name="표준 3 7 3 2 6" xfId="3103"/>
    <cellStyle name="표준 3 7 3 2 6 2" xfId="8671"/>
    <cellStyle name="표준 3 7 3 2 6 2 2" xfId="25375"/>
    <cellStyle name="표준 3 7 3 2 6 3" xfId="14239"/>
    <cellStyle name="표준 3 7 3 2 6 3 2" xfId="30943"/>
    <cellStyle name="표준 3 7 3 2 6 4" xfId="19807"/>
    <cellStyle name="표준 3 7 3 2 7" xfId="5887"/>
    <cellStyle name="표준 3 7 3 2 7 2" xfId="22591"/>
    <cellStyle name="표준 3 7 3 2 8" xfId="11455"/>
    <cellStyle name="표준 3 7 3 2 8 2" xfId="28159"/>
    <cellStyle name="표준 3 7 3 2 9" xfId="17023"/>
    <cellStyle name="표준 3 7 3 3" xfId="435"/>
    <cellStyle name="표준 3 7 3 3 2" xfId="1131"/>
    <cellStyle name="표준 3 7 3 3 2 2" xfId="2523"/>
    <cellStyle name="표준 3 7 3 3 2 2 2" xfId="5307"/>
    <cellStyle name="표준 3 7 3 3 2 2 2 2" xfId="10875"/>
    <cellStyle name="표준 3 7 3 3 2 2 2 2 2" xfId="27579"/>
    <cellStyle name="표준 3 7 3 3 2 2 2 3" xfId="16443"/>
    <cellStyle name="표준 3 7 3 3 2 2 2 3 2" xfId="33147"/>
    <cellStyle name="표준 3 7 3 3 2 2 2 4" xfId="22011"/>
    <cellStyle name="표준 3 7 3 3 2 2 3" xfId="8091"/>
    <cellStyle name="표준 3 7 3 3 2 2 3 2" xfId="24795"/>
    <cellStyle name="표준 3 7 3 3 2 2 4" xfId="13659"/>
    <cellStyle name="표준 3 7 3 3 2 2 4 2" xfId="30363"/>
    <cellStyle name="표준 3 7 3 3 2 2 5" xfId="19227"/>
    <cellStyle name="표준 3 7 3 3 2 3" xfId="3915"/>
    <cellStyle name="표준 3 7 3 3 2 3 2" xfId="9483"/>
    <cellStyle name="표준 3 7 3 3 2 3 2 2" xfId="26187"/>
    <cellStyle name="표준 3 7 3 3 2 3 3" xfId="15051"/>
    <cellStyle name="표준 3 7 3 3 2 3 3 2" xfId="31755"/>
    <cellStyle name="표준 3 7 3 3 2 3 4" xfId="20619"/>
    <cellStyle name="표준 3 7 3 3 2 4" xfId="6699"/>
    <cellStyle name="표준 3 7 3 3 2 4 2" xfId="23403"/>
    <cellStyle name="표준 3 7 3 3 2 5" xfId="12267"/>
    <cellStyle name="표준 3 7 3 3 2 5 2" xfId="28971"/>
    <cellStyle name="표준 3 7 3 3 2 6" xfId="17835"/>
    <cellStyle name="표준 3 7 3 3 3" xfId="1827"/>
    <cellStyle name="표준 3 7 3 3 3 2" xfId="4611"/>
    <cellStyle name="표준 3 7 3 3 3 2 2" xfId="10179"/>
    <cellStyle name="표준 3 7 3 3 3 2 2 2" xfId="26883"/>
    <cellStyle name="표준 3 7 3 3 3 2 3" xfId="15747"/>
    <cellStyle name="표준 3 7 3 3 3 2 3 2" xfId="32451"/>
    <cellStyle name="표준 3 7 3 3 3 2 4" xfId="21315"/>
    <cellStyle name="표준 3 7 3 3 3 3" xfId="7395"/>
    <cellStyle name="표준 3 7 3 3 3 3 2" xfId="24099"/>
    <cellStyle name="표준 3 7 3 3 3 4" xfId="12963"/>
    <cellStyle name="표준 3 7 3 3 3 4 2" xfId="29667"/>
    <cellStyle name="표준 3 7 3 3 3 5" xfId="18531"/>
    <cellStyle name="표준 3 7 3 3 4" xfId="3219"/>
    <cellStyle name="표준 3 7 3 3 4 2" xfId="8787"/>
    <cellStyle name="표준 3 7 3 3 4 2 2" xfId="25491"/>
    <cellStyle name="표준 3 7 3 3 4 3" xfId="14355"/>
    <cellStyle name="표준 3 7 3 3 4 3 2" xfId="31059"/>
    <cellStyle name="표준 3 7 3 3 4 4" xfId="19923"/>
    <cellStyle name="표준 3 7 3 3 5" xfId="6003"/>
    <cellStyle name="표준 3 7 3 3 5 2" xfId="22707"/>
    <cellStyle name="표준 3 7 3 3 6" xfId="11571"/>
    <cellStyle name="표준 3 7 3 3 6 2" xfId="28275"/>
    <cellStyle name="표준 3 7 3 3 7" xfId="17139"/>
    <cellStyle name="표준 3 7 3 4" xfId="667"/>
    <cellStyle name="표준 3 7 3 4 2" xfId="1363"/>
    <cellStyle name="표준 3 7 3 4 2 2" xfId="2755"/>
    <cellStyle name="표준 3 7 3 4 2 2 2" xfId="5539"/>
    <cellStyle name="표준 3 7 3 4 2 2 2 2" xfId="11107"/>
    <cellStyle name="표준 3 7 3 4 2 2 2 2 2" xfId="27811"/>
    <cellStyle name="표준 3 7 3 4 2 2 2 3" xfId="16675"/>
    <cellStyle name="표준 3 7 3 4 2 2 2 3 2" xfId="33379"/>
    <cellStyle name="표준 3 7 3 4 2 2 2 4" xfId="22243"/>
    <cellStyle name="표준 3 7 3 4 2 2 3" xfId="8323"/>
    <cellStyle name="표준 3 7 3 4 2 2 3 2" xfId="25027"/>
    <cellStyle name="표준 3 7 3 4 2 2 4" xfId="13891"/>
    <cellStyle name="표준 3 7 3 4 2 2 4 2" xfId="30595"/>
    <cellStyle name="표준 3 7 3 4 2 2 5" xfId="19459"/>
    <cellStyle name="표준 3 7 3 4 2 3" xfId="4147"/>
    <cellStyle name="표준 3 7 3 4 2 3 2" xfId="9715"/>
    <cellStyle name="표준 3 7 3 4 2 3 2 2" xfId="26419"/>
    <cellStyle name="표준 3 7 3 4 2 3 3" xfId="15283"/>
    <cellStyle name="표준 3 7 3 4 2 3 3 2" xfId="31987"/>
    <cellStyle name="표준 3 7 3 4 2 3 4" xfId="20851"/>
    <cellStyle name="표준 3 7 3 4 2 4" xfId="6931"/>
    <cellStyle name="표준 3 7 3 4 2 4 2" xfId="23635"/>
    <cellStyle name="표준 3 7 3 4 2 5" xfId="12499"/>
    <cellStyle name="표준 3 7 3 4 2 5 2" xfId="29203"/>
    <cellStyle name="표준 3 7 3 4 2 6" xfId="18067"/>
    <cellStyle name="표준 3 7 3 4 3" xfId="2059"/>
    <cellStyle name="표준 3 7 3 4 3 2" xfId="4843"/>
    <cellStyle name="표준 3 7 3 4 3 2 2" xfId="10411"/>
    <cellStyle name="표준 3 7 3 4 3 2 2 2" xfId="27115"/>
    <cellStyle name="표준 3 7 3 4 3 2 3" xfId="15979"/>
    <cellStyle name="표준 3 7 3 4 3 2 3 2" xfId="32683"/>
    <cellStyle name="표준 3 7 3 4 3 2 4" xfId="21547"/>
    <cellStyle name="표준 3 7 3 4 3 3" xfId="7627"/>
    <cellStyle name="표준 3 7 3 4 3 3 2" xfId="24331"/>
    <cellStyle name="표준 3 7 3 4 3 4" xfId="13195"/>
    <cellStyle name="표준 3 7 3 4 3 4 2" xfId="29899"/>
    <cellStyle name="표준 3 7 3 4 3 5" xfId="18763"/>
    <cellStyle name="표준 3 7 3 4 4" xfId="3451"/>
    <cellStyle name="표준 3 7 3 4 4 2" xfId="9019"/>
    <cellStyle name="표준 3 7 3 4 4 2 2" xfId="25723"/>
    <cellStyle name="표준 3 7 3 4 4 3" xfId="14587"/>
    <cellStyle name="표준 3 7 3 4 4 3 2" xfId="31291"/>
    <cellStyle name="표준 3 7 3 4 4 4" xfId="20155"/>
    <cellStyle name="표준 3 7 3 4 5" xfId="6235"/>
    <cellStyle name="표준 3 7 3 4 5 2" xfId="22939"/>
    <cellStyle name="표준 3 7 3 4 6" xfId="11803"/>
    <cellStyle name="표준 3 7 3 4 6 2" xfId="28507"/>
    <cellStyle name="표준 3 7 3 4 7" xfId="17371"/>
    <cellStyle name="표준 3 7 3 5" xfId="899"/>
    <cellStyle name="표준 3 7 3 5 2" xfId="2291"/>
    <cellStyle name="표준 3 7 3 5 2 2" xfId="5075"/>
    <cellStyle name="표준 3 7 3 5 2 2 2" xfId="10643"/>
    <cellStyle name="표준 3 7 3 5 2 2 2 2" xfId="27347"/>
    <cellStyle name="표준 3 7 3 5 2 2 3" xfId="16211"/>
    <cellStyle name="표준 3 7 3 5 2 2 3 2" xfId="32915"/>
    <cellStyle name="표준 3 7 3 5 2 2 4" xfId="21779"/>
    <cellStyle name="표준 3 7 3 5 2 3" xfId="7859"/>
    <cellStyle name="표준 3 7 3 5 2 3 2" xfId="24563"/>
    <cellStyle name="표준 3 7 3 5 2 4" xfId="13427"/>
    <cellStyle name="표준 3 7 3 5 2 4 2" xfId="30131"/>
    <cellStyle name="표준 3 7 3 5 2 5" xfId="18995"/>
    <cellStyle name="표준 3 7 3 5 3" xfId="3683"/>
    <cellStyle name="표준 3 7 3 5 3 2" xfId="9251"/>
    <cellStyle name="표준 3 7 3 5 3 2 2" xfId="25955"/>
    <cellStyle name="표준 3 7 3 5 3 3" xfId="14819"/>
    <cellStyle name="표준 3 7 3 5 3 3 2" xfId="31523"/>
    <cellStyle name="표준 3 7 3 5 3 4" xfId="20387"/>
    <cellStyle name="표준 3 7 3 5 4" xfId="6467"/>
    <cellStyle name="표준 3 7 3 5 4 2" xfId="23171"/>
    <cellStyle name="표준 3 7 3 5 5" xfId="12035"/>
    <cellStyle name="표준 3 7 3 5 5 2" xfId="28739"/>
    <cellStyle name="표준 3 7 3 5 6" xfId="17603"/>
    <cellStyle name="표준 3 7 3 6" xfId="1595"/>
    <cellStyle name="표준 3 7 3 6 2" xfId="4379"/>
    <cellStyle name="표준 3 7 3 6 2 2" xfId="9947"/>
    <cellStyle name="표준 3 7 3 6 2 2 2" xfId="26651"/>
    <cellStyle name="표준 3 7 3 6 2 3" xfId="15515"/>
    <cellStyle name="표준 3 7 3 6 2 3 2" xfId="32219"/>
    <cellStyle name="표준 3 7 3 6 2 4" xfId="21083"/>
    <cellStyle name="표준 3 7 3 6 3" xfId="7163"/>
    <cellStyle name="표준 3 7 3 6 3 2" xfId="23867"/>
    <cellStyle name="표준 3 7 3 6 4" xfId="12731"/>
    <cellStyle name="표준 3 7 3 6 4 2" xfId="29435"/>
    <cellStyle name="표준 3 7 3 6 5" xfId="18299"/>
    <cellStyle name="표준 3 7 3 7" xfId="2987"/>
    <cellStyle name="표준 3 7 3 7 2" xfId="8555"/>
    <cellStyle name="표준 3 7 3 7 2 2" xfId="25259"/>
    <cellStyle name="표준 3 7 3 7 3" xfId="14123"/>
    <cellStyle name="표준 3 7 3 7 3 2" xfId="30827"/>
    <cellStyle name="표준 3 7 3 7 4" xfId="19691"/>
    <cellStyle name="표준 3 7 3 8" xfId="5771"/>
    <cellStyle name="표준 3 7 3 8 2" xfId="22475"/>
    <cellStyle name="표준 3 7 3 9" xfId="11339"/>
    <cellStyle name="표준 3 7 3 9 2" xfId="28043"/>
    <cellStyle name="표준 3 7 4" xfId="261"/>
    <cellStyle name="표준 3 7 4 2" xfId="493"/>
    <cellStyle name="표준 3 7 4 2 2" xfId="1189"/>
    <cellStyle name="표준 3 7 4 2 2 2" xfId="2581"/>
    <cellStyle name="표준 3 7 4 2 2 2 2" xfId="5365"/>
    <cellStyle name="표준 3 7 4 2 2 2 2 2" xfId="10933"/>
    <cellStyle name="표준 3 7 4 2 2 2 2 2 2" xfId="27637"/>
    <cellStyle name="표준 3 7 4 2 2 2 2 3" xfId="16501"/>
    <cellStyle name="표준 3 7 4 2 2 2 2 3 2" xfId="33205"/>
    <cellStyle name="표준 3 7 4 2 2 2 2 4" xfId="22069"/>
    <cellStyle name="표준 3 7 4 2 2 2 3" xfId="8149"/>
    <cellStyle name="표준 3 7 4 2 2 2 3 2" xfId="24853"/>
    <cellStyle name="표준 3 7 4 2 2 2 4" xfId="13717"/>
    <cellStyle name="표준 3 7 4 2 2 2 4 2" xfId="30421"/>
    <cellStyle name="표준 3 7 4 2 2 2 5" xfId="19285"/>
    <cellStyle name="표준 3 7 4 2 2 3" xfId="3973"/>
    <cellStyle name="표준 3 7 4 2 2 3 2" xfId="9541"/>
    <cellStyle name="표준 3 7 4 2 2 3 2 2" xfId="26245"/>
    <cellStyle name="표준 3 7 4 2 2 3 3" xfId="15109"/>
    <cellStyle name="표준 3 7 4 2 2 3 3 2" xfId="31813"/>
    <cellStyle name="표준 3 7 4 2 2 3 4" xfId="20677"/>
    <cellStyle name="표준 3 7 4 2 2 4" xfId="6757"/>
    <cellStyle name="표준 3 7 4 2 2 4 2" xfId="23461"/>
    <cellStyle name="표준 3 7 4 2 2 5" xfId="12325"/>
    <cellStyle name="표준 3 7 4 2 2 5 2" xfId="29029"/>
    <cellStyle name="표준 3 7 4 2 2 6" xfId="17893"/>
    <cellStyle name="표준 3 7 4 2 3" xfId="1885"/>
    <cellStyle name="표준 3 7 4 2 3 2" xfId="4669"/>
    <cellStyle name="표준 3 7 4 2 3 2 2" xfId="10237"/>
    <cellStyle name="표준 3 7 4 2 3 2 2 2" xfId="26941"/>
    <cellStyle name="표준 3 7 4 2 3 2 3" xfId="15805"/>
    <cellStyle name="표준 3 7 4 2 3 2 3 2" xfId="32509"/>
    <cellStyle name="표준 3 7 4 2 3 2 4" xfId="21373"/>
    <cellStyle name="표준 3 7 4 2 3 3" xfId="7453"/>
    <cellStyle name="표준 3 7 4 2 3 3 2" xfId="24157"/>
    <cellStyle name="표준 3 7 4 2 3 4" xfId="13021"/>
    <cellStyle name="표준 3 7 4 2 3 4 2" xfId="29725"/>
    <cellStyle name="표준 3 7 4 2 3 5" xfId="18589"/>
    <cellStyle name="표준 3 7 4 2 4" xfId="3277"/>
    <cellStyle name="표준 3 7 4 2 4 2" xfId="8845"/>
    <cellStyle name="표준 3 7 4 2 4 2 2" xfId="25549"/>
    <cellStyle name="표준 3 7 4 2 4 3" xfId="14413"/>
    <cellStyle name="표준 3 7 4 2 4 3 2" xfId="31117"/>
    <cellStyle name="표준 3 7 4 2 4 4" xfId="19981"/>
    <cellStyle name="표준 3 7 4 2 5" xfId="6061"/>
    <cellStyle name="표준 3 7 4 2 5 2" xfId="22765"/>
    <cellStyle name="표준 3 7 4 2 6" xfId="11629"/>
    <cellStyle name="표준 3 7 4 2 6 2" xfId="28333"/>
    <cellStyle name="표준 3 7 4 2 7" xfId="17197"/>
    <cellStyle name="표준 3 7 4 3" xfId="725"/>
    <cellStyle name="표준 3 7 4 3 2" xfId="1421"/>
    <cellStyle name="표준 3 7 4 3 2 2" xfId="2813"/>
    <cellStyle name="표준 3 7 4 3 2 2 2" xfId="5597"/>
    <cellStyle name="표준 3 7 4 3 2 2 2 2" xfId="11165"/>
    <cellStyle name="표준 3 7 4 3 2 2 2 2 2" xfId="27869"/>
    <cellStyle name="표준 3 7 4 3 2 2 2 3" xfId="16733"/>
    <cellStyle name="표준 3 7 4 3 2 2 2 3 2" xfId="33437"/>
    <cellStyle name="표준 3 7 4 3 2 2 2 4" xfId="22301"/>
    <cellStyle name="표준 3 7 4 3 2 2 3" xfId="8381"/>
    <cellStyle name="표준 3 7 4 3 2 2 3 2" xfId="25085"/>
    <cellStyle name="표준 3 7 4 3 2 2 4" xfId="13949"/>
    <cellStyle name="표준 3 7 4 3 2 2 4 2" xfId="30653"/>
    <cellStyle name="표준 3 7 4 3 2 2 5" xfId="19517"/>
    <cellStyle name="표준 3 7 4 3 2 3" xfId="4205"/>
    <cellStyle name="표준 3 7 4 3 2 3 2" xfId="9773"/>
    <cellStyle name="표준 3 7 4 3 2 3 2 2" xfId="26477"/>
    <cellStyle name="표준 3 7 4 3 2 3 3" xfId="15341"/>
    <cellStyle name="표준 3 7 4 3 2 3 3 2" xfId="32045"/>
    <cellStyle name="표준 3 7 4 3 2 3 4" xfId="20909"/>
    <cellStyle name="표준 3 7 4 3 2 4" xfId="6989"/>
    <cellStyle name="표준 3 7 4 3 2 4 2" xfId="23693"/>
    <cellStyle name="표준 3 7 4 3 2 5" xfId="12557"/>
    <cellStyle name="표준 3 7 4 3 2 5 2" xfId="29261"/>
    <cellStyle name="표준 3 7 4 3 2 6" xfId="18125"/>
    <cellStyle name="표준 3 7 4 3 3" xfId="2117"/>
    <cellStyle name="표준 3 7 4 3 3 2" xfId="4901"/>
    <cellStyle name="표준 3 7 4 3 3 2 2" xfId="10469"/>
    <cellStyle name="표준 3 7 4 3 3 2 2 2" xfId="27173"/>
    <cellStyle name="표준 3 7 4 3 3 2 3" xfId="16037"/>
    <cellStyle name="표준 3 7 4 3 3 2 3 2" xfId="32741"/>
    <cellStyle name="표준 3 7 4 3 3 2 4" xfId="21605"/>
    <cellStyle name="표준 3 7 4 3 3 3" xfId="7685"/>
    <cellStyle name="표준 3 7 4 3 3 3 2" xfId="24389"/>
    <cellStyle name="표준 3 7 4 3 3 4" xfId="13253"/>
    <cellStyle name="표준 3 7 4 3 3 4 2" xfId="29957"/>
    <cellStyle name="표준 3 7 4 3 3 5" xfId="18821"/>
    <cellStyle name="표준 3 7 4 3 4" xfId="3509"/>
    <cellStyle name="표준 3 7 4 3 4 2" xfId="9077"/>
    <cellStyle name="표준 3 7 4 3 4 2 2" xfId="25781"/>
    <cellStyle name="표준 3 7 4 3 4 3" xfId="14645"/>
    <cellStyle name="표준 3 7 4 3 4 3 2" xfId="31349"/>
    <cellStyle name="표준 3 7 4 3 4 4" xfId="20213"/>
    <cellStyle name="표준 3 7 4 3 5" xfId="6293"/>
    <cellStyle name="표준 3 7 4 3 5 2" xfId="22997"/>
    <cellStyle name="표준 3 7 4 3 6" xfId="11861"/>
    <cellStyle name="표준 3 7 4 3 6 2" xfId="28565"/>
    <cellStyle name="표준 3 7 4 3 7" xfId="17429"/>
    <cellStyle name="표준 3 7 4 4" xfId="957"/>
    <cellStyle name="표준 3 7 4 4 2" xfId="2349"/>
    <cellStyle name="표준 3 7 4 4 2 2" xfId="5133"/>
    <cellStyle name="표준 3 7 4 4 2 2 2" xfId="10701"/>
    <cellStyle name="표준 3 7 4 4 2 2 2 2" xfId="27405"/>
    <cellStyle name="표준 3 7 4 4 2 2 3" xfId="16269"/>
    <cellStyle name="표준 3 7 4 4 2 2 3 2" xfId="32973"/>
    <cellStyle name="표준 3 7 4 4 2 2 4" xfId="21837"/>
    <cellStyle name="표준 3 7 4 4 2 3" xfId="7917"/>
    <cellStyle name="표준 3 7 4 4 2 3 2" xfId="24621"/>
    <cellStyle name="표준 3 7 4 4 2 4" xfId="13485"/>
    <cellStyle name="표준 3 7 4 4 2 4 2" xfId="30189"/>
    <cellStyle name="표준 3 7 4 4 2 5" xfId="19053"/>
    <cellStyle name="표준 3 7 4 4 3" xfId="3741"/>
    <cellStyle name="표준 3 7 4 4 3 2" xfId="9309"/>
    <cellStyle name="표준 3 7 4 4 3 2 2" xfId="26013"/>
    <cellStyle name="표준 3 7 4 4 3 3" xfId="14877"/>
    <cellStyle name="표준 3 7 4 4 3 3 2" xfId="31581"/>
    <cellStyle name="표준 3 7 4 4 3 4" xfId="20445"/>
    <cellStyle name="표준 3 7 4 4 4" xfId="6525"/>
    <cellStyle name="표준 3 7 4 4 4 2" xfId="23229"/>
    <cellStyle name="표준 3 7 4 4 5" xfId="12093"/>
    <cellStyle name="표준 3 7 4 4 5 2" xfId="28797"/>
    <cellStyle name="표준 3 7 4 4 6" xfId="17661"/>
    <cellStyle name="표준 3 7 4 5" xfId="1653"/>
    <cellStyle name="표준 3 7 4 5 2" xfId="4437"/>
    <cellStyle name="표준 3 7 4 5 2 2" xfId="10005"/>
    <cellStyle name="표준 3 7 4 5 2 2 2" xfId="26709"/>
    <cellStyle name="표준 3 7 4 5 2 3" xfId="15573"/>
    <cellStyle name="표준 3 7 4 5 2 3 2" xfId="32277"/>
    <cellStyle name="표준 3 7 4 5 2 4" xfId="21141"/>
    <cellStyle name="표준 3 7 4 5 3" xfId="7221"/>
    <cellStyle name="표준 3 7 4 5 3 2" xfId="23925"/>
    <cellStyle name="표준 3 7 4 5 4" xfId="12789"/>
    <cellStyle name="표준 3 7 4 5 4 2" xfId="29493"/>
    <cellStyle name="표준 3 7 4 5 5" xfId="18357"/>
    <cellStyle name="표준 3 7 4 6" xfId="3045"/>
    <cellStyle name="표준 3 7 4 6 2" xfId="8613"/>
    <cellStyle name="표준 3 7 4 6 2 2" xfId="25317"/>
    <cellStyle name="표준 3 7 4 6 3" xfId="14181"/>
    <cellStyle name="표준 3 7 4 6 3 2" xfId="30885"/>
    <cellStyle name="표준 3 7 4 6 4" xfId="19749"/>
    <cellStyle name="표준 3 7 4 7" xfId="5829"/>
    <cellStyle name="표준 3 7 4 7 2" xfId="22533"/>
    <cellStyle name="표준 3 7 4 8" xfId="11397"/>
    <cellStyle name="표준 3 7 4 8 2" xfId="28101"/>
    <cellStyle name="표준 3 7 4 9" xfId="16965"/>
    <cellStyle name="표준 3 7 5" xfId="377"/>
    <cellStyle name="표준 3 7 5 2" xfId="1073"/>
    <cellStyle name="표준 3 7 5 2 2" xfId="2465"/>
    <cellStyle name="표준 3 7 5 2 2 2" xfId="5249"/>
    <cellStyle name="표준 3 7 5 2 2 2 2" xfId="10817"/>
    <cellStyle name="표준 3 7 5 2 2 2 2 2" xfId="27521"/>
    <cellStyle name="표준 3 7 5 2 2 2 3" xfId="16385"/>
    <cellStyle name="표준 3 7 5 2 2 2 3 2" xfId="33089"/>
    <cellStyle name="표준 3 7 5 2 2 2 4" xfId="21953"/>
    <cellStyle name="표준 3 7 5 2 2 3" xfId="8033"/>
    <cellStyle name="표준 3 7 5 2 2 3 2" xfId="24737"/>
    <cellStyle name="표준 3 7 5 2 2 4" xfId="13601"/>
    <cellStyle name="표준 3 7 5 2 2 4 2" xfId="30305"/>
    <cellStyle name="표준 3 7 5 2 2 5" xfId="19169"/>
    <cellStyle name="표준 3 7 5 2 3" xfId="3857"/>
    <cellStyle name="표준 3 7 5 2 3 2" xfId="9425"/>
    <cellStyle name="표준 3 7 5 2 3 2 2" xfId="26129"/>
    <cellStyle name="표준 3 7 5 2 3 3" xfId="14993"/>
    <cellStyle name="표준 3 7 5 2 3 3 2" xfId="31697"/>
    <cellStyle name="표준 3 7 5 2 3 4" xfId="20561"/>
    <cellStyle name="표준 3 7 5 2 4" xfId="6641"/>
    <cellStyle name="표준 3 7 5 2 4 2" xfId="23345"/>
    <cellStyle name="표준 3 7 5 2 5" xfId="12209"/>
    <cellStyle name="표준 3 7 5 2 5 2" xfId="28913"/>
    <cellStyle name="표준 3 7 5 2 6" xfId="17777"/>
    <cellStyle name="표준 3 7 5 3" xfId="1769"/>
    <cellStyle name="표준 3 7 5 3 2" xfId="4553"/>
    <cellStyle name="표준 3 7 5 3 2 2" xfId="10121"/>
    <cellStyle name="표준 3 7 5 3 2 2 2" xfId="26825"/>
    <cellStyle name="표준 3 7 5 3 2 3" xfId="15689"/>
    <cellStyle name="표준 3 7 5 3 2 3 2" xfId="32393"/>
    <cellStyle name="표준 3 7 5 3 2 4" xfId="21257"/>
    <cellStyle name="표준 3 7 5 3 3" xfId="7337"/>
    <cellStyle name="표준 3 7 5 3 3 2" xfId="24041"/>
    <cellStyle name="표준 3 7 5 3 4" xfId="12905"/>
    <cellStyle name="표준 3 7 5 3 4 2" xfId="29609"/>
    <cellStyle name="표준 3 7 5 3 5" xfId="18473"/>
    <cellStyle name="표준 3 7 5 4" xfId="3161"/>
    <cellStyle name="표준 3 7 5 4 2" xfId="8729"/>
    <cellStyle name="표준 3 7 5 4 2 2" xfId="25433"/>
    <cellStyle name="표준 3 7 5 4 3" xfId="14297"/>
    <cellStyle name="표준 3 7 5 4 3 2" xfId="31001"/>
    <cellStyle name="표준 3 7 5 4 4" xfId="19865"/>
    <cellStyle name="표준 3 7 5 5" xfId="5945"/>
    <cellStyle name="표준 3 7 5 5 2" xfId="22649"/>
    <cellStyle name="표준 3 7 5 6" xfId="11513"/>
    <cellStyle name="표준 3 7 5 6 2" xfId="28217"/>
    <cellStyle name="표준 3 7 5 7" xfId="17081"/>
    <cellStyle name="표준 3 7 6" xfId="609"/>
    <cellStyle name="표준 3 7 6 2" xfId="1305"/>
    <cellStyle name="표준 3 7 6 2 2" xfId="2697"/>
    <cellStyle name="표준 3 7 6 2 2 2" xfId="5481"/>
    <cellStyle name="표준 3 7 6 2 2 2 2" xfId="11049"/>
    <cellStyle name="표준 3 7 6 2 2 2 2 2" xfId="27753"/>
    <cellStyle name="표준 3 7 6 2 2 2 3" xfId="16617"/>
    <cellStyle name="표준 3 7 6 2 2 2 3 2" xfId="33321"/>
    <cellStyle name="표준 3 7 6 2 2 2 4" xfId="22185"/>
    <cellStyle name="표준 3 7 6 2 2 3" xfId="8265"/>
    <cellStyle name="표준 3 7 6 2 2 3 2" xfId="24969"/>
    <cellStyle name="표준 3 7 6 2 2 4" xfId="13833"/>
    <cellStyle name="표준 3 7 6 2 2 4 2" xfId="30537"/>
    <cellStyle name="표준 3 7 6 2 2 5" xfId="19401"/>
    <cellStyle name="표준 3 7 6 2 3" xfId="4089"/>
    <cellStyle name="표준 3 7 6 2 3 2" xfId="9657"/>
    <cellStyle name="표준 3 7 6 2 3 2 2" xfId="26361"/>
    <cellStyle name="표준 3 7 6 2 3 3" xfId="15225"/>
    <cellStyle name="표준 3 7 6 2 3 3 2" xfId="31929"/>
    <cellStyle name="표준 3 7 6 2 3 4" xfId="20793"/>
    <cellStyle name="표준 3 7 6 2 4" xfId="6873"/>
    <cellStyle name="표준 3 7 6 2 4 2" xfId="23577"/>
    <cellStyle name="표준 3 7 6 2 5" xfId="12441"/>
    <cellStyle name="표준 3 7 6 2 5 2" xfId="29145"/>
    <cellStyle name="표준 3 7 6 2 6" xfId="18009"/>
    <cellStyle name="표준 3 7 6 3" xfId="2001"/>
    <cellStyle name="표준 3 7 6 3 2" xfId="4785"/>
    <cellStyle name="표준 3 7 6 3 2 2" xfId="10353"/>
    <cellStyle name="표준 3 7 6 3 2 2 2" xfId="27057"/>
    <cellStyle name="표준 3 7 6 3 2 3" xfId="15921"/>
    <cellStyle name="표준 3 7 6 3 2 3 2" xfId="32625"/>
    <cellStyle name="표준 3 7 6 3 2 4" xfId="21489"/>
    <cellStyle name="표준 3 7 6 3 3" xfId="7569"/>
    <cellStyle name="표준 3 7 6 3 3 2" xfId="24273"/>
    <cellStyle name="표준 3 7 6 3 4" xfId="13137"/>
    <cellStyle name="표준 3 7 6 3 4 2" xfId="29841"/>
    <cellStyle name="표준 3 7 6 3 5" xfId="18705"/>
    <cellStyle name="표준 3 7 6 4" xfId="3393"/>
    <cellStyle name="표준 3 7 6 4 2" xfId="8961"/>
    <cellStyle name="표준 3 7 6 4 2 2" xfId="25665"/>
    <cellStyle name="표준 3 7 6 4 3" xfId="14529"/>
    <cellStyle name="표준 3 7 6 4 3 2" xfId="31233"/>
    <cellStyle name="표준 3 7 6 4 4" xfId="20097"/>
    <cellStyle name="표준 3 7 6 5" xfId="6177"/>
    <cellStyle name="표준 3 7 6 5 2" xfId="22881"/>
    <cellStyle name="표준 3 7 6 6" xfId="11745"/>
    <cellStyle name="표준 3 7 6 6 2" xfId="28449"/>
    <cellStyle name="표준 3 7 6 7" xfId="17313"/>
    <cellStyle name="표준 3 7 7" xfId="841"/>
    <cellStyle name="표준 3 7 7 2" xfId="2233"/>
    <cellStyle name="표준 3 7 7 2 2" xfId="5017"/>
    <cellStyle name="표준 3 7 7 2 2 2" xfId="10585"/>
    <cellStyle name="표준 3 7 7 2 2 2 2" xfId="27289"/>
    <cellStyle name="표준 3 7 7 2 2 3" xfId="16153"/>
    <cellStyle name="표준 3 7 7 2 2 3 2" xfId="32857"/>
    <cellStyle name="표준 3 7 7 2 2 4" xfId="21721"/>
    <cellStyle name="표준 3 7 7 2 3" xfId="7801"/>
    <cellStyle name="표준 3 7 7 2 3 2" xfId="24505"/>
    <cellStyle name="표준 3 7 7 2 4" xfId="13369"/>
    <cellStyle name="표준 3 7 7 2 4 2" xfId="30073"/>
    <cellStyle name="표준 3 7 7 2 5" xfId="18937"/>
    <cellStyle name="표준 3 7 7 3" xfId="3625"/>
    <cellStyle name="표준 3 7 7 3 2" xfId="9193"/>
    <cellStyle name="표준 3 7 7 3 2 2" xfId="25897"/>
    <cellStyle name="표준 3 7 7 3 3" xfId="14761"/>
    <cellStyle name="표준 3 7 7 3 3 2" xfId="31465"/>
    <cellStyle name="표준 3 7 7 3 4" xfId="20329"/>
    <cellStyle name="표준 3 7 7 4" xfId="6409"/>
    <cellStyle name="표준 3 7 7 4 2" xfId="23113"/>
    <cellStyle name="표준 3 7 7 5" xfId="11977"/>
    <cellStyle name="표준 3 7 7 5 2" xfId="28681"/>
    <cellStyle name="표준 3 7 7 6" xfId="17545"/>
    <cellStyle name="표준 3 7 8" xfId="1537"/>
    <cellStyle name="표준 3 7 8 2" xfId="4321"/>
    <cellStyle name="표준 3 7 8 2 2" xfId="9889"/>
    <cellStyle name="표준 3 7 8 2 2 2" xfId="26593"/>
    <cellStyle name="표준 3 7 8 2 3" xfId="15457"/>
    <cellStyle name="표준 3 7 8 2 3 2" xfId="32161"/>
    <cellStyle name="표준 3 7 8 2 4" xfId="21025"/>
    <cellStyle name="표준 3 7 8 3" xfId="7105"/>
    <cellStyle name="표준 3 7 8 3 2" xfId="23809"/>
    <cellStyle name="표준 3 7 8 4" xfId="12673"/>
    <cellStyle name="표준 3 7 8 4 2" xfId="29377"/>
    <cellStyle name="표준 3 7 8 5" xfId="18241"/>
    <cellStyle name="표준 3 7 9" xfId="2929"/>
    <cellStyle name="표준 3 7 9 2" xfId="8497"/>
    <cellStyle name="표준 3 7 9 2 2" xfId="25201"/>
    <cellStyle name="표준 3 7 9 3" xfId="14065"/>
    <cellStyle name="표준 3 7 9 3 2" xfId="30769"/>
    <cellStyle name="표준 3 7 9 4" xfId="19633"/>
    <cellStyle name="표준 3 8" xfId="169"/>
    <cellStyle name="표준 3 8 10" xfId="11305"/>
    <cellStyle name="표준 3 8 10 2" xfId="28009"/>
    <cellStyle name="표준 3 8 11" xfId="16873"/>
    <cellStyle name="표준 3 8 2" xfId="227"/>
    <cellStyle name="표준 3 8 2 10" xfId="16931"/>
    <cellStyle name="표준 3 8 2 2" xfId="343"/>
    <cellStyle name="표준 3 8 2 2 2" xfId="575"/>
    <cellStyle name="표준 3 8 2 2 2 2" xfId="1271"/>
    <cellStyle name="표준 3 8 2 2 2 2 2" xfId="2663"/>
    <cellStyle name="표준 3 8 2 2 2 2 2 2" xfId="5447"/>
    <cellStyle name="표준 3 8 2 2 2 2 2 2 2" xfId="11015"/>
    <cellStyle name="표준 3 8 2 2 2 2 2 2 2 2" xfId="27719"/>
    <cellStyle name="표준 3 8 2 2 2 2 2 2 3" xfId="16583"/>
    <cellStyle name="표준 3 8 2 2 2 2 2 2 3 2" xfId="33287"/>
    <cellStyle name="표준 3 8 2 2 2 2 2 2 4" xfId="22151"/>
    <cellStyle name="표준 3 8 2 2 2 2 2 3" xfId="8231"/>
    <cellStyle name="표준 3 8 2 2 2 2 2 3 2" xfId="24935"/>
    <cellStyle name="표준 3 8 2 2 2 2 2 4" xfId="13799"/>
    <cellStyle name="표준 3 8 2 2 2 2 2 4 2" xfId="30503"/>
    <cellStyle name="표준 3 8 2 2 2 2 2 5" xfId="19367"/>
    <cellStyle name="표준 3 8 2 2 2 2 3" xfId="4055"/>
    <cellStyle name="표준 3 8 2 2 2 2 3 2" xfId="9623"/>
    <cellStyle name="표준 3 8 2 2 2 2 3 2 2" xfId="26327"/>
    <cellStyle name="표준 3 8 2 2 2 2 3 3" xfId="15191"/>
    <cellStyle name="표준 3 8 2 2 2 2 3 3 2" xfId="31895"/>
    <cellStyle name="표준 3 8 2 2 2 2 3 4" xfId="20759"/>
    <cellStyle name="표준 3 8 2 2 2 2 4" xfId="6839"/>
    <cellStyle name="표준 3 8 2 2 2 2 4 2" xfId="23543"/>
    <cellStyle name="표준 3 8 2 2 2 2 5" xfId="12407"/>
    <cellStyle name="표준 3 8 2 2 2 2 5 2" xfId="29111"/>
    <cellStyle name="표준 3 8 2 2 2 2 6" xfId="17975"/>
    <cellStyle name="표준 3 8 2 2 2 3" xfId="1967"/>
    <cellStyle name="표준 3 8 2 2 2 3 2" xfId="4751"/>
    <cellStyle name="표준 3 8 2 2 2 3 2 2" xfId="10319"/>
    <cellStyle name="표준 3 8 2 2 2 3 2 2 2" xfId="27023"/>
    <cellStyle name="표준 3 8 2 2 2 3 2 3" xfId="15887"/>
    <cellStyle name="표준 3 8 2 2 2 3 2 3 2" xfId="32591"/>
    <cellStyle name="표준 3 8 2 2 2 3 2 4" xfId="21455"/>
    <cellStyle name="표준 3 8 2 2 2 3 3" xfId="7535"/>
    <cellStyle name="표준 3 8 2 2 2 3 3 2" xfId="24239"/>
    <cellStyle name="표준 3 8 2 2 2 3 4" xfId="13103"/>
    <cellStyle name="표준 3 8 2 2 2 3 4 2" xfId="29807"/>
    <cellStyle name="표준 3 8 2 2 2 3 5" xfId="18671"/>
    <cellStyle name="표준 3 8 2 2 2 4" xfId="3359"/>
    <cellStyle name="표준 3 8 2 2 2 4 2" xfId="8927"/>
    <cellStyle name="표준 3 8 2 2 2 4 2 2" xfId="25631"/>
    <cellStyle name="표준 3 8 2 2 2 4 3" xfId="14495"/>
    <cellStyle name="표준 3 8 2 2 2 4 3 2" xfId="31199"/>
    <cellStyle name="표준 3 8 2 2 2 4 4" xfId="20063"/>
    <cellStyle name="표준 3 8 2 2 2 5" xfId="6143"/>
    <cellStyle name="표준 3 8 2 2 2 5 2" xfId="22847"/>
    <cellStyle name="표준 3 8 2 2 2 6" xfId="11711"/>
    <cellStyle name="표준 3 8 2 2 2 6 2" xfId="28415"/>
    <cellStyle name="표준 3 8 2 2 2 7" xfId="17279"/>
    <cellStyle name="표준 3 8 2 2 3" xfId="807"/>
    <cellStyle name="표준 3 8 2 2 3 2" xfId="1503"/>
    <cellStyle name="표준 3 8 2 2 3 2 2" xfId="2895"/>
    <cellStyle name="표준 3 8 2 2 3 2 2 2" xfId="5679"/>
    <cellStyle name="표준 3 8 2 2 3 2 2 2 2" xfId="11247"/>
    <cellStyle name="표준 3 8 2 2 3 2 2 2 2 2" xfId="27951"/>
    <cellStyle name="표준 3 8 2 2 3 2 2 2 3" xfId="16815"/>
    <cellStyle name="표준 3 8 2 2 3 2 2 2 3 2" xfId="33519"/>
    <cellStyle name="표준 3 8 2 2 3 2 2 2 4" xfId="22383"/>
    <cellStyle name="표준 3 8 2 2 3 2 2 3" xfId="8463"/>
    <cellStyle name="표준 3 8 2 2 3 2 2 3 2" xfId="25167"/>
    <cellStyle name="표준 3 8 2 2 3 2 2 4" xfId="14031"/>
    <cellStyle name="표준 3 8 2 2 3 2 2 4 2" xfId="30735"/>
    <cellStyle name="표준 3 8 2 2 3 2 2 5" xfId="19599"/>
    <cellStyle name="표준 3 8 2 2 3 2 3" xfId="4287"/>
    <cellStyle name="표준 3 8 2 2 3 2 3 2" xfId="9855"/>
    <cellStyle name="표준 3 8 2 2 3 2 3 2 2" xfId="26559"/>
    <cellStyle name="표준 3 8 2 2 3 2 3 3" xfId="15423"/>
    <cellStyle name="표준 3 8 2 2 3 2 3 3 2" xfId="32127"/>
    <cellStyle name="표준 3 8 2 2 3 2 3 4" xfId="20991"/>
    <cellStyle name="표준 3 8 2 2 3 2 4" xfId="7071"/>
    <cellStyle name="표준 3 8 2 2 3 2 4 2" xfId="23775"/>
    <cellStyle name="표준 3 8 2 2 3 2 5" xfId="12639"/>
    <cellStyle name="표준 3 8 2 2 3 2 5 2" xfId="29343"/>
    <cellStyle name="표준 3 8 2 2 3 2 6" xfId="18207"/>
    <cellStyle name="표준 3 8 2 2 3 3" xfId="2199"/>
    <cellStyle name="표준 3 8 2 2 3 3 2" xfId="4983"/>
    <cellStyle name="표준 3 8 2 2 3 3 2 2" xfId="10551"/>
    <cellStyle name="표준 3 8 2 2 3 3 2 2 2" xfId="27255"/>
    <cellStyle name="표준 3 8 2 2 3 3 2 3" xfId="16119"/>
    <cellStyle name="표준 3 8 2 2 3 3 2 3 2" xfId="32823"/>
    <cellStyle name="표준 3 8 2 2 3 3 2 4" xfId="21687"/>
    <cellStyle name="표준 3 8 2 2 3 3 3" xfId="7767"/>
    <cellStyle name="표준 3 8 2 2 3 3 3 2" xfId="24471"/>
    <cellStyle name="표준 3 8 2 2 3 3 4" xfId="13335"/>
    <cellStyle name="표준 3 8 2 2 3 3 4 2" xfId="30039"/>
    <cellStyle name="표준 3 8 2 2 3 3 5" xfId="18903"/>
    <cellStyle name="표준 3 8 2 2 3 4" xfId="3591"/>
    <cellStyle name="표준 3 8 2 2 3 4 2" xfId="9159"/>
    <cellStyle name="표준 3 8 2 2 3 4 2 2" xfId="25863"/>
    <cellStyle name="표준 3 8 2 2 3 4 3" xfId="14727"/>
    <cellStyle name="표준 3 8 2 2 3 4 3 2" xfId="31431"/>
    <cellStyle name="표준 3 8 2 2 3 4 4" xfId="20295"/>
    <cellStyle name="표준 3 8 2 2 3 5" xfId="6375"/>
    <cellStyle name="표준 3 8 2 2 3 5 2" xfId="23079"/>
    <cellStyle name="표준 3 8 2 2 3 6" xfId="11943"/>
    <cellStyle name="표준 3 8 2 2 3 6 2" xfId="28647"/>
    <cellStyle name="표준 3 8 2 2 3 7" xfId="17511"/>
    <cellStyle name="표준 3 8 2 2 4" xfId="1039"/>
    <cellStyle name="표준 3 8 2 2 4 2" xfId="2431"/>
    <cellStyle name="표준 3 8 2 2 4 2 2" xfId="5215"/>
    <cellStyle name="표준 3 8 2 2 4 2 2 2" xfId="10783"/>
    <cellStyle name="표준 3 8 2 2 4 2 2 2 2" xfId="27487"/>
    <cellStyle name="표준 3 8 2 2 4 2 2 3" xfId="16351"/>
    <cellStyle name="표준 3 8 2 2 4 2 2 3 2" xfId="33055"/>
    <cellStyle name="표준 3 8 2 2 4 2 2 4" xfId="21919"/>
    <cellStyle name="표준 3 8 2 2 4 2 3" xfId="7999"/>
    <cellStyle name="표준 3 8 2 2 4 2 3 2" xfId="24703"/>
    <cellStyle name="표준 3 8 2 2 4 2 4" xfId="13567"/>
    <cellStyle name="표준 3 8 2 2 4 2 4 2" xfId="30271"/>
    <cellStyle name="표준 3 8 2 2 4 2 5" xfId="19135"/>
    <cellStyle name="표준 3 8 2 2 4 3" xfId="3823"/>
    <cellStyle name="표준 3 8 2 2 4 3 2" xfId="9391"/>
    <cellStyle name="표준 3 8 2 2 4 3 2 2" xfId="26095"/>
    <cellStyle name="표준 3 8 2 2 4 3 3" xfId="14959"/>
    <cellStyle name="표준 3 8 2 2 4 3 3 2" xfId="31663"/>
    <cellStyle name="표준 3 8 2 2 4 3 4" xfId="20527"/>
    <cellStyle name="표준 3 8 2 2 4 4" xfId="6607"/>
    <cellStyle name="표준 3 8 2 2 4 4 2" xfId="23311"/>
    <cellStyle name="표준 3 8 2 2 4 5" xfId="12175"/>
    <cellStyle name="표준 3 8 2 2 4 5 2" xfId="28879"/>
    <cellStyle name="표준 3 8 2 2 4 6" xfId="17743"/>
    <cellStyle name="표준 3 8 2 2 5" xfId="1735"/>
    <cellStyle name="표준 3 8 2 2 5 2" xfId="4519"/>
    <cellStyle name="표준 3 8 2 2 5 2 2" xfId="10087"/>
    <cellStyle name="표준 3 8 2 2 5 2 2 2" xfId="26791"/>
    <cellStyle name="표준 3 8 2 2 5 2 3" xfId="15655"/>
    <cellStyle name="표준 3 8 2 2 5 2 3 2" xfId="32359"/>
    <cellStyle name="표준 3 8 2 2 5 2 4" xfId="21223"/>
    <cellStyle name="표준 3 8 2 2 5 3" xfId="7303"/>
    <cellStyle name="표준 3 8 2 2 5 3 2" xfId="24007"/>
    <cellStyle name="표준 3 8 2 2 5 4" xfId="12871"/>
    <cellStyle name="표준 3 8 2 2 5 4 2" xfId="29575"/>
    <cellStyle name="표준 3 8 2 2 5 5" xfId="18439"/>
    <cellStyle name="표준 3 8 2 2 6" xfId="3127"/>
    <cellStyle name="표준 3 8 2 2 6 2" xfId="8695"/>
    <cellStyle name="표준 3 8 2 2 6 2 2" xfId="25399"/>
    <cellStyle name="표준 3 8 2 2 6 3" xfId="14263"/>
    <cellStyle name="표준 3 8 2 2 6 3 2" xfId="30967"/>
    <cellStyle name="표준 3 8 2 2 6 4" xfId="19831"/>
    <cellStyle name="표준 3 8 2 2 7" xfId="5911"/>
    <cellStyle name="표준 3 8 2 2 7 2" xfId="22615"/>
    <cellStyle name="표준 3 8 2 2 8" xfId="11479"/>
    <cellStyle name="표준 3 8 2 2 8 2" xfId="28183"/>
    <cellStyle name="표준 3 8 2 2 9" xfId="17047"/>
    <cellStyle name="표준 3 8 2 3" xfId="459"/>
    <cellStyle name="표준 3 8 2 3 2" xfId="1155"/>
    <cellStyle name="표준 3 8 2 3 2 2" xfId="2547"/>
    <cellStyle name="표준 3 8 2 3 2 2 2" xfId="5331"/>
    <cellStyle name="표준 3 8 2 3 2 2 2 2" xfId="10899"/>
    <cellStyle name="표준 3 8 2 3 2 2 2 2 2" xfId="27603"/>
    <cellStyle name="표준 3 8 2 3 2 2 2 3" xfId="16467"/>
    <cellStyle name="표준 3 8 2 3 2 2 2 3 2" xfId="33171"/>
    <cellStyle name="표준 3 8 2 3 2 2 2 4" xfId="22035"/>
    <cellStyle name="표준 3 8 2 3 2 2 3" xfId="8115"/>
    <cellStyle name="표준 3 8 2 3 2 2 3 2" xfId="24819"/>
    <cellStyle name="표준 3 8 2 3 2 2 4" xfId="13683"/>
    <cellStyle name="표준 3 8 2 3 2 2 4 2" xfId="30387"/>
    <cellStyle name="표준 3 8 2 3 2 2 5" xfId="19251"/>
    <cellStyle name="표준 3 8 2 3 2 3" xfId="3939"/>
    <cellStyle name="표준 3 8 2 3 2 3 2" xfId="9507"/>
    <cellStyle name="표준 3 8 2 3 2 3 2 2" xfId="26211"/>
    <cellStyle name="표준 3 8 2 3 2 3 3" xfId="15075"/>
    <cellStyle name="표준 3 8 2 3 2 3 3 2" xfId="31779"/>
    <cellStyle name="표준 3 8 2 3 2 3 4" xfId="20643"/>
    <cellStyle name="표준 3 8 2 3 2 4" xfId="6723"/>
    <cellStyle name="표준 3 8 2 3 2 4 2" xfId="23427"/>
    <cellStyle name="표준 3 8 2 3 2 5" xfId="12291"/>
    <cellStyle name="표준 3 8 2 3 2 5 2" xfId="28995"/>
    <cellStyle name="표준 3 8 2 3 2 6" xfId="17859"/>
    <cellStyle name="표준 3 8 2 3 3" xfId="1851"/>
    <cellStyle name="표준 3 8 2 3 3 2" xfId="4635"/>
    <cellStyle name="표준 3 8 2 3 3 2 2" xfId="10203"/>
    <cellStyle name="표준 3 8 2 3 3 2 2 2" xfId="26907"/>
    <cellStyle name="표준 3 8 2 3 3 2 3" xfId="15771"/>
    <cellStyle name="표준 3 8 2 3 3 2 3 2" xfId="32475"/>
    <cellStyle name="표준 3 8 2 3 3 2 4" xfId="21339"/>
    <cellStyle name="표준 3 8 2 3 3 3" xfId="7419"/>
    <cellStyle name="표준 3 8 2 3 3 3 2" xfId="24123"/>
    <cellStyle name="표준 3 8 2 3 3 4" xfId="12987"/>
    <cellStyle name="표준 3 8 2 3 3 4 2" xfId="29691"/>
    <cellStyle name="표준 3 8 2 3 3 5" xfId="18555"/>
    <cellStyle name="표준 3 8 2 3 4" xfId="3243"/>
    <cellStyle name="표준 3 8 2 3 4 2" xfId="8811"/>
    <cellStyle name="표준 3 8 2 3 4 2 2" xfId="25515"/>
    <cellStyle name="표준 3 8 2 3 4 3" xfId="14379"/>
    <cellStyle name="표준 3 8 2 3 4 3 2" xfId="31083"/>
    <cellStyle name="표준 3 8 2 3 4 4" xfId="19947"/>
    <cellStyle name="표준 3 8 2 3 5" xfId="6027"/>
    <cellStyle name="표준 3 8 2 3 5 2" xfId="22731"/>
    <cellStyle name="표준 3 8 2 3 6" xfId="11595"/>
    <cellStyle name="표준 3 8 2 3 6 2" xfId="28299"/>
    <cellStyle name="표준 3 8 2 3 7" xfId="17163"/>
    <cellStyle name="표준 3 8 2 4" xfId="691"/>
    <cellStyle name="표준 3 8 2 4 2" xfId="1387"/>
    <cellStyle name="표준 3 8 2 4 2 2" xfId="2779"/>
    <cellStyle name="표준 3 8 2 4 2 2 2" xfId="5563"/>
    <cellStyle name="표준 3 8 2 4 2 2 2 2" xfId="11131"/>
    <cellStyle name="표준 3 8 2 4 2 2 2 2 2" xfId="27835"/>
    <cellStyle name="표준 3 8 2 4 2 2 2 3" xfId="16699"/>
    <cellStyle name="표준 3 8 2 4 2 2 2 3 2" xfId="33403"/>
    <cellStyle name="표준 3 8 2 4 2 2 2 4" xfId="22267"/>
    <cellStyle name="표준 3 8 2 4 2 2 3" xfId="8347"/>
    <cellStyle name="표준 3 8 2 4 2 2 3 2" xfId="25051"/>
    <cellStyle name="표준 3 8 2 4 2 2 4" xfId="13915"/>
    <cellStyle name="표준 3 8 2 4 2 2 4 2" xfId="30619"/>
    <cellStyle name="표준 3 8 2 4 2 2 5" xfId="19483"/>
    <cellStyle name="표준 3 8 2 4 2 3" xfId="4171"/>
    <cellStyle name="표준 3 8 2 4 2 3 2" xfId="9739"/>
    <cellStyle name="표준 3 8 2 4 2 3 2 2" xfId="26443"/>
    <cellStyle name="표준 3 8 2 4 2 3 3" xfId="15307"/>
    <cellStyle name="표준 3 8 2 4 2 3 3 2" xfId="32011"/>
    <cellStyle name="표준 3 8 2 4 2 3 4" xfId="20875"/>
    <cellStyle name="표준 3 8 2 4 2 4" xfId="6955"/>
    <cellStyle name="표준 3 8 2 4 2 4 2" xfId="23659"/>
    <cellStyle name="표준 3 8 2 4 2 5" xfId="12523"/>
    <cellStyle name="표준 3 8 2 4 2 5 2" xfId="29227"/>
    <cellStyle name="표준 3 8 2 4 2 6" xfId="18091"/>
    <cellStyle name="표준 3 8 2 4 3" xfId="2083"/>
    <cellStyle name="표준 3 8 2 4 3 2" xfId="4867"/>
    <cellStyle name="표준 3 8 2 4 3 2 2" xfId="10435"/>
    <cellStyle name="표준 3 8 2 4 3 2 2 2" xfId="27139"/>
    <cellStyle name="표준 3 8 2 4 3 2 3" xfId="16003"/>
    <cellStyle name="표준 3 8 2 4 3 2 3 2" xfId="32707"/>
    <cellStyle name="표준 3 8 2 4 3 2 4" xfId="21571"/>
    <cellStyle name="표준 3 8 2 4 3 3" xfId="7651"/>
    <cellStyle name="표준 3 8 2 4 3 3 2" xfId="24355"/>
    <cellStyle name="표준 3 8 2 4 3 4" xfId="13219"/>
    <cellStyle name="표준 3 8 2 4 3 4 2" xfId="29923"/>
    <cellStyle name="표준 3 8 2 4 3 5" xfId="18787"/>
    <cellStyle name="표준 3 8 2 4 4" xfId="3475"/>
    <cellStyle name="표준 3 8 2 4 4 2" xfId="9043"/>
    <cellStyle name="표준 3 8 2 4 4 2 2" xfId="25747"/>
    <cellStyle name="표준 3 8 2 4 4 3" xfId="14611"/>
    <cellStyle name="표준 3 8 2 4 4 3 2" xfId="31315"/>
    <cellStyle name="표준 3 8 2 4 4 4" xfId="20179"/>
    <cellStyle name="표준 3 8 2 4 5" xfId="6259"/>
    <cellStyle name="표준 3 8 2 4 5 2" xfId="22963"/>
    <cellStyle name="표준 3 8 2 4 6" xfId="11827"/>
    <cellStyle name="표준 3 8 2 4 6 2" xfId="28531"/>
    <cellStyle name="표준 3 8 2 4 7" xfId="17395"/>
    <cellStyle name="표준 3 8 2 5" xfId="923"/>
    <cellStyle name="표준 3 8 2 5 2" xfId="2315"/>
    <cellStyle name="표준 3 8 2 5 2 2" xfId="5099"/>
    <cellStyle name="표준 3 8 2 5 2 2 2" xfId="10667"/>
    <cellStyle name="표준 3 8 2 5 2 2 2 2" xfId="27371"/>
    <cellStyle name="표준 3 8 2 5 2 2 3" xfId="16235"/>
    <cellStyle name="표준 3 8 2 5 2 2 3 2" xfId="32939"/>
    <cellStyle name="표준 3 8 2 5 2 2 4" xfId="21803"/>
    <cellStyle name="표준 3 8 2 5 2 3" xfId="7883"/>
    <cellStyle name="표준 3 8 2 5 2 3 2" xfId="24587"/>
    <cellStyle name="표준 3 8 2 5 2 4" xfId="13451"/>
    <cellStyle name="표준 3 8 2 5 2 4 2" xfId="30155"/>
    <cellStyle name="표준 3 8 2 5 2 5" xfId="19019"/>
    <cellStyle name="표준 3 8 2 5 3" xfId="3707"/>
    <cellStyle name="표준 3 8 2 5 3 2" xfId="9275"/>
    <cellStyle name="표준 3 8 2 5 3 2 2" xfId="25979"/>
    <cellStyle name="표준 3 8 2 5 3 3" xfId="14843"/>
    <cellStyle name="표준 3 8 2 5 3 3 2" xfId="31547"/>
    <cellStyle name="표준 3 8 2 5 3 4" xfId="20411"/>
    <cellStyle name="표준 3 8 2 5 4" xfId="6491"/>
    <cellStyle name="표준 3 8 2 5 4 2" xfId="23195"/>
    <cellStyle name="표준 3 8 2 5 5" xfId="12059"/>
    <cellStyle name="표준 3 8 2 5 5 2" xfId="28763"/>
    <cellStyle name="표준 3 8 2 5 6" xfId="17627"/>
    <cellStyle name="표준 3 8 2 6" xfId="1619"/>
    <cellStyle name="표준 3 8 2 6 2" xfId="4403"/>
    <cellStyle name="표준 3 8 2 6 2 2" xfId="9971"/>
    <cellStyle name="표준 3 8 2 6 2 2 2" xfId="26675"/>
    <cellStyle name="표준 3 8 2 6 2 3" xfId="15539"/>
    <cellStyle name="표준 3 8 2 6 2 3 2" xfId="32243"/>
    <cellStyle name="표준 3 8 2 6 2 4" xfId="21107"/>
    <cellStyle name="표준 3 8 2 6 3" xfId="7187"/>
    <cellStyle name="표준 3 8 2 6 3 2" xfId="23891"/>
    <cellStyle name="표준 3 8 2 6 4" xfId="12755"/>
    <cellStyle name="표준 3 8 2 6 4 2" xfId="29459"/>
    <cellStyle name="표준 3 8 2 6 5" xfId="18323"/>
    <cellStyle name="표준 3 8 2 7" xfId="3011"/>
    <cellStyle name="표준 3 8 2 7 2" xfId="8579"/>
    <cellStyle name="표준 3 8 2 7 2 2" xfId="25283"/>
    <cellStyle name="표준 3 8 2 7 3" xfId="14147"/>
    <cellStyle name="표준 3 8 2 7 3 2" xfId="30851"/>
    <cellStyle name="표준 3 8 2 7 4" xfId="19715"/>
    <cellStyle name="표준 3 8 2 8" xfId="5795"/>
    <cellStyle name="표준 3 8 2 8 2" xfId="22499"/>
    <cellStyle name="표준 3 8 2 9" xfId="11363"/>
    <cellStyle name="표준 3 8 2 9 2" xfId="28067"/>
    <cellStyle name="표준 3 8 3" xfId="285"/>
    <cellStyle name="표준 3 8 3 2" xfId="517"/>
    <cellStyle name="표준 3 8 3 2 2" xfId="1213"/>
    <cellStyle name="표준 3 8 3 2 2 2" xfId="2605"/>
    <cellStyle name="표준 3 8 3 2 2 2 2" xfId="5389"/>
    <cellStyle name="표준 3 8 3 2 2 2 2 2" xfId="10957"/>
    <cellStyle name="표준 3 8 3 2 2 2 2 2 2" xfId="27661"/>
    <cellStyle name="표준 3 8 3 2 2 2 2 3" xfId="16525"/>
    <cellStyle name="표준 3 8 3 2 2 2 2 3 2" xfId="33229"/>
    <cellStyle name="표준 3 8 3 2 2 2 2 4" xfId="22093"/>
    <cellStyle name="표준 3 8 3 2 2 2 3" xfId="8173"/>
    <cellStyle name="표준 3 8 3 2 2 2 3 2" xfId="24877"/>
    <cellStyle name="표준 3 8 3 2 2 2 4" xfId="13741"/>
    <cellStyle name="표준 3 8 3 2 2 2 4 2" xfId="30445"/>
    <cellStyle name="표준 3 8 3 2 2 2 5" xfId="19309"/>
    <cellStyle name="표준 3 8 3 2 2 3" xfId="3997"/>
    <cellStyle name="표준 3 8 3 2 2 3 2" xfId="9565"/>
    <cellStyle name="표준 3 8 3 2 2 3 2 2" xfId="26269"/>
    <cellStyle name="표준 3 8 3 2 2 3 3" xfId="15133"/>
    <cellStyle name="표준 3 8 3 2 2 3 3 2" xfId="31837"/>
    <cellStyle name="표준 3 8 3 2 2 3 4" xfId="20701"/>
    <cellStyle name="표준 3 8 3 2 2 4" xfId="6781"/>
    <cellStyle name="표준 3 8 3 2 2 4 2" xfId="23485"/>
    <cellStyle name="표준 3 8 3 2 2 5" xfId="12349"/>
    <cellStyle name="표준 3 8 3 2 2 5 2" xfId="29053"/>
    <cellStyle name="표준 3 8 3 2 2 6" xfId="17917"/>
    <cellStyle name="표준 3 8 3 2 3" xfId="1909"/>
    <cellStyle name="표준 3 8 3 2 3 2" xfId="4693"/>
    <cellStyle name="표준 3 8 3 2 3 2 2" xfId="10261"/>
    <cellStyle name="표준 3 8 3 2 3 2 2 2" xfId="26965"/>
    <cellStyle name="표준 3 8 3 2 3 2 3" xfId="15829"/>
    <cellStyle name="표준 3 8 3 2 3 2 3 2" xfId="32533"/>
    <cellStyle name="표준 3 8 3 2 3 2 4" xfId="21397"/>
    <cellStyle name="표준 3 8 3 2 3 3" xfId="7477"/>
    <cellStyle name="표준 3 8 3 2 3 3 2" xfId="24181"/>
    <cellStyle name="표준 3 8 3 2 3 4" xfId="13045"/>
    <cellStyle name="표준 3 8 3 2 3 4 2" xfId="29749"/>
    <cellStyle name="표준 3 8 3 2 3 5" xfId="18613"/>
    <cellStyle name="표준 3 8 3 2 4" xfId="3301"/>
    <cellStyle name="표준 3 8 3 2 4 2" xfId="8869"/>
    <cellStyle name="표준 3 8 3 2 4 2 2" xfId="25573"/>
    <cellStyle name="표준 3 8 3 2 4 3" xfId="14437"/>
    <cellStyle name="표준 3 8 3 2 4 3 2" xfId="31141"/>
    <cellStyle name="표준 3 8 3 2 4 4" xfId="20005"/>
    <cellStyle name="표준 3 8 3 2 5" xfId="6085"/>
    <cellStyle name="표준 3 8 3 2 5 2" xfId="22789"/>
    <cellStyle name="표준 3 8 3 2 6" xfId="11653"/>
    <cellStyle name="표준 3 8 3 2 6 2" xfId="28357"/>
    <cellStyle name="표준 3 8 3 2 7" xfId="17221"/>
    <cellStyle name="표준 3 8 3 3" xfId="749"/>
    <cellStyle name="표준 3 8 3 3 2" xfId="1445"/>
    <cellStyle name="표준 3 8 3 3 2 2" xfId="2837"/>
    <cellStyle name="표준 3 8 3 3 2 2 2" xfId="5621"/>
    <cellStyle name="표준 3 8 3 3 2 2 2 2" xfId="11189"/>
    <cellStyle name="표준 3 8 3 3 2 2 2 2 2" xfId="27893"/>
    <cellStyle name="표준 3 8 3 3 2 2 2 3" xfId="16757"/>
    <cellStyle name="표준 3 8 3 3 2 2 2 3 2" xfId="33461"/>
    <cellStyle name="표준 3 8 3 3 2 2 2 4" xfId="22325"/>
    <cellStyle name="표준 3 8 3 3 2 2 3" xfId="8405"/>
    <cellStyle name="표준 3 8 3 3 2 2 3 2" xfId="25109"/>
    <cellStyle name="표준 3 8 3 3 2 2 4" xfId="13973"/>
    <cellStyle name="표준 3 8 3 3 2 2 4 2" xfId="30677"/>
    <cellStyle name="표준 3 8 3 3 2 2 5" xfId="19541"/>
    <cellStyle name="표준 3 8 3 3 2 3" xfId="4229"/>
    <cellStyle name="표준 3 8 3 3 2 3 2" xfId="9797"/>
    <cellStyle name="표준 3 8 3 3 2 3 2 2" xfId="26501"/>
    <cellStyle name="표준 3 8 3 3 2 3 3" xfId="15365"/>
    <cellStyle name="표준 3 8 3 3 2 3 3 2" xfId="32069"/>
    <cellStyle name="표준 3 8 3 3 2 3 4" xfId="20933"/>
    <cellStyle name="표준 3 8 3 3 2 4" xfId="7013"/>
    <cellStyle name="표준 3 8 3 3 2 4 2" xfId="23717"/>
    <cellStyle name="표준 3 8 3 3 2 5" xfId="12581"/>
    <cellStyle name="표준 3 8 3 3 2 5 2" xfId="29285"/>
    <cellStyle name="표준 3 8 3 3 2 6" xfId="18149"/>
    <cellStyle name="표준 3 8 3 3 3" xfId="2141"/>
    <cellStyle name="표준 3 8 3 3 3 2" xfId="4925"/>
    <cellStyle name="표준 3 8 3 3 3 2 2" xfId="10493"/>
    <cellStyle name="표준 3 8 3 3 3 2 2 2" xfId="27197"/>
    <cellStyle name="표준 3 8 3 3 3 2 3" xfId="16061"/>
    <cellStyle name="표준 3 8 3 3 3 2 3 2" xfId="32765"/>
    <cellStyle name="표준 3 8 3 3 3 2 4" xfId="21629"/>
    <cellStyle name="표준 3 8 3 3 3 3" xfId="7709"/>
    <cellStyle name="표준 3 8 3 3 3 3 2" xfId="24413"/>
    <cellStyle name="표준 3 8 3 3 3 4" xfId="13277"/>
    <cellStyle name="표준 3 8 3 3 3 4 2" xfId="29981"/>
    <cellStyle name="표준 3 8 3 3 3 5" xfId="18845"/>
    <cellStyle name="표준 3 8 3 3 4" xfId="3533"/>
    <cellStyle name="표준 3 8 3 3 4 2" xfId="9101"/>
    <cellStyle name="표준 3 8 3 3 4 2 2" xfId="25805"/>
    <cellStyle name="표준 3 8 3 3 4 3" xfId="14669"/>
    <cellStyle name="표준 3 8 3 3 4 3 2" xfId="31373"/>
    <cellStyle name="표준 3 8 3 3 4 4" xfId="20237"/>
    <cellStyle name="표준 3 8 3 3 5" xfId="6317"/>
    <cellStyle name="표준 3 8 3 3 5 2" xfId="23021"/>
    <cellStyle name="표준 3 8 3 3 6" xfId="11885"/>
    <cellStyle name="표준 3 8 3 3 6 2" xfId="28589"/>
    <cellStyle name="표준 3 8 3 3 7" xfId="17453"/>
    <cellStyle name="표준 3 8 3 4" xfId="981"/>
    <cellStyle name="표준 3 8 3 4 2" xfId="2373"/>
    <cellStyle name="표준 3 8 3 4 2 2" xfId="5157"/>
    <cellStyle name="표준 3 8 3 4 2 2 2" xfId="10725"/>
    <cellStyle name="표준 3 8 3 4 2 2 2 2" xfId="27429"/>
    <cellStyle name="표준 3 8 3 4 2 2 3" xfId="16293"/>
    <cellStyle name="표준 3 8 3 4 2 2 3 2" xfId="32997"/>
    <cellStyle name="표준 3 8 3 4 2 2 4" xfId="21861"/>
    <cellStyle name="표준 3 8 3 4 2 3" xfId="7941"/>
    <cellStyle name="표준 3 8 3 4 2 3 2" xfId="24645"/>
    <cellStyle name="표준 3 8 3 4 2 4" xfId="13509"/>
    <cellStyle name="표준 3 8 3 4 2 4 2" xfId="30213"/>
    <cellStyle name="표준 3 8 3 4 2 5" xfId="19077"/>
    <cellStyle name="표준 3 8 3 4 3" xfId="3765"/>
    <cellStyle name="표준 3 8 3 4 3 2" xfId="9333"/>
    <cellStyle name="표준 3 8 3 4 3 2 2" xfId="26037"/>
    <cellStyle name="표준 3 8 3 4 3 3" xfId="14901"/>
    <cellStyle name="표준 3 8 3 4 3 3 2" xfId="31605"/>
    <cellStyle name="표준 3 8 3 4 3 4" xfId="20469"/>
    <cellStyle name="표준 3 8 3 4 4" xfId="6549"/>
    <cellStyle name="표준 3 8 3 4 4 2" xfId="23253"/>
    <cellStyle name="표준 3 8 3 4 5" xfId="12117"/>
    <cellStyle name="표준 3 8 3 4 5 2" xfId="28821"/>
    <cellStyle name="표준 3 8 3 4 6" xfId="17685"/>
    <cellStyle name="표준 3 8 3 5" xfId="1677"/>
    <cellStyle name="표준 3 8 3 5 2" xfId="4461"/>
    <cellStyle name="표준 3 8 3 5 2 2" xfId="10029"/>
    <cellStyle name="표준 3 8 3 5 2 2 2" xfId="26733"/>
    <cellStyle name="표준 3 8 3 5 2 3" xfId="15597"/>
    <cellStyle name="표준 3 8 3 5 2 3 2" xfId="32301"/>
    <cellStyle name="표준 3 8 3 5 2 4" xfId="21165"/>
    <cellStyle name="표준 3 8 3 5 3" xfId="7245"/>
    <cellStyle name="표준 3 8 3 5 3 2" xfId="23949"/>
    <cellStyle name="표준 3 8 3 5 4" xfId="12813"/>
    <cellStyle name="표준 3 8 3 5 4 2" xfId="29517"/>
    <cellStyle name="표준 3 8 3 5 5" xfId="18381"/>
    <cellStyle name="표준 3 8 3 6" xfId="3069"/>
    <cellStyle name="표준 3 8 3 6 2" xfId="8637"/>
    <cellStyle name="표준 3 8 3 6 2 2" xfId="25341"/>
    <cellStyle name="표준 3 8 3 6 3" xfId="14205"/>
    <cellStyle name="표준 3 8 3 6 3 2" xfId="30909"/>
    <cellStyle name="표준 3 8 3 6 4" xfId="19773"/>
    <cellStyle name="표준 3 8 3 7" xfId="5853"/>
    <cellStyle name="표준 3 8 3 7 2" xfId="22557"/>
    <cellStyle name="표준 3 8 3 8" xfId="11421"/>
    <cellStyle name="표준 3 8 3 8 2" xfId="28125"/>
    <cellStyle name="표준 3 8 3 9" xfId="16989"/>
    <cellStyle name="표준 3 8 4" xfId="401"/>
    <cellStyle name="표준 3 8 4 2" xfId="1097"/>
    <cellStyle name="표준 3 8 4 2 2" xfId="2489"/>
    <cellStyle name="표준 3 8 4 2 2 2" xfId="5273"/>
    <cellStyle name="표준 3 8 4 2 2 2 2" xfId="10841"/>
    <cellStyle name="표준 3 8 4 2 2 2 2 2" xfId="27545"/>
    <cellStyle name="표준 3 8 4 2 2 2 3" xfId="16409"/>
    <cellStyle name="표준 3 8 4 2 2 2 3 2" xfId="33113"/>
    <cellStyle name="표준 3 8 4 2 2 2 4" xfId="21977"/>
    <cellStyle name="표준 3 8 4 2 2 3" xfId="8057"/>
    <cellStyle name="표준 3 8 4 2 2 3 2" xfId="24761"/>
    <cellStyle name="표준 3 8 4 2 2 4" xfId="13625"/>
    <cellStyle name="표준 3 8 4 2 2 4 2" xfId="30329"/>
    <cellStyle name="표준 3 8 4 2 2 5" xfId="19193"/>
    <cellStyle name="표준 3 8 4 2 3" xfId="3881"/>
    <cellStyle name="표준 3 8 4 2 3 2" xfId="9449"/>
    <cellStyle name="표준 3 8 4 2 3 2 2" xfId="26153"/>
    <cellStyle name="표준 3 8 4 2 3 3" xfId="15017"/>
    <cellStyle name="표준 3 8 4 2 3 3 2" xfId="31721"/>
    <cellStyle name="표준 3 8 4 2 3 4" xfId="20585"/>
    <cellStyle name="표준 3 8 4 2 4" xfId="6665"/>
    <cellStyle name="표준 3 8 4 2 4 2" xfId="23369"/>
    <cellStyle name="표준 3 8 4 2 5" xfId="12233"/>
    <cellStyle name="표준 3 8 4 2 5 2" xfId="28937"/>
    <cellStyle name="표준 3 8 4 2 6" xfId="17801"/>
    <cellStyle name="표준 3 8 4 3" xfId="1793"/>
    <cellStyle name="표준 3 8 4 3 2" xfId="4577"/>
    <cellStyle name="표준 3 8 4 3 2 2" xfId="10145"/>
    <cellStyle name="표준 3 8 4 3 2 2 2" xfId="26849"/>
    <cellStyle name="표준 3 8 4 3 2 3" xfId="15713"/>
    <cellStyle name="표준 3 8 4 3 2 3 2" xfId="32417"/>
    <cellStyle name="표준 3 8 4 3 2 4" xfId="21281"/>
    <cellStyle name="표준 3 8 4 3 3" xfId="7361"/>
    <cellStyle name="표준 3 8 4 3 3 2" xfId="24065"/>
    <cellStyle name="표준 3 8 4 3 4" xfId="12929"/>
    <cellStyle name="표준 3 8 4 3 4 2" xfId="29633"/>
    <cellStyle name="표준 3 8 4 3 5" xfId="18497"/>
    <cellStyle name="표준 3 8 4 4" xfId="3185"/>
    <cellStyle name="표준 3 8 4 4 2" xfId="8753"/>
    <cellStyle name="표준 3 8 4 4 2 2" xfId="25457"/>
    <cellStyle name="표준 3 8 4 4 3" xfId="14321"/>
    <cellStyle name="표준 3 8 4 4 3 2" xfId="31025"/>
    <cellStyle name="표준 3 8 4 4 4" xfId="19889"/>
    <cellStyle name="표준 3 8 4 5" xfId="5969"/>
    <cellStyle name="표준 3 8 4 5 2" xfId="22673"/>
    <cellStyle name="표준 3 8 4 6" xfId="11537"/>
    <cellStyle name="표준 3 8 4 6 2" xfId="28241"/>
    <cellStyle name="표준 3 8 4 7" xfId="17105"/>
    <cellStyle name="표준 3 8 5" xfId="633"/>
    <cellStyle name="표준 3 8 5 2" xfId="1329"/>
    <cellStyle name="표준 3 8 5 2 2" xfId="2721"/>
    <cellStyle name="표준 3 8 5 2 2 2" xfId="5505"/>
    <cellStyle name="표준 3 8 5 2 2 2 2" xfId="11073"/>
    <cellStyle name="표준 3 8 5 2 2 2 2 2" xfId="27777"/>
    <cellStyle name="표준 3 8 5 2 2 2 3" xfId="16641"/>
    <cellStyle name="표준 3 8 5 2 2 2 3 2" xfId="33345"/>
    <cellStyle name="표준 3 8 5 2 2 2 4" xfId="22209"/>
    <cellStyle name="표준 3 8 5 2 2 3" xfId="8289"/>
    <cellStyle name="표준 3 8 5 2 2 3 2" xfId="24993"/>
    <cellStyle name="표준 3 8 5 2 2 4" xfId="13857"/>
    <cellStyle name="표준 3 8 5 2 2 4 2" xfId="30561"/>
    <cellStyle name="표준 3 8 5 2 2 5" xfId="19425"/>
    <cellStyle name="표준 3 8 5 2 3" xfId="4113"/>
    <cellStyle name="표준 3 8 5 2 3 2" xfId="9681"/>
    <cellStyle name="표준 3 8 5 2 3 2 2" xfId="26385"/>
    <cellStyle name="표준 3 8 5 2 3 3" xfId="15249"/>
    <cellStyle name="표준 3 8 5 2 3 3 2" xfId="31953"/>
    <cellStyle name="표준 3 8 5 2 3 4" xfId="20817"/>
    <cellStyle name="표준 3 8 5 2 4" xfId="6897"/>
    <cellStyle name="표준 3 8 5 2 4 2" xfId="23601"/>
    <cellStyle name="표준 3 8 5 2 5" xfId="12465"/>
    <cellStyle name="표준 3 8 5 2 5 2" xfId="29169"/>
    <cellStyle name="표준 3 8 5 2 6" xfId="18033"/>
    <cellStyle name="표준 3 8 5 3" xfId="2025"/>
    <cellStyle name="표준 3 8 5 3 2" xfId="4809"/>
    <cellStyle name="표준 3 8 5 3 2 2" xfId="10377"/>
    <cellStyle name="표준 3 8 5 3 2 2 2" xfId="27081"/>
    <cellStyle name="표준 3 8 5 3 2 3" xfId="15945"/>
    <cellStyle name="표준 3 8 5 3 2 3 2" xfId="32649"/>
    <cellStyle name="표준 3 8 5 3 2 4" xfId="21513"/>
    <cellStyle name="표준 3 8 5 3 3" xfId="7593"/>
    <cellStyle name="표준 3 8 5 3 3 2" xfId="24297"/>
    <cellStyle name="표준 3 8 5 3 4" xfId="13161"/>
    <cellStyle name="표준 3 8 5 3 4 2" xfId="29865"/>
    <cellStyle name="표준 3 8 5 3 5" xfId="18729"/>
    <cellStyle name="표준 3 8 5 4" xfId="3417"/>
    <cellStyle name="표준 3 8 5 4 2" xfId="8985"/>
    <cellStyle name="표준 3 8 5 4 2 2" xfId="25689"/>
    <cellStyle name="표준 3 8 5 4 3" xfId="14553"/>
    <cellStyle name="표준 3 8 5 4 3 2" xfId="31257"/>
    <cellStyle name="표준 3 8 5 4 4" xfId="20121"/>
    <cellStyle name="표준 3 8 5 5" xfId="6201"/>
    <cellStyle name="표준 3 8 5 5 2" xfId="22905"/>
    <cellStyle name="표준 3 8 5 6" xfId="11769"/>
    <cellStyle name="표준 3 8 5 6 2" xfId="28473"/>
    <cellStyle name="표준 3 8 5 7" xfId="17337"/>
    <cellStyle name="표준 3 8 6" xfId="865"/>
    <cellStyle name="표준 3 8 6 2" xfId="2257"/>
    <cellStyle name="표준 3 8 6 2 2" xfId="5041"/>
    <cellStyle name="표준 3 8 6 2 2 2" xfId="10609"/>
    <cellStyle name="표준 3 8 6 2 2 2 2" xfId="27313"/>
    <cellStyle name="표준 3 8 6 2 2 3" xfId="16177"/>
    <cellStyle name="표준 3 8 6 2 2 3 2" xfId="32881"/>
    <cellStyle name="표준 3 8 6 2 2 4" xfId="21745"/>
    <cellStyle name="표준 3 8 6 2 3" xfId="7825"/>
    <cellStyle name="표준 3 8 6 2 3 2" xfId="24529"/>
    <cellStyle name="표준 3 8 6 2 4" xfId="13393"/>
    <cellStyle name="표준 3 8 6 2 4 2" xfId="30097"/>
    <cellStyle name="표준 3 8 6 2 5" xfId="18961"/>
    <cellStyle name="표준 3 8 6 3" xfId="3649"/>
    <cellStyle name="표준 3 8 6 3 2" xfId="9217"/>
    <cellStyle name="표준 3 8 6 3 2 2" xfId="25921"/>
    <cellStyle name="표준 3 8 6 3 3" xfId="14785"/>
    <cellStyle name="표준 3 8 6 3 3 2" xfId="31489"/>
    <cellStyle name="표준 3 8 6 3 4" xfId="20353"/>
    <cellStyle name="표준 3 8 6 4" xfId="6433"/>
    <cellStyle name="표준 3 8 6 4 2" xfId="23137"/>
    <cellStyle name="표준 3 8 6 5" xfId="12001"/>
    <cellStyle name="표준 3 8 6 5 2" xfId="28705"/>
    <cellStyle name="표준 3 8 6 6" xfId="17569"/>
    <cellStyle name="표준 3 8 7" xfId="1561"/>
    <cellStyle name="표준 3 8 7 2" xfId="4345"/>
    <cellStyle name="표준 3 8 7 2 2" xfId="9913"/>
    <cellStyle name="표준 3 8 7 2 2 2" xfId="26617"/>
    <cellStyle name="표준 3 8 7 2 3" xfId="15481"/>
    <cellStyle name="표준 3 8 7 2 3 2" xfId="32185"/>
    <cellStyle name="표준 3 8 7 2 4" xfId="21049"/>
    <cellStyle name="표준 3 8 7 3" xfId="7129"/>
    <cellStyle name="표준 3 8 7 3 2" xfId="23833"/>
    <cellStyle name="표준 3 8 7 4" xfId="12697"/>
    <cellStyle name="표준 3 8 7 4 2" xfId="29401"/>
    <cellStyle name="표준 3 8 7 5" xfId="18265"/>
    <cellStyle name="표준 3 8 8" xfId="2953"/>
    <cellStyle name="표준 3 8 8 2" xfId="8521"/>
    <cellStyle name="표준 3 8 8 2 2" xfId="25225"/>
    <cellStyle name="표준 3 8 8 3" xfId="14089"/>
    <cellStyle name="표준 3 8 8 3 2" xfId="30793"/>
    <cellStyle name="표준 3 8 8 4" xfId="19657"/>
    <cellStyle name="표준 3 8 9" xfId="5737"/>
    <cellStyle name="표준 3 8 9 2" xfId="22441"/>
    <cellStyle name="표준 3 9" xfId="198"/>
    <cellStyle name="표준 3 9 10" xfId="16902"/>
    <cellStyle name="표준 3 9 2" xfId="314"/>
    <cellStyle name="표준 3 9 2 2" xfId="546"/>
    <cellStyle name="표준 3 9 2 2 2" xfId="1242"/>
    <cellStyle name="표준 3 9 2 2 2 2" xfId="2634"/>
    <cellStyle name="표준 3 9 2 2 2 2 2" xfId="5418"/>
    <cellStyle name="표준 3 9 2 2 2 2 2 2" xfId="10986"/>
    <cellStyle name="표준 3 9 2 2 2 2 2 2 2" xfId="27690"/>
    <cellStyle name="표준 3 9 2 2 2 2 2 3" xfId="16554"/>
    <cellStyle name="표준 3 9 2 2 2 2 2 3 2" xfId="33258"/>
    <cellStyle name="표준 3 9 2 2 2 2 2 4" xfId="22122"/>
    <cellStyle name="표준 3 9 2 2 2 2 3" xfId="8202"/>
    <cellStyle name="표준 3 9 2 2 2 2 3 2" xfId="24906"/>
    <cellStyle name="표준 3 9 2 2 2 2 4" xfId="13770"/>
    <cellStyle name="표준 3 9 2 2 2 2 4 2" xfId="30474"/>
    <cellStyle name="표준 3 9 2 2 2 2 5" xfId="19338"/>
    <cellStyle name="표준 3 9 2 2 2 3" xfId="4026"/>
    <cellStyle name="표준 3 9 2 2 2 3 2" xfId="9594"/>
    <cellStyle name="표준 3 9 2 2 2 3 2 2" xfId="26298"/>
    <cellStyle name="표준 3 9 2 2 2 3 3" xfId="15162"/>
    <cellStyle name="표준 3 9 2 2 2 3 3 2" xfId="31866"/>
    <cellStyle name="표준 3 9 2 2 2 3 4" xfId="20730"/>
    <cellStyle name="표준 3 9 2 2 2 4" xfId="6810"/>
    <cellStyle name="표준 3 9 2 2 2 4 2" xfId="23514"/>
    <cellStyle name="표준 3 9 2 2 2 5" xfId="12378"/>
    <cellStyle name="표준 3 9 2 2 2 5 2" xfId="29082"/>
    <cellStyle name="표준 3 9 2 2 2 6" xfId="17946"/>
    <cellStyle name="표준 3 9 2 2 3" xfId="1938"/>
    <cellStyle name="표준 3 9 2 2 3 2" xfId="4722"/>
    <cellStyle name="표준 3 9 2 2 3 2 2" xfId="10290"/>
    <cellStyle name="표준 3 9 2 2 3 2 2 2" xfId="26994"/>
    <cellStyle name="표준 3 9 2 2 3 2 3" xfId="15858"/>
    <cellStyle name="표준 3 9 2 2 3 2 3 2" xfId="32562"/>
    <cellStyle name="표준 3 9 2 2 3 2 4" xfId="21426"/>
    <cellStyle name="표준 3 9 2 2 3 3" xfId="7506"/>
    <cellStyle name="표준 3 9 2 2 3 3 2" xfId="24210"/>
    <cellStyle name="표준 3 9 2 2 3 4" xfId="13074"/>
    <cellStyle name="표준 3 9 2 2 3 4 2" xfId="29778"/>
    <cellStyle name="표준 3 9 2 2 3 5" xfId="18642"/>
    <cellStyle name="표준 3 9 2 2 4" xfId="3330"/>
    <cellStyle name="표준 3 9 2 2 4 2" xfId="8898"/>
    <cellStyle name="표준 3 9 2 2 4 2 2" xfId="25602"/>
    <cellStyle name="표준 3 9 2 2 4 3" xfId="14466"/>
    <cellStyle name="표준 3 9 2 2 4 3 2" xfId="31170"/>
    <cellStyle name="표준 3 9 2 2 4 4" xfId="20034"/>
    <cellStyle name="표준 3 9 2 2 5" xfId="6114"/>
    <cellStyle name="표준 3 9 2 2 5 2" xfId="22818"/>
    <cellStyle name="표준 3 9 2 2 6" xfId="11682"/>
    <cellStyle name="표준 3 9 2 2 6 2" xfId="28386"/>
    <cellStyle name="표준 3 9 2 2 7" xfId="17250"/>
    <cellStyle name="표준 3 9 2 3" xfId="778"/>
    <cellStyle name="표준 3 9 2 3 2" xfId="1474"/>
    <cellStyle name="표준 3 9 2 3 2 2" xfId="2866"/>
    <cellStyle name="표준 3 9 2 3 2 2 2" xfId="5650"/>
    <cellStyle name="표준 3 9 2 3 2 2 2 2" xfId="11218"/>
    <cellStyle name="표준 3 9 2 3 2 2 2 2 2" xfId="27922"/>
    <cellStyle name="표준 3 9 2 3 2 2 2 3" xfId="16786"/>
    <cellStyle name="표준 3 9 2 3 2 2 2 3 2" xfId="33490"/>
    <cellStyle name="표준 3 9 2 3 2 2 2 4" xfId="22354"/>
    <cellStyle name="표준 3 9 2 3 2 2 3" xfId="8434"/>
    <cellStyle name="표준 3 9 2 3 2 2 3 2" xfId="25138"/>
    <cellStyle name="표준 3 9 2 3 2 2 4" xfId="14002"/>
    <cellStyle name="표준 3 9 2 3 2 2 4 2" xfId="30706"/>
    <cellStyle name="표준 3 9 2 3 2 2 5" xfId="19570"/>
    <cellStyle name="표준 3 9 2 3 2 3" xfId="4258"/>
    <cellStyle name="표준 3 9 2 3 2 3 2" xfId="9826"/>
    <cellStyle name="표준 3 9 2 3 2 3 2 2" xfId="26530"/>
    <cellStyle name="표준 3 9 2 3 2 3 3" xfId="15394"/>
    <cellStyle name="표준 3 9 2 3 2 3 3 2" xfId="32098"/>
    <cellStyle name="표준 3 9 2 3 2 3 4" xfId="20962"/>
    <cellStyle name="표준 3 9 2 3 2 4" xfId="7042"/>
    <cellStyle name="표준 3 9 2 3 2 4 2" xfId="23746"/>
    <cellStyle name="표준 3 9 2 3 2 5" xfId="12610"/>
    <cellStyle name="표준 3 9 2 3 2 5 2" xfId="29314"/>
    <cellStyle name="표준 3 9 2 3 2 6" xfId="18178"/>
    <cellStyle name="표준 3 9 2 3 3" xfId="2170"/>
    <cellStyle name="표준 3 9 2 3 3 2" xfId="4954"/>
    <cellStyle name="표준 3 9 2 3 3 2 2" xfId="10522"/>
    <cellStyle name="표준 3 9 2 3 3 2 2 2" xfId="27226"/>
    <cellStyle name="표준 3 9 2 3 3 2 3" xfId="16090"/>
    <cellStyle name="표준 3 9 2 3 3 2 3 2" xfId="32794"/>
    <cellStyle name="표준 3 9 2 3 3 2 4" xfId="21658"/>
    <cellStyle name="표준 3 9 2 3 3 3" xfId="7738"/>
    <cellStyle name="표준 3 9 2 3 3 3 2" xfId="24442"/>
    <cellStyle name="표준 3 9 2 3 3 4" xfId="13306"/>
    <cellStyle name="표준 3 9 2 3 3 4 2" xfId="30010"/>
    <cellStyle name="표준 3 9 2 3 3 5" xfId="18874"/>
    <cellStyle name="표준 3 9 2 3 4" xfId="3562"/>
    <cellStyle name="표준 3 9 2 3 4 2" xfId="9130"/>
    <cellStyle name="표준 3 9 2 3 4 2 2" xfId="25834"/>
    <cellStyle name="표준 3 9 2 3 4 3" xfId="14698"/>
    <cellStyle name="표준 3 9 2 3 4 3 2" xfId="31402"/>
    <cellStyle name="표준 3 9 2 3 4 4" xfId="20266"/>
    <cellStyle name="표준 3 9 2 3 5" xfId="6346"/>
    <cellStyle name="표준 3 9 2 3 5 2" xfId="23050"/>
    <cellStyle name="표준 3 9 2 3 6" xfId="11914"/>
    <cellStyle name="표준 3 9 2 3 6 2" xfId="28618"/>
    <cellStyle name="표준 3 9 2 3 7" xfId="17482"/>
    <cellStyle name="표준 3 9 2 4" xfId="1010"/>
    <cellStyle name="표준 3 9 2 4 2" xfId="2402"/>
    <cellStyle name="표준 3 9 2 4 2 2" xfId="5186"/>
    <cellStyle name="표준 3 9 2 4 2 2 2" xfId="10754"/>
    <cellStyle name="표준 3 9 2 4 2 2 2 2" xfId="27458"/>
    <cellStyle name="표준 3 9 2 4 2 2 3" xfId="16322"/>
    <cellStyle name="표준 3 9 2 4 2 2 3 2" xfId="33026"/>
    <cellStyle name="표준 3 9 2 4 2 2 4" xfId="21890"/>
    <cellStyle name="표준 3 9 2 4 2 3" xfId="7970"/>
    <cellStyle name="표준 3 9 2 4 2 3 2" xfId="24674"/>
    <cellStyle name="표준 3 9 2 4 2 4" xfId="13538"/>
    <cellStyle name="표준 3 9 2 4 2 4 2" xfId="30242"/>
    <cellStyle name="표준 3 9 2 4 2 5" xfId="19106"/>
    <cellStyle name="표준 3 9 2 4 3" xfId="3794"/>
    <cellStyle name="표준 3 9 2 4 3 2" xfId="9362"/>
    <cellStyle name="표준 3 9 2 4 3 2 2" xfId="26066"/>
    <cellStyle name="표준 3 9 2 4 3 3" xfId="14930"/>
    <cellStyle name="표준 3 9 2 4 3 3 2" xfId="31634"/>
    <cellStyle name="표준 3 9 2 4 3 4" xfId="20498"/>
    <cellStyle name="표준 3 9 2 4 4" xfId="6578"/>
    <cellStyle name="표준 3 9 2 4 4 2" xfId="23282"/>
    <cellStyle name="표준 3 9 2 4 5" xfId="12146"/>
    <cellStyle name="표준 3 9 2 4 5 2" xfId="28850"/>
    <cellStyle name="표준 3 9 2 4 6" xfId="17714"/>
    <cellStyle name="표준 3 9 2 5" xfId="1706"/>
    <cellStyle name="표준 3 9 2 5 2" xfId="4490"/>
    <cellStyle name="표준 3 9 2 5 2 2" xfId="10058"/>
    <cellStyle name="표준 3 9 2 5 2 2 2" xfId="26762"/>
    <cellStyle name="표준 3 9 2 5 2 3" xfId="15626"/>
    <cellStyle name="표준 3 9 2 5 2 3 2" xfId="32330"/>
    <cellStyle name="표준 3 9 2 5 2 4" xfId="21194"/>
    <cellStyle name="표준 3 9 2 5 3" xfId="7274"/>
    <cellStyle name="표준 3 9 2 5 3 2" xfId="23978"/>
    <cellStyle name="표준 3 9 2 5 4" xfId="12842"/>
    <cellStyle name="표준 3 9 2 5 4 2" xfId="29546"/>
    <cellStyle name="표준 3 9 2 5 5" xfId="18410"/>
    <cellStyle name="표준 3 9 2 6" xfId="3098"/>
    <cellStyle name="표준 3 9 2 6 2" xfId="8666"/>
    <cellStyle name="표준 3 9 2 6 2 2" xfId="25370"/>
    <cellStyle name="표준 3 9 2 6 3" xfId="14234"/>
    <cellStyle name="표준 3 9 2 6 3 2" xfId="30938"/>
    <cellStyle name="표준 3 9 2 6 4" xfId="19802"/>
    <cellStyle name="표준 3 9 2 7" xfId="5882"/>
    <cellStyle name="표준 3 9 2 7 2" xfId="22586"/>
    <cellStyle name="표준 3 9 2 8" xfId="11450"/>
    <cellStyle name="표준 3 9 2 8 2" xfId="28154"/>
    <cellStyle name="표준 3 9 2 9" xfId="17018"/>
    <cellStyle name="표준 3 9 3" xfId="430"/>
    <cellStyle name="표준 3 9 3 2" xfId="1126"/>
    <cellStyle name="표준 3 9 3 2 2" xfId="2518"/>
    <cellStyle name="표준 3 9 3 2 2 2" xfId="5302"/>
    <cellStyle name="표준 3 9 3 2 2 2 2" xfId="10870"/>
    <cellStyle name="표준 3 9 3 2 2 2 2 2" xfId="27574"/>
    <cellStyle name="표준 3 9 3 2 2 2 3" xfId="16438"/>
    <cellStyle name="표준 3 9 3 2 2 2 3 2" xfId="33142"/>
    <cellStyle name="표준 3 9 3 2 2 2 4" xfId="22006"/>
    <cellStyle name="표준 3 9 3 2 2 3" xfId="8086"/>
    <cellStyle name="표준 3 9 3 2 2 3 2" xfId="24790"/>
    <cellStyle name="표준 3 9 3 2 2 4" xfId="13654"/>
    <cellStyle name="표준 3 9 3 2 2 4 2" xfId="30358"/>
    <cellStyle name="표준 3 9 3 2 2 5" xfId="19222"/>
    <cellStyle name="표준 3 9 3 2 3" xfId="3910"/>
    <cellStyle name="표준 3 9 3 2 3 2" xfId="9478"/>
    <cellStyle name="표준 3 9 3 2 3 2 2" xfId="26182"/>
    <cellStyle name="표준 3 9 3 2 3 3" xfId="15046"/>
    <cellStyle name="표준 3 9 3 2 3 3 2" xfId="31750"/>
    <cellStyle name="표준 3 9 3 2 3 4" xfId="20614"/>
    <cellStyle name="표준 3 9 3 2 4" xfId="6694"/>
    <cellStyle name="표준 3 9 3 2 4 2" xfId="23398"/>
    <cellStyle name="표준 3 9 3 2 5" xfId="12262"/>
    <cellStyle name="표준 3 9 3 2 5 2" xfId="28966"/>
    <cellStyle name="표준 3 9 3 2 6" xfId="17830"/>
    <cellStyle name="표준 3 9 3 3" xfId="1822"/>
    <cellStyle name="표준 3 9 3 3 2" xfId="4606"/>
    <cellStyle name="표준 3 9 3 3 2 2" xfId="10174"/>
    <cellStyle name="표준 3 9 3 3 2 2 2" xfId="26878"/>
    <cellStyle name="표준 3 9 3 3 2 3" xfId="15742"/>
    <cellStyle name="표준 3 9 3 3 2 3 2" xfId="32446"/>
    <cellStyle name="표준 3 9 3 3 2 4" xfId="21310"/>
    <cellStyle name="표준 3 9 3 3 3" xfId="7390"/>
    <cellStyle name="표준 3 9 3 3 3 2" xfId="24094"/>
    <cellStyle name="표준 3 9 3 3 4" xfId="12958"/>
    <cellStyle name="표준 3 9 3 3 4 2" xfId="29662"/>
    <cellStyle name="표준 3 9 3 3 5" xfId="18526"/>
    <cellStyle name="표준 3 9 3 4" xfId="3214"/>
    <cellStyle name="표준 3 9 3 4 2" xfId="8782"/>
    <cellStyle name="표준 3 9 3 4 2 2" xfId="25486"/>
    <cellStyle name="표준 3 9 3 4 3" xfId="14350"/>
    <cellStyle name="표준 3 9 3 4 3 2" xfId="31054"/>
    <cellStyle name="표준 3 9 3 4 4" xfId="19918"/>
    <cellStyle name="표준 3 9 3 5" xfId="5998"/>
    <cellStyle name="표준 3 9 3 5 2" xfId="22702"/>
    <cellStyle name="표준 3 9 3 6" xfId="11566"/>
    <cellStyle name="표준 3 9 3 6 2" xfId="28270"/>
    <cellStyle name="표준 3 9 3 7" xfId="17134"/>
    <cellStyle name="표준 3 9 4" xfId="662"/>
    <cellStyle name="표준 3 9 4 2" xfId="1358"/>
    <cellStyle name="표준 3 9 4 2 2" xfId="2750"/>
    <cellStyle name="표준 3 9 4 2 2 2" xfId="5534"/>
    <cellStyle name="표준 3 9 4 2 2 2 2" xfId="11102"/>
    <cellStyle name="표준 3 9 4 2 2 2 2 2" xfId="27806"/>
    <cellStyle name="표준 3 9 4 2 2 2 3" xfId="16670"/>
    <cellStyle name="표준 3 9 4 2 2 2 3 2" xfId="33374"/>
    <cellStyle name="표준 3 9 4 2 2 2 4" xfId="22238"/>
    <cellStyle name="표준 3 9 4 2 2 3" xfId="8318"/>
    <cellStyle name="표준 3 9 4 2 2 3 2" xfId="25022"/>
    <cellStyle name="표준 3 9 4 2 2 4" xfId="13886"/>
    <cellStyle name="표준 3 9 4 2 2 4 2" xfId="30590"/>
    <cellStyle name="표준 3 9 4 2 2 5" xfId="19454"/>
    <cellStyle name="표준 3 9 4 2 3" xfId="4142"/>
    <cellStyle name="표준 3 9 4 2 3 2" xfId="9710"/>
    <cellStyle name="표준 3 9 4 2 3 2 2" xfId="26414"/>
    <cellStyle name="표준 3 9 4 2 3 3" xfId="15278"/>
    <cellStyle name="표준 3 9 4 2 3 3 2" xfId="31982"/>
    <cellStyle name="표준 3 9 4 2 3 4" xfId="20846"/>
    <cellStyle name="표준 3 9 4 2 4" xfId="6926"/>
    <cellStyle name="표준 3 9 4 2 4 2" xfId="23630"/>
    <cellStyle name="표준 3 9 4 2 5" xfId="12494"/>
    <cellStyle name="표준 3 9 4 2 5 2" xfId="29198"/>
    <cellStyle name="표준 3 9 4 2 6" xfId="18062"/>
    <cellStyle name="표준 3 9 4 3" xfId="2054"/>
    <cellStyle name="표준 3 9 4 3 2" xfId="4838"/>
    <cellStyle name="표준 3 9 4 3 2 2" xfId="10406"/>
    <cellStyle name="표준 3 9 4 3 2 2 2" xfId="27110"/>
    <cellStyle name="표준 3 9 4 3 2 3" xfId="15974"/>
    <cellStyle name="표준 3 9 4 3 2 3 2" xfId="32678"/>
    <cellStyle name="표준 3 9 4 3 2 4" xfId="21542"/>
    <cellStyle name="표준 3 9 4 3 3" xfId="7622"/>
    <cellStyle name="표준 3 9 4 3 3 2" xfId="24326"/>
    <cellStyle name="표준 3 9 4 3 4" xfId="13190"/>
    <cellStyle name="표준 3 9 4 3 4 2" xfId="29894"/>
    <cellStyle name="표준 3 9 4 3 5" xfId="18758"/>
    <cellStyle name="표준 3 9 4 4" xfId="3446"/>
    <cellStyle name="표준 3 9 4 4 2" xfId="9014"/>
    <cellStyle name="표준 3 9 4 4 2 2" xfId="25718"/>
    <cellStyle name="표준 3 9 4 4 3" xfId="14582"/>
    <cellStyle name="표준 3 9 4 4 3 2" xfId="31286"/>
    <cellStyle name="표준 3 9 4 4 4" xfId="20150"/>
    <cellStyle name="표준 3 9 4 5" xfId="6230"/>
    <cellStyle name="표준 3 9 4 5 2" xfId="22934"/>
    <cellStyle name="표준 3 9 4 6" xfId="11798"/>
    <cellStyle name="표준 3 9 4 6 2" xfId="28502"/>
    <cellStyle name="표준 3 9 4 7" xfId="17366"/>
    <cellStyle name="표준 3 9 5" xfId="894"/>
    <cellStyle name="표준 3 9 5 2" xfId="2286"/>
    <cellStyle name="표준 3 9 5 2 2" xfId="5070"/>
    <cellStyle name="표준 3 9 5 2 2 2" xfId="10638"/>
    <cellStyle name="표준 3 9 5 2 2 2 2" xfId="27342"/>
    <cellStyle name="표준 3 9 5 2 2 3" xfId="16206"/>
    <cellStyle name="표준 3 9 5 2 2 3 2" xfId="32910"/>
    <cellStyle name="표준 3 9 5 2 2 4" xfId="21774"/>
    <cellStyle name="표준 3 9 5 2 3" xfId="7854"/>
    <cellStyle name="표준 3 9 5 2 3 2" xfId="24558"/>
    <cellStyle name="표준 3 9 5 2 4" xfId="13422"/>
    <cellStyle name="표준 3 9 5 2 4 2" xfId="30126"/>
    <cellStyle name="표준 3 9 5 2 5" xfId="18990"/>
    <cellStyle name="표준 3 9 5 3" xfId="3678"/>
    <cellStyle name="표준 3 9 5 3 2" xfId="9246"/>
    <cellStyle name="표준 3 9 5 3 2 2" xfId="25950"/>
    <cellStyle name="표준 3 9 5 3 3" xfId="14814"/>
    <cellStyle name="표준 3 9 5 3 3 2" xfId="31518"/>
    <cellStyle name="표준 3 9 5 3 4" xfId="20382"/>
    <cellStyle name="표준 3 9 5 4" xfId="6462"/>
    <cellStyle name="표준 3 9 5 4 2" xfId="23166"/>
    <cellStyle name="표준 3 9 5 5" xfId="12030"/>
    <cellStyle name="표준 3 9 5 5 2" xfId="28734"/>
    <cellStyle name="표준 3 9 5 6" xfId="17598"/>
    <cellStyle name="표준 3 9 6" xfId="1590"/>
    <cellStyle name="표준 3 9 6 2" xfId="4374"/>
    <cellStyle name="표준 3 9 6 2 2" xfId="9942"/>
    <cellStyle name="표준 3 9 6 2 2 2" xfId="26646"/>
    <cellStyle name="표준 3 9 6 2 3" xfId="15510"/>
    <cellStyle name="표준 3 9 6 2 3 2" xfId="32214"/>
    <cellStyle name="표준 3 9 6 2 4" xfId="21078"/>
    <cellStyle name="표준 3 9 6 3" xfId="7158"/>
    <cellStyle name="표준 3 9 6 3 2" xfId="23862"/>
    <cellStyle name="표준 3 9 6 4" xfId="12726"/>
    <cellStyle name="표준 3 9 6 4 2" xfId="29430"/>
    <cellStyle name="표준 3 9 6 5" xfId="18294"/>
    <cellStyle name="표준 3 9 7" xfId="2982"/>
    <cellStyle name="표준 3 9 7 2" xfId="8550"/>
    <cellStyle name="표준 3 9 7 2 2" xfId="25254"/>
    <cellStyle name="표준 3 9 7 3" xfId="14118"/>
    <cellStyle name="표준 3 9 7 3 2" xfId="30822"/>
    <cellStyle name="표준 3 9 7 4" xfId="19686"/>
    <cellStyle name="표준 3 9 8" xfId="5766"/>
    <cellStyle name="표준 3 9 8 2" xfId="22470"/>
    <cellStyle name="표준 3 9 9" xfId="11334"/>
    <cellStyle name="표준 3 9 9 2" xfId="28038"/>
    <cellStyle name="표준 33" xfId="35"/>
    <cellStyle name="표준 4" xfId="15"/>
    <cellStyle name="표준 4 2" xfId="32"/>
    <cellStyle name="표준 4 3" xfId="155"/>
    <cellStyle name="표준 4 4" xfId="149"/>
    <cellStyle name="표준 5" xfId="18"/>
    <cellStyle name="표준 5 15" xfId="33"/>
    <cellStyle name="표준 5 2" xfId="157"/>
    <cellStyle name="표준 5 3" xfId="166"/>
    <cellStyle name="표준 5 3 10" xfId="5734"/>
    <cellStyle name="표준 5 3 10 2" xfId="22438"/>
    <cellStyle name="표준 5 3 11" xfId="11302"/>
    <cellStyle name="표준 5 3 11 2" xfId="28006"/>
    <cellStyle name="표준 5 3 12" xfId="16870"/>
    <cellStyle name="표준 5 3 2" xfId="195"/>
    <cellStyle name="표준 5 3 2 10" xfId="11331"/>
    <cellStyle name="표준 5 3 2 10 2" xfId="28035"/>
    <cellStyle name="표준 5 3 2 11" xfId="16899"/>
    <cellStyle name="표준 5 3 2 2" xfId="253"/>
    <cellStyle name="표준 5 3 2 2 10" xfId="16957"/>
    <cellStyle name="표준 5 3 2 2 2" xfId="369"/>
    <cellStyle name="표준 5 3 2 2 2 2" xfId="601"/>
    <cellStyle name="표준 5 3 2 2 2 2 2" xfId="1297"/>
    <cellStyle name="표준 5 3 2 2 2 2 2 2" xfId="2689"/>
    <cellStyle name="표준 5 3 2 2 2 2 2 2 2" xfId="5473"/>
    <cellStyle name="표준 5 3 2 2 2 2 2 2 2 2" xfId="11041"/>
    <cellStyle name="표준 5 3 2 2 2 2 2 2 2 2 2" xfId="27745"/>
    <cellStyle name="표준 5 3 2 2 2 2 2 2 2 3" xfId="16609"/>
    <cellStyle name="표준 5 3 2 2 2 2 2 2 2 3 2" xfId="33313"/>
    <cellStyle name="표준 5 3 2 2 2 2 2 2 2 4" xfId="22177"/>
    <cellStyle name="표준 5 3 2 2 2 2 2 2 3" xfId="8257"/>
    <cellStyle name="표준 5 3 2 2 2 2 2 2 3 2" xfId="24961"/>
    <cellStyle name="표준 5 3 2 2 2 2 2 2 4" xfId="13825"/>
    <cellStyle name="표준 5 3 2 2 2 2 2 2 4 2" xfId="30529"/>
    <cellStyle name="표준 5 3 2 2 2 2 2 2 5" xfId="19393"/>
    <cellStyle name="표준 5 3 2 2 2 2 2 3" xfId="4081"/>
    <cellStyle name="표준 5 3 2 2 2 2 2 3 2" xfId="9649"/>
    <cellStyle name="표준 5 3 2 2 2 2 2 3 2 2" xfId="26353"/>
    <cellStyle name="표준 5 3 2 2 2 2 2 3 3" xfId="15217"/>
    <cellStyle name="표준 5 3 2 2 2 2 2 3 3 2" xfId="31921"/>
    <cellStyle name="표준 5 3 2 2 2 2 2 3 4" xfId="20785"/>
    <cellStyle name="표준 5 3 2 2 2 2 2 4" xfId="6865"/>
    <cellStyle name="표준 5 3 2 2 2 2 2 4 2" xfId="23569"/>
    <cellStyle name="표준 5 3 2 2 2 2 2 5" xfId="12433"/>
    <cellStyle name="표준 5 3 2 2 2 2 2 5 2" xfId="29137"/>
    <cellStyle name="표준 5 3 2 2 2 2 2 6" xfId="18001"/>
    <cellStyle name="표준 5 3 2 2 2 2 3" xfId="1993"/>
    <cellStyle name="표준 5 3 2 2 2 2 3 2" xfId="4777"/>
    <cellStyle name="표준 5 3 2 2 2 2 3 2 2" xfId="10345"/>
    <cellStyle name="표준 5 3 2 2 2 2 3 2 2 2" xfId="27049"/>
    <cellStyle name="표준 5 3 2 2 2 2 3 2 3" xfId="15913"/>
    <cellStyle name="표준 5 3 2 2 2 2 3 2 3 2" xfId="32617"/>
    <cellStyle name="표준 5 3 2 2 2 2 3 2 4" xfId="21481"/>
    <cellStyle name="표준 5 3 2 2 2 2 3 3" xfId="7561"/>
    <cellStyle name="표준 5 3 2 2 2 2 3 3 2" xfId="24265"/>
    <cellStyle name="표준 5 3 2 2 2 2 3 4" xfId="13129"/>
    <cellStyle name="표준 5 3 2 2 2 2 3 4 2" xfId="29833"/>
    <cellStyle name="표준 5 3 2 2 2 2 3 5" xfId="18697"/>
    <cellStyle name="표준 5 3 2 2 2 2 4" xfId="3385"/>
    <cellStyle name="표준 5 3 2 2 2 2 4 2" xfId="8953"/>
    <cellStyle name="표준 5 3 2 2 2 2 4 2 2" xfId="25657"/>
    <cellStyle name="표준 5 3 2 2 2 2 4 3" xfId="14521"/>
    <cellStyle name="표준 5 3 2 2 2 2 4 3 2" xfId="31225"/>
    <cellStyle name="표준 5 3 2 2 2 2 4 4" xfId="20089"/>
    <cellStyle name="표준 5 3 2 2 2 2 5" xfId="6169"/>
    <cellStyle name="표준 5 3 2 2 2 2 5 2" xfId="22873"/>
    <cellStyle name="표준 5 3 2 2 2 2 6" xfId="11737"/>
    <cellStyle name="표준 5 3 2 2 2 2 6 2" xfId="28441"/>
    <cellStyle name="표준 5 3 2 2 2 2 7" xfId="17305"/>
    <cellStyle name="표준 5 3 2 2 2 3" xfId="833"/>
    <cellStyle name="표준 5 3 2 2 2 3 2" xfId="1529"/>
    <cellStyle name="표준 5 3 2 2 2 3 2 2" xfId="2921"/>
    <cellStyle name="표준 5 3 2 2 2 3 2 2 2" xfId="5705"/>
    <cellStyle name="표준 5 3 2 2 2 3 2 2 2 2" xfId="11273"/>
    <cellStyle name="표준 5 3 2 2 2 3 2 2 2 2 2" xfId="27977"/>
    <cellStyle name="표준 5 3 2 2 2 3 2 2 2 3" xfId="16841"/>
    <cellStyle name="표준 5 3 2 2 2 3 2 2 2 3 2" xfId="33545"/>
    <cellStyle name="표준 5 3 2 2 2 3 2 2 2 4" xfId="22409"/>
    <cellStyle name="표준 5 3 2 2 2 3 2 2 3" xfId="8489"/>
    <cellStyle name="표준 5 3 2 2 2 3 2 2 3 2" xfId="25193"/>
    <cellStyle name="표준 5 3 2 2 2 3 2 2 4" xfId="14057"/>
    <cellStyle name="표준 5 3 2 2 2 3 2 2 4 2" xfId="30761"/>
    <cellStyle name="표준 5 3 2 2 2 3 2 2 5" xfId="19625"/>
    <cellStyle name="표준 5 3 2 2 2 3 2 3" xfId="4313"/>
    <cellStyle name="표준 5 3 2 2 2 3 2 3 2" xfId="9881"/>
    <cellStyle name="표준 5 3 2 2 2 3 2 3 2 2" xfId="26585"/>
    <cellStyle name="표준 5 3 2 2 2 3 2 3 3" xfId="15449"/>
    <cellStyle name="표준 5 3 2 2 2 3 2 3 3 2" xfId="32153"/>
    <cellStyle name="표준 5 3 2 2 2 3 2 3 4" xfId="21017"/>
    <cellStyle name="표준 5 3 2 2 2 3 2 4" xfId="7097"/>
    <cellStyle name="표준 5 3 2 2 2 3 2 4 2" xfId="23801"/>
    <cellStyle name="표준 5 3 2 2 2 3 2 5" xfId="12665"/>
    <cellStyle name="표준 5 3 2 2 2 3 2 5 2" xfId="29369"/>
    <cellStyle name="표준 5 3 2 2 2 3 2 6" xfId="18233"/>
    <cellStyle name="표준 5 3 2 2 2 3 3" xfId="2225"/>
    <cellStyle name="표준 5 3 2 2 2 3 3 2" xfId="5009"/>
    <cellStyle name="표준 5 3 2 2 2 3 3 2 2" xfId="10577"/>
    <cellStyle name="표준 5 3 2 2 2 3 3 2 2 2" xfId="27281"/>
    <cellStyle name="표준 5 3 2 2 2 3 3 2 3" xfId="16145"/>
    <cellStyle name="표준 5 3 2 2 2 3 3 2 3 2" xfId="32849"/>
    <cellStyle name="표준 5 3 2 2 2 3 3 2 4" xfId="21713"/>
    <cellStyle name="표준 5 3 2 2 2 3 3 3" xfId="7793"/>
    <cellStyle name="표준 5 3 2 2 2 3 3 3 2" xfId="24497"/>
    <cellStyle name="표준 5 3 2 2 2 3 3 4" xfId="13361"/>
    <cellStyle name="표준 5 3 2 2 2 3 3 4 2" xfId="30065"/>
    <cellStyle name="표준 5 3 2 2 2 3 3 5" xfId="18929"/>
    <cellStyle name="표준 5 3 2 2 2 3 4" xfId="3617"/>
    <cellStyle name="표준 5 3 2 2 2 3 4 2" xfId="9185"/>
    <cellStyle name="표준 5 3 2 2 2 3 4 2 2" xfId="25889"/>
    <cellStyle name="표준 5 3 2 2 2 3 4 3" xfId="14753"/>
    <cellStyle name="표준 5 3 2 2 2 3 4 3 2" xfId="31457"/>
    <cellStyle name="표준 5 3 2 2 2 3 4 4" xfId="20321"/>
    <cellStyle name="표준 5 3 2 2 2 3 5" xfId="6401"/>
    <cellStyle name="표준 5 3 2 2 2 3 5 2" xfId="23105"/>
    <cellStyle name="표준 5 3 2 2 2 3 6" xfId="11969"/>
    <cellStyle name="표준 5 3 2 2 2 3 6 2" xfId="28673"/>
    <cellStyle name="표준 5 3 2 2 2 3 7" xfId="17537"/>
    <cellStyle name="표준 5 3 2 2 2 4" xfId="1065"/>
    <cellStyle name="표준 5 3 2 2 2 4 2" xfId="2457"/>
    <cellStyle name="표준 5 3 2 2 2 4 2 2" xfId="5241"/>
    <cellStyle name="표준 5 3 2 2 2 4 2 2 2" xfId="10809"/>
    <cellStyle name="표준 5 3 2 2 2 4 2 2 2 2" xfId="27513"/>
    <cellStyle name="표준 5 3 2 2 2 4 2 2 3" xfId="16377"/>
    <cellStyle name="표준 5 3 2 2 2 4 2 2 3 2" xfId="33081"/>
    <cellStyle name="표준 5 3 2 2 2 4 2 2 4" xfId="21945"/>
    <cellStyle name="표준 5 3 2 2 2 4 2 3" xfId="8025"/>
    <cellStyle name="표준 5 3 2 2 2 4 2 3 2" xfId="24729"/>
    <cellStyle name="표준 5 3 2 2 2 4 2 4" xfId="13593"/>
    <cellStyle name="표준 5 3 2 2 2 4 2 4 2" xfId="30297"/>
    <cellStyle name="표준 5 3 2 2 2 4 2 5" xfId="19161"/>
    <cellStyle name="표준 5 3 2 2 2 4 3" xfId="3849"/>
    <cellStyle name="표준 5 3 2 2 2 4 3 2" xfId="9417"/>
    <cellStyle name="표준 5 3 2 2 2 4 3 2 2" xfId="26121"/>
    <cellStyle name="표준 5 3 2 2 2 4 3 3" xfId="14985"/>
    <cellStyle name="표준 5 3 2 2 2 4 3 3 2" xfId="31689"/>
    <cellStyle name="표준 5 3 2 2 2 4 3 4" xfId="20553"/>
    <cellStyle name="표준 5 3 2 2 2 4 4" xfId="6633"/>
    <cellStyle name="표준 5 3 2 2 2 4 4 2" xfId="23337"/>
    <cellStyle name="표준 5 3 2 2 2 4 5" xfId="12201"/>
    <cellStyle name="표준 5 3 2 2 2 4 5 2" xfId="28905"/>
    <cellStyle name="표준 5 3 2 2 2 4 6" xfId="17769"/>
    <cellStyle name="표준 5 3 2 2 2 5" xfId="1761"/>
    <cellStyle name="표준 5 3 2 2 2 5 2" xfId="4545"/>
    <cellStyle name="표준 5 3 2 2 2 5 2 2" xfId="10113"/>
    <cellStyle name="표준 5 3 2 2 2 5 2 2 2" xfId="26817"/>
    <cellStyle name="표준 5 3 2 2 2 5 2 3" xfId="15681"/>
    <cellStyle name="표준 5 3 2 2 2 5 2 3 2" xfId="32385"/>
    <cellStyle name="표준 5 3 2 2 2 5 2 4" xfId="21249"/>
    <cellStyle name="표준 5 3 2 2 2 5 3" xfId="7329"/>
    <cellStyle name="표준 5 3 2 2 2 5 3 2" xfId="24033"/>
    <cellStyle name="표준 5 3 2 2 2 5 4" xfId="12897"/>
    <cellStyle name="표준 5 3 2 2 2 5 4 2" xfId="29601"/>
    <cellStyle name="표준 5 3 2 2 2 5 5" xfId="18465"/>
    <cellStyle name="표준 5 3 2 2 2 6" xfId="3153"/>
    <cellStyle name="표준 5 3 2 2 2 6 2" xfId="8721"/>
    <cellStyle name="표준 5 3 2 2 2 6 2 2" xfId="25425"/>
    <cellStyle name="표준 5 3 2 2 2 6 3" xfId="14289"/>
    <cellStyle name="표준 5 3 2 2 2 6 3 2" xfId="30993"/>
    <cellStyle name="표준 5 3 2 2 2 6 4" xfId="19857"/>
    <cellStyle name="표준 5 3 2 2 2 7" xfId="5937"/>
    <cellStyle name="표준 5 3 2 2 2 7 2" xfId="22641"/>
    <cellStyle name="표준 5 3 2 2 2 8" xfId="11505"/>
    <cellStyle name="표준 5 3 2 2 2 8 2" xfId="28209"/>
    <cellStyle name="표준 5 3 2 2 2 9" xfId="17073"/>
    <cellStyle name="표준 5 3 2 2 3" xfId="485"/>
    <cellStyle name="표준 5 3 2 2 3 2" xfId="1181"/>
    <cellStyle name="표준 5 3 2 2 3 2 2" xfId="2573"/>
    <cellStyle name="표준 5 3 2 2 3 2 2 2" xfId="5357"/>
    <cellStyle name="표준 5 3 2 2 3 2 2 2 2" xfId="10925"/>
    <cellStyle name="표준 5 3 2 2 3 2 2 2 2 2" xfId="27629"/>
    <cellStyle name="표준 5 3 2 2 3 2 2 2 3" xfId="16493"/>
    <cellStyle name="표준 5 3 2 2 3 2 2 2 3 2" xfId="33197"/>
    <cellStyle name="표준 5 3 2 2 3 2 2 2 4" xfId="22061"/>
    <cellStyle name="표준 5 3 2 2 3 2 2 3" xfId="8141"/>
    <cellStyle name="표준 5 3 2 2 3 2 2 3 2" xfId="24845"/>
    <cellStyle name="표준 5 3 2 2 3 2 2 4" xfId="13709"/>
    <cellStyle name="표준 5 3 2 2 3 2 2 4 2" xfId="30413"/>
    <cellStyle name="표준 5 3 2 2 3 2 2 5" xfId="19277"/>
    <cellStyle name="표준 5 3 2 2 3 2 3" xfId="3965"/>
    <cellStyle name="표준 5 3 2 2 3 2 3 2" xfId="9533"/>
    <cellStyle name="표준 5 3 2 2 3 2 3 2 2" xfId="26237"/>
    <cellStyle name="표준 5 3 2 2 3 2 3 3" xfId="15101"/>
    <cellStyle name="표준 5 3 2 2 3 2 3 3 2" xfId="31805"/>
    <cellStyle name="표준 5 3 2 2 3 2 3 4" xfId="20669"/>
    <cellStyle name="표준 5 3 2 2 3 2 4" xfId="6749"/>
    <cellStyle name="표준 5 3 2 2 3 2 4 2" xfId="23453"/>
    <cellStyle name="표준 5 3 2 2 3 2 5" xfId="12317"/>
    <cellStyle name="표준 5 3 2 2 3 2 5 2" xfId="29021"/>
    <cellStyle name="표준 5 3 2 2 3 2 6" xfId="17885"/>
    <cellStyle name="표준 5 3 2 2 3 3" xfId="1877"/>
    <cellStyle name="표준 5 3 2 2 3 3 2" xfId="4661"/>
    <cellStyle name="표준 5 3 2 2 3 3 2 2" xfId="10229"/>
    <cellStyle name="표준 5 3 2 2 3 3 2 2 2" xfId="26933"/>
    <cellStyle name="표준 5 3 2 2 3 3 2 3" xfId="15797"/>
    <cellStyle name="표준 5 3 2 2 3 3 2 3 2" xfId="32501"/>
    <cellStyle name="표준 5 3 2 2 3 3 2 4" xfId="21365"/>
    <cellStyle name="표준 5 3 2 2 3 3 3" xfId="7445"/>
    <cellStyle name="표준 5 3 2 2 3 3 3 2" xfId="24149"/>
    <cellStyle name="표준 5 3 2 2 3 3 4" xfId="13013"/>
    <cellStyle name="표준 5 3 2 2 3 3 4 2" xfId="29717"/>
    <cellStyle name="표준 5 3 2 2 3 3 5" xfId="18581"/>
    <cellStyle name="표준 5 3 2 2 3 4" xfId="3269"/>
    <cellStyle name="표준 5 3 2 2 3 4 2" xfId="8837"/>
    <cellStyle name="표준 5 3 2 2 3 4 2 2" xfId="25541"/>
    <cellStyle name="표준 5 3 2 2 3 4 3" xfId="14405"/>
    <cellStyle name="표준 5 3 2 2 3 4 3 2" xfId="31109"/>
    <cellStyle name="표준 5 3 2 2 3 4 4" xfId="19973"/>
    <cellStyle name="표준 5 3 2 2 3 5" xfId="6053"/>
    <cellStyle name="표준 5 3 2 2 3 5 2" xfId="22757"/>
    <cellStyle name="표준 5 3 2 2 3 6" xfId="11621"/>
    <cellStyle name="표준 5 3 2 2 3 6 2" xfId="28325"/>
    <cellStyle name="표준 5 3 2 2 3 7" xfId="17189"/>
    <cellStyle name="표준 5 3 2 2 4" xfId="717"/>
    <cellStyle name="표준 5 3 2 2 4 2" xfId="1413"/>
    <cellStyle name="표준 5 3 2 2 4 2 2" xfId="2805"/>
    <cellStyle name="표준 5 3 2 2 4 2 2 2" xfId="5589"/>
    <cellStyle name="표준 5 3 2 2 4 2 2 2 2" xfId="11157"/>
    <cellStyle name="표준 5 3 2 2 4 2 2 2 2 2" xfId="27861"/>
    <cellStyle name="표준 5 3 2 2 4 2 2 2 3" xfId="16725"/>
    <cellStyle name="표준 5 3 2 2 4 2 2 2 3 2" xfId="33429"/>
    <cellStyle name="표준 5 3 2 2 4 2 2 2 4" xfId="22293"/>
    <cellStyle name="표준 5 3 2 2 4 2 2 3" xfId="8373"/>
    <cellStyle name="표준 5 3 2 2 4 2 2 3 2" xfId="25077"/>
    <cellStyle name="표준 5 3 2 2 4 2 2 4" xfId="13941"/>
    <cellStyle name="표준 5 3 2 2 4 2 2 4 2" xfId="30645"/>
    <cellStyle name="표준 5 3 2 2 4 2 2 5" xfId="19509"/>
    <cellStyle name="표준 5 3 2 2 4 2 3" xfId="4197"/>
    <cellStyle name="표준 5 3 2 2 4 2 3 2" xfId="9765"/>
    <cellStyle name="표준 5 3 2 2 4 2 3 2 2" xfId="26469"/>
    <cellStyle name="표준 5 3 2 2 4 2 3 3" xfId="15333"/>
    <cellStyle name="표준 5 3 2 2 4 2 3 3 2" xfId="32037"/>
    <cellStyle name="표준 5 3 2 2 4 2 3 4" xfId="20901"/>
    <cellStyle name="표준 5 3 2 2 4 2 4" xfId="6981"/>
    <cellStyle name="표준 5 3 2 2 4 2 4 2" xfId="23685"/>
    <cellStyle name="표준 5 3 2 2 4 2 5" xfId="12549"/>
    <cellStyle name="표준 5 3 2 2 4 2 5 2" xfId="29253"/>
    <cellStyle name="표준 5 3 2 2 4 2 6" xfId="18117"/>
    <cellStyle name="표준 5 3 2 2 4 3" xfId="2109"/>
    <cellStyle name="표준 5 3 2 2 4 3 2" xfId="4893"/>
    <cellStyle name="표준 5 3 2 2 4 3 2 2" xfId="10461"/>
    <cellStyle name="표준 5 3 2 2 4 3 2 2 2" xfId="27165"/>
    <cellStyle name="표준 5 3 2 2 4 3 2 3" xfId="16029"/>
    <cellStyle name="표준 5 3 2 2 4 3 2 3 2" xfId="32733"/>
    <cellStyle name="표준 5 3 2 2 4 3 2 4" xfId="21597"/>
    <cellStyle name="표준 5 3 2 2 4 3 3" xfId="7677"/>
    <cellStyle name="표준 5 3 2 2 4 3 3 2" xfId="24381"/>
    <cellStyle name="표준 5 3 2 2 4 3 4" xfId="13245"/>
    <cellStyle name="표준 5 3 2 2 4 3 4 2" xfId="29949"/>
    <cellStyle name="표준 5 3 2 2 4 3 5" xfId="18813"/>
    <cellStyle name="표준 5 3 2 2 4 4" xfId="3501"/>
    <cellStyle name="표준 5 3 2 2 4 4 2" xfId="9069"/>
    <cellStyle name="표준 5 3 2 2 4 4 2 2" xfId="25773"/>
    <cellStyle name="표준 5 3 2 2 4 4 3" xfId="14637"/>
    <cellStyle name="표준 5 3 2 2 4 4 3 2" xfId="31341"/>
    <cellStyle name="표준 5 3 2 2 4 4 4" xfId="20205"/>
    <cellStyle name="표준 5 3 2 2 4 5" xfId="6285"/>
    <cellStyle name="표준 5 3 2 2 4 5 2" xfId="22989"/>
    <cellStyle name="표준 5 3 2 2 4 6" xfId="11853"/>
    <cellStyle name="표준 5 3 2 2 4 6 2" xfId="28557"/>
    <cellStyle name="표준 5 3 2 2 4 7" xfId="17421"/>
    <cellStyle name="표준 5 3 2 2 5" xfId="949"/>
    <cellStyle name="표준 5 3 2 2 5 2" xfId="2341"/>
    <cellStyle name="표준 5 3 2 2 5 2 2" xfId="5125"/>
    <cellStyle name="표준 5 3 2 2 5 2 2 2" xfId="10693"/>
    <cellStyle name="표준 5 3 2 2 5 2 2 2 2" xfId="27397"/>
    <cellStyle name="표준 5 3 2 2 5 2 2 3" xfId="16261"/>
    <cellStyle name="표준 5 3 2 2 5 2 2 3 2" xfId="32965"/>
    <cellStyle name="표준 5 3 2 2 5 2 2 4" xfId="21829"/>
    <cellStyle name="표준 5 3 2 2 5 2 3" xfId="7909"/>
    <cellStyle name="표준 5 3 2 2 5 2 3 2" xfId="24613"/>
    <cellStyle name="표준 5 3 2 2 5 2 4" xfId="13477"/>
    <cellStyle name="표준 5 3 2 2 5 2 4 2" xfId="30181"/>
    <cellStyle name="표준 5 3 2 2 5 2 5" xfId="19045"/>
    <cellStyle name="표준 5 3 2 2 5 3" xfId="3733"/>
    <cellStyle name="표준 5 3 2 2 5 3 2" xfId="9301"/>
    <cellStyle name="표준 5 3 2 2 5 3 2 2" xfId="26005"/>
    <cellStyle name="표준 5 3 2 2 5 3 3" xfId="14869"/>
    <cellStyle name="표준 5 3 2 2 5 3 3 2" xfId="31573"/>
    <cellStyle name="표준 5 3 2 2 5 3 4" xfId="20437"/>
    <cellStyle name="표준 5 3 2 2 5 4" xfId="6517"/>
    <cellStyle name="표준 5 3 2 2 5 4 2" xfId="23221"/>
    <cellStyle name="표준 5 3 2 2 5 5" xfId="12085"/>
    <cellStyle name="표준 5 3 2 2 5 5 2" xfId="28789"/>
    <cellStyle name="표준 5 3 2 2 5 6" xfId="17653"/>
    <cellStyle name="표준 5 3 2 2 6" xfId="1645"/>
    <cellStyle name="표준 5 3 2 2 6 2" xfId="4429"/>
    <cellStyle name="표준 5 3 2 2 6 2 2" xfId="9997"/>
    <cellStyle name="표준 5 3 2 2 6 2 2 2" xfId="26701"/>
    <cellStyle name="표준 5 3 2 2 6 2 3" xfId="15565"/>
    <cellStyle name="표준 5 3 2 2 6 2 3 2" xfId="32269"/>
    <cellStyle name="표준 5 3 2 2 6 2 4" xfId="21133"/>
    <cellStyle name="표준 5 3 2 2 6 3" xfId="7213"/>
    <cellStyle name="표준 5 3 2 2 6 3 2" xfId="23917"/>
    <cellStyle name="표준 5 3 2 2 6 4" xfId="12781"/>
    <cellStyle name="표준 5 3 2 2 6 4 2" xfId="29485"/>
    <cellStyle name="표준 5 3 2 2 6 5" xfId="18349"/>
    <cellStyle name="표준 5 3 2 2 7" xfId="3037"/>
    <cellStyle name="표준 5 3 2 2 7 2" xfId="8605"/>
    <cellStyle name="표준 5 3 2 2 7 2 2" xfId="25309"/>
    <cellStyle name="표준 5 3 2 2 7 3" xfId="14173"/>
    <cellStyle name="표준 5 3 2 2 7 3 2" xfId="30877"/>
    <cellStyle name="표준 5 3 2 2 7 4" xfId="19741"/>
    <cellStyle name="표준 5 3 2 2 8" xfId="5821"/>
    <cellStyle name="표준 5 3 2 2 8 2" xfId="22525"/>
    <cellStyle name="표준 5 3 2 2 9" xfId="11389"/>
    <cellStyle name="표준 5 3 2 2 9 2" xfId="28093"/>
    <cellStyle name="표준 5 3 2 3" xfId="311"/>
    <cellStyle name="표준 5 3 2 3 2" xfId="543"/>
    <cellStyle name="표준 5 3 2 3 2 2" xfId="1239"/>
    <cellStyle name="표준 5 3 2 3 2 2 2" xfId="2631"/>
    <cellStyle name="표준 5 3 2 3 2 2 2 2" xfId="5415"/>
    <cellStyle name="표준 5 3 2 3 2 2 2 2 2" xfId="10983"/>
    <cellStyle name="표준 5 3 2 3 2 2 2 2 2 2" xfId="27687"/>
    <cellStyle name="표준 5 3 2 3 2 2 2 2 3" xfId="16551"/>
    <cellStyle name="표준 5 3 2 3 2 2 2 2 3 2" xfId="33255"/>
    <cellStyle name="표준 5 3 2 3 2 2 2 2 4" xfId="22119"/>
    <cellStyle name="표준 5 3 2 3 2 2 2 3" xfId="8199"/>
    <cellStyle name="표준 5 3 2 3 2 2 2 3 2" xfId="24903"/>
    <cellStyle name="표준 5 3 2 3 2 2 2 4" xfId="13767"/>
    <cellStyle name="표준 5 3 2 3 2 2 2 4 2" xfId="30471"/>
    <cellStyle name="표준 5 3 2 3 2 2 2 5" xfId="19335"/>
    <cellStyle name="표준 5 3 2 3 2 2 3" xfId="4023"/>
    <cellStyle name="표준 5 3 2 3 2 2 3 2" xfId="9591"/>
    <cellStyle name="표준 5 3 2 3 2 2 3 2 2" xfId="26295"/>
    <cellStyle name="표준 5 3 2 3 2 2 3 3" xfId="15159"/>
    <cellStyle name="표준 5 3 2 3 2 2 3 3 2" xfId="31863"/>
    <cellStyle name="표준 5 3 2 3 2 2 3 4" xfId="20727"/>
    <cellStyle name="표준 5 3 2 3 2 2 4" xfId="6807"/>
    <cellStyle name="표준 5 3 2 3 2 2 4 2" xfId="23511"/>
    <cellStyle name="표준 5 3 2 3 2 2 5" xfId="12375"/>
    <cellStyle name="표준 5 3 2 3 2 2 5 2" xfId="29079"/>
    <cellStyle name="표준 5 3 2 3 2 2 6" xfId="17943"/>
    <cellStyle name="표준 5 3 2 3 2 3" xfId="1935"/>
    <cellStyle name="표준 5 3 2 3 2 3 2" xfId="4719"/>
    <cellStyle name="표준 5 3 2 3 2 3 2 2" xfId="10287"/>
    <cellStyle name="표준 5 3 2 3 2 3 2 2 2" xfId="26991"/>
    <cellStyle name="표준 5 3 2 3 2 3 2 3" xfId="15855"/>
    <cellStyle name="표준 5 3 2 3 2 3 2 3 2" xfId="32559"/>
    <cellStyle name="표준 5 3 2 3 2 3 2 4" xfId="21423"/>
    <cellStyle name="표준 5 3 2 3 2 3 3" xfId="7503"/>
    <cellStyle name="표준 5 3 2 3 2 3 3 2" xfId="24207"/>
    <cellStyle name="표준 5 3 2 3 2 3 4" xfId="13071"/>
    <cellStyle name="표준 5 3 2 3 2 3 4 2" xfId="29775"/>
    <cellStyle name="표준 5 3 2 3 2 3 5" xfId="18639"/>
    <cellStyle name="표준 5 3 2 3 2 4" xfId="3327"/>
    <cellStyle name="표준 5 3 2 3 2 4 2" xfId="8895"/>
    <cellStyle name="표준 5 3 2 3 2 4 2 2" xfId="25599"/>
    <cellStyle name="표준 5 3 2 3 2 4 3" xfId="14463"/>
    <cellStyle name="표준 5 3 2 3 2 4 3 2" xfId="31167"/>
    <cellStyle name="표준 5 3 2 3 2 4 4" xfId="20031"/>
    <cellStyle name="표준 5 3 2 3 2 5" xfId="6111"/>
    <cellStyle name="표준 5 3 2 3 2 5 2" xfId="22815"/>
    <cellStyle name="표준 5 3 2 3 2 6" xfId="11679"/>
    <cellStyle name="표준 5 3 2 3 2 6 2" xfId="28383"/>
    <cellStyle name="표준 5 3 2 3 2 7" xfId="17247"/>
    <cellStyle name="표준 5 3 2 3 3" xfId="775"/>
    <cellStyle name="표준 5 3 2 3 3 2" xfId="1471"/>
    <cellStyle name="표준 5 3 2 3 3 2 2" xfId="2863"/>
    <cellStyle name="표준 5 3 2 3 3 2 2 2" xfId="5647"/>
    <cellStyle name="표준 5 3 2 3 3 2 2 2 2" xfId="11215"/>
    <cellStyle name="표준 5 3 2 3 3 2 2 2 2 2" xfId="27919"/>
    <cellStyle name="표준 5 3 2 3 3 2 2 2 3" xfId="16783"/>
    <cellStyle name="표준 5 3 2 3 3 2 2 2 3 2" xfId="33487"/>
    <cellStyle name="표준 5 3 2 3 3 2 2 2 4" xfId="22351"/>
    <cellStyle name="표준 5 3 2 3 3 2 2 3" xfId="8431"/>
    <cellStyle name="표준 5 3 2 3 3 2 2 3 2" xfId="25135"/>
    <cellStyle name="표준 5 3 2 3 3 2 2 4" xfId="13999"/>
    <cellStyle name="표준 5 3 2 3 3 2 2 4 2" xfId="30703"/>
    <cellStyle name="표준 5 3 2 3 3 2 2 5" xfId="19567"/>
    <cellStyle name="표준 5 3 2 3 3 2 3" xfId="4255"/>
    <cellStyle name="표준 5 3 2 3 3 2 3 2" xfId="9823"/>
    <cellStyle name="표준 5 3 2 3 3 2 3 2 2" xfId="26527"/>
    <cellStyle name="표준 5 3 2 3 3 2 3 3" xfId="15391"/>
    <cellStyle name="표준 5 3 2 3 3 2 3 3 2" xfId="32095"/>
    <cellStyle name="표준 5 3 2 3 3 2 3 4" xfId="20959"/>
    <cellStyle name="표준 5 3 2 3 3 2 4" xfId="7039"/>
    <cellStyle name="표준 5 3 2 3 3 2 4 2" xfId="23743"/>
    <cellStyle name="표준 5 3 2 3 3 2 5" xfId="12607"/>
    <cellStyle name="표준 5 3 2 3 3 2 5 2" xfId="29311"/>
    <cellStyle name="표준 5 3 2 3 3 2 6" xfId="18175"/>
    <cellStyle name="표준 5 3 2 3 3 3" xfId="2167"/>
    <cellStyle name="표준 5 3 2 3 3 3 2" xfId="4951"/>
    <cellStyle name="표준 5 3 2 3 3 3 2 2" xfId="10519"/>
    <cellStyle name="표준 5 3 2 3 3 3 2 2 2" xfId="27223"/>
    <cellStyle name="표준 5 3 2 3 3 3 2 3" xfId="16087"/>
    <cellStyle name="표준 5 3 2 3 3 3 2 3 2" xfId="32791"/>
    <cellStyle name="표준 5 3 2 3 3 3 2 4" xfId="21655"/>
    <cellStyle name="표준 5 3 2 3 3 3 3" xfId="7735"/>
    <cellStyle name="표준 5 3 2 3 3 3 3 2" xfId="24439"/>
    <cellStyle name="표준 5 3 2 3 3 3 4" xfId="13303"/>
    <cellStyle name="표준 5 3 2 3 3 3 4 2" xfId="30007"/>
    <cellStyle name="표준 5 3 2 3 3 3 5" xfId="18871"/>
    <cellStyle name="표준 5 3 2 3 3 4" xfId="3559"/>
    <cellStyle name="표준 5 3 2 3 3 4 2" xfId="9127"/>
    <cellStyle name="표준 5 3 2 3 3 4 2 2" xfId="25831"/>
    <cellStyle name="표준 5 3 2 3 3 4 3" xfId="14695"/>
    <cellStyle name="표준 5 3 2 3 3 4 3 2" xfId="31399"/>
    <cellStyle name="표준 5 3 2 3 3 4 4" xfId="20263"/>
    <cellStyle name="표준 5 3 2 3 3 5" xfId="6343"/>
    <cellStyle name="표준 5 3 2 3 3 5 2" xfId="23047"/>
    <cellStyle name="표준 5 3 2 3 3 6" xfId="11911"/>
    <cellStyle name="표준 5 3 2 3 3 6 2" xfId="28615"/>
    <cellStyle name="표준 5 3 2 3 3 7" xfId="17479"/>
    <cellStyle name="표준 5 3 2 3 4" xfId="1007"/>
    <cellStyle name="표준 5 3 2 3 4 2" xfId="2399"/>
    <cellStyle name="표준 5 3 2 3 4 2 2" xfId="5183"/>
    <cellStyle name="표준 5 3 2 3 4 2 2 2" xfId="10751"/>
    <cellStyle name="표준 5 3 2 3 4 2 2 2 2" xfId="27455"/>
    <cellStyle name="표준 5 3 2 3 4 2 2 3" xfId="16319"/>
    <cellStyle name="표준 5 3 2 3 4 2 2 3 2" xfId="33023"/>
    <cellStyle name="표준 5 3 2 3 4 2 2 4" xfId="21887"/>
    <cellStyle name="표준 5 3 2 3 4 2 3" xfId="7967"/>
    <cellStyle name="표준 5 3 2 3 4 2 3 2" xfId="24671"/>
    <cellStyle name="표준 5 3 2 3 4 2 4" xfId="13535"/>
    <cellStyle name="표준 5 3 2 3 4 2 4 2" xfId="30239"/>
    <cellStyle name="표준 5 3 2 3 4 2 5" xfId="19103"/>
    <cellStyle name="표준 5 3 2 3 4 3" xfId="3791"/>
    <cellStyle name="표준 5 3 2 3 4 3 2" xfId="9359"/>
    <cellStyle name="표준 5 3 2 3 4 3 2 2" xfId="26063"/>
    <cellStyle name="표준 5 3 2 3 4 3 3" xfId="14927"/>
    <cellStyle name="표준 5 3 2 3 4 3 3 2" xfId="31631"/>
    <cellStyle name="표준 5 3 2 3 4 3 4" xfId="20495"/>
    <cellStyle name="표준 5 3 2 3 4 4" xfId="6575"/>
    <cellStyle name="표준 5 3 2 3 4 4 2" xfId="23279"/>
    <cellStyle name="표준 5 3 2 3 4 5" xfId="12143"/>
    <cellStyle name="표준 5 3 2 3 4 5 2" xfId="28847"/>
    <cellStyle name="표준 5 3 2 3 4 6" xfId="17711"/>
    <cellStyle name="표준 5 3 2 3 5" xfId="1703"/>
    <cellStyle name="표준 5 3 2 3 5 2" xfId="4487"/>
    <cellStyle name="표준 5 3 2 3 5 2 2" xfId="10055"/>
    <cellStyle name="표준 5 3 2 3 5 2 2 2" xfId="26759"/>
    <cellStyle name="표준 5 3 2 3 5 2 3" xfId="15623"/>
    <cellStyle name="표준 5 3 2 3 5 2 3 2" xfId="32327"/>
    <cellStyle name="표준 5 3 2 3 5 2 4" xfId="21191"/>
    <cellStyle name="표준 5 3 2 3 5 3" xfId="7271"/>
    <cellStyle name="표준 5 3 2 3 5 3 2" xfId="23975"/>
    <cellStyle name="표준 5 3 2 3 5 4" xfId="12839"/>
    <cellStyle name="표준 5 3 2 3 5 4 2" xfId="29543"/>
    <cellStyle name="표준 5 3 2 3 5 5" xfId="18407"/>
    <cellStyle name="표준 5 3 2 3 6" xfId="3095"/>
    <cellStyle name="표준 5 3 2 3 6 2" xfId="8663"/>
    <cellStyle name="표준 5 3 2 3 6 2 2" xfId="25367"/>
    <cellStyle name="표준 5 3 2 3 6 3" xfId="14231"/>
    <cellStyle name="표준 5 3 2 3 6 3 2" xfId="30935"/>
    <cellStyle name="표준 5 3 2 3 6 4" xfId="19799"/>
    <cellStyle name="표준 5 3 2 3 7" xfId="5879"/>
    <cellStyle name="표준 5 3 2 3 7 2" xfId="22583"/>
    <cellStyle name="표준 5 3 2 3 8" xfId="11447"/>
    <cellStyle name="표준 5 3 2 3 8 2" xfId="28151"/>
    <cellStyle name="표준 5 3 2 3 9" xfId="17015"/>
    <cellStyle name="표준 5 3 2 4" xfId="427"/>
    <cellStyle name="표준 5 3 2 4 2" xfId="1123"/>
    <cellStyle name="표준 5 3 2 4 2 2" xfId="2515"/>
    <cellStyle name="표준 5 3 2 4 2 2 2" xfId="5299"/>
    <cellStyle name="표준 5 3 2 4 2 2 2 2" xfId="10867"/>
    <cellStyle name="표준 5 3 2 4 2 2 2 2 2" xfId="27571"/>
    <cellStyle name="표준 5 3 2 4 2 2 2 3" xfId="16435"/>
    <cellStyle name="표준 5 3 2 4 2 2 2 3 2" xfId="33139"/>
    <cellStyle name="표준 5 3 2 4 2 2 2 4" xfId="22003"/>
    <cellStyle name="표준 5 3 2 4 2 2 3" xfId="8083"/>
    <cellStyle name="표준 5 3 2 4 2 2 3 2" xfId="24787"/>
    <cellStyle name="표준 5 3 2 4 2 2 4" xfId="13651"/>
    <cellStyle name="표준 5 3 2 4 2 2 4 2" xfId="30355"/>
    <cellStyle name="표준 5 3 2 4 2 2 5" xfId="19219"/>
    <cellStyle name="표준 5 3 2 4 2 3" xfId="3907"/>
    <cellStyle name="표준 5 3 2 4 2 3 2" xfId="9475"/>
    <cellStyle name="표준 5 3 2 4 2 3 2 2" xfId="26179"/>
    <cellStyle name="표준 5 3 2 4 2 3 3" xfId="15043"/>
    <cellStyle name="표준 5 3 2 4 2 3 3 2" xfId="31747"/>
    <cellStyle name="표준 5 3 2 4 2 3 4" xfId="20611"/>
    <cellStyle name="표준 5 3 2 4 2 4" xfId="6691"/>
    <cellStyle name="표준 5 3 2 4 2 4 2" xfId="23395"/>
    <cellStyle name="표준 5 3 2 4 2 5" xfId="12259"/>
    <cellStyle name="표준 5 3 2 4 2 5 2" xfId="28963"/>
    <cellStyle name="표준 5 3 2 4 2 6" xfId="17827"/>
    <cellStyle name="표준 5 3 2 4 3" xfId="1819"/>
    <cellStyle name="표준 5 3 2 4 3 2" xfId="4603"/>
    <cellStyle name="표준 5 3 2 4 3 2 2" xfId="10171"/>
    <cellStyle name="표준 5 3 2 4 3 2 2 2" xfId="26875"/>
    <cellStyle name="표준 5 3 2 4 3 2 3" xfId="15739"/>
    <cellStyle name="표준 5 3 2 4 3 2 3 2" xfId="32443"/>
    <cellStyle name="표준 5 3 2 4 3 2 4" xfId="21307"/>
    <cellStyle name="표준 5 3 2 4 3 3" xfId="7387"/>
    <cellStyle name="표준 5 3 2 4 3 3 2" xfId="24091"/>
    <cellStyle name="표준 5 3 2 4 3 4" xfId="12955"/>
    <cellStyle name="표준 5 3 2 4 3 4 2" xfId="29659"/>
    <cellStyle name="표준 5 3 2 4 3 5" xfId="18523"/>
    <cellStyle name="표준 5 3 2 4 4" xfId="3211"/>
    <cellStyle name="표준 5 3 2 4 4 2" xfId="8779"/>
    <cellStyle name="표준 5 3 2 4 4 2 2" xfId="25483"/>
    <cellStyle name="표준 5 3 2 4 4 3" xfId="14347"/>
    <cellStyle name="표준 5 3 2 4 4 3 2" xfId="31051"/>
    <cellStyle name="표준 5 3 2 4 4 4" xfId="19915"/>
    <cellStyle name="표준 5 3 2 4 5" xfId="5995"/>
    <cellStyle name="표준 5 3 2 4 5 2" xfId="22699"/>
    <cellStyle name="표준 5 3 2 4 6" xfId="11563"/>
    <cellStyle name="표준 5 3 2 4 6 2" xfId="28267"/>
    <cellStyle name="표준 5 3 2 4 7" xfId="17131"/>
    <cellStyle name="표준 5 3 2 5" xfId="659"/>
    <cellStyle name="표준 5 3 2 5 2" xfId="1355"/>
    <cellStyle name="표준 5 3 2 5 2 2" xfId="2747"/>
    <cellStyle name="표준 5 3 2 5 2 2 2" xfId="5531"/>
    <cellStyle name="표준 5 3 2 5 2 2 2 2" xfId="11099"/>
    <cellStyle name="표준 5 3 2 5 2 2 2 2 2" xfId="27803"/>
    <cellStyle name="표준 5 3 2 5 2 2 2 3" xfId="16667"/>
    <cellStyle name="표준 5 3 2 5 2 2 2 3 2" xfId="33371"/>
    <cellStyle name="표준 5 3 2 5 2 2 2 4" xfId="22235"/>
    <cellStyle name="표준 5 3 2 5 2 2 3" xfId="8315"/>
    <cellStyle name="표준 5 3 2 5 2 2 3 2" xfId="25019"/>
    <cellStyle name="표준 5 3 2 5 2 2 4" xfId="13883"/>
    <cellStyle name="표준 5 3 2 5 2 2 4 2" xfId="30587"/>
    <cellStyle name="표준 5 3 2 5 2 2 5" xfId="19451"/>
    <cellStyle name="표준 5 3 2 5 2 3" xfId="4139"/>
    <cellStyle name="표준 5 3 2 5 2 3 2" xfId="9707"/>
    <cellStyle name="표준 5 3 2 5 2 3 2 2" xfId="26411"/>
    <cellStyle name="표준 5 3 2 5 2 3 3" xfId="15275"/>
    <cellStyle name="표준 5 3 2 5 2 3 3 2" xfId="31979"/>
    <cellStyle name="표준 5 3 2 5 2 3 4" xfId="20843"/>
    <cellStyle name="표준 5 3 2 5 2 4" xfId="6923"/>
    <cellStyle name="표준 5 3 2 5 2 4 2" xfId="23627"/>
    <cellStyle name="표준 5 3 2 5 2 5" xfId="12491"/>
    <cellStyle name="표준 5 3 2 5 2 5 2" xfId="29195"/>
    <cellStyle name="표준 5 3 2 5 2 6" xfId="18059"/>
    <cellStyle name="표준 5 3 2 5 3" xfId="2051"/>
    <cellStyle name="표준 5 3 2 5 3 2" xfId="4835"/>
    <cellStyle name="표준 5 3 2 5 3 2 2" xfId="10403"/>
    <cellStyle name="표준 5 3 2 5 3 2 2 2" xfId="27107"/>
    <cellStyle name="표준 5 3 2 5 3 2 3" xfId="15971"/>
    <cellStyle name="표준 5 3 2 5 3 2 3 2" xfId="32675"/>
    <cellStyle name="표준 5 3 2 5 3 2 4" xfId="21539"/>
    <cellStyle name="표준 5 3 2 5 3 3" xfId="7619"/>
    <cellStyle name="표준 5 3 2 5 3 3 2" xfId="24323"/>
    <cellStyle name="표준 5 3 2 5 3 4" xfId="13187"/>
    <cellStyle name="표준 5 3 2 5 3 4 2" xfId="29891"/>
    <cellStyle name="표준 5 3 2 5 3 5" xfId="18755"/>
    <cellStyle name="표준 5 3 2 5 4" xfId="3443"/>
    <cellStyle name="표준 5 3 2 5 4 2" xfId="9011"/>
    <cellStyle name="표준 5 3 2 5 4 2 2" xfId="25715"/>
    <cellStyle name="표준 5 3 2 5 4 3" xfId="14579"/>
    <cellStyle name="표준 5 3 2 5 4 3 2" xfId="31283"/>
    <cellStyle name="표준 5 3 2 5 4 4" xfId="20147"/>
    <cellStyle name="표준 5 3 2 5 5" xfId="6227"/>
    <cellStyle name="표준 5 3 2 5 5 2" xfId="22931"/>
    <cellStyle name="표준 5 3 2 5 6" xfId="11795"/>
    <cellStyle name="표준 5 3 2 5 6 2" xfId="28499"/>
    <cellStyle name="표준 5 3 2 5 7" xfId="17363"/>
    <cellStyle name="표준 5 3 2 6" xfId="891"/>
    <cellStyle name="표준 5 3 2 6 2" xfId="2283"/>
    <cellStyle name="표준 5 3 2 6 2 2" xfId="5067"/>
    <cellStyle name="표준 5 3 2 6 2 2 2" xfId="10635"/>
    <cellStyle name="표준 5 3 2 6 2 2 2 2" xfId="27339"/>
    <cellStyle name="표준 5 3 2 6 2 2 3" xfId="16203"/>
    <cellStyle name="표준 5 3 2 6 2 2 3 2" xfId="32907"/>
    <cellStyle name="표준 5 3 2 6 2 2 4" xfId="21771"/>
    <cellStyle name="표준 5 3 2 6 2 3" xfId="7851"/>
    <cellStyle name="표준 5 3 2 6 2 3 2" xfId="24555"/>
    <cellStyle name="표준 5 3 2 6 2 4" xfId="13419"/>
    <cellStyle name="표준 5 3 2 6 2 4 2" xfId="30123"/>
    <cellStyle name="표준 5 3 2 6 2 5" xfId="18987"/>
    <cellStyle name="표준 5 3 2 6 3" xfId="3675"/>
    <cellStyle name="표준 5 3 2 6 3 2" xfId="9243"/>
    <cellStyle name="표준 5 3 2 6 3 2 2" xfId="25947"/>
    <cellStyle name="표준 5 3 2 6 3 3" xfId="14811"/>
    <cellStyle name="표준 5 3 2 6 3 3 2" xfId="31515"/>
    <cellStyle name="표준 5 3 2 6 3 4" xfId="20379"/>
    <cellStyle name="표준 5 3 2 6 4" xfId="6459"/>
    <cellStyle name="표준 5 3 2 6 4 2" xfId="23163"/>
    <cellStyle name="표준 5 3 2 6 5" xfId="12027"/>
    <cellStyle name="표준 5 3 2 6 5 2" xfId="28731"/>
    <cellStyle name="표준 5 3 2 6 6" xfId="17595"/>
    <cellStyle name="표준 5 3 2 7" xfId="1587"/>
    <cellStyle name="표준 5 3 2 7 2" xfId="4371"/>
    <cellStyle name="표준 5 3 2 7 2 2" xfId="9939"/>
    <cellStyle name="표준 5 3 2 7 2 2 2" xfId="26643"/>
    <cellStyle name="표준 5 3 2 7 2 3" xfId="15507"/>
    <cellStyle name="표준 5 3 2 7 2 3 2" xfId="32211"/>
    <cellStyle name="표준 5 3 2 7 2 4" xfId="21075"/>
    <cellStyle name="표준 5 3 2 7 3" xfId="7155"/>
    <cellStyle name="표준 5 3 2 7 3 2" xfId="23859"/>
    <cellStyle name="표준 5 3 2 7 4" xfId="12723"/>
    <cellStyle name="표준 5 3 2 7 4 2" xfId="29427"/>
    <cellStyle name="표준 5 3 2 7 5" xfId="18291"/>
    <cellStyle name="표준 5 3 2 8" xfId="2979"/>
    <cellStyle name="표준 5 3 2 8 2" xfId="8547"/>
    <cellStyle name="표준 5 3 2 8 2 2" xfId="25251"/>
    <cellStyle name="표준 5 3 2 8 3" xfId="14115"/>
    <cellStyle name="표준 5 3 2 8 3 2" xfId="30819"/>
    <cellStyle name="표준 5 3 2 8 4" xfId="19683"/>
    <cellStyle name="표준 5 3 2 9" xfId="5763"/>
    <cellStyle name="표준 5 3 2 9 2" xfId="22467"/>
    <cellStyle name="표준 5 3 3" xfId="224"/>
    <cellStyle name="표준 5 3 3 10" xfId="16928"/>
    <cellStyle name="표준 5 3 3 2" xfId="340"/>
    <cellStyle name="표준 5 3 3 2 2" xfId="572"/>
    <cellStyle name="표준 5 3 3 2 2 2" xfId="1268"/>
    <cellStyle name="표준 5 3 3 2 2 2 2" xfId="2660"/>
    <cellStyle name="표준 5 3 3 2 2 2 2 2" xfId="5444"/>
    <cellStyle name="표준 5 3 3 2 2 2 2 2 2" xfId="11012"/>
    <cellStyle name="표준 5 3 3 2 2 2 2 2 2 2" xfId="27716"/>
    <cellStyle name="표준 5 3 3 2 2 2 2 2 3" xfId="16580"/>
    <cellStyle name="표준 5 3 3 2 2 2 2 2 3 2" xfId="33284"/>
    <cellStyle name="표준 5 3 3 2 2 2 2 2 4" xfId="22148"/>
    <cellStyle name="표준 5 3 3 2 2 2 2 3" xfId="8228"/>
    <cellStyle name="표준 5 3 3 2 2 2 2 3 2" xfId="24932"/>
    <cellStyle name="표준 5 3 3 2 2 2 2 4" xfId="13796"/>
    <cellStyle name="표준 5 3 3 2 2 2 2 4 2" xfId="30500"/>
    <cellStyle name="표준 5 3 3 2 2 2 2 5" xfId="19364"/>
    <cellStyle name="표준 5 3 3 2 2 2 3" xfId="4052"/>
    <cellStyle name="표준 5 3 3 2 2 2 3 2" xfId="9620"/>
    <cellStyle name="표준 5 3 3 2 2 2 3 2 2" xfId="26324"/>
    <cellStyle name="표준 5 3 3 2 2 2 3 3" xfId="15188"/>
    <cellStyle name="표준 5 3 3 2 2 2 3 3 2" xfId="31892"/>
    <cellStyle name="표준 5 3 3 2 2 2 3 4" xfId="20756"/>
    <cellStyle name="표준 5 3 3 2 2 2 4" xfId="6836"/>
    <cellStyle name="표준 5 3 3 2 2 2 4 2" xfId="23540"/>
    <cellStyle name="표준 5 3 3 2 2 2 5" xfId="12404"/>
    <cellStyle name="표준 5 3 3 2 2 2 5 2" xfId="29108"/>
    <cellStyle name="표준 5 3 3 2 2 2 6" xfId="17972"/>
    <cellStyle name="표준 5 3 3 2 2 3" xfId="1964"/>
    <cellStyle name="표준 5 3 3 2 2 3 2" xfId="4748"/>
    <cellStyle name="표준 5 3 3 2 2 3 2 2" xfId="10316"/>
    <cellStyle name="표준 5 3 3 2 2 3 2 2 2" xfId="27020"/>
    <cellStyle name="표준 5 3 3 2 2 3 2 3" xfId="15884"/>
    <cellStyle name="표준 5 3 3 2 2 3 2 3 2" xfId="32588"/>
    <cellStyle name="표준 5 3 3 2 2 3 2 4" xfId="21452"/>
    <cellStyle name="표준 5 3 3 2 2 3 3" xfId="7532"/>
    <cellStyle name="표준 5 3 3 2 2 3 3 2" xfId="24236"/>
    <cellStyle name="표준 5 3 3 2 2 3 4" xfId="13100"/>
    <cellStyle name="표준 5 3 3 2 2 3 4 2" xfId="29804"/>
    <cellStyle name="표준 5 3 3 2 2 3 5" xfId="18668"/>
    <cellStyle name="표준 5 3 3 2 2 4" xfId="3356"/>
    <cellStyle name="표준 5 3 3 2 2 4 2" xfId="8924"/>
    <cellStyle name="표준 5 3 3 2 2 4 2 2" xfId="25628"/>
    <cellStyle name="표준 5 3 3 2 2 4 3" xfId="14492"/>
    <cellStyle name="표준 5 3 3 2 2 4 3 2" xfId="31196"/>
    <cellStyle name="표준 5 3 3 2 2 4 4" xfId="20060"/>
    <cellStyle name="표준 5 3 3 2 2 5" xfId="6140"/>
    <cellStyle name="표준 5 3 3 2 2 5 2" xfId="22844"/>
    <cellStyle name="표준 5 3 3 2 2 6" xfId="11708"/>
    <cellStyle name="표준 5 3 3 2 2 6 2" xfId="28412"/>
    <cellStyle name="표준 5 3 3 2 2 7" xfId="17276"/>
    <cellStyle name="표준 5 3 3 2 3" xfId="804"/>
    <cellStyle name="표준 5 3 3 2 3 2" xfId="1500"/>
    <cellStyle name="표준 5 3 3 2 3 2 2" xfId="2892"/>
    <cellStyle name="표준 5 3 3 2 3 2 2 2" xfId="5676"/>
    <cellStyle name="표준 5 3 3 2 3 2 2 2 2" xfId="11244"/>
    <cellStyle name="표준 5 3 3 2 3 2 2 2 2 2" xfId="27948"/>
    <cellStyle name="표준 5 3 3 2 3 2 2 2 3" xfId="16812"/>
    <cellStyle name="표준 5 3 3 2 3 2 2 2 3 2" xfId="33516"/>
    <cellStyle name="표준 5 3 3 2 3 2 2 2 4" xfId="22380"/>
    <cellStyle name="표준 5 3 3 2 3 2 2 3" xfId="8460"/>
    <cellStyle name="표준 5 3 3 2 3 2 2 3 2" xfId="25164"/>
    <cellStyle name="표준 5 3 3 2 3 2 2 4" xfId="14028"/>
    <cellStyle name="표준 5 3 3 2 3 2 2 4 2" xfId="30732"/>
    <cellStyle name="표준 5 3 3 2 3 2 2 5" xfId="19596"/>
    <cellStyle name="표준 5 3 3 2 3 2 3" xfId="4284"/>
    <cellStyle name="표준 5 3 3 2 3 2 3 2" xfId="9852"/>
    <cellStyle name="표준 5 3 3 2 3 2 3 2 2" xfId="26556"/>
    <cellStyle name="표준 5 3 3 2 3 2 3 3" xfId="15420"/>
    <cellStyle name="표준 5 3 3 2 3 2 3 3 2" xfId="32124"/>
    <cellStyle name="표준 5 3 3 2 3 2 3 4" xfId="20988"/>
    <cellStyle name="표준 5 3 3 2 3 2 4" xfId="7068"/>
    <cellStyle name="표준 5 3 3 2 3 2 4 2" xfId="23772"/>
    <cellStyle name="표준 5 3 3 2 3 2 5" xfId="12636"/>
    <cellStyle name="표준 5 3 3 2 3 2 5 2" xfId="29340"/>
    <cellStyle name="표준 5 3 3 2 3 2 6" xfId="18204"/>
    <cellStyle name="표준 5 3 3 2 3 3" xfId="2196"/>
    <cellStyle name="표준 5 3 3 2 3 3 2" xfId="4980"/>
    <cellStyle name="표준 5 3 3 2 3 3 2 2" xfId="10548"/>
    <cellStyle name="표준 5 3 3 2 3 3 2 2 2" xfId="27252"/>
    <cellStyle name="표준 5 3 3 2 3 3 2 3" xfId="16116"/>
    <cellStyle name="표준 5 3 3 2 3 3 2 3 2" xfId="32820"/>
    <cellStyle name="표준 5 3 3 2 3 3 2 4" xfId="21684"/>
    <cellStyle name="표준 5 3 3 2 3 3 3" xfId="7764"/>
    <cellStyle name="표준 5 3 3 2 3 3 3 2" xfId="24468"/>
    <cellStyle name="표준 5 3 3 2 3 3 4" xfId="13332"/>
    <cellStyle name="표준 5 3 3 2 3 3 4 2" xfId="30036"/>
    <cellStyle name="표준 5 3 3 2 3 3 5" xfId="18900"/>
    <cellStyle name="표준 5 3 3 2 3 4" xfId="3588"/>
    <cellStyle name="표준 5 3 3 2 3 4 2" xfId="9156"/>
    <cellStyle name="표준 5 3 3 2 3 4 2 2" xfId="25860"/>
    <cellStyle name="표준 5 3 3 2 3 4 3" xfId="14724"/>
    <cellStyle name="표준 5 3 3 2 3 4 3 2" xfId="31428"/>
    <cellStyle name="표준 5 3 3 2 3 4 4" xfId="20292"/>
    <cellStyle name="표준 5 3 3 2 3 5" xfId="6372"/>
    <cellStyle name="표준 5 3 3 2 3 5 2" xfId="23076"/>
    <cellStyle name="표준 5 3 3 2 3 6" xfId="11940"/>
    <cellStyle name="표준 5 3 3 2 3 6 2" xfId="28644"/>
    <cellStyle name="표준 5 3 3 2 3 7" xfId="17508"/>
    <cellStyle name="표준 5 3 3 2 4" xfId="1036"/>
    <cellStyle name="표준 5 3 3 2 4 2" xfId="2428"/>
    <cellStyle name="표준 5 3 3 2 4 2 2" xfId="5212"/>
    <cellStyle name="표준 5 3 3 2 4 2 2 2" xfId="10780"/>
    <cellStyle name="표준 5 3 3 2 4 2 2 2 2" xfId="27484"/>
    <cellStyle name="표준 5 3 3 2 4 2 2 3" xfId="16348"/>
    <cellStyle name="표준 5 3 3 2 4 2 2 3 2" xfId="33052"/>
    <cellStyle name="표준 5 3 3 2 4 2 2 4" xfId="21916"/>
    <cellStyle name="표준 5 3 3 2 4 2 3" xfId="7996"/>
    <cellStyle name="표준 5 3 3 2 4 2 3 2" xfId="24700"/>
    <cellStyle name="표준 5 3 3 2 4 2 4" xfId="13564"/>
    <cellStyle name="표준 5 3 3 2 4 2 4 2" xfId="30268"/>
    <cellStyle name="표준 5 3 3 2 4 2 5" xfId="19132"/>
    <cellStyle name="표준 5 3 3 2 4 3" xfId="3820"/>
    <cellStyle name="표준 5 3 3 2 4 3 2" xfId="9388"/>
    <cellStyle name="표준 5 3 3 2 4 3 2 2" xfId="26092"/>
    <cellStyle name="표준 5 3 3 2 4 3 3" xfId="14956"/>
    <cellStyle name="표준 5 3 3 2 4 3 3 2" xfId="31660"/>
    <cellStyle name="표준 5 3 3 2 4 3 4" xfId="20524"/>
    <cellStyle name="표준 5 3 3 2 4 4" xfId="6604"/>
    <cellStyle name="표준 5 3 3 2 4 4 2" xfId="23308"/>
    <cellStyle name="표준 5 3 3 2 4 5" xfId="12172"/>
    <cellStyle name="표준 5 3 3 2 4 5 2" xfId="28876"/>
    <cellStyle name="표준 5 3 3 2 4 6" xfId="17740"/>
    <cellStyle name="표준 5 3 3 2 5" xfId="1732"/>
    <cellStyle name="표준 5 3 3 2 5 2" xfId="4516"/>
    <cellStyle name="표준 5 3 3 2 5 2 2" xfId="10084"/>
    <cellStyle name="표준 5 3 3 2 5 2 2 2" xfId="26788"/>
    <cellStyle name="표준 5 3 3 2 5 2 3" xfId="15652"/>
    <cellStyle name="표준 5 3 3 2 5 2 3 2" xfId="32356"/>
    <cellStyle name="표준 5 3 3 2 5 2 4" xfId="21220"/>
    <cellStyle name="표준 5 3 3 2 5 3" xfId="7300"/>
    <cellStyle name="표준 5 3 3 2 5 3 2" xfId="24004"/>
    <cellStyle name="표준 5 3 3 2 5 4" xfId="12868"/>
    <cellStyle name="표준 5 3 3 2 5 4 2" xfId="29572"/>
    <cellStyle name="표준 5 3 3 2 5 5" xfId="18436"/>
    <cellStyle name="표준 5 3 3 2 6" xfId="3124"/>
    <cellStyle name="표준 5 3 3 2 6 2" xfId="8692"/>
    <cellStyle name="표준 5 3 3 2 6 2 2" xfId="25396"/>
    <cellStyle name="표준 5 3 3 2 6 3" xfId="14260"/>
    <cellStyle name="표준 5 3 3 2 6 3 2" xfId="30964"/>
    <cellStyle name="표준 5 3 3 2 6 4" xfId="19828"/>
    <cellStyle name="표준 5 3 3 2 7" xfId="5908"/>
    <cellStyle name="표준 5 3 3 2 7 2" xfId="22612"/>
    <cellStyle name="표준 5 3 3 2 8" xfId="11476"/>
    <cellStyle name="표준 5 3 3 2 8 2" xfId="28180"/>
    <cellStyle name="표준 5 3 3 2 9" xfId="17044"/>
    <cellStyle name="표준 5 3 3 3" xfId="456"/>
    <cellStyle name="표준 5 3 3 3 2" xfId="1152"/>
    <cellStyle name="표준 5 3 3 3 2 2" xfId="2544"/>
    <cellStyle name="표준 5 3 3 3 2 2 2" xfId="5328"/>
    <cellStyle name="표준 5 3 3 3 2 2 2 2" xfId="10896"/>
    <cellStyle name="표준 5 3 3 3 2 2 2 2 2" xfId="27600"/>
    <cellStyle name="표준 5 3 3 3 2 2 2 3" xfId="16464"/>
    <cellStyle name="표준 5 3 3 3 2 2 2 3 2" xfId="33168"/>
    <cellStyle name="표준 5 3 3 3 2 2 2 4" xfId="22032"/>
    <cellStyle name="표준 5 3 3 3 2 2 3" xfId="8112"/>
    <cellStyle name="표준 5 3 3 3 2 2 3 2" xfId="24816"/>
    <cellStyle name="표준 5 3 3 3 2 2 4" xfId="13680"/>
    <cellStyle name="표준 5 3 3 3 2 2 4 2" xfId="30384"/>
    <cellStyle name="표준 5 3 3 3 2 2 5" xfId="19248"/>
    <cellStyle name="표준 5 3 3 3 2 3" xfId="3936"/>
    <cellStyle name="표준 5 3 3 3 2 3 2" xfId="9504"/>
    <cellStyle name="표준 5 3 3 3 2 3 2 2" xfId="26208"/>
    <cellStyle name="표준 5 3 3 3 2 3 3" xfId="15072"/>
    <cellStyle name="표준 5 3 3 3 2 3 3 2" xfId="31776"/>
    <cellStyle name="표준 5 3 3 3 2 3 4" xfId="20640"/>
    <cellStyle name="표준 5 3 3 3 2 4" xfId="6720"/>
    <cellStyle name="표준 5 3 3 3 2 4 2" xfId="23424"/>
    <cellStyle name="표준 5 3 3 3 2 5" xfId="12288"/>
    <cellStyle name="표준 5 3 3 3 2 5 2" xfId="28992"/>
    <cellStyle name="표준 5 3 3 3 2 6" xfId="17856"/>
    <cellStyle name="표준 5 3 3 3 3" xfId="1848"/>
    <cellStyle name="표준 5 3 3 3 3 2" xfId="4632"/>
    <cellStyle name="표준 5 3 3 3 3 2 2" xfId="10200"/>
    <cellStyle name="표준 5 3 3 3 3 2 2 2" xfId="26904"/>
    <cellStyle name="표준 5 3 3 3 3 2 3" xfId="15768"/>
    <cellStyle name="표준 5 3 3 3 3 2 3 2" xfId="32472"/>
    <cellStyle name="표준 5 3 3 3 3 2 4" xfId="21336"/>
    <cellStyle name="표준 5 3 3 3 3 3" xfId="7416"/>
    <cellStyle name="표준 5 3 3 3 3 3 2" xfId="24120"/>
    <cellStyle name="표준 5 3 3 3 3 4" xfId="12984"/>
    <cellStyle name="표준 5 3 3 3 3 4 2" xfId="29688"/>
    <cellStyle name="표준 5 3 3 3 3 5" xfId="18552"/>
    <cellStyle name="표준 5 3 3 3 4" xfId="3240"/>
    <cellStyle name="표준 5 3 3 3 4 2" xfId="8808"/>
    <cellStyle name="표준 5 3 3 3 4 2 2" xfId="25512"/>
    <cellStyle name="표준 5 3 3 3 4 3" xfId="14376"/>
    <cellStyle name="표준 5 3 3 3 4 3 2" xfId="31080"/>
    <cellStyle name="표준 5 3 3 3 4 4" xfId="19944"/>
    <cellStyle name="표준 5 3 3 3 5" xfId="6024"/>
    <cellStyle name="표준 5 3 3 3 5 2" xfId="22728"/>
    <cellStyle name="표준 5 3 3 3 6" xfId="11592"/>
    <cellStyle name="표준 5 3 3 3 6 2" xfId="28296"/>
    <cellStyle name="표준 5 3 3 3 7" xfId="17160"/>
    <cellStyle name="표준 5 3 3 4" xfId="688"/>
    <cellStyle name="표준 5 3 3 4 2" xfId="1384"/>
    <cellStyle name="표준 5 3 3 4 2 2" xfId="2776"/>
    <cellStyle name="표준 5 3 3 4 2 2 2" xfId="5560"/>
    <cellStyle name="표준 5 3 3 4 2 2 2 2" xfId="11128"/>
    <cellStyle name="표준 5 3 3 4 2 2 2 2 2" xfId="27832"/>
    <cellStyle name="표준 5 3 3 4 2 2 2 3" xfId="16696"/>
    <cellStyle name="표준 5 3 3 4 2 2 2 3 2" xfId="33400"/>
    <cellStyle name="표준 5 3 3 4 2 2 2 4" xfId="22264"/>
    <cellStyle name="표준 5 3 3 4 2 2 3" xfId="8344"/>
    <cellStyle name="표준 5 3 3 4 2 2 3 2" xfId="25048"/>
    <cellStyle name="표준 5 3 3 4 2 2 4" xfId="13912"/>
    <cellStyle name="표준 5 3 3 4 2 2 4 2" xfId="30616"/>
    <cellStyle name="표준 5 3 3 4 2 2 5" xfId="19480"/>
    <cellStyle name="표준 5 3 3 4 2 3" xfId="4168"/>
    <cellStyle name="표준 5 3 3 4 2 3 2" xfId="9736"/>
    <cellStyle name="표준 5 3 3 4 2 3 2 2" xfId="26440"/>
    <cellStyle name="표준 5 3 3 4 2 3 3" xfId="15304"/>
    <cellStyle name="표준 5 3 3 4 2 3 3 2" xfId="32008"/>
    <cellStyle name="표준 5 3 3 4 2 3 4" xfId="20872"/>
    <cellStyle name="표준 5 3 3 4 2 4" xfId="6952"/>
    <cellStyle name="표준 5 3 3 4 2 4 2" xfId="23656"/>
    <cellStyle name="표준 5 3 3 4 2 5" xfId="12520"/>
    <cellStyle name="표준 5 3 3 4 2 5 2" xfId="29224"/>
    <cellStyle name="표준 5 3 3 4 2 6" xfId="18088"/>
    <cellStyle name="표준 5 3 3 4 3" xfId="2080"/>
    <cellStyle name="표준 5 3 3 4 3 2" xfId="4864"/>
    <cellStyle name="표준 5 3 3 4 3 2 2" xfId="10432"/>
    <cellStyle name="표준 5 3 3 4 3 2 2 2" xfId="27136"/>
    <cellStyle name="표준 5 3 3 4 3 2 3" xfId="16000"/>
    <cellStyle name="표준 5 3 3 4 3 2 3 2" xfId="32704"/>
    <cellStyle name="표준 5 3 3 4 3 2 4" xfId="21568"/>
    <cellStyle name="표준 5 3 3 4 3 3" xfId="7648"/>
    <cellStyle name="표준 5 3 3 4 3 3 2" xfId="24352"/>
    <cellStyle name="표준 5 3 3 4 3 4" xfId="13216"/>
    <cellStyle name="표준 5 3 3 4 3 4 2" xfId="29920"/>
    <cellStyle name="표준 5 3 3 4 3 5" xfId="18784"/>
    <cellStyle name="표준 5 3 3 4 4" xfId="3472"/>
    <cellStyle name="표준 5 3 3 4 4 2" xfId="9040"/>
    <cellStyle name="표준 5 3 3 4 4 2 2" xfId="25744"/>
    <cellStyle name="표준 5 3 3 4 4 3" xfId="14608"/>
    <cellStyle name="표준 5 3 3 4 4 3 2" xfId="31312"/>
    <cellStyle name="표준 5 3 3 4 4 4" xfId="20176"/>
    <cellStyle name="표준 5 3 3 4 5" xfId="6256"/>
    <cellStyle name="표준 5 3 3 4 5 2" xfId="22960"/>
    <cellStyle name="표준 5 3 3 4 6" xfId="11824"/>
    <cellStyle name="표준 5 3 3 4 6 2" xfId="28528"/>
    <cellStyle name="표준 5 3 3 4 7" xfId="17392"/>
    <cellStyle name="표준 5 3 3 5" xfId="920"/>
    <cellStyle name="표준 5 3 3 5 2" xfId="2312"/>
    <cellStyle name="표준 5 3 3 5 2 2" xfId="5096"/>
    <cellStyle name="표준 5 3 3 5 2 2 2" xfId="10664"/>
    <cellStyle name="표준 5 3 3 5 2 2 2 2" xfId="27368"/>
    <cellStyle name="표준 5 3 3 5 2 2 3" xfId="16232"/>
    <cellStyle name="표준 5 3 3 5 2 2 3 2" xfId="32936"/>
    <cellStyle name="표준 5 3 3 5 2 2 4" xfId="21800"/>
    <cellStyle name="표준 5 3 3 5 2 3" xfId="7880"/>
    <cellStyle name="표준 5 3 3 5 2 3 2" xfId="24584"/>
    <cellStyle name="표준 5 3 3 5 2 4" xfId="13448"/>
    <cellStyle name="표준 5 3 3 5 2 4 2" xfId="30152"/>
    <cellStyle name="표준 5 3 3 5 2 5" xfId="19016"/>
    <cellStyle name="표준 5 3 3 5 3" xfId="3704"/>
    <cellStyle name="표준 5 3 3 5 3 2" xfId="9272"/>
    <cellStyle name="표준 5 3 3 5 3 2 2" xfId="25976"/>
    <cellStyle name="표준 5 3 3 5 3 3" xfId="14840"/>
    <cellStyle name="표준 5 3 3 5 3 3 2" xfId="31544"/>
    <cellStyle name="표준 5 3 3 5 3 4" xfId="20408"/>
    <cellStyle name="표준 5 3 3 5 4" xfId="6488"/>
    <cellStyle name="표준 5 3 3 5 4 2" xfId="23192"/>
    <cellStyle name="표준 5 3 3 5 5" xfId="12056"/>
    <cellStyle name="표준 5 3 3 5 5 2" xfId="28760"/>
    <cellStyle name="표준 5 3 3 5 6" xfId="17624"/>
    <cellStyle name="표준 5 3 3 6" xfId="1616"/>
    <cellStyle name="표준 5 3 3 6 2" xfId="4400"/>
    <cellStyle name="표준 5 3 3 6 2 2" xfId="9968"/>
    <cellStyle name="표준 5 3 3 6 2 2 2" xfId="26672"/>
    <cellStyle name="표준 5 3 3 6 2 3" xfId="15536"/>
    <cellStyle name="표준 5 3 3 6 2 3 2" xfId="32240"/>
    <cellStyle name="표준 5 3 3 6 2 4" xfId="21104"/>
    <cellStyle name="표준 5 3 3 6 3" xfId="7184"/>
    <cellStyle name="표준 5 3 3 6 3 2" xfId="23888"/>
    <cellStyle name="표준 5 3 3 6 4" xfId="12752"/>
    <cellStyle name="표준 5 3 3 6 4 2" xfId="29456"/>
    <cellStyle name="표준 5 3 3 6 5" xfId="18320"/>
    <cellStyle name="표준 5 3 3 7" xfId="3008"/>
    <cellStyle name="표준 5 3 3 7 2" xfId="8576"/>
    <cellStyle name="표준 5 3 3 7 2 2" xfId="25280"/>
    <cellStyle name="표준 5 3 3 7 3" xfId="14144"/>
    <cellStyle name="표준 5 3 3 7 3 2" xfId="30848"/>
    <cellStyle name="표준 5 3 3 7 4" xfId="19712"/>
    <cellStyle name="표준 5 3 3 8" xfId="5792"/>
    <cellStyle name="표준 5 3 3 8 2" xfId="22496"/>
    <cellStyle name="표준 5 3 3 9" xfId="11360"/>
    <cellStyle name="표준 5 3 3 9 2" xfId="28064"/>
    <cellStyle name="표준 5 3 4" xfId="282"/>
    <cellStyle name="표준 5 3 4 2" xfId="514"/>
    <cellStyle name="표준 5 3 4 2 2" xfId="1210"/>
    <cellStyle name="표준 5 3 4 2 2 2" xfId="2602"/>
    <cellStyle name="표준 5 3 4 2 2 2 2" xfId="5386"/>
    <cellStyle name="표준 5 3 4 2 2 2 2 2" xfId="10954"/>
    <cellStyle name="표준 5 3 4 2 2 2 2 2 2" xfId="27658"/>
    <cellStyle name="표준 5 3 4 2 2 2 2 3" xfId="16522"/>
    <cellStyle name="표준 5 3 4 2 2 2 2 3 2" xfId="33226"/>
    <cellStyle name="표준 5 3 4 2 2 2 2 4" xfId="22090"/>
    <cellStyle name="표준 5 3 4 2 2 2 3" xfId="8170"/>
    <cellStyle name="표준 5 3 4 2 2 2 3 2" xfId="24874"/>
    <cellStyle name="표준 5 3 4 2 2 2 4" xfId="13738"/>
    <cellStyle name="표준 5 3 4 2 2 2 4 2" xfId="30442"/>
    <cellStyle name="표준 5 3 4 2 2 2 5" xfId="19306"/>
    <cellStyle name="표준 5 3 4 2 2 3" xfId="3994"/>
    <cellStyle name="표준 5 3 4 2 2 3 2" xfId="9562"/>
    <cellStyle name="표준 5 3 4 2 2 3 2 2" xfId="26266"/>
    <cellStyle name="표준 5 3 4 2 2 3 3" xfId="15130"/>
    <cellStyle name="표준 5 3 4 2 2 3 3 2" xfId="31834"/>
    <cellStyle name="표준 5 3 4 2 2 3 4" xfId="20698"/>
    <cellStyle name="표준 5 3 4 2 2 4" xfId="6778"/>
    <cellStyle name="표준 5 3 4 2 2 4 2" xfId="23482"/>
    <cellStyle name="표준 5 3 4 2 2 5" xfId="12346"/>
    <cellStyle name="표준 5 3 4 2 2 5 2" xfId="29050"/>
    <cellStyle name="표준 5 3 4 2 2 6" xfId="17914"/>
    <cellStyle name="표준 5 3 4 2 3" xfId="1906"/>
    <cellStyle name="표준 5 3 4 2 3 2" xfId="4690"/>
    <cellStyle name="표준 5 3 4 2 3 2 2" xfId="10258"/>
    <cellStyle name="표준 5 3 4 2 3 2 2 2" xfId="26962"/>
    <cellStyle name="표준 5 3 4 2 3 2 3" xfId="15826"/>
    <cellStyle name="표준 5 3 4 2 3 2 3 2" xfId="32530"/>
    <cellStyle name="표준 5 3 4 2 3 2 4" xfId="21394"/>
    <cellStyle name="표준 5 3 4 2 3 3" xfId="7474"/>
    <cellStyle name="표준 5 3 4 2 3 3 2" xfId="24178"/>
    <cellStyle name="표준 5 3 4 2 3 4" xfId="13042"/>
    <cellStyle name="표준 5 3 4 2 3 4 2" xfId="29746"/>
    <cellStyle name="표준 5 3 4 2 3 5" xfId="18610"/>
    <cellStyle name="표준 5 3 4 2 4" xfId="3298"/>
    <cellStyle name="표준 5 3 4 2 4 2" xfId="8866"/>
    <cellStyle name="표준 5 3 4 2 4 2 2" xfId="25570"/>
    <cellStyle name="표준 5 3 4 2 4 3" xfId="14434"/>
    <cellStyle name="표준 5 3 4 2 4 3 2" xfId="31138"/>
    <cellStyle name="표준 5 3 4 2 4 4" xfId="20002"/>
    <cellStyle name="표준 5 3 4 2 5" xfId="6082"/>
    <cellStyle name="표준 5 3 4 2 5 2" xfId="22786"/>
    <cellStyle name="표준 5 3 4 2 6" xfId="11650"/>
    <cellStyle name="표준 5 3 4 2 6 2" xfId="28354"/>
    <cellStyle name="표준 5 3 4 2 7" xfId="17218"/>
    <cellStyle name="표준 5 3 4 3" xfId="746"/>
    <cellStyle name="표준 5 3 4 3 2" xfId="1442"/>
    <cellStyle name="표준 5 3 4 3 2 2" xfId="2834"/>
    <cellStyle name="표준 5 3 4 3 2 2 2" xfId="5618"/>
    <cellStyle name="표준 5 3 4 3 2 2 2 2" xfId="11186"/>
    <cellStyle name="표준 5 3 4 3 2 2 2 2 2" xfId="27890"/>
    <cellStyle name="표준 5 3 4 3 2 2 2 3" xfId="16754"/>
    <cellStyle name="표준 5 3 4 3 2 2 2 3 2" xfId="33458"/>
    <cellStyle name="표준 5 3 4 3 2 2 2 4" xfId="22322"/>
    <cellStyle name="표준 5 3 4 3 2 2 3" xfId="8402"/>
    <cellStyle name="표준 5 3 4 3 2 2 3 2" xfId="25106"/>
    <cellStyle name="표준 5 3 4 3 2 2 4" xfId="13970"/>
    <cellStyle name="표준 5 3 4 3 2 2 4 2" xfId="30674"/>
    <cellStyle name="표준 5 3 4 3 2 2 5" xfId="19538"/>
    <cellStyle name="표준 5 3 4 3 2 3" xfId="4226"/>
    <cellStyle name="표준 5 3 4 3 2 3 2" xfId="9794"/>
    <cellStyle name="표준 5 3 4 3 2 3 2 2" xfId="26498"/>
    <cellStyle name="표준 5 3 4 3 2 3 3" xfId="15362"/>
    <cellStyle name="표준 5 3 4 3 2 3 3 2" xfId="32066"/>
    <cellStyle name="표준 5 3 4 3 2 3 4" xfId="20930"/>
    <cellStyle name="표준 5 3 4 3 2 4" xfId="7010"/>
    <cellStyle name="표준 5 3 4 3 2 4 2" xfId="23714"/>
    <cellStyle name="표준 5 3 4 3 2 5" xfId="12578"/>
    <cellStyle name="표준 5 3 4 3 2 5 2" xfId="29282"/>
    <cellStyle name="표준 5 3 4 3 2 6" xfId="18146"/>
    <cellStyle name="표준 5 3 4 3 3" xfId="2138"/>
    <cellStyle name="표준 5 3 4 3 3 2" xfId="4922"/>
    <cellStyle name="표준 5 3 4 3 3 2 2" xfId="10490"/>
    <cellStyle name="표준 5 3 4 3 3 2 2 2" xfId="27194"/>
    <cellStyle name="표준 5 3 4 3 3 2 3" xfId="16058"/>
    <cellStyle name="표준 5 3 4 3 3 2 3 2" xfId="32762"/>
    <cellStyle name="표준 5 3 4 3 3 2 4" xfId="21626"/>
    <cellStyle name="표준 5 3 4 3 3 3" xfId="7706"/>
    <cellStyle name="표준 5 3 4 3 3 3 2" xfId="24410"/>
    <cellStyle name="표준 5 3 4 3 3 4" xfId="13274"/>
    <cellStyle name="표준 5 3 4 3 3 4 2" xfId="29978"/>
    <cellStyle name="표준 5 3 4 3 3 5" xfId="18842"/>
    <cellStyle name="표준 5 3 4 3 4" xfId="3530"/>
    <cellStyle name="표준 5 3 4 3 4 2" xfId="9098"/>
    <cellStyle name="표준 5 3 4 3 4 2 2" xfId="25802"/>
    <cellStyle name="표준 5 3 4 3 4 3" xfId="14666"/>
    <cellStyle name="표준 5 3 4 3 4 3 2" xfId="31370"/>
    <cellStyle name="표준 5 3 4 3 4 4" xfId="20234"/>
    <cellStyle name="표준 5 3 4 3 5" xfId="6314"/>
    <cellStyle name="표준 5 3 4 3 5 2" xfId="23018"/>
    <cellStyle name="표준 5 3 4 3 6" xfId="11882"/>
    <cellStyle name="표준 5 3 4 3 6 2" xfId="28586"/>
    <cellStyle name="표준 5 3 4 3 7" xfId="17450"/>
    <cellStyle name="표준 5 3 4 4" xfId="978"/>
    <cellStyle name="표준 5 3 4 4 2" xfId="2370"/>
    <cellStyle name="표준 5 3 4 4 2 2" xfId="5154"/>
    <cellStyle name="표준 5 3 4 4 2 2 2" xfId="10722"/>
    <cellStyle name="표준 5 3 4 4 2 2 2 2" xfId="27426"/>
    <cellStyle name="표준 5 3 4 4 2 2 3" xfId="16290"/>
    <cellStyle name="표준 5 3 4 4 2 2 3 2" xfId="32994"/>
    <cellStyle name="표준 5 3 4 4 2 2 4" xfId="21858"/>
    <cellStyle name="표준 5 3 4 4 2 3" xfId="7938"/>
    <cellStyle name="표준 5 3 4 4 2 3 2" xfId="24642"/>
    <cellStyle name="표준 5 3 4 4 2 4" xfId="13506"/>
    <cellStyle name="표준 5 3 4 4 2 4 2" xfId="30210"/>
    <cellStyle name="표준 5 3 4 4 2 5" xfId="19074"/>
    <cellStyle name="표준 5 3 4 4 3" xfId="3762"/>
    <cellStyle name="표준 5 3 4 4 3 2" xfId="9330"/>
    <cellStyle name="표준 5 3 4 4 3 2 2" xfId="26034"/>
    <cellStyle name="표준 5 3 4 4 3 3" xfId="14898"/>
    <cellStyle name="표준 5 3 4 4 3 3 2" xfId="31602"/>
    <cellStyle name="표준 5 3 4 4 3 4" xfId="20466"/>
    <cellStyle name="표준 5 3 4 4 4" xfId="6546"/>
    <cellStyle name="표준 5 3 4 4 4 2" xfId="23250"/>
    <cellStyle name="표준 5 3 4 4 5" xfId="12114"/>
    <cellStyle name="표준 5 3 4 4 5 2" xfId="28818"/>
    <cellStyle name="표준 5 3 4 4 6" xfId="17682"/>
    <cellStyle name="표준 5 3 4 5" xfId="1674"/>
    <cellStyle name="표준 5 3 4 5 2" xfId="4458"/>
    <cellStyle name="표준 5 3 4 5 2 2" xfId="10026"/>
    <cellStyle name="표준 5 3 4 5 2 2 2" xfId="26730"/>
    <cellStyle name="표준 5 3 4 5 2 3" xfId="15594"/>
    <cellStyle name="표준 5 3 4 5 2 3 2" xfId="32298"/>
    <cellStyle name="표준 5 3 4 5 2 4" xfId="21162"/>
    <cellStyle name="표준 5 3 4 5 3" xfId="7242"/>
    <cellStyle name="표준 5 3 4 5 3 2" xfId="23946"/>
    <cellStyle name="표준 5 3 4 5 4" xfId="12810"/>
    <cellStyle name="표준 5 3 4 5 4 2" xfId="29514"/>
    <cellStyle name="표준 5 3 4 5 5" xfId="18378"/>
    <cellStyle name="표준 5 3 4 6" xfId="3066"/>
    <cellStyle name="표준 5 3 4 6 2" xfId="8634"/>
    <cellStyle name="표준 5 3 4 6 2 2" xfId="25338"/>
    <cellStyle name="표준 5 3 4 6 3" xfId="14202"/>
    <cellStyle name="표준 5 3 4 6 3 2" xfId="30906"/>
    <cellStyle name="표준 5 3 4 6 4" xfId="19770"/>
    <cellStyle name="표준 5 3 4 7" xfId="5850"/>
    <cellStyle name="표준 5 3 4 7 2" xfId="22554"/>
    <cellStyle name="표준 5 3 4 8" xfId="11418"/>
    <cellStyle name="표준 5 3 4 8 2" xfId="28122"/>
    <cellStyle name="표준 5 3 4 9" xfId="16986"/>
    <cellStyle name="표준 5 3 5" xfId="398"/>
    <cellStyle name="표준 5 3 5 2" xfId="1094"/>
    <cellStyle name="표준 5 3 5 2 2" xfId="2486"/>
    <cellStyle name="표준 5 3 5 2 2 2" xfId="5270"/>
    <cellStyle name="표준 5 3 5 2 2 2 2" xfId="10838"/>
    <cellStyle name="표준 5 3 5 2 2 2 2 2" xfId="27542"/>
    <cellStyle name="표준 5 3 5 2 2 2 3" xfId="16406"/>
    <cellStyle name="표준 5 3 5 2 2 2 3 2" xfId="33110"/>
    <cellStyle name="표준 5 3 5 2 2 2 4" xfId="21974"/>
    <cellStyle name="표준 5 3 5 2 2 3" xfId="8054"/>
    <cellStyle name="표준 5 3 5 2 2 3 2" xfId="24758"/>
    <cellStyle name="표준 5 3 5 2 2 4" xfId="13622"/>
    <cellStyle name="표준 5 3 5 2 2 4 2" xfId="30326"/>
    <cellStyle name="표준 5 3 5 2 2 5" xfId="19190"/>
    <cellStyle name="표준 5 3 5 2 3" xfId="3878"/>
    <cellStyle name="표준 5 3 5 2 3 2" xfId="9446"/>
    <cellStyle name="표준 5 3 5 2 3 2 2" xfId="26150"/>
    <cellStyle name="표준 5 3 5 2 3 3" xfId="15014"/>
    <cellStyle name="표준 5 3 5 2 3 3 2" xfId="31718"/>
    <cellStyle name="표준 5 3 5 2 3 4" xfId="20582"/>
    <cellStyle name="표준 5 3 5 2 4" xfId="6662"/>
    <cellStyle name="표준 5 3 5 2 4 2" xfId="23366"/>
    <cellStyle name="표준 5 3 5 2 5" xfId="12230"/>
    <cellStyle name="표준 5 3 5 2 5 2" xfId="28934"/>
    <cellStyle name="표준 5 3 5 2 6" xfId="17798"/>
    <cellStyle name="표준 5 3 5 3" xfId="1790"/>
    <cellStyle name="표준 5 3 5 3 2" xfId="4574"/>
    <cellStyle name="표준 5 3 5 3 2 2" xfId="10142"/>
    <cellStyle name="표준 5 3 5 3 2 2 2" xfId="26846"/>
    <cellStyle name="표준 5 3 5 3 2 3" xfId="15710"/>
    <cellStyle name="표준 5 3 5 3 2 3 2" xfId="32414"/>
    <cellStyle name="표준 5 3 5 3 2 4" xfId="21278"/>
    <cellStyle name="표준 5 3 5 3 3" xfId="7358"/>
    <cellStyle name="표준 5 3 5 3 3 2" xfId="24062"/>
    <cellStyle name="표준 5 3 5 3 4" xfId="12926"/>
    <cellStyle name="표준 5 3 5 3 4 2" xfId="29630"/>
    <cellStyle name="표준 5 3 5 3 5" xfId="18494"/>
    <cellStyle name="표준 5 3 5 4" xfId="3182"/>
    <cellStyle name="표준 5 3 5 4 2" xfId="8750"/>
    <cellStyle name="표준 5 3 5 4 2 2" xfId="25454"/>
    <cellStyle name="표준 5 3 5 4 3" xfId="14318"/>
    <cellStyle name="표준 5 3 5 4 3 2" xfId="31022"/>
    <cellStyle name="표준 5 3 5 4 4" xfId="19886"/>
    <cellStyle name="표준 5 3 5 5" xfId="5966"/>
    <cellStyle name="표준 5 3 5 5 2" xfId="22670"/>
    <cellStyle name="표준 5 3 5 6" xfId="11534"/>
    <cellStyle name="표준 5 3 5 6 2" xfId="28238"/>
    <cellStyle name="표준 5 3 5 7" xfId="17102"/>
    <cellStyle name="표준 5 3 6" xfId="630"/>
    <cellStyle name="표준 5 3 6 2" xfId="1326"/>
    <cellStyle name="표준 5 3 6 2 2" xfId="2718"/>
    <cellStyle name="표준 5 3 6 2 2 2" xfId="5502"/>
    <cellStyle name="표준 5 3 6 2 2 2 2" xfId="11070"/>
    <cellStyle name="표준 5 3 6 2 2 2 2 2" xfId="27774"/>
    <cellStyle name="표준 5 3 6 2 2 2 3" xfId="16638"/>
    <cellStyle name="표준 5 3 6 2 2 2 3 2" xfId="33342"/>
    <cellStyle name="표준 5 3 6 2 2 2 4" xfId="22206"/>
    <cellStyle name="표준 5 3 6 2 2 3" xfId="8286"/>
    <cellStyle name="표준 5 3 6 2 2 3 2" xfId="24990"/>
    <cellStyle name="표준 5 3 6 2 2 4" xfId="13854"/>
    <cellStyle name="표준 5 3 6 2 2 4 2" xfId="30558"/>
    <cellStyle name="표준 5 3 6 2 2 5" xfId="19422"/>
    <cellStyle name="표준 5 3 6 2 3" xfId="4110"/>
    <cellStyle name="표준 5 3 6 2 3 2" xfId="9678"/>
    <cellStyle name="표준 5 3 6 2 3 2 2" xfId="26382"/>
    <cellStyle name="표준 5 3 6 2 3 3" xfId="15246"/>
    <cellStyle name="표준 5 3 6 2 3 3 2" xfId="31950"/>
    <cellStyle name="표준 5 3 6 2 3 4" xfId="20814"/>
    <cellStyle name="표준 5 3 6 2 4" xfId="6894"/>
    <cellStyle name="표준 5 3 6 2 4 2" xfId="23598"/>
    <cellStyle name="표준 5 3 6 2 5" xfId="12462"/>
    <cellStyle name="표준 5 3 6 2 5 2" xfId="29166"/>
    <cellStyle name="표준 5 3 6 2 6" xfId="18030"/>
    <cellStyle name="표준 5 3 6 3" xfId="2022"/>
    <cellStyle name="표준 5 3 6 3 2" xfId="4806"/>
    <cellStyle name="표준 5 3 6 3 2 2" xfId="10374"/>
    <cellStyle name="표준 5 3 6 3 2 2 2" xfId="27078"/>
    <cellStyle name="표준 5 3 6 3 2 3" xfId="15942"/>
    <cellStyle name="표준 5 3 6 3 2 3 2" xfId="32646"/>
    <cellStyle name="표준 5 3 6 3 2 4" xfId="21510"/>
    <cellStyle name="표준 5 3 6 3 3" xfId="7590"/>
    <cellStyle name="표준 5 3 6 3 3 2" xfId="24294"/>
    <cellStyle name="표준 5 3 6 3 4" xfId="13158"/>
    <cellStyle name="표준 5 3 6 3 4 2" xfId="29862"/>
    <cellStyle name="표준 5 3 6 3 5" xfId="18726"/>
    <cellStyle name="표준 5 3 6 4" xfId="3414"/>
    <cellStyle name="표준 5 3 6 4 2" xfId="8982"/>
    <cellStyle name="표준 5 3 6 4 2 2" xfId="25686"/>
    <cellStyle name="표준 5 3 6 4 3" xfId="14550"/>
    <cellStyle name="표준 5 3 6 4 3 2" xfId="31254"/>
    <cellStyle name="표준 5 3 6 4 4" xfId="20118"/>
    <cellStyle name="표준 5 3 6 5" xfId="6198"/>
    <cellStyle name="표준 5 3 6 5 2" xfId="22902"/>
    <cellStyle name="표준 5 3 6 6" xfId="11766"/>
    <cellStyle name="표준 5 3 6 6 2" xfId="28470"/>
    <cellStyle name="표준 5 3 6 7" xfId="17334"/>
    <cellStyle name="표준 5 3 7" xfId="862"/>
    <cellStyle name="표준 5 3 7 2" xfId="2254"/>
    <cellStyle name="표준 5 3 7 2 2" xfId="5038"/>
    <cellStyle name="표준 5 3 7 2 2 2" xfId="10606"/>
    <cellStyle name="표준 5 3 7 2 2 2 2" xfId="27310"/>
    <cellStyle name="표준 5 3 7 2 2 3" xfId="16174"/>
    <cellStyle name="표준 5 3 7 2 2 3 2" xfId="32878"/>
    <cellStyle name="표준 5 3 7 2 2 4" xfId="21742"/>
    <cellStyle name="표준 5 3 7 2 3" xfId="7822"/>
    <cellStyle name="표준 5 3 7 2 3 2" xfId="24526"/>
    <cellStyle name="표준 5 3 7 2 4" xfId="13390"/>
    <cellStyle name="표준 5 3 7 2 4 2" xfId="30094"/>
    <cellStyle name="표준 5 3 7 2 5" xfId="18958"/>
    <cellStyle name="표준 5 3 7 3" xfId="3646"/>
    <cellStyle name="표준 5 3 7 3 2" xfId="9214"/>
    <cellStyle name="표준 5 3 7 3 2 2" xfId="25918"/>
    <cellStyle name="표준 5 3 7 3 3" xfId="14782"/>
    <cellStyle name="표준 5 3 7 3 3 2" xfId="31486"/>
    <cellStyle name="표준 5 3 7 3 4" xfId="20350"/>
    <cellStyle name="표준 5 3 7 4" xfId="6430"/>
    <cellStyle name="표준 5 3 7 4 2" xfId="23134"/>
    <cellStyle name="표준 5 3 7 5" xfId="11998"/>
    <cellStyle name="표준 5 3 7 5 2" xfId="28702"/>
    <cellStyle name="표준 5 3 7 6" xfId="17566"/>
    <cellStyle name="표준 5 3 8" xfId="1558"/>
    <cellStyle name="표준 5 3 8 2" xfId="4342"/>
    <cellStyle name="표준 5 3 8 2 2" xfId="9910"/>
    <cellStyle name="표준 5 3 8 2 2 2" xfId="26614"/>
    <cellStyle name="표준 5 3 8 2 3" xfId="15478"/>
    <cellStyle name="표준 5 3 8 2 3 2" xfId="32182"/>
    <cellStyle name="표준 5 3 8 2 4" xfId="21046"/>
    <cellStyle name="표준 5 3 8 3" xfId="7126"/>
    <cellStyle name="표준 5 3 8 3 2" xfId="23830"/>
    <cellStyle name="표준 5 3 8 4" xfId="12694"/>
    <cellStyle name="표준 5 3 8 4 2" xfId="29398"/>
    <cellStyle name="표준 5 3 8 5" xfId="18262"/>
    <cellStyle name="표준 5 3 9" xfId="2950"/>
    <cellStyle name="표준 5 3 9 2" xfId="8518"/>
    <cellStyle name="표준 5 3 9 2 2" xfId="25222"/>
    <cellStyle name="표준 5 3 9 3" xfId="14086"/>
    <cellStyle name="표준 5 3 9 3 2" xfId="30790"/>
    <cellStyle name="표준 5 3 9 4" xfId="19654"/>
    <cellStyle name="표준 5 4" xfId="150"/>
    <cellStyle name="표준 5 4 10" xfId="5728"/>
    <cellStyle name="표준 5 4 10 2" xfId="22432"/>
    <cellStyle name="표준 5 4 11" xfId="11296"/>
    <cellStyle name="표준 5 4 11 2" xfId="28000"/>
    <cellStyle name="표준 5 4 12" xfId="16864"/>
    <cellStyle name="표준 5 4 2" xfId="189"/>
    <cellStyle name="표준 5 4 2 10" xfId="11325"/>
    <cellStyle name="표준 5 4 2 10 2" xfId="28029"/>
    <cellStyle name="표준 5 4 2 11" xfId="16893"/>
    <cellStyle name="표준 5 4 2 2" xfId="247"/>
    <cellStyle name="표준 5 4 2 2 10" xfId="16951"/>
    <cellStyle name="표준 5 4 2 2 2" xfId="363"/>
    <cellStyle name="표준 5 4 2 2 2 2" xfId="595"/>
    <cellStyle name="표준 5 4 2 2 2 2 2" xfId="1291"/>
    <cellStyle name="표준 5 4 2 2 2 2 2 2" xfId="2683"/>
    <cellStyle name="표준 5 4 2 2 2 2 2 2 2" xfId="5467"/>
    <cellStyle name="표준 5 4 2 2 2 2 2 2 2 2" xfId="11035"/>
    <cellStyle name="표준 5 4 2 2 2 2 2 2 2 2 2" xfId="27739"/>
    <cellStyle name="표준 5 4 2 2 2 2 2 2 2 3" xfId="16603"/>
    <cellStyle name="표준 5 4 2 2 2 2 2 2 2 3 2" xfId="33307"/>
    <cellStyle name="표준 5 4 2 2 2 2 2 2 2 4" xfId="22171"/>
    <cellStyle name="표준 5 4 2 2 2 2 2 2 3" xfId="8251"/>
    <cellStyle name="표준 5 4 2 2 2 2 2 2 3 2" xfId="24955"/>
    <cellStyle name="표준 5 4 2 2 2 2 2 2 4" xfId="13819"/>
    <cellStyle name="표준 5 4 2 2 2 2 2 2 4 2" xfId="30523"/>
    <cellStyle name="표준 5 4 2 2 2 2 2 2 5" xfId="19387"/>
    <cellStyle name="표준 5 4 2 2 2 2 2 3" xfId="4075"/>
    <cellStyle name="표준 5 4 2 2 2 2 2 3 2" xfId="9643"/>
    <cellStyle name="표준 5 4 2 2 2 2 2 3 2 2" xfId="26347"/>
    <cellStyle name="표준 5 4 2 2 2 2 2 3 3" xfId="15211"/>
    <cellStyle name="표준 5 4 2 2 2 2 2 3 3 2" xfId="31915"/>
    <cellStyle name="표준 5 4 2 2 2 2 2 3 4" xfId="20779"/>
    <cellStyle name="표준 5 4 2 2 2 2 2 4" xfId="6859"/>
    <cellStyle name="표준 5 4 2 2 2 2 2 4 2" xfId="23563"/>
    <cellStyle name="표준 5 4 2 2 2 2 2 5" xfId="12427"/>
    <cellStyle name="표준 5 4 2 2 2 2 2 5 2" xfId="29131"/>
    <cellStyle name="표준 5 4 2 2 2 2 2 6" xfId="17995"/>
    <cellStyle name="표준 5 4 2 2 2 2 3" xfId="1987"/>
    <cellStyle name="표준 5 4 2 2 2 2 3 2" xfId="4771"/>
    <cellStyle name="표준 5 4 2 2 2 2 3 2 2" xfId="10339"/>
    <cellStyle name="표준 5 4 2 2 2 2 3 2 2 2" xfId="27043"/>
    <cellStyle name="표준 5 4 2 2 2 2 3 2 3" xfId="15907"/>
    <cellStyle name="표준 5 4 2 2 2 2 3 2 3 2" xfId="32611"/>
    <cellStyle name="표준 5 4 2 2 2 2 3 2 4" xfId="21475"/>
    <cellStyle name="표준 5 4 2 2 2 2 3 3" xfId="7555"/>
    <cellStyle name="표준 5 4 2 2 2 2 3 3 2" xfId="24259"/>
    <cellStyle name="표준 5 4 2 2 2 2 3 4" xfId="13123"/>
    <cellStyle name="표준 5 4 2 2 2 2 3 4 2" xfId="29827"/>
    <cellStyle name="표준 5 4 2 2 2 2 3 5" xfId="18691"/>
    <cellStyle name="표준 5 4 2 2 2 2 4" xfId="3379"/>
    <cellStyle name="표준 5 4 2 2 2 2 4 2" xfId="8947"/>
    <cellStyle name="표준 5 4 2 2 2 2 4 2 2" xfId="25651"/>
    <cellStyle name="표준 5 4 2 2 2 2 4 3" xfId="14515"/>
    <cellStyle name="표준 5 4 2 2 2 2 4 3 2" xfId="31219"/>
    <cellStyle name="표준 5 4 2 2 2 2 4 4" xfId="20083"/>
    <cellStyle name="표준 5 4 2 2 2 2 5" xfId="6163"/>
    <cellStyle name="표준 5 4 2 2 2 2 5 2" xfId="22867"/>
    <cellStyle name="표준 5 4 2 2 2 2 6" xfId="11731"/>
    <cellStyle name="표준 5 4 2 2 2 2 6 2" xfId="28435"/>
    <cellStyle name="표준 5 4 2 2 2 2 7" xfId="17299"/>
    <cellStyle name="표준 5 4 2 2 2 3" xfId="827"/>
    <cellStyle name="표준 5 4 2 2 2 3 2" xfId="1523"/>
    <cellStyle name="표준 5 4 2 2 2 3 2 2" xfId="2915"/>
    <cellStyle name="표준 5 4 2 2 2 3 2 2 2" xfId="5699"/>
    <cellStyle name="표준 5 4 2 2 2 3 2 2 2 2" xfId="11267"/>
    <cellStyle name="표준 5 4 2 2 2 3 2 2 2 2 2" xfId="27971"/>
    <cellStyle name="표준 5 4 2 2 2 3 2 2 2 3" xfId="16835"/>
    <cellStyle name="표준 5 4 2 2 2 3 2 2 2 3 2" xfId="33539"/>
    <cellStyle name="표준 5 4 2 2 2 3 2 2 2 4" xfId="22403"/>
    <cellStyle name="표준 5 4 2 2 2 3 2 2 3" xfId="8483"/>
    <cellStyle name="표준 5 4 2 2 2 3 2 2 3 2" xfId="25187"/>
    <cellStyle name="표준 5 4 2 2 2 3 2 2 4" xfId="14051"/>
    <cellStyle name="표준 5 4 2 2 2 3 2 2 4 2" xfId="30755"/>
    <cellStyle name="표준 5 4 2 2 2 3 2 2 5" xfId="19619"/>
    <cellStyle name="표준 5 4 2 2 2 3 2 3" xfId="4307"/>
    <cellStyle name="표준 5 4 2 2 2 3 2 3 2" xfId="9875"/>
    <cellStyle name="표준 5 4 2 2 2 3 2 3 2 2" xfId="26579"/>
    <cellStyle name="표준 5 4 2 2 2 3 2 3 3" xfId="15443"/>
    <cellStyle name="표준 5 4 2 2 2 3 2 3 3 2" xfId="32147"/>
    <cellStyle name="표준 5 4 2 2 2 3 2 3 4" xfId="21011"/>
    <cellStyle name="표준 5 4 2 2 2 3 2 4" xfId="7091"/>
    <cellStyle name="표준 5 4 2 2 2 3 2 4 2" xfId="23795"/>
    <cellStyle name="표준 5 4 2 2 2 3 2 5" xfId="12659"/>
    <cellStyle name="표준 5 4 2 2 2 3 2 5 2" xfId="29363"/>
    <cellStyle name="표준 5 4 2 2 2 3 2 6" xfId="18227"/>
    <cellStyle name="표준 5 4 2 2 2 3 3" xfId="2219"/>
    <cellStyle name="표준 5 4 2 2 2 3 3 2" xfId="5003"/>
    <cellStyle name="표준 5 4 2 2 2 3 3 2 2" xfId="10571"/>
    <cellStyle name="표준 5 4 2 2 2 3 3 2 2 2" xfId="27275"/>
    <cellStyle name="표준 5 4 2 2 2 3 3 2 3" xfId="16139"/>
    <cellStyle name="표준 5 4 2 2 2 3 3 2 3 2" xfId="32843"/>
    <cellStyle name="표준 5 4 2 2 2 3 3 2 4" xfId="21707"/>
    <cellStyle name="표준 5 4 2 2 2 3 3 3" xfId="7787"/>
    <cellStyle name="표준 5 4 2 2 2 3 3 3 2" xfId="24491"/>
    <cellStyle name="표준 5 4 2 2 2 3 3 4" xfId="13355"/>
    <cellStyle name="표준 5 4 2 2 2 3 3 4 2" xfId="30059"/>
    <cellStyle name="표준 5 4 2 2 2 3 3 5" xfId="18923"/>
    <cellStyle name="표준 5 4 2 2 2 3 4" xfId="3611"/>
    <cellStyle name="표준 5 4 2 2 2 3 4 2" xfId="9179"/>
    <cellStyle name="표준 5 4 2 2 2 3 4 2 2" xfId="25883"/>
    <cellStyle name="표준 5 4 2 2 2 3 4 3" xfId="14747"/>
    <cellStyle name="표준 5 4 2 2 2 3 4 3 2" xfId="31451"/>
    <cellStyle name="표준 5 4 2 2 2 3 4 4" xfId="20315"/>
    <cellStyle name="표준 5 4 2 2 2 3 5" xfId="6395"/>
    <cellStyle name="표준 5 4 2 2 2 3 5 2" xfId="23099"/>
    <cellStyle name="표준 5 4 2 2 2 3 6" xfId="11963"/>
    <cellStyle name="표준 5 4 2 2 2 3 6 2" xfId="28667"/>
    <cellStyle name="표준 5 4 2 2 2 3 7" xfId="17531"/>
    <cellStyle name="표준 5 4 2 2 2 4" xfId="1059"/>
    <cellStyle name="표준 5 4 2 2 2 4 2" xfId="2451"/>
    <cellStyle name="표준 5 4 2 2 2 4 2 2" xfId="5235"/>
    <cellStyle name="표준 5 4 2 2 2 4 2 2 2" xfId="10803"/>
    <cellStyle name="표준 5 4 2 2 2 4 2 2 2 2" xfId="27507"/>
    <cellStyle name="표준 5 4 2 2 2 4 2 2 3" xfId="16371"/>
    <cellStyle name="표준 5 4 2 2 2 4 2 2 3 2" xfId="33075"/>
    <cellStyle name="표준 5 4 2 2 2 4 2 2 4" xfId="21939"/>
    <cellStyle name="표준 5 4 2 2 2 4 2 3" xfId="8019"/>
    <cellStyle name="표준 5 4 2 2 2 4 2 3 2" xfId="24723"/>
    <cellStyle name="표준 5 4 2 2 2 4 2 4" xfId="13587"/>
    <cellStyle name="표준 5 4 2 2 2 4 2 4 2" xfId="30291"/>
    <cellStyle name="표준 5 4 2 2 2 4 2 5" xfId="19155"/>
    <cellStyle name="표준 5 4 2 2 2 4 3" xfId="3843"/>
    <cellStyle name="표준 5 4 2 2 2 4 3 2" xfId="9411"/>
    <cellStyle name="표준 5 4 2 2 2 4 3 2 2" xfId="26115"/>
    <cellStyle name="표준 5 4 2 2 2 4 3 3" xfId="14979"/>
    <cellStyle name="표준 5 4 2 2 2 4 3 3 2" xfId="31683"/>
    <cellStyle name="표준 5 4 2 2 2 4 3 4" xfId="20547"/>
    <cellStyle name="표준 5 4 2 2 2 4 4" xfId="6627"/>
    <cellStyle name="표준 5 4 2 2 2 4 4 2" xfId="23331"/>
    <cellStyle name="표준 5 4 2 2 2 4 5" xfId="12195"/>
    <cellStyle name="표준 5 4 2 2 2 4 5 2" xfId="28899"/>
    <cellStyle name="표준 5 4 2 2 2 4 6" xfId="17763"/>
    <cellStyle name="표준 5 4 2 2 2 5" xfId="1755"/>
    <cellStyle name="표준 5 4 2 2 2 5 2" xfId="4539"/>
    <cellStyle name="표준 5 4 2 2 2 5 2 2" xfId="10107"/>
    <cellStyle name="표준 5 4 2 2 2 5 2 2 2" xfId="26811"/>
    <cellStyle name="표준 5 4 2 2 2 5 2 3" xfId="15675"/>
    <cellStyle name="표준 5 4 2 2 2 5 2 3 2" xfId="32379"/>
    <cellStyle name="표준 5 4 2 2 2 5 2 4" xfId="21243"/>
    <cellStyle name="표준 5 4 2 2 2 5 3" xfId="7323"/>
    <cellStyle name="표준 5 4 2 2 2 5 3 2" xfId="24027"/>
    <cellStyle name="표준 5 4 2 2 2 5 4" xfId="12891"/>
    <cellStyle name="표준 5 4 2 2 2 5 4 2" xfId="29595"/>
    <cellStyle name="표준 5 4 2 2 2 5 5" xfId="18459"/>
    <cellStyle name="표준 5 4 2 2 2 6" xfId="3147"/>
    <cellStyle name="표준 5 4 2 2 2 6 2" xfId="8715"/>
    <cellStyle name="표준 5 4 2 2 2 6 2 2" xfId="25419"/>
    <cellStyle name="표준 5 4 2 2 2 6 3" xfId="14283"/>
    <cellStyle name="표준 5 4 2 2 2 6 3 2" xfId="30987"/>
    <cellStyle name="표준 5 4 2 2 2 6 4" xfId="19851"/>
    <cellStyle name="표준 5 4 2 2 2 7" xfId="5931"/>
    <cellStyle name="표준 5 4 2 2 2 7 2" xfId="22635"/>
    <cellStyle name="표준 5 4 2 2 2 8" xfId="11499"/>
    <cellStyle name="표준 5 4 2 2 2 8 2" xfId="28203"/>
    <cellStyle name="표준 5 4 2 2 2 9" xfId="17067"/>
    <cellStyle name="표준 5 4 2 2 3" xfId="479"/>
    <cellStyle name="표준 5 4 2 2 3 2" xfId="1175"/>
    <cellStyle name="표준 5 4 2 2 3 2 2" xfId="2567"/>
    <cellStyle name="표준 5 4 2 2 3 2 2 2" xfId="5351"/>
    <cellStyle name="표준 5 4 2 2 3 2 2 2 2" xfId="10919"/>
    <cellStyle name="표준 5 4 2 2 3 2 2 2 2 2" xfId="27623"/>
    <cellStyle name="표준 5 4 2 2 3 2 2 2 3" xfId="16487"/>
    <cellStyle name="표준 5 4 2 2 3 2 2 2 3 2" xfId="33191"/>
    <cellStyle name="표준 5 4 2 2 3 2 2 2 4" xfId="22055"/>
    <cellStyle name="표준 5 4 2 2 3 2 2 3" xfId="8135"/>
    <cellStyle name="표준 5 4 2 2 3 2 2 3 2" xfId="24839"/>
    <cellStyle name="표준 5 4 2 2 3 2 2 4" xfId="13703"/>
    <cellStyle name="표준 5 4 2 2 3 2 2 4 2" xfId="30407"/>
    <cellStyle name="표준 5 4 2 2 3 2 2 5" xfId="19271"/>
    <cellStyle name="표준 5 4 2 2 3 2 3" xfId="3959"/>
    <cellStyle name="표준 5 4 2 2 3 2 3 2" xfId="9527"/>
    <cellStyle name="표준 5 4 2 2 3 2 3 2 2" xfId="26231"/>
    <cellStyle name="표준 5 4 2 2 3 2 3 3" xfId="15095"/>
    <cellStyle name="표준 5 4 2 2 3 2 3 3 2" xfId="31799"/>
    <cellStyle name="표준 5 4 2 2 3 2 3 4" xfId="20663"/>
    <cellStyle name="표준 5 4 2 2 3 2 4" xfId="6743"/>
    <cellStyle name="표준 5 4 2 2 3 2 4 2" xfId="23447"/>
    <cellStyle name="표준 5 4 2 2 3 2 5" xfId="12311"/>
    <cellStyle name="표준 5 4 2 2 3 2 5 2" xfId="29015"/>
    <cellStyle name="표준 5 4 2 2 3 2 6" xfId="17879"/>
    <cellStyle name="표준 5 4 2 2 3 3" xfId="1871"/>
    <cellStyle name="표준 5 4 2 2 3 3 2" xfId="4655"/>
    <cellStyle name="표준 5 4 2 2 3 3 2 2" xfId="10223"/>
    <cellStyle name="표준 5 4 2 2 3 3 2 2 2" xfId="26927"/>
    <cellStyle name="표준 5 4 2 2 3 3 2 3" xfId="15791"/>
    <cellStyle name="표준 5 4 2 2 3 3 2 3 2" xfId="32495"/>
    <cellStyle name="표준 5 4 2 2 3 3 2 4" xfId="21359"/>
    <cellStyle name="표준 5 4 2 2 3 3 3" xfId="7439"/>
    <cellStyle name="표준 5 4 2 2 3 3 3 2" xfId="24143"/>
    <cellStyle name="표준 5 4 2 2 3 3 4" xfId="13007"/>
    <cellStyle name="표준 5 4 2 2 3 3 4 2" xfId="29711"/>
    <cellStyle name="표준 5 4 2 2 3 3 5" xfId="18575"/>
    <cellStyle name="표준 5 4 2 2 3 4" xfId="3263"/>
    <cellStyle name="표준 5 4 2 2 3 4 2" xfId="8831"/>
    <cellStyle name="표준 5 4 2 2 3 4 2 2" xfId="25535"/>
    <cellStyle name="표준 5 4 2 2 3 4 3" xfId="14399"/>
    <cellStyle name="표준 5 4 2 2 3 4 3 2" xfId="31103"/>
    <cellStyle name="표준 5 4 2 2 3 4 4" xfId="19967"/>
    <cellStyle name="표준 5 4 2 2 3 5" xfId="6047"/>
    <cellStyle name="표준 5 4 2 2 3 5 2" xfId="22751"/>
    <cellStyle name="표준 5 4 2 2 3 6" xfId="11615"/>
    <cellStyle name="표준 5 4 2 2 3 6 2" xfId="28319"/>
    <cellStyle name="표준 5 4 2 2 3 7" xfId="17183"/>
    <cellStyle name="표준 5 4 2 2 4" xfId="711"/>
    <cellStyle name="표준 5 4 2 2 4 2" xfId="1407"/>
    <cellStyle name="표준 5 4 2 2 4 2 2" xfId="2799"/>
    <cellStyle name="표준 5 4 2 2 4 2 2 2" xfId="5583"/>
    <cellStyle name="표준 5 4 2 2 4 2 2 2 2" xfId="11151"/>
    <cellStyle name="표준 5 4 2 2 4 2 2 2 2 2" xfId="27855"/>
    <cellStyle name="표준 5 4 2 2 4 2 2 2 3" xfId="16719"/>
    <cellStyle name="표준 5 4 2 2 4 2 2 2 3 2" xfId="33423"/>
    <cellStyle name="표준 5 4 2 2 4 2 2 2 4" xfId="22287"/>
    <cellStyle name="표준 5 4 2 2 4 2 2 3" xfId="8367"/>
    <cellStyle name="표준 5 4 2 2 4 2 2 3 2" xfId="25071"/>
    <cellStyle name="표준 5 4 2 2 4 2 2 4" xfId="13935"/>
    <cellStyle name="표준 5 4 2 2 4 2 2 4 2" xfId="30639"/>
    <cellStyle name="표준 5 4 2 2 4 2 2 5" xfId="19503"/>
    <cellStyle name="표준 5 4 2 2 4 2 3" xfId="4191"/>
    <cellStyle name="표준 5 4 2 2 4 2 3 2" xfId="9759"/>
    <cellStyle name="표준 5 4 2 2 4 2 3 2 2" xfId="26463"/>
    <cellStyle name="표준 5 4 2 2 4 2 3 3" xfId="15327"/>
    <cellStyle name="표준 5 4 2 2 4 2 3 3 2" xfId="32031"/>
    <cellStyle name="표준 5 4 2 2 4 2 3 4" xfId="20895"/>
    <cellStyle name="표준 5 4 2 2 4 2 4" xfId="6975"/>
    <cellStyle name="표준 5 4 2 2 4 2 4 2" xfId="23679"/>
    <cellStyle name="표준 5 4 2 2 4 2 5" xfId="12543"/>
    <cellStyle name="표준 5 4 2 2 4 2 5 2" xfId="29247"/>
    <cellStyle name="표준 5 4 2 2 4 2 6" xfId="18111"/>
    <cellStyle name="표준 5 4 2 2 4 3" xfId="2103"/>
    <cellStyle name="표준 5 4 2 2 4 3 2" xfId="4887"/>
    <cellStyle name="표준 5 4 2 2 4 3 2 2" xfId="10455"/>
    <cellStyle name="표준 5 4 2 2 4 3 2 2 2" xfId="27159"/>
    <cellStyle name="표준 5 4 2 2 4 3 2 3" xfId="16023"/>
    <cellStyle name="표준 5 4 2 2 4 3 2 3 2" xfId="32727"/>
    <cellStyle name="표준 5 4 2 2 4 3 2 4" xfId="21591"/>
    <cellStyle name="표준 5 4 2 2 4 3 3" xfId="7671"/>
    <cellStyle name="표준 5 4 2 2 4 3 3 2" xfId="24375"/>
    <cellStyle name="표준 5 4 2 2 4 3 4" xfId="13239"/>
    <cellStyle name="표준 5 4 2 2 4 3 4 2" xfId="29943"/>
    <cellStyle name="표준 5 4 2 2 4 3 5" xfId="18807"/>
    <cellStyle name="표준 5 4 2 2 4 4" xfId="3495"/>
    <cellStyle name="표준 5 4 2 2 4 4 2" xfId="9063"/>
    <cellStyle name="표준 5 4 2 2 4 4 2 2" xfId="25767"/>
    <cellStyle name="표준 5 4 2 2 4 4 3" xfId="14631"/>
    <cellStyle name="표준 5 4 2 2 4 4 3 2" xfId="31335"/>
    <cellStyle name="표준 5 4 2 2 4 4 4" xfId="20199"/>
    <cellStyle name="표준 5 4 2 2 4 5" xfId="6279"/>
    <cellStyle name="표준 5 4 2 2 4 5 2" xfId="22983"/>
    <cellStyle name="표준 5 4 2 2 4 6" xfId="11847"/>
    <cellStyle name="표준 5 4 2 2 4 6 2" xfId="28551"/>
    <cellStyle name="표준 5 4 2 2 4 7" xfId="17415"/>
    <cellStyle name="표준 5 4 2 2 5" xfId="943"/>
    <cellStyle name="표준 5 4 2 2 5 2" xfId="2335"/>
    <cellStyle name="표준 5 4 2 2 5 2 2" xfId="5119"/>
    <cellStyle name="표준 5 4 2 2 5 2 2 2" xfId="10687"/>
    <cellStyle name="표준 5 4 2 2 5 2 2 2 2" xfId="27391"/>
    <cellStyle name="표준 5 4 2 2 5 2 2 3" xfId="16255"/>
    <cellStyle name="표준 5 4 2 2 5 2 2 3 2" xfId="32959"/>
    <cellStyle name="표준 5 4 2 2 5 2 2 4" xfId="21823"/>
    <cellStyle name="표준 5 4 2 2 5 2 3" xfId="7903"/>
    <cellStyle name="표준 5 4 2 2 5 2 3 2" xfId="24607"/>
    <cellStyle name="표준 5 4 2 2 5 2 4" xfId="13471"/>
    <cellStyle name="표준 5 4 2 2 5 2 4 2" xfId="30175"/>
    <cellStyle name="표준 5 4 2 2 5 2 5" xfId="19039"/>
    <cellStyle name="표준 5 4 2 2 5 3" xfId="3727"/>
    <cellStyle name="표준 5 4 2 2 5 3 2" xfId="9295"/>
    <cellStyle name="표준 5 4 2 2 5 3 2 2" xfId="25999"/>
    <cellStyle name="표준 5 4 2 2 5 3 3" xfId="14863"/>
    <cellStyle name="표준 5 4 2 2 5 3 3 2" xfId="31567"/>
    <cellStyle name="표준 5 4 2 2 5 3 4" xfId="20431"/>
    <cellStyle name="표준 5 4 2 2 5 4" xfId="6511"/>
    <cellStyle name="표준 5 4 2 2 5 4 2" xfId="23215"/>
    <cellStyle name="표준 5 4 2 2 5 5" xfId="12079"/>
    <cellStyle name="표준 5 4 2 2 5 5 2" xfId="28783"/>
    <cellStyle name="표준 5 4 2 2 5 6" xfId="17647"/>
    <cellStyle name="표준 5 4 2 2 6" xfId="1639"/>
    <cellStyle name="표준 5 4 2 2 6 2" xfId="4423"/>
    <cellStyle name="표준 5 4 2 2 6 2 2" xfId="9991"/>
    <cellStyle name="표준 5 4 2 2 6 2 2 2" xfId="26695"/>
    <cellStyle name="표준 5 4 2 2 6 2 3" xfId="15559"/>
    <cellStyle name="표준 5 4 2 2 6 2 3 2" xfId="32263"/>
    <cellStyle name="표준 5 4 2 2 6 2 4" xfId="21127"/>
    <cellStyle name="표준 5 4 2 2 6 3" xfId="7207"/>
    <cellStyle name="표준 5 4 2 2 6 3 2" xfId="23911"/>
    <cellStyle name="표준 5 4 2 2 6 4" xfId="12775"/>
    <cellStyle name="표준 5 4 2 2 6 4 2" xfId="29479"/>
    <cellStyle name="표준 5 4 2 2 6 5" xfId="18343"/>
    <cellStyle name="표준 5 4 2 2 7" xfId="3031"/>
    <cellStyle name="표준 5 4 2 2 7 2" xfId="8599"/>
    <cellStyle name="표준 5 4 2 2 7 2 2" xfId="25303"/>
    <cellStyle name="표준 5 4 2 2 7 3" xfId="14167"/>
    <cellStyle name="표준 5 4 2 2 7 3 2" xfId="30871"/>
    <cellStyle name="표준 5 4 2 2 7 4" xfId="19735"/>
    <cellStyle name="표준 5 4 2 2 8" xfId="5815"/>
    <cellStyle name="표준 5 4 2 2 8 2" xfId="22519"/>
    <cellStyle name="표준 5 4 2 2 9" xfId="11383"/>
    <cellStyle name="표준 5 4 2 2 9 2" xfId="28087"/>
    <cellStyle name="표준 5 4 2 3" xfId="305"/>
    <cellStyle name="표준 5 4 2 3 2" xfId="537"/>
    <cellStyle name="표준 5 4 2 3 2 2" xfId="1233"/>
    <cellStyle name="표준 5 4 2 3 2 2 2" xfId="2625"/>
    <cellStyle name="표준 5 4 2 3 2 2 2 2" xfId="5409"/>
    <cellStyle name="표준 5 4 2 3 2 2 2 2 2" xfId="10977"/>
    <cellStyle name="표준 5 4 2 3 2 2 2 2 2 2" xfId="27681"/>
    <cellStyle name="표준 5 4 2 3 2 2 2 2 3" xfId="16545"/>
    <cellStyle name="표준 5 4 2 3 2 2 2 2 3 2" xfId="33249"/>
    <cellStyle name="표준 5 4 2 3 2 2 2 2 4" xfId="22113"/>
    <cellStyle name="표준 5 4 2 3 2 2 2 3" xfId="8193"/>
    <cellStyle name="표준 5 4 2 3 2 2 2 3 2" xfId="24897"/>
    <cellStyle name="표준 5 4 2 3 2 2 2 4" xfId="13761"/>
    <cellStyle name="표준 5 4 2 3 2 2 2 4 2" xfId="30465"/>
    <cellStyle name="표준 5 4 2 3 2 2 2 5" xfId="19329"/>
    <cellStyle name="표준 5 4 2 3 2 2 3" xfId="4017"/>
    <cellStyle name="표준 5 4 2 3 2 2 3 2" xfId="9585"/>
    <cellStyle name="표준 5 4 2 3 2 2 3 2 2" xfId="26289"/>
    <cellStyle name="표준 5 4 2 3 2 2 3 3" xfId="15153"/>
    <cellStyle name="표준 5 4 2 3 2 2 3 3 2" xfId="31857"/>
    <cellStyle name="표준 5 4 2 3 2 2 3 4" xfId="20721"/>
    <cellStyle name="표준 5 4 2 3 2 2 4" xfId="6801"/>
    <cellStyle name="표준 5 4 2 3 2 2 4 2" xfId="23505"/>
    <cellStyle name="표준 5 4 2 3 2 2 5" xfId="12369"/>
    <cellStyle name="표준 5 4 2 3 2 2 5 2" xfId="29073"/>
    <cellStyle name="표준 5 4 2 3 2 2 6" xfId="17937"/>
    <cellStyle name="표준 5 4 2 3 2 3" xfId="1929"/>
    <cellStyle name="표준 5 4 2 3 2 3 2" xfId="4713"/>
    <cellStyle name="표준 5 4 2 3 2 3 2 2" xfId="10281"/>
    <cellStyle name="표준 5 4 2 3 2 3 2 2 2" xfId="26985"/>
    <cellStyle name="표준 5 4 2 3 2 3 2 3" xfId="15849"/>
    <cellStyle name="표준 5 4 2 3 2 3 2 3 2" xfId="32553"/>
    <cellStyle name="표준 5 4 2 3 2 3 2 4" xfId="21417"/>
    <cellStyle name="표준 5 4 2 3 2 3 3" xfId="7497"/>
    <cellStyle name="표준 5 4 2 3 2 3 3 2" xfId="24201"/>
    <cellStyle name="표준 5 4 2 3 2 3 4" xfId="13065"/>
    <cellStyle name="표준 5 4 2 3 2 3 4 2" xfId="29769"/>
    <cellStyle name="표준 5 4 2 3 2 3 5" xfId="18633"/>
    <cellStyle name="표준 5 4 2 3 2 4" xfId="3321"/>
    <cellStyle name="표준 5 4 2 3 2 4 2" xfId="8889"/>
    <cellStyle name="표준 5 4 2 3 2 4 2 2" xfId="25593"/>
    <cellStyle name="표준 5 4 2 3 2 4 3" xfId="14457"/>
    <cellStyle name="표준 5 4 2 3 2 4 3 2" xfId="31161"/>
    <cellStyle name="표준 5 4 2 3 2 4 4" xfId="20025"/>
    <cellStyle name="표준 5 4 2 3 2 5" xfId="6105"/>
    <cellStyle name="표준 5 4 2 3 2 5 2" xfId="22809"/>
    <cellStyle name="표준 5 4 2 3 2 6" xfId="11673"/>
    <cellStyle name="표준 5 4 2 3 2 6 2" xfId="28377"/>
    <cellStyle name="표준 5 4 2 3 2 7" xfId="17241"/>
    <cellStyle name="표준 5 4 2 3 3" xfId="769"/>
    <cellStyle name="표준 5 4 2 3 3 2" xfId="1465"/>
    <cellStyle name="표준 5 4 2 3 3 2 2" xfId="2857"/>
    <cellStyle name="표준 5 4 2 3 3 2 2 2" xfId="5641"/>
    <cellStyle name="표준 5 4 2 3 3 2 2 2 2" xfId="11209"/>
    <cellStyle name="표준 5 4 2 3 3 2 2 2 2 2" xfId="27913"/>
    <cellStyle name="표준 5 4 2 3 3 2 2 2 3" xfId="16777"/>
    <cellStyle name="표준 5 4 2 3 3 2 2 2 3 2" xfId="33481"/>
    <cellStyle name="표준 5 4 2 3 3 2 2 2 4" xfId="22345"/>
    <cellStyle name="표준 5 4 2 3 3 2 2 3" xfId="8425"/>
    <cellStyle name="표준 5 4 2 3 3 2 2 3 2" xfId="25129"/>
    <cellStyle name="표준 5 4 2 3 3 2 2 4" xfId="13993"/>
    <cellStyle name="표준 5 4 2 3 3 2 2 4 2" xfId="30697"/>
    <cellStyle name="표준 5 4 2 3 3 2 2 5" xfId="19561"/>
    <cellStyle name="표준 5 4 2 3 3 2 3" xfId="4249"/>
    <cellStyle name="표준 5 4 2 3 3 2 3 2" xfId="9817"/>
    <cellStyle name="표준 5 4 2 3 3 2 3 2 2" xfId="26521"/>
    <cellStyle name="표준 5 4 2 3 3 2 3 3" xfId="15385"/>
    <cellStyle name="표준 5 4 2 3 3 2 3 3 2" xfId="32089"/>
    <cellStyle name="표준 5 4 2 3 3 2 3 4" xfId="20953"/>
    <cellStyle name="표준 5 4 2 3 3 2 4" xfId="7033"/>
    <cellStyle name="표준 5 4 2 3 3 2 4 2" xfId="23737"/>
    <cellStyle name="표준 5 4 2 3 3 2 5" xfId="12601"/>
    <cellStyle name="표준 5 4 2 3 3 2 5 2" xfId="29305"/>
    <cellStyle name="표준 5 4 2 3 3 2 6" xfId="18169"/>
    <cellStyle name="표준 5 4 2 3 3 3" xfId="2161"/>
    <cellStyle name="표준 5 4 2 3 3 3 2" xfId="4945"/>
    <cellStyle name="표준 5 4 2 3 3 3 2 2" xfId="10513"/>
    <cellStyle name="표준 5 4 2 3 3 3 2 2 2" xfId="27217"/>
    <cellStyle name="표준 5 4 2 3 3 3 2 3" xfId="16081"/>
    <cellStyle name="표준 5 4 2 3 3 3 2 3 2" xfId="32785"/>
    <cellStyle name="표준 5 4 2 3 3 3 2 4" xfId="21649"/>
    <cellStyle name="표준 5 4 2 3 3 3 3" xfId="7729"/>
    <cellStyle name="표준 5 4 2 3 3 3 3 2" xfId="24433"/>
    <cellStyle name="표준 5 4 2 3 3 3 4" xfId="13297"/>
    <cellStyle name="표준 5 4 2 3 3 3 4 2" xfId="30001"/>
    <cellStyle name="표준 5 4 2 3 3 3 5" xfId="18865"/>
    <cellStyle name="표준 5 4 2 3 3 4" xfId="3553"/>
    <cellStyle name="표준 5 4 2 3 3 4 2" xfId="9121"/>
    <cellStyle name="표준 5 4 2 3 3 4 2 2" xfId="25825"/>
    <cellStyle name="표준 5 4 2 3 3 4 3" xfId="14689"/>
    <cellStyle name="표준 5 4 2 3 3 4 3 2" xfId="31393"/>
    <cellStyle name="표준 5 4 2 3 3 4 4" xfId="20257"/>
    <cellStyle name="표준 5 4 2 3 3 5" xfId="6337"/>
    <cellStyle name="표준 5 4 2 3 3 5 2" xfId="23041"/>
    <cellStyle name="표준 5 4 2 3 3 6" xfId="11905"/>
    <cellStyle name="표준 5 4 2 3 3 6 2" xfId="28609"/>
    <cellStyle name="표준 5 4 2 3 3 7" xfId="17473"/>
    <cellStyle name="표준 5 4 2 3 4" xfId="1001"/>
    <cellStyle name="표준 5 4 2 3 4 2" xfId="2393"/>
    <cellStyle name="표준 5 4 2 3 4 2 2" xfId="5177"/>
    <cellStyle name="표준 5 4 2 3 4 2 2 2" xfId="10745"/>
    <cellStyle name="표준 5 4 2 3 4 2 2 2 2" xfId="27449"/>
    <cellStyle name="표준 5 4 2 3 4 2 2 3" xfId="16313"/>
    <cellStyle name="표준 5 4 2 3 4 2 2 3 2" xfId="33017"/>
    <cellStyle name="표준 5 4 2 3 4 2 2 4" xfId="21881"/>
    <cellStyle name="표준 5 4 2 3 4 2 3" xfId="7961"/>
    <cellStyle name="표준 5 4 2 3 4 2 3 2" xfId="24665"/>
    <cellStyle name="표준 5 4 2 3 4 2 4" xfId="13529"/>
    <cellStyle name="표준 5 4 2 3 4 2 4 2" xfId="30233"/>
    <cellStyle name="표준 5 4 2 3 4 2 5" xfId="19097"/>
    <cellStyle name="표준 5 4 2 3 4 3" xfId="3785"/>
    <cellStyle name="표준 5 4 2 3 4 3 2" xfId="9353"/>
    <cellStyle name="표준 5 4 2 3 4 3 2 2" xfId="26057"/>
    <cellStyle name="표준 5 4 2 3 4 3 3" xfId="14921"/>
    <cellStyle name="표준 5 4 2 3 4 3 3 2" xfId="31625"/>
    <cellStyle name="표준 5 4 2 3 4 3 4" xfId="20489"/>
    <cellStyle name="표준 5 4 2 3 4 4" xfId="6569"/>
    <cellStyle name="표준 5 4 2 3 4 4 2" xfId="23273"/>
    <cellStyle name="표준 5 4 2 3 4 5" xfId="12137"/>
    <cellStyle name="표준 5 4 2 3 4 5 2" xfId="28841"/>
    <cellStyle name="표준 5 4 2 3 4 6" xfId="17705"/>
    <cellStyle name="표준 5 4 2 3 5" xfId="1697"/>
    <cellStyle name="표준 5 4 2 3 5 2" xfId="4481"/>
    <cellStyle name="표준 5 4 2 3 5 2 2" xfId="10049"/>
    <cellStyle name="표준 5 4 2 3 5 2 2 2" xfId="26753"/>
    <cellStyle name="표준 5 4 2 3 5 2 3" xfId="15617"/>
    <cellStyle name="표준 5 4 2 3 5 2 3 2" xfId="32321"/>
    <cellStyle name="표준 5 4 2 3 5 2 4" xfId="21185"/>
    <cellStyle name="표준 5 4 2 3 5 3" xfId="7265"/>
    <cellStyle name="표준 5 4 2 3 5 3 2" xfId="23969"/>
    <cellStyle name="표준 5 4 2 3 5 4" xfId="12833"/>
    <cellStyle name="표준 5 4 2 3 5 4 2" xfId="29537"/>
    <cellStyle name="표준 5 4 2 3 5 5" xfId="18401"/>
    <cellStyle name="표준 5 4 2 3 6" xfId="3089"/>
    <cellStyle name="표준 5 4 2 3 6 2" xfId="8657"/>
    <cellStyle name="표준 5 4 2 3 6 2 2" xfId="25361"/>
    <cellStyle name="표준 5 4 2 3 6 3" xfId="14225"/>
    <cellStyle name="표준 5 4 2 3 6 3 2" xfId="30929"/>
    <cellStyle name="표준 5 4 2 3 6 4" xfId="19793"/>
    <cellStyle name="표준 5 4 2 3 7" xfId="5873"/>
    <cellStyle name="표준 5 4 2 3 7 2" xfId="22577"/>
    <cellStyle name="표준 5 4 2 3 8" xfId="11441"/>
    <cellStyle name="표준 5 4 2 3 8 2" xfId="28145"/>
    <cellStyle name="표준 5 4 2 3 9" xfId="17009"/>
    <cellStyle name="표준 5 4 2 4" xfId="421"/>
    <cellStyle name="표준 5 4 2 4 2" xfId="1117"/>
    <cellStyle name="표준 5 4 2 4 2 2" xfId="2509"/>
    <cellStyle name="표준 5 4 2 4 2 2 2" xfId="5293"/>
    <cellStyle name="표준 5 4 2 4 2 2 2 2" xfId="10861"/>
    <cellStyle name="표준 5 4 2 4 2 2 2 2 2" xfId="27565"/>
    <cellStyle name="표준 5 4 2 4 2 2 2 3" xfId="16429"/>
    <cellStyle name="표준 5 4 2 4 2 2 2 3 2" xfId="33133"/>
    <cellStyle name="표준 5 4 2 4 2 2 2 4" xfId="21997"/>
    <cellStyle name="표준 5 4 2 4 2 2 3" xfId="8077"/>
    <cellStyle name="표준 5 4 2 4 2 2 3 2" xfId="24781"/>
    <cellStyle name="표준 5 4 2 4 2 2 4" xfId="13645"/>
    <cellStyle name="표준 5 4 2 4 2 2 4 2" xfId="30349"/>
    <cellStyle name="표준 5 4 2 4 2 2 5" xfId="19213"/>
    <cellStyle name="표준 5 4 2 4 2 3" xfId="3901"/>
    <cellStyle name="표준 5 4 2 4 2 3 2" xfId="9469"/>
    <cellStyle name="표준 5 4 2 4 2 3 2 2" xfId="26173"/>
    <cellStyle name="표준 5 4 2 4 2 3 3" xfId="15037"/>
    <cellStyle name="표준 5 4 2 4 2 3 3 2" xfId="31741"/>
    <cellStyle name="표준 5 4 2 4 2 3 4" xfId="20605"/>
    <cellStyle name="표준 5 4 2 4 2 4" xfId="6685"/>
    <cellStyle name="표준 5 4 2 4 2 4 2" xfId="23389"/>
    <cellStyle name="표준 5 4 2 4 2 5" xfId="12253"/>
    <cellStyle name="표준 5 4 2 4 2 5 2" xfId="28957"/>
    <cellStyle name="표준 5 4 2 4 2 6" xfId="17821"/>
    <cellStyle name="표준 5 4 2 4 3" xfId="1813"/>
    <cellStyle name="표준 5 4 2 4 3 2" xfId="4597"/>
    <cellStyle name="표준 5 4 2 4 3 2 2" xfId="10165"/>
    <cellStyle name="표준 5 4 2 4 3 2 2 2" xfId="26869"/>
    <cellStyle name="표준 5 4 2 4 3 2 3" xfId="15733"/>
    <cellStyle name="표준 5 4 2 4 3 2 3 2" xfId="32437"/>
    <cellStyle name="표준 5 4 2 4 3 2 4" xfId="21301"/>
    <cellStyle name="표준 5 4 2 4 3 3" xfId="7381"/>
    <cellStyle name="표준 5 4 2 4 3 3 2" xfId="24085"/>
    <cellStyle name="표준 5 4 2 4 3 4" xfId="12949"/>
    <cellStyle name="표준 5 4 2 4 3 4 2" xfId="29653"/>
    <cellStyle name="표준 5 4 2 4 3 5" xfId="18517"/>
    <cellStyle name="표준 5 4 2 4 4" xfId="3205"/>
    <cellStyle name="표준 5 4 2 4 4 2" xfId="8773"/>
    <cellStyle name="표준 5 4 2 4 4 2 2" xfId="25477"/>
    <cellStyle name="표준 5 4 2 4 4 3" xfId="14341"/>
    <cellStyle name="표준 5 4 2 4 4 3 2" xfId="31045"/>
    <cellStyle name="표준 5 4 2 4 4 4" xfId="19909"/>
    <cellStyle name="표준 5 4 2 4 5" xfId="5989"/>
    <cellStyle name="표준 5 4 2 4 5 2" xfId="22693"/>
    <cellStyle name="표준 5 4 2 4 6" xfId="11557"/>
    <cellStyle name="표준 5 4 2 4 6 2" xfId="28261"/>
    <cellStyle name="표준 5 4 2 4 7" xfId="17125"/>
    <cellStyle name="표준 5 4 2 5" xfId="653"/>
    <cellStyle name="표준 5 4 2 5 2" xfId="1349"/>
    <cellStyle name="표준 5 4 2 5 2 2" xfId="2741"/>
    <cellStyle name="표준 5 4 2 5 2 2 2" xfId="5525"/>
    <cellStyle name="표준 5 4 2 5 2 2 2 2" xfId="11093"/>
    <cellStyle name="표준 5 4 2 5 2 2 2 2 2" xfId="27797"/>
    <cellStyle name="표준 5 4 2 5 2 2 2 3" xfId="16661"/>
    <cellStyle name="표준 5 4 2 5 2 2 2 3 2" xfId="33365"/>
    <cellStyle name="표준 5 4 2 5 2 2 2 4" xfId="22229"/>
    <cellStyle name="표준 5 4 2 5 2 2 3" xfId="8309"/>
    <cellStyle name="표준 5 4 2 5 2 2 3 2" xfId="25013"/>
    <cellStyle name="표준 5 4 2 5 2 2 4" xfId="13877"/>
    <cellStyle name="표준 5 4 2 5 2 2 4 2" xfId="30581"/>
    <cellStyle name="표준 5 4 2 5 2 2 5" xfId="19445"/>
    <cellStyle name="표준 5 4 2 5 2 3" xfId="4133"/>
    <cellStyle name="표준 5 4 2 5 2 3 2" xfId="9701"/>
    <cellStyle name="표준 5 4 2 5 2 3 2 2" xfId="26405"/>
    <cellStyle name="표준 5 4 2 5 2 3 3" xfId="15269"/>
    <cellStyle name="표준 5 4 2 5 2 3 3 2" xfId="31973"/>
    <cellStyle name="표준 5 4 2 5 2 3 4" xfId="20837"/>
    <cellStyle name="표준 5 4 2 5 2 4" xfId="6917"/>
    <cellStyle name="표준 5 4 2 5 2 4 2" xfId="23621"/>
    <cellStyle name="표준 5 4 2 5 2 5" xfId="12485"/>
    <cellStyle name="표준 5 4 2 5 2 5 2" xfId="29189"/>
    <cellStyle name="표준 5 4 2 5 2 6" xfId="18053"/>
    <cellStyle name="표준 5 4 2 5 3" xfId="2045"/>
    <cellStyle name="표준 5 4 2 5 3 2" xfId="4829"/>
    <cellStyle name="표준 5 4 2 5 3 2 2" xfId="10397"/>
    <cellStyle name="표준 5 4 2 5 3 2 2 2" xfId="27101"/>
    <cellStyle name="표준 5 4 2 5 3 2 3" xfId="15965"/>
    <cellStyle name="표준 5 4 2 5 3 2 3 2" xfId="32669"/>
    <cellStyle name="표준 5 4 2 5 3 2 4" xfId="21533"/>
    <cellStyle name="표준 5 4 2 5 3 3" xfId="7613"/>
    <cellStyle name="표준 5 4 2 5 3 3 2" xfId="24317"/>
    <cellStyle name="표준 5 4 2 5 3 4" xfId="13181"/>
    <cellStyle name="표준 5 4 2 5 3 4 2" xfId="29885"/>
    <cellStyle name="표준 5 4 2 5 3 5" xfId="18749"/>
    <cellStyle name="표준 5 4 2 5 4" xfId="3437"/>
    <cellStyle name="표준 5 4 2 5 4 2" xfId="9005"/>
    <cellStyle name="표준 5 4 2 5 4 2 2" xfId="25709"/>
    <cellStyle name="표준 5 4 2 5 4 3" xfId="14573"/>
    <cellStyle name="표준 5 4 2 5 4 3 2" xfId="31277"/>
    <cellStyle name="표준 5 4 2 5 4 4" xfId="20141"/>
    <cellStyle name="표준 5 4 2 5 5" xfId="6221"/>
    <cellStyle name="표준 5 4 2 5 5 2" xfId="22925"/>
    <cellStyle name="표준 5 4 2 5 6" xfId="11789"/>
    <cellStyle name="표준 5 4 2 5 6 2" xfId="28493"/>
    <cellStyle name="표준 5 4 2 5 7" xfId="17357"/>
    <cellStyle name="표준 5 4 2 6" xfId="885"/>
    <cellStyle name="표준 5 4 2 6 2" xfId="2277"/>
    <cellStyle name="표준 5 4 2 6 2 2" xfId="5061"/>
    <cellStyle name="표준 5 4 2 6 2 2 2" xfId="10629"/>
    <cellStyle name="표준 5 4 2 6 2 2 2 2" xfId="27333"/>
    <cellStyle name="표준 5 4 2 6 2 2 3" xfId="16197"/>
    <cellStyle name="표준 5 4 2 6 2 2 3 2" xfId="32901"/>
    <cellStyle name="표준 5 4 2 6 2 2 4" xfId="21765"/>
    <cellStyle name="표준 5 4 2 6 2 3" xfId="7845"/>
    <cellStyle name="표준 5 4 2 6 2 3 2" xfId="24549"/>
    <cellStyle name="표준 5 4 2 6 2 4" xfId="13413"/>
    <cellStyle name="표준 5 4 2 6 2 4 2" xfId="30117"/>
    <cellStyle name="표준 5 4 2 6 2 5" xfId="18981"/>
    <cellStyle name="표준 5 4 2 6 3" xfId="3669"/>
    <cellStyle name="표준 5 4 2 6 3 2" xfId="9237"/>
    <cellStyle name="표준 5 4 2 6 3 2 2" xfId="25941"/>
    <cellStyle name="표준 5 4 2 6 3 3" xfId="14805"/>
    <cellStyle name="표준 5 4 2 6 3 3 2" xfId="31509"/>
    <cellStyle name="표준 5 4 2 6 3 4" xfId="20373"/>
    <cellStyle name="표준 5 4 2 6 4" xfId="6453"/>
    <cellStyle name="표준 5 4 2 6 4 2" xfId="23157"/>
    <cellStyle name="표준 5 4 2 6 5" xfId="12021"/>
    <cellStyle name="표준 5 4 2 6 5 2" xfId="28725"/>
    <cellStyle name="표준 5 4 2 6 6" xfId="17589"/>
    <cellStyle name="표준 5 4 2 7" xfId="1581"/>
    <cellStyle name="표준 5 4 2 7 2" xfId="4365"/>
    <cellStyle name="표준 5 4 2 7 2 2" xfId="9933"/>
    <cellStyle name="표준 5 4 2 7 2 2 2" xfId="26637"/>
    <cellStyle name="표준 5 4 2 7 2 3" xfId="15501"/>
    <cellStyle name="표준 5 4 2 7 2 3 2" xfId="32205"/>
    <cellStyle name="표준 5 4 2 7 2 4" xfId="21069"/>
    <cellStyle name="표준 5 4 2 7 3" xfId="7149"/>
    <cellStyle name="표준 5 4 2 7 3 2" xfId="23853"/>
    <cellStyle name="표준 5 4 2 7 4" xfId="12717"/>
    <cellStyle name="표준 5 4 2 7 4 2" xfId="29421"/>
    <cellStyle name="표준 5 4 2 7 5" xfId="18285"/>
    <cellStyle name="표준 5 4 2 8" xfId="2973"/>
    <cellStyle name="표준 5 4 2 8 2" xfId="8541"/>
    <cellStyle name="표준 5 4 2 8 2 2" xfId="25245"/>
    <cellStyle name="표준 5 4 2 8 3" xfId="14109"/>
    <cellStyle name="표준 5 4 2 8 3 2" xfId="30813"/>
    <cellStyle name="표준 5 4 2 8 4" xfId="19677"/>
    <cellStyle name="표준 5 4 2 9" xfId="5757"/>
    <cellStyle name="표준 5 4 2 9 2" xfId="22461"/>
    <cellStyle name="표준 5 4 3" xfId="218"/>
    <cellStyle name="표준 5 4 3 10" xfId="16922"/>
    <cellStyle name="표준 5 4 3 2" xfId="334"/>
    <cellStyle name="표준 5 4 3 2 2" xfId="566"/>
    <cellStyle name="표준 5 4 3 2 2 2" xfId="1262"/>
    <cellStyle name="표준 5 4 3 2 2 2 2" xfId="2654"/>
    <cellStyle name="표준 5 4 3 2 2 2 2 2" xfId="5438"/>
    <cellStyle name="표준 5 4 3 2 2 2 2 2 2" xfId="11006"/>
    <cellStyle name="표준 5 4 3 2 2 2 2 2 2 2" xfId="27710"/>
    <cellStyle name="표준 5 4 3 2 2 2 2 2 3" xfId="16574"/>
    <cellStyle name="표준 5 4 3 2 2 2 2 2 3 2" xfId="33278"/>
    <cellStyle name="표준 5 4 3 2 2 2 2 2 4" xfId="22142"/>
    <cellStyle name="표준 5 4 3 2 2 2 2 3" xfId="8222"/>
    <cellStyle name="표준 5 4 3 2 2 2 2 3 2" xfId="24926"/>
    <cellStyle name="표준 5 4 3 2 2 2 2 4" xfId="13790"/>
    <cellStyle name="표준 5 4 3 2 2 2 2 4 2" xfId="30494"/>
    <cellStyle name="표준 5 4 3 2 2 2 2 5" xfId="19358"/>
    <cellStyle name="표준 5 4 3 2 2 2 3" xfId="4046"/>
    <cellStyle name="표준 5 4 3 2 2 2 3 2" xfId="9614"/>
    <cellStyle name="표준 5 4 3 2 2 2 3 2 2" xfId="26318"/>
    <cellStyle name="표준 5 4 3 2 2 2 3 3" xfId="15182"/>
    <cellStyle name="표준 5 4 3 2 2 2 3 3 2" xfId="31886"/>
    <cellStyle name="표준 5 4 3 2 2 2 3 4" xfId="20750"/>
    <cellStyle name="표준 5 4 3 2 2 2 4" xfId="6830"/>
    <cellStyle name="표준 5 4 3 2 2 2 4 2" xfId="23534"/>
    <cellStyle name="표준 5 4 3 2 2 2 5" xfId="12398"/>
    <cellStyle name="표준 5 4 3 2 2 2 5 2" xfId="29102"/>
    <cellStyle name="표준 5 4 3 2 2 2 6" xfId="17966"/>
    <cellStyle name="표준 5 4 3 2 2 3" xfId="1958"/>
    <cellStyle name="표준 5 4 3 2 2 3 2" xfId="4742"/>
    <cellStyle name="표준 5 4 3 2 2 3 2 2" xfId="10310"/>
    <cellStyle name="표준 5 4 3 2 2 3 2 2 2" xfId="27014"/>
    <cellStyle name="표준 5 4 3 2 2 3 2 3" xfId="15878"/>
    <cellStyle name="표준 5 4 3 2 2 3 2 3 2" xfId="32582"/>
    <cellStyle name="표준 5 4 3 2 2 3 2 4" xfId="21446"/>
    <cellStyle name="표준 5 4 3 2 2 3 3" xfId="7526"/>
    <cellStyle name="표준 5 4 3 2 2 3 3 2" xfId="24230"/>
    <cellStyle name="표준 5 4 3 2 2 3 4" xfId="13094"/>
    <cellStyle name="표준 5 4 3 2 2 3 4 2" xfId="29798"/>
    <cellStyle name="표준 5 4 3 2 2 3 5" xfId="18662"/>
    <cellStyle name="표준 5 4 3 2 2 4" xfId="3350"/>
    <cellStyle name="표준 5 4 3 2 2 4 2" xfId="8918"/>
    <cellStyle name="표준 5 4 3 2 2 4 2 2" xfId="25622"/>
    <cellStyle name="표준 5 4 3 2 2 4 3" xfId="14486"/>
    <cellStyle name="표준 5 4 3 2 2 4 3 2" xfId="31190"/>
    <cellStyle name="표준 5 4 3 2 2 4 4" xfId="20054"/>
    <cellStyle name="표준 5 4 3 2 2 5" xfId="6134"/>
    <cellStyle name="표준 5 4 3 2 2 5 2" xfId="22838"/>
    <cellStyle name="표준 5 4 3 2 2 6" xfId="11702"/>
    <cellStyle name="표준 5 4 3 2 2 6 2" xfId="28406"/>
    <cellStyle name="표준 5 4 3 2 2 7" xfId="17270"/>
    <cellStyle name="표준 5 4 3 2 3" xfId="798"/>
    <cellStyle name="표준 5 4 3 2 3 2" xfId="1494"/>
    <cellStyle name="표준 5 4 3 2 3 2 2" xfId="2886"/>
    <cellStyle name="표준 5 4 3 2 3 2 2 2" xfId="5670"/>
    <cellStyle name="표준 5 4 3 2 3 2 2 2 2" xfId="11238"/>
    <cellStyle name="표준 5 4 3 2 3 2 2 2 2 2" xfId="27942"/>
    <cellStyle name="표준 5 4 3 2 3 2 2 2 3" xfId="16806"/>
    <cellStyle name="표준 5 4 3 2 3 2 2 2 3 2" xfId="33510"/>
    <cellStyle name="표준 5 4 3 2 3 2 2 2 4" xfId="22374"/>
    <cellStyle name="표준 5 4 3 2 3 2 2 3" xfId="8454"/>
    <cellStyle name="표준 5 4 3 2 3 2 2 3 2" xfId="25158"/>
    <cellStyle name="표준 5 4 3 2 3 2 2 4" xfId="14022"/>
    <cellStyle name="표준 5 4 3 2 3 2 2 4 2" xfId="30726"/>
    <cellStyle name="표준 5 4 3 2 3 2 2 5" xfId="19590"/>
    <cellStyle name="표준 5 4 3 2 3 2 3" xfId="4278"/>
    <cellStyle name="표준 5 4 3 2 3 2 3 2" xfId="9846"/>
    <cellStyle name="표준 5 4 3 2 3 2 3 2 2" xfId="26550"/>
    <cellStyle name="표준 5 4 3 2 3 2 3 3" xfId="15414"/>
    <cellStyle name="표준 5 4 3 2 3 2 3 3 2" xfId="32118"/>
    <cellStyle name="표준 5 4 3 2 3 2 3 4" xfId="20982"/>
    <cellStyle name="표준 5 4 3 2 3 2 4" xfId="7062"/>
    <cellStyle name="표준 5 4 3 2 3 2 4 2" xfId="23766"/>
    <cellStyle name="표준 5 4 3 2 3 2 5" xfId="12630"/>
    <cellStyle name="표준 5 4 3 2 3 2 5 2" xfId="29334"/>
    <cellStyle name="표준 5 4 3 2 3 2 6" xfId="18198"/>
    <cellStyle name="표준 5 4 3 2 3 3" xfId="2190"/>
    <cellStyle name="표준 5 4 3 2 3 3 2" xfId="4974"/>
    <cellStyle name="표준 5 4 3 2 3 3 2 2" xfId="10542"/>
    <cellStyle name="표준 5 4 3 2 3 3 2 2 2" xfId="27246"/>
    <cellStyle name="표준 5 4 3 2 3 3 2 3" xfId="16110"/>
    <cellStyle name="표준 5 4 3 2 3 3 2 3 2" xfId="32814"/>
    <cellStyle name="표준 5 4 3 2 3 3 2 4" xfId="21678"/>
    <cellStyle name="표준 5 4 3 2 3 3 3" xfId="7758"/>
    <cellStyle name="표준 5 4 3 2 3 3 3 2" xfId="24462"/>
    <cellStyle name="표준 5 4 3 2 3 3 4" xfId="13326"/>
    <cellStyle name="표준 5 4 3 2 3 3 4 2" xfId="30030"/>
    <cellStyle name="표준 5 4 3 2 3 3 5" xfId="18894"/>
    <cellStyle name="표준 5 4 3 2 3 4" xfId="3582"/>
    <cellStyle name="표준 5 4 3 2 3 4 2" xfId="9150"/>
    <cellStyle name="표준 5 4 3 2 3 4 2 2" xfId="25854"/>
    <cellStyle name="표준 5 4 3 2 3 4 3" xfId="14718"/>
    <cellStyle name="표준 5 4 3 2 3 4 3 2" xfId="31422"/>
    <cellStyle name="표준 5 4 3 2 3 4 4" xfId="20286"/>
    <cellStyle name="표준 5 4 3 2 3 5" xfId="6366"/>
    <cellStyle name="표준 5 4 3 2 3 5 2" xfId="23070"/>
    <cellStyle name="표준 5 4 3 2 3 6" xfId="11934"/>
    <cellStyle name="표준 5 4 3 2 3 6 2" xfId="28638"/>
    <cellStyle name="표준 5 4 3 2 3 7" xfId="17502"/>
    <cellStyle name="표준 5 4 3 2 4" xfId="1030"/>
    <cellStyle name="표준 5 4 3 2 4 2" xfId="2422"/>
    <cellStyle name="표준 5 4 3 2 4 2 2" xfId="5206"/>
    <cellStyle name="표준 5 4 3 2 4 2 2 2" xfId="10774"/>
    <cellStyle name="표준 5 4 3 2 4 2 2 2 2" xfId="27478"/>
    <cellStyle name="표준 5 4 3 2 4 2 2 3" xfId="16342"/>
    <cellStyle name="표준 5 4 3 2 4 2 2 3 2" xfId="33046"/>
    <cellStyle name="표준 5 4 3 2 4 2 2 4" xfId="21910"/>
    <cellStyle name="표준 5 4 3 2 4 2 3" xfId="7990"/>
    <cellStyle name="표준 5 4 3 2 4 2 3 2" xfId="24694"/>
    <cellStyle name="표준 5 4 3 2 4 2 4" xfId="13558"/>
    <cellStyle name="표준 5 4 3 2 4 2 4 2" xfId="30262"/>
    <cellStyle name="표준 5 4 3 2 4 2 5" xfId="19126"/>
    <cellStyle name="표준 5 4 3 2 4 3" xfId="3814"/>
    <cellStyle name="표준 5 4 3 2 4 3 2" xfId="9382"/>
    <cellStyle name="표준 5 4 3 2 4 3 2 2" xfId="26086"/>
    <cellStyle name="표준 5 4 3 2 4 3 3" xfId="14950"/>
    <cellStyle name="표준 5 4 3 2 4 3 3 2" xfId="31654"/>
    <cellStyle name="표준 5 4 3 2 4 3 4" xfId="20518"/>
    <cellStyle name="표준 5 4 3 2 4 4" xfId="6598"/>
    <cellStyle name="표준 5 4 3 2 4 4 2" xfId="23302"/>
    <cellStyle name="표준 5 4 3 2 4 5" xfId="12166"/>
    <cellStyle name="표준 5 4 3 2 4 5 2" xfId="28870"/>
    <cellStyle name="표준 5 4 3 2 4 6" xfId="17734"/>
    <cellStyle name="표준 5 4 3 2 5" xfId="1726"/>
    <cellStyle name="표준 5 4 3 2 5 2" xfId="4510"/>
    <cellStyle name="표준 5 4 3 2 5 2 2" xfId="10078"/>
    <cellStyle name="표준 5 4 3 2 5 2 2 2" xfId="26782"/>
    <cellStyle name="표준 5 4 3 2 5 2 3" xfId="15646"/>
    <cellStyle name="표준 5 4 3 2 5 2 3 2" xfId="32350"/>
    <cellStyle name="표준 5 4 3 2 5 2 4" xfId="21214"/>
    <cellStyle name="표준 5 4 3 2 5 3" xfId="7294"/>
    <cellStyle name="표준 5 4 3 2 5 3 2" xfId="23998"/>
    <cellStyle name="표준 5 4 3 2 5 4" xfId="12862"/>
    <cellStyle name="표준 5 4 3 2 5 4 2" xfId="29566"/>
    <cellStyle name="표준 5 4 3 2 5 5" xfId="18430"/>
    <cellStyle name="표준 5 4 3 2 6" xfId="3118"/>
    <cellStyle name="표준 5 4 3 2 6 2" xfId="8686"/>
    <cellStyle name="표준 5 4 3 2 6 2 2" xfId="25390"/>
    <cellStyle name="표준 5 4 3 2 6 3" xfId="14254"/>
    <cellStyle name="표준 5 4 3 2 6 3 2" xfId="30958"/>
    <cellStyle name="표준 5 4 3 2 6 4" xfId="19822"/>
    <cellStyle name="표준 5 4 3 2 7" xfId="5902"/>
    <cellStyle name="표준 5 4 3 2 7 2" xfId="22606"/>
    <cellStyle name="표준 5 4 3 2 8" xfId="11470"/>
    <cellStyle name="표준 5 4 3 2 8 2" xfId="28174"/>
    <cellStyle name="표준 5 4 3 2 9" xfId="17038"/>
    <cellStyle name="표준 5 4 3 3" xfId="450"/>
    <cellStyle name="표준 5 4 3 3 2" xfId="1146"/>
    <cellStyle name="표준 5 4 3 3 2 2" xfId="2538"/>
    <cellStyle name="표준 5 4 3 3 2 2 2" xfId="5322"/>
    <cellStyle name="표준 5 4 3 3 2 2 2 2" xfId="10890"/>
    <cellStyle name="표준 5 4 3 3 2 2 2 2 2" xfId="27594"/>
    <cellStyle name="표준 5 4 3 3 2 2 2 3" xfId="16458"/>
    <cellStyle name="표준 5 4 3 3 2 2 2 3 2" xfId="33162"/>
    <cellStyle name="표준 5 4 3 3 2 2 2 4" xfId="22026"/>
    <cellStyle name="표준 5 4 3 3 2 2 3" xfId="8106"/>
    <cellStyle name="표준 5 4 3 3 2 2 3 2" xfId="24810"/>
    <cellStyle name="표준 5 4 3 3 2 2 4" xfId="13674"/>
    <cellStyle name="표준 5 4 3 3 2 2 4 2" xfId="30378"/>
    <cellStyle name="표준 5 4 3 3 2 2 5" xfId="19242"/>
    <cellStyle name="표준 5 4 3 3 2 3" xfId="3930"/>
    <cellStyle name="표준 5 4 3 3 2 3 2" xfId="9498"/>
    <cellStyle name="표준 5 4 3 3 2 3 2 2" xfId="26202"/>
    <cellStyle name="표준 5 4 3 3 2 3 3" xfId="15066"/>
    <cellStyle name="표준 5 4 3 3 2 3 3 2" xfId="31770"/>
    <cellStyle name="표준 5 4 3 3 2 3 4" xfId="20634"/>
    <cellStyle name="표준 5 4 3 3 2 4" xfId="6714"/>
    <cellStyle name="표준 5 4 3 3 2 4 2" xfId="23418"/>
    <cellStyle name="표준 5 4 3 3 2 5" xfId="12282"/>
    <cellStyle name="표준 5 4 3 3 2 5 2" xfId="28986"/>
    <cellStyle name="표준 5 4 3 3 2 6" xfId="17850"/>
    <cellStyle name="표준 5 4 3 3 3" xfId="1842"/>
    <cellStyle name="표준 5 4 3 3 3 2" xfId="4626"/>
    <cellStyle name="표준 5 4 3 3 3 2 2" xfId="10194"/>
    <cellStyle name="표준 5 4 3 3 3 2 2 2" xfId="26898"/>
    <cellStyle name="표준 5 4 3 3 3 2 3" xfId="15762"/>
    <cellStyle name="표준 5 4 3 3 3 2 3 2" xfId="32466"/>
    <cellStyle name="표준 5 4 3 3 3 2 4" xfId="21330"/>
    <cellStyle name="표준 5 4 3 3 3 3" xfId="7410"/>
    <cellStyle name="표준 5 4 3 3 3 3 2" xfId="24114"/>
    <cellStyle name="표준 5 4 3 3 3 4" xfId="12978"/>
    <cellStyle name="표준 5 4 3 3 3 4 2" xfId="29682"/>
    <cellStyle name="표준 5 4 3 3 3 5" xfId="18546"/>
    <cellStyle name="표준 5 4 3 3 4" xfId="3234"/>
    <cellStyle name="표준 5 4 3 3 4 2" xfId="8802"/>
    <cellStyle name="표준 5 4 3 3 4 2 2" xfId="25506"/>
    <cellStyle name="표준 5 4 3 3 4 3" xfId="14370"/>
    <cellStyle name="표준 5 4 3 3 4 3 2" xfId="31074"/>
    <cellStyle name="표준 5 4 3 3 4 4" xfId="19938"/>
    <cellStyle name="표준 5 4 3 3 5" xfId="6018"/>
    <cellStyle name="표준 5 4 3 3 5 2" xfId="22722"/>
    <cellStyle name="표준 5 4 3 3 6" xfId="11586"/>
    <cellStyle name="표준 5 4 3 3 6 2" xfId="28290"/>
    <cellStyle name="표준 5 4 3 3 7" xfId="17154"/>
    <cellStyle name="표준 5 4 3 4" xfId="682"/>
    <cellStyle name="표준 5 4 3 4 2" xfId="1378"/>
    <cellStyle name="표준 5 4 3 4 2 2" xfId="2770"/>
    <cellStyle name="표준 5 4 3 4 2 2 2" xfId="5554"/>
    <cellStyle name="표준 5 4 3 4 2 2 2 2" xfId="11122"/>
    <cellStyle name="표준 5 4 3 4 2 2 2 2 2" xfId="27826"/>
    <cellStyle name="표준 5 4 3 4 2 2 2 3" xfId="16690"/>
    <cellStyle name="표준 5 4 3 4 2 2 2 3 2" xfId="33394"/>
    <cellStyle name="표준 5 4 3 4 2 2 2 4" xfId="22258"/>
    <cellStyle name="표준 5 4 3 4 2 2 3" xfId="8338"/>
    <cellStyle name="표준 5 4 3 4 2 2 3 2" xfId="25042"/>
    <cellStyle name="표준 5 4 3 4 2 2 4" xfId="13906"/>
    <cellStyle name="표준 5 4 3 4 2 2 4 2" xfId="30610"/>
    <cellStyle name="표준 5 4 3 4 2 2 5" xfId="19474"/>
    <cellStyle name="표준 5 4 3 4 2 3" xfId="4162"/>
    <cellStyle name="표준 5 4 3 4 2 3 2" xfId="9730"/>
    <cellStyle name="표준 5 4 3 4 2 3 2 2" xfId="26434"/>
    <cellStyle name="표준 5 4 3 4 2 3 3" xfId="15298"/>
    <cellStyle name="표준 5 4 3 4 2 3 3 2" xfId="32002"/>
    <cellStyle name="표준 5 4 3 4 2 3 4" xfId="20866"/>
    <cellStyle name="표준 5 4 3 4 2 4" xfId="6946"/>
    <cellStyle name="표준 5 4 3 4 2 4 2" xfId="23650"/>
    <cellStyle name="표준 5 4 3 4 2 5" xfId="12514"/>
    <cellStyle name="표준 5 4 3 4 2 5 2" xfId="29218"/>
    <cellStyle name="표준 5 4 3 4 2 6" xfId="18082"/>
    <cellStyle name="표준 5 4 3 4 3" xfId="2074"/>
    <cellStyle name="표준 5 4 3 4 3 2" xfId="4858"/>
    <cellStyle name="표준 5 4 3 4 3 2 2" xfId="10426"/>
    <cellStyle name="표준 5 4 3 4 3 2 2 2" xfId="27130"/>
    <cellStyle name="표준 5 4 3 4 3 2 3" xfId="15994"/>
    <cellStyle name="표준 5 4 3 4 3 2 3 2" xfId="32698"/>
    <cellStyle name="표준 5 4 3 4 3 2 4" xfId="21562"/>
    <cellStyle name="표준 5 4 3 4 3 3" xfId="7642"/>
    <cellStyle name="표준 5 4 3 4 3 3 2" xfId="24346"/>
    <cellStyle name="표준 5 4 3 4 3 4" xfId="13210"/>
    <cellStyle name="표준 5 4 3 4 3 4 2" xfId="29914"/>
    <cellStyle name="표준 5 4 3 4 3 5" xfId="18778"/>
    <cellStyle name="표준 5 4 3 4 4" xfId="3466"/>
    <cellStyle name="표준 5 4 3 4 4 2" xfId="9034"/>
    <cellStyle name="표준 5 4 3 4 4 2 2" xfId="25738"/>
    <cellStyle name="표준 5 4 3 4 4 3" xfId="14602"/>
    <cellStyle name="표준 5 4 3 4 4 3 2" xfId="31306"/>
    <cellStyle name="표준 5 4 3 4 4 4" xfId="20170"/>
    <cellStyle name="표준 5 4 3 4 5" xfId="6250"/>
    <cellStyle name="표준 5 4 3 4 5 2" xfId="22954"/>
    <cellStyle name="표준 5 4 3 4 6" xfId="11818"/>
    <cellStyle name="표준 5 4 3 4 6 2" xfId="28522"/>
    <cellStyle name="표준 5 4 3 4 7" xfId="17386"/>
    <cellStyle name="표준 5 4 3 5" xfId="914"/>
    <cellStyle name="표준 5 4 3 5 2" xfId="2306"/>
    <cellStyle name="표준 5 4 3 5 2 2" xfId="5090"/>
    <cellStyle name="표준 5 4 3 5 2 2 2" xfId="10658"/>
    <cellStyle name="표준 5 4 3 5 2 2 2 2" xfId="27362"/>
    <cellStyle name="표준 5 4 3 5 2 2 3" xfId="16226"/>
    <cellStyle name="표준 5 4 3 5 2 2 3 2" xfId="32930"/>
    <cellStyle name="표준 5 4 3 5 2 2 4" xfId="21794"/>
    <cellStyle name="표준 5 4 3 5 2 3" xfId="7874"/>
    <cellStyle name="표준 5 4 3 5 2 3 2" xfId="24578"/>
    <cellStyle name="표준 5 4 3 5 2 4" xfId="13442"/>
    <cellStyle name="표준 5 4 3 5 2 4 2" xfId="30146"/>
    <cellStyle name="표준 5 4 3 5 2 5" xfId="19010"/>
    <cellStyle name="표준 5 4 3 5 3" xfId="3698"/>
    <cellStyle name="표준 5 4 3 5 3 2" xfId="9266"/>
    <cellStyle name="표준 5 4 3 5 3 2 2" xfId="25970"/>
    <cellStyle name="표준 5 4 3 5 3 3" xfId="14834"/>
    <cellStyle name="표준 5 4 3 5 3 3 2" xfId="31538"/>
    <cellStyle name="표준 5 4 3 5 3 4" xfId="20402"/>
    <cellStyle name="표준 5 4 3 5 4" xfId="6482"/>
    <cellStyle name="표준 5 4 3 5 4 2" xfId="23186"/>
    <cellStyle name="표준 5 4 3 5 5" xfId="12050"/>
    <cellStyle name="표준 5 4 3 5 5 2" xfId="28754"/>
    <cellStyle name="표준 5 4 3 5 6" xfId="17618"/>
    <cellStyle name="표준 5 4 3 6" xfId="1610"/>
    <cellStyle name="표준 5 4 3 6 2" xfId="4394"/>
    <cellStyle name="표준 5 4 3 6 2 2" xfId="9962"/>
    <cellStyle name="표준 5 4 3 6 2 2 2" xfId="26666"/>
    <cellStyle name="표준 5 4 3 6 2 3" xfId="15530"/>
    <cellStyle name="표준 5 4 3 6 2 3 2" xfId="32234"/>
    <cellStyle name="표준 5 4 3 6 2 4" xfId="21098"/>
    <cellStyle name="표준 5 4 3 6 3" xfId="7178"/>
    <cellStyle name="표준 5 4 3 6 3 2" xfId="23882"/>
    <cellStyle name="표준 5 4 3 6 4" xfId="12746"/>
    <cellStyle name="표준 5 4 3 6 4 2" xfId="29450"/>
    <cellStyle name="표준 5 4 3 6 5" xfId="18314"/>
    <cellStyle name="표준 5 4 3 7" xfId="3002"/>
    <cellStyle name="표준 5 4 3 7 2" xfId="8570"/>
    <cellStyle name="표준 5 4 3 7 2 2" xfId="25274"/>
    <cellStyle name="표준 5 4 3 7 3" xfId="14138"/>
    <cellStyle name="표준 5 4 3 7 3 2" xfId="30842"/>
    <cellStyle name="표준 5 4 3 7 4" xfId="19706"/>
    <cellStyle name="표준 5 4 3 8" xfId="5786"/>
    <cellStyle name="표준 5 4 3 8 2" xfId="22490"/>
    <cellStyle name="표준 5 4 3 9" xfId="11354"/>
    <cellStyle name="표준 5 4 3 9 2" xfId="28058"/>
    <cellStyle name="표준 5 4 4" xfId="276"/>
    <cellStyle name="표준 5 4 4 2" xfId="508"/>
    <cellStyle name="표준 5 4 4 2 2" xfId="1204"/>
    <cellStyle name="표준 5 4 4 2 2 2" xfId="2596"/>
    <cellStyle name="표준 5 4 4 2 2 2 2" xfId="5380"/>
    <cellStyle name="표준 5 4 4 2 2 2 2 2" xfId="10948"/>
    <cellStyle name="표준 5 4 4 2 2 2 2 2 2" xfId="27652"/>
    <cellStyle name="표준 5 4 4 2 2 2 2 3" xfId="16516"/>
    <cellStyle name="표준 5 4 4 2 2 2 2 3 2" xfId="33220"/>
    <cellStyle name="표준 5 4 4 2 2 2 2 4" xfId="22084"/>
    <cellStyle name="표준 5 4 4 2 2 2 3" xfId="8164"/>
    <cellStyle name="표준 5 4 4 2 2 2 3 2" xfId="24868"/>
    <cellStyle name="표준 5 4 4 2 2 2 4" xfId="13732"/>
    <cellStyle name="표준 5 4 4 2 2 2 4 2" xfId="30436"/>
    <cellStyle name="표준 5 4 4 2 2 2 5" xfId="19300"/>
    <cellStyle name="표준 5 4 4 2 2 3" xfId="3988"/>
    <cellStyle name="표준 5 4 4 2 2 3 2" xfId="9556"/>
    <cellStyle name="표준 5 4 4 2 2 3 2 2" xfId="26260"/>
    <cellStyle name="표준 5 4 4 2 2 3 3" xfId="15124"/>
    <cellStyle name="표준 5 4 4 2 2 3 3 2" xfId="31828"/>
    <cellStyle name="표준 5 4 4 2 2 3 4" xfId="20692"/>
    <cellStyle name="표준 5 4 4 2 2 4" xfId="6772"/>
    <cellStyle name="표준 5 4 4 2 2 4 2" xfId="23476"/>
    <cellStyle name="표준 5 4 4 2 2 5" xfId="12340"/>
    <cellStyle name="표준 5 4 4 2 2 5 2" xfId="29044"/>
    <cellStyle name="표준 5 4 4 2 2 6" xfId="17908"/>
    <cellStyle name="표준 5 4 4 2 3" xfId="1900"/>
    <cellStyle name="표준 5 4 4 2 3 2" xfId="4684"/>
    <cellStyle name="표준 5 4 4 2 3 2 2" xfId="10252"/>
    <cellStyle name="표준 5 4 4 2 3 2 2 2" xfId="26956"/>
    <cellStyle name="표준 5 4 4 2 3 2 3" xfId="15820"/>
    <cellStyle name="표준 5 4 4 2 3 2 3 2" xfId="32524"/>
    <cellStyle name="표준 5 4 4 2 3 2 4" xfId="21388"/>
    <cellStyle name="표준 5 4 4 2 3 3" xfId="7468"/>
    <cellStyle name="표준 5 4 4 2 3 3 2" xfId="24172"/>
    <cellStyle name="표준 5 4 4 2 3 4" xfId="13036"/>
    <cellStyle name="표준 5 4 4 2 3 4 2" xfId="29740"/>
    <cellStyle name="표준 5 4 4 2 3 5" xfId="18604"/>
    <cellStyle name="표준 5 4 4 2 4" xfId="3292"/>
    <cellStyle name="표준 5 4 4 2 4 2" xfId="8860"/>
    <cellStyle name="표준 5 4 4 2 4 2 2" xfId="25564"/>
    <cellStyle name="표준 5 4 4 2 4 3" xfId="14428"/>
    <cellStyle name="표준 5 4 4 2 4 3 2" xfId="31132"/>
    <cellStyle name="표준 5 4 4 2 4 4" xfId="19996"/>
    <cellStyle name="표준 5 4 4 2 5" xfId="6076"/>
    <cellStyle name="표준 5 4 4 2 5 2" xfId="22780"/>
    <cellStyle name="표준 5 4 4 2 6" xfId="11644"/>
    <cellStyle name="표준 5 4 4 2 6 2" xfId="28348"/>
    <cellStyle name="표준 5 4 4 2 7" xfId="17212"/>
    <cellStyle name="표준 5 4 4 3" xfId="740"/>
    <cellStyle name="표준 5 4 4 3 2" xfId="1436"/>
    <cellStyle name="표준 5 4 4 3 2 2" xfId="2828"/>
    <cellStyle name="표준 5 4 4 3 2 2 2" xfId="5612"/>
    <cellStyle name="표준 5 4 4 3 2 2 2 2" xfId="11180"/>
    <cellStyle name="표준 5 4 4 3 2 2 2 2 2" xfId="27884"/>
    <cellStyle name="표준 5 4 4 3 2 2 2 3" xfId="16748"/>
    <cellStyle name="표준 5 4 4 3 2 2 2 3 2" xfId="33452"/>
    <cellStyle name="표준 5 4 4 3 2 2 2 4" xfId="22316"/>
    <cellStyle name="표준 5 4 4 3 2 2 3" xfId="8396"/>
    <cellStyle name="표준 5 4 4 3 2 2 3 2" xfId="25100"/>
    <cellStyle name="표준 5 4 4 3 2 2 4" xfId="13964"/>
    <cellStyle name="표준 5 4 4 3 2 2 4 2" xfId="30668"/>
    <cellStyle name="표준 5 4 4 3 2 2 5" xfId="19532"/>
    <cellStyle name="표준 5 4 4 3 2 3" xfId="4220"/>
    <cellStyle name="표준 5 4 4 3 2 3 2" xfId="9788"/>
    <cellStyle name="표준 5 4 4 3 2 3 2 2" xfId="26492"/>
    <cellStyle name="표준 5 4 4 3 2 3 3" xfId="15356"/>
    <cellStyle name="표준 5 4 4 3 2 3 3 2" xfId="32060"/>
    <cellStyle name="표준 5 4 4 3 2 3 4" xfId="20924"/>
    <cellStyle name="표준 5 4 4 3 2 4" xfId="7004"/>
    <cellStyle name="표준 5 4 4 3 2 4 2" xfId="23708"/>
    <cellStyle name="표준 5 4 4 3 2 5" xfId="12572"/>
    <cellStyle name="표준 5 4 4 3 2 5 2" xfId="29276"/>
    <cellStyle name="표준 5 4 4 3 2 6" xfId="18140"/>
    <cellStyle name="표준 5 4 4 3 3" xfId="2132"/>
    <cellStyle name="표준 5 4 4 3 3 2" xfId="4916"/>
    <cellStyle name="표준 5 4 4 3 3 2 2" xfId="10484"/>
    <cellStyle name="표준 5 4 4 3 3 2 2 2" xfId="27188"/>
    <cellStyle name="표준 5 4 4 3 3 2 3" xfId="16052"/>
    <cellStyle name="표준 5 4 4 3 3 2 3 2" xfId="32756"/>
    <cellStyle name="표준 5 4 4 3 3 2 4" xfId="21620"/>
    <cellStyle name="표준 5 4 4 3 3 3" xfId="7700"/>
    <cellStyle name="표준 5 4 4 3 3 3 2" xfId="24404"/>
    <cellStyle name="표준 5 4 4 3 3 4" xfId="13268"/>
    <cellStyle name="표준 5 4 4 3 3 4 2" xfId="29972"/>
    <cellStyle name="표준 5 4 4 3 3 5" xfId="18836"/>
    <cellStyle name="표준 5 4 4 3 4" xfId="3524"/>
    <cellStyle name="표준 5 4 4 3 4 2" xfId="9092"/>
    <cellStyle name="표준 5 4 4 3 4 2 2" xfId="25796"/>
    <cellStyle name="표준 5 4 4 3 4 3" xfId="14660"/>
    <cellStyle name="표준 5 4 4 3 4 3 2" xfId="31364"/>
    <cellStyle name="표준 5 4 4 3 4 4" xfId="20228"/>
    <cellStyle name="표준 5 4 4 3 5" xfId="6308"/>
    <cellStyle name="표준 5 4 4 3 5 2" xfId="23012"/>
    <cellStyle name="표준 5 4 4 3 6" xfId="11876"/>
    <cellStyle name="표준 5 4 4 3 6 2" xfId="28580"/>
    <cellStyle name="표준 5 4 4 3 7" xfId="17444"/>
    <cellStyle name="표준 5 4 4 4" xfId="972"/>
    <cellStyle name="표준 5 4 4 4 2" xfId="2364"/>
    <cellStyle name="표준 5 4 4 4 2 2" xfId="5148"/>
    <cellStyle name="표준 5 4 4 4 2 2 2" xfId="10716"/>
    <cellStyle name="표준 5 4 4 4 2 2 2 2" xfId="27420"/>
    <cellStyle name="표준 5 4 4 4 2 2 3" xfId="16284"/>
    <cellStyle name="표준 5 4 4 4 2 2 3 2" xfId="32988"/>
    <cellStyle name="표준 5 4 4 4 2 2 4" xfId="21852"/>
    <cellStyle name="표준 5 4 4 4 2 3" xfId="7932"/>
    <cellStyle name="표준 5 4 4 4 2 3 2" xfId="24636"/>
    <cellStyle name="표준 5 4 4 4 2 4" xfId="13500"/>
    <cellStyle name="표준 5 4 4 4 2 4 2" xfId="30204"/>
    <cellStyle name="표준 5 4 4 4 2 5" xfId="19068"/>
    <cellStyle name="표준 5 4 4 4 3" xfId="3756"/>
    <cellStyle name="표준 5 4 4 4 3 2" xfId="9324"/>
    <cellStyle name="표준 5 4 4 4 3 2 2" xfId="26028"/>
    <cellStyle name="표준 5 4 4 4 3 3" xfId="14892"/>
    <cellStyle name="표준 5 4 4 4 3 3 2" xfId="31596"/>
    <cellStyle name="표준 5 4 4 4 3 4" xfId="20460"/>
    <cellStyle name="표준 5 4 4 4 4" xfId="6540"/>
    <cellStyle name="표준 5 4 4 4 4 2" xfId="23244"/>
    <cellStyle name="표준 5 4 4 4 5" xfId="12108"/>
    <cellStyle name="표준 5 4 4 4 5 2" xfId="28812"/>
    <cellStyle name="표준 5 4 4 4 6" xfId="17676"/>
    <cellStyle name="표준 5 4 4 5" xfId="1668"/>
    <cellStyle name="표준 5 4 4 5 2" xfId="4452"/>
    <cellStyle name="표준 5 4 4 5 2 2" xfId="10020"/>
    <cellStyle name="표준 5 4 4 5 2 2 2" xfId="26724"/>
    <cellStyle name="표준 5 4 4 5 2 3" xfId="15588"/>
    <cellStyle name="표준 5 4 4 5 2 3 2" xfId="32292"/>
    <cellStyle name="표준 5 4 4 5 2 4" xfId="21156"/>
    <cellStyle name="표준 5 4 4 5 3" xfId="7236"/>
    <cellStyle name="표준 5 4 4 5 3 2" xfId="23940"/>
    <cellStyle name="표준 5 4 4 5 4" xfId="12804"/>
    <cellStyle name="표준 5 4 4 5 4 2" xfId="29508"/>
    <cellStyle name="표준 5 4 4 5 5" xfId="18372"/>
    <cellStyle name="표준 5 4 4 6" xfId="3060"/>
    <cellStyle name="표준 5 4 4 6 2" xfId="8628"/>
    <cellStyle name="표준 5 4 4 6 2 2" xfId="25332"/>
    <cellStyle name="표준 5 4 4 6 3" xfId="14196"/>
    <cellStyle name="표준 5 4 4 6 3 2" xfId="30900"/>
    <cellStyle name="표준 5 4 4 6 4" xfId="19764"/>
    <cellStyle name="표준 5 4 4 7" xfId="5844"/>
    <cellStyle name="표준 5 4 4 7 2" xfId="22548"/>
    <cellStyle name="표준 5 4 4 8" xfId="11412"/>
    <cellStyle name="표준 5 4 4 8 2" xfId="28116"/>
    <cellStyle name="표준 5 4 4 9" xfId="16980"/>
    <cellStyle name="표준 5 4 5" xfId="392"/>
    <cellStyle name="표준 5 4 5 2" xfId="1088"/>
    <cellStyle name="표준 5 4 5 2 2" xfId="2480"/>
    <cellStyle name="표준 5 4 5 2 2 2" xfId="5264"/>
    <cellStyle name="표준 5 4 5 2 2 2 2" xfId="10832"/>
    <cellStyle name="표준 5 4 5 2 2 2 2 2" xfId="27536"/>
    <cellStyle name="표준 5 4 5 2 2 2 3" xfId="16400"/>
    <cellStyle name="표준 5 4 5 2 2 2 3 2" xfId="33104"/>
    <cellStyle name="표준 5 4 5 2 2 2 4" xfId="21968"/>
    <cellStyle name="표준 5 4 5 2 2 3" xfId="8048"/>
    <cellStyle name="표준 5 4 5 2 2 3 2" xfId="24752"/>
    <cellStyle name="표준 5 4 5 2 2 4" xfId="13616"/>
    <cellStyle name="표준 5 4 5 2 2 4 2" xfId="30320"/>
    <cellStyle name="표준 5 4 5 2 2 5" xfId="19184"/>
    <cellStyle name="표준 5 4 5 2 3" xfId="3872"/>
    <cellStyle name="표준 5 4 5 2 3 2" xfId="9440"/>
    <cellStyle name="표준 5 4 5 2 3 2 2" xfId="26144"/>
    <cellStyle name="표준 5 4 5 2 3 3" xfId="15008"/>
    <cellStyle name="표준 5 4 5 2 3 3 2" xfId="31712"/>
    <cellStyle name="표준 5 4 5 2 3 4" xfId="20576"/>
    <cellStyle name="표준 5 4 5 2 4" xfId="6656"/>
    <cellStyle name="표준 5 4 5 2 4 2" xfId="23360"/>
    <cellStyle name="표준 5 4 5 2 5" xfId="12224"/>
    <cellStyle name="표준 5 4 5 2 5 2" xfId="28928"/>
    <cellStyle name="표준 5 4 5 2 6" xfId="17792"/>
    <cellStyle name="표준 5 4 5 3" xfId="1784"/>
    <cellStyle name="표준 5 4 5 3 2" xfId="4568"/>
    <cellStyle name="표준 5 4 5 3 2 2" xfId="10136"/>
    <cellStyle name="표준 5 4 5 3 2 2 2" xfId="26840"/>
    <cellStyle name="표준 5 4 5 3 2 3" xfId="15704"/>
    <cellStyle name="표준 5 4 5 3 2 3 2" xfId="32408"/>
    <cellStyle name="표준 5 4 5 3 2 4" xfId="21272"/>
    <cellStyle name="표준 5 4 5 3 3" xfId="7352"/>
    <cellStyle name="표준 5 4 5 3 3 2" xfId="24056"/>
    <cellStyle name="표준 5 4 5 3 4" xfId="12920"/>
    <cellStyle name="표준 5 4 5 3 4 2" xfId="29624"/>
    <cellStyle name="표준 5 4 5 3 5" xfId="18488"/>
    <cellStyle name="표준 5 4 5 4" xfId="3176"/>
    <cellStyle name="표준 5 4 5 4 2" xfId="8744"/>
    <cellStyle name="표준 5 4 5 4 2 2" xfId="25448"/>
    <cellStyle name="표준 5 4 5 4 3" xfId="14312"/>
    <cellStyle name="표준 5 4 5 4 3 2" xfId="31016"/>
    <cellStyle name="표준 5 4 5 4 4" xfId="19880"/>
    <cellStyle name="표준 5 4 5 5" xfId="5960"/>
    <cellStyle name="표준 5 4 5 5 2" xfId="22664"/>
    <cellStyle name="표준 5 4 5 6" xfId="11528"/>
    <cellStyle name="표준 5 4 5 6 2" xfId="28232"/>
    <cellStyle name="표준 5 4 5 7" xfId="17096"/>
    <cellStyle name="표준 5 4 6" xfId="624"/>
    <cellStyle name="표준 5 4 6 2" xfId="1320"/>
    <cellStyle name="표준 5 4 6 2 2" xfId="2712"/>
    <cellStyle name="표준 5 4 6 2 2 2" xfId="5496"/>
    <cellStyle name="표준 5 4 6 2 2 2 2" xfId="11064"/>
    <cellStyle name="표준 5 4 6 2 2 2 2 2" xfId="27768"/>
    <cellStyle name="표준 5 4 6 2 2 2 3" xfId="16632"/>
    <cellStyle name="표준 5 4 6 2 2 2 3 2" xfId="33336"/>
    <cellStyle name="표준 5 4 6 2 2 2 4" xfId="22200"/>
    <cellStyle name="표준 5 4 6 2 2 3" xfId="8280"/>
    <cellStyle name="표준 5 4 6 2 2 3 2" xfId="24984"/>
    <cellStyle name="표준 5 4 6 2 2 4" xfId="13848"/>
    <cellStyle name="표준 5 4 6 2 2 4 2" xfId="30552"/>
    <cellStyle name="표준 5 4 6 2 2 5" xfId="19416"/>
    <cellStyle name="표준 5 4 6 2 3" xfId="4104"/>
    <cellStyle name="표준 5 4 6 2 3 2" xfId="9672"/>
    <cellStyle name="표준 5 4 6 2 3 2 2" xfId="26376"/>
    <cellStyle name="표준 5 4 6 2 3 3" xfId="15240"/>
    <cellStyle name="표준 5 4 6 2 3 3 2" xfId="31944"/>
    <cellStyle name="표준 5 4 6 2 3 4" xfId="20808"/>
    <cellStyle name="표준 5 4 6 2 4" xfId="6888"/>
    <cellStyle name="표준 5 4 6 2 4 2" xfId="23592"/>
    <cellStyle name="표준 5 4 6 2 5" xfId="12456"/>
    <cellStyle name="표준 5 4 6 2 5 2" xfId="29160"/>
    <cellStyle name="표준 5 4 6 2 6" xfId="18024"/>
    <cellStyle name="표준 5 4 6 3" xfId="2016"/>
    <cellStyle name="표준 5 4 6 3 2" xfId="4800"/>
    <cellStyle name="표준 5 4 6 3 2 2" xfId="10368"/>
    <cellStyle name="표준 5 4 6 3 2 2 2" xfId="27072"/>
    <cellStyle name="표준 5 4 6 3 2 3" xfId="15936"/>
    <cellStyle name="표준 5 4 6 3 2 3 2" xfId="32640"/>
    <cellStyle name="표준 5 4 6 3 2 4" xfId="21504"/>
    <cellStyle name="표준 5 4 6 3 3" xfId="7584"/>
    <cellStyle name="표준 5 4 6 3 3 2" xfId="24288"/>
    <cellStyle name="표준 5 4 6 3 4" xfId="13152"/>
    <cellStyle name="표준 5 4 6 3 4 2" xfId="29856"/>
    <cellStyle name="표준 5 4 6 3 5" xfId="18720"/>
    <cellStyle name="표준 5 4 6 4" xfId="3408"/>
    <cellStyle name="표준 5 4 6 4 2" xfId="8976"/>
    <cellStyle name="표준 5 4 6 4 2 2" xfId="25680"/>
    <cellStyle name="표준 5 4 6 4 3" xfId="14544"/>
    <cellStyle name="표준 5 4 6 4 3 2" xfId="31248"/>
    <cellStyle name="표준 5 4 6 4 4" xfId="20112"/>
    <cellStyle name="표준 5 4 6 5" xfId="6192"/>
    <cellStyle name="표준 5 4 6 5 2" xfId="22896"/>
    <cellStyle name="표준 5 4 6 6" xfId="11760"/>
    <cellStyle name="표준 5 4 6 6 2" xfId="28464"/>
    <cellStyle name="표준 5 4 6 7" xfId="17328"/>
    <cellStyle name="표준 5 4 7" xfId="856"/>
    <cellStyle name="표준 5 4 7 2" xfId="2248"/>
    <cellStyle name="표준 5 4 7 2 2" xfId="5032"/>
    <cellStyle name="표준 5 4 7 2 2 2" xfId="10600"/>
    <cellStyle name="표준 5 4 7 2 2 2 2" xfId="27304"/>
    <cellStyle name="표준 5 4 7 2 2 3" xfId="16168"/>
    <cellStyle name="표준 5 4 7 2 2 3 2" xfId="32872"/>
    <cellStyle name="표준 5 4 7 2 2 4" xfId="21736"/>
    <cellStyle name="표준 5 4 7 2 3" xfId="7816"/>
    <cellStyle name="표준 5 4 7 2 3 2" xfId="24520"/>
    <cellStyle name="표준 5 4 7 2 4" xfId="13384"/>
    <cellStyle name="표준 5 4 7 2 4 2" xfId="30088"/>
    <cellStyle name="표준 5 4 7 2 5" xfId="18952"/>
    <cellStyle name="표준 5 4 7 3" xfId="3640"/>
    <cellStyle name="표준 5 4 7 3 2" xfId="9208"/>
    <cellStyle name="표준 5 4 7 3 2 2" xfId="25912"/>
    <cellStyle name="표준 5 4 7 3 3" xfId="14776"/>
    <cellStyle name="표준 5 4 7 3 3 2" xfId="31480"/>
    <cellStyle name="표준 5 4 7 3 4" xfId="20344"/>
    <cellStyle name="표준 5 4 7 4" xfId="6424"/>
    <cellStyle name="표준 5 4 7 4 2" xfId="23128"/>
    <cellStyle name="표준 5 4 7 5" xfId="11992"/>
    <cellStyle name="표준 5 4 7 5 2" xfId="28696"/>
    <cellStyle name="표준 5 4 7 6" xfId="17560"/>
    <cellStyle name="표준 5 4 8" xfId="1552"/>
    <cellStyle name="표준 5 4 8 2" xfId="4336"/>
    <cellStyle name="표준 5 4 8 2 2" xfId="9904"/>
    <cellStyle name="표준 5 4 8 2 2 2" xfId="26608"/>
    <cellStyle name="표준 5 4 8 2 3" xfId="15472"/>
    <cellStyle name="표준 5 4 8 2 3 2" xfId="32176"/>
    <cellStyle name="표준 5 4 8 2 4" xfId="21040"/>
    <cellStyle name="표준 5 4 8 3" xfId="7120"/>
    <cellStyle name="표준 5 4 8 3 2" xfId="23824"/>
    <cellStyle name="표준 5 4 8 4" xfId="12688"/>
    <cellStyle name="표준 5 4 8 4 2" xfId="29392"/>
    <cellStyle name="표준 5 4 8 5" xfId="18256"/>
    <cellStyle name="표준 5 4 9" xfId="2944"/>
    <cellStyle name="표준 5 4 9 2" xfId="8512"/>
    <cellStyle name="표준 5 4 9 2 2" xfId="25216"/>
    <cellStyle name="표준 5 4 9 3" xfId="14080"/>
    <cellStyle name="표준 5 4 9 3 2" xfId="30784"/>
    <cellStyle name="표준 5 4 9 4" xfId="19648"/>
    <cellStyle name="표준 6" xfId="12"/>
    <cellStyle name="표준 6 2" xfId="151"/>
    <cellStyle name="표준 7" xfId="154"/>
    <cellStyle name="표준 7 10" xfId="2945"/>
    <cellStyle name="표준 7 10 2" xfId="8513"/>
    <cellStyle name="표준 7 10 2 2" xfId="25217"/>
    <cellStyle name="표준 7 10 3" xfId="14081"/>
    <cellStyle name="표준 7 10 3 2" xfId="30785"/>
    <cellStyle name="표준 7 10 4" xfId="19649"/>
    <cellStyle name="표준 7 11" xfId="5729"/>
    <cellStyle name="표준 7 11 2" xfId="22433"/>
    <cellStyle name="표준 7 12" xfId="11297"/>
    <cellStyle name="표준 7 12 2" xfId="28001"/>
    <cellStyle name="표준 7 13" xfId="16865"/>
    <cellStyle name="표준 7 2" xfId="167"/>
    <cellStyle name="표준 7 2 10" xfId="5735"/>
    <cellStyle name="표준 7 2 10 2" xfId="22439"/>
    <cellStyle name="표준 7 2 11" xfId="11303"/>
    <cellStyle name="표준 7 2 11 2" xfId="28007"/>
    <cellStyle name="표준 7 2 12" xfId="16871"/>
    <cellStyle name="표준 7 2 2" xfId="196"/>
    <cellStyle name="표준 7 2 2 10" xfId="11332"/>
    <cellStyle name="표준 7 2 2 10 2" xfId="28036"/>
    <cellStyle name="표준 7 2 2 11" xfId="16900"/>
    <cellStyle name="표준 7 2 2 2" xfId="254"/>
    <cellStyle name="표준 7 2 2 2 10" xfId="16958"/>
    <cellStyle name="표준 7 2 2 2 2" xfId="370"/>
    <cellStyle name="표준 7 2 2 2 2 2" xfId="602"/>
    <cellStyle name="표준 7 2 2 2 2 2 2" xfId="1298"/>
    <cellStyle name="표준 7 2 2 2 2 2 2 2" xfId="2690"/>
    <cellStyle name="표준 7 2 2 2 2 2 2 2 2" xfId="5474"/>
    <cellStyle name="표준 7 2 2 2 2 2 2 2 2 2" xfId="11042"/>
    <cellStyle name="표준 7 2 2 2 2 2 2 2 2 2 2" xfId="27746"/>
    <cellStyle name="표준 7 2 2 2 2 2 2 2 2 3" xfId="16610"/>
    <cellStyle name="표준 7 2 2 2 2 2 2 2 2 3 2" xfId="33314"/>
    <cellStyle name="표준 7 2 2 2 2 2 2 2 2 4" xfId="22178"/>
    <cellStyle name="표준 7 2 2 2 2 2 2 2 3" xfId="8258"/>
    <cellStyle name="표준 7 2 2 2 2 2 2 2 3 2" xfId="24962"/>
    <cellStyle name="표준 7 2 2 2 2 2 2 2 4" xfId="13826"/>
    <cellStyle name="표준 7 2 2 2 2 2 2 2 4 2" xfId="30530"/>
    <cellStyle name="표준 7 2 2 2 2 2 2 2 5" xfId="19394"/>
    <cellStyle name="표준 7 2 2 2 2 2 2 3" xfId="4082"/>
    <cellStyle name="표준 7 2 2 2 2 2 2 3 2" xfId="9650"/>
    <cellStyle name="표준 7 2 2 2 2 2 2 3 2 2" xfId="26354"/>
    <cellStyle name="표준 7 2 2 2 2 2 2 3 3" xfId="15218"/>
    <cellStyle name="표준 7 2 2 2 2 2 2 3 3 2" xfId="31922"/>
    <cellStyle name="표준 7 2 2 2 2 2 2 3 4" xfId="20786"/>
    <cellStyle name="표준 7 2 2 2 2 2 2 4" xfId="6866"/>
    <cellStyle name="표준 7 2 2 2 2 2 2 4 2" xfId="23570"/>
    <cellStyle name="표준 7 2 2 2 2 2 2 5" xfId="12434"/>
    <cellStyle name="표준 7 2 2 2 2 2 2 5 2" xfId="29138"/>
    <cellStyle name="표준 7 2 2 2 2 2 2 6" xfId="18002"/>
    <cellStyle name="표준 7 2 2 2 2 2 3" xfId="1994"/>
    <cellStyle name="표준 7 2 2 2 2 2 3 2" xfId="4778"/>
    <cellStyle name="표준 7 2 2 2 2 2 3 2 2" xfId="10346"/>
    <cellStyle name="표준 7 2 2 2 2 2 3 2 2 2" xfId="27050"/>
    <cellStyle name="표준 7 2 2 2 2 2 3 2 3" xfId="15914"/>
    <cellStyle name="표준 7 2 2 2 2 2 3 2 3 2" xfId="32618"/>
    <cellStyle name="표준 7 2 2 2 2 2 3 2 4" xfId="21482"/>
    <cellStyle name="표준 7 2 2 2 2 2 3 3" xfId="7562"/>
    <cellStyle name="표준 7 2 2 2 2 2 3 3 2" xfId="24266"/>
    <cellStyle name="표준 7 2 2 2 2 2 3 4" xfId="13130"/>
    <cellStyle name="표준 7 2 2 2 2 2 3 4 2" xfId="29834"/>
    <cellStyle name="표준 7 2 2 2 2 2 3 5" xfId="18698"/>
    <cellStyle name="표준 7 2 2 2 2 2 4" xfId="3386"/>
    <cellStyle name="표준 7 2 2 2 2 2 4 2" xfId="8954"/>
    <cellStyle name="표준 7 2 2 2 2 2 4 2 2" xfId="25658"/>
    <cellStyle name="표준 7 2 2 2 2 2 4 3" xfId="14522"/>
    <cellStyle name="표준 7 2 2 2 2 2 4 3 2" xfId="31226"/>
    <cellStyle name="표준 7 2 2 2 2 2 4 4" xfId="20090"/>
    <cellStyle name="표준 7 2 2 2 2 2 5" xfId="6170"/>
    <cellStyle name="표준 7 2 2 2 2 2 5 2" xfId="22874"/>
    <cellStyle name="표준 7 2 2 2 2 2 6" xfId="11738"/>
    <cellStyle name="표준 7 2 2 2 2 2 6 2" xfId="28442"/>
    <cellStyle name="표준 7 2 2 2 2 2 7" xfId="17306"/>
    <cellStyle name="표준 7 2 2 2 2 3" xfId="834"/>
    <cellStyle name="표준 7 2 2 2 2 3 2" xfId="1530"/>
    <cellStyle name="표준 7 2 2 2 2 3 2 2" xfId="2922"/>
    <cellStyle name="표준 7 2 2 2 2 3 2 2 2" xfId="5706"/>
    <cellStyle name="표준 7 2 2 2 2 3 2 2 2 2" xfId="11274"/>
    <cellStyle name="표준 7 2 2 2 2 3 2 2 2 2 2" xfId="27978"/>
    <cellStyle name="표준 7 2 2 2 2 3 2 2 2 3" xfId="16842"/>
    <cellStyle name="표준 7 2 2 2 2 3 2 2 2 3 2" xfId="33546"/>
    <cellStyle name="표준 7 2 2 2 2 3 2 2 2 4" xfId="22410"/>
    <cellStyle name="표준 7 2 2 2 2 3 2 2 3" xfId="8490"/>
    <cellStyle name="표준 7 2 2 2 2 3 2 2 3 2" xfId="25194"/>
    <cellStyle name="표준 7 2 2 2 2 3 2 2 4" xfId="14058"/>
    <cellStyle name="표준 7 2 2 2 2 3 2 2 4 2" xfId="30762"/>
    <cellStyle name="표준 7 2 2 2 2 3 2 2 5" xfId="19626"/>
    <cellStyle name="표준 7 2 2 2 2 3 2 3" xfId="4314"/>
    <cellStyle name="표준 7 2 2 2 2 3 2 3 2" xfId="9882"/>
    <cellStyle name="표준 7 2 2 2 2 3 2 3 2 2" xfId="26586"/>
    <cellStyle name="표준 7 2 2 2 2 3 2 3 3" xfId="15450"/>
    <cellStyle name="표준 7 2 2 2 2 3 2 3 3 2" xfId="32154"/>
    <cellStyle name="표준 7 2 2 2 2 3 2 3 4" xfId="21018"/>
    <cellStyle name="표준 7 2 2 2 2 3 2 4" xfId="7098"/>
    <cellStyle name="표준 7 2 2 2 2 3 2 4 2" xfId="23802"/>
    <cellStyle name="표준 7 2 2 2 2 3 2 5" xfId="12666"/>
    <cellStyle name="표준 7 2 2 2 2 3 2 5 2" xfId="29370"/>
    <cellStyle name="표준 7 2 2 2 2 3 2 6" xfId="18234"/>
    <cellStyle name="표준 7 2 2 2 2 3 3" xfId="2226"/>
    <cellStyle name="표준 7 2 2 2 2 3 3 2" xfId="5010"/>
    <cellStyle name="표준 7 2 2 2 2 3 3 2 2" xfId="10578"/>
    <cellStyle name="표준 7 2 2 2 2 3 3 2 2 2" xfId="27282"/>
    <cellStyle name="표준 7 2 2 2 2 3 3 2 3" xfId="16146"/>
    <cellStyle name="표준 7 2 2 2 2 3 3 2 3 2" xfId="32850"/>
    <cellStyle name="표준 7 2 2 2 2 3 3 2 4" xfId="21714"/>
    <cellStyle name="표준 7 2 2 2 2 3 3 3" xfId="7794"/>
    <cellStyle name="표준 7 2 2 2 2 3 3 3 2" xfId="24498"/>
    <cellStyle name="표준 7 2 2 2 2 3 3 4" xfId="13362"/>
    <cellStyle name="표준 7 2 2 2 2 3 3 4 2" xfId="30066"/>
    <cellStyle name="표준 7 2 2 2 2 3 3 5" xfId="18930"/>
    <cellStyle name="표준 7 2 2 2 2 3 4" xfId="3618"/>
    <cellStyle name="표준 7 2 2 2 2 3 4 2" xfId="9186"/>
    <cellStyle name="표준 7 2 2 2 2 3 4 2 2" xfId="25890"/>
    <cellStyle name="표준 7 2 2 2 2 3 4 3" xfId="14754"/>
    <cellStyle name="표준 7 2 2 2 2 3 4 3 2" xfId="31458"/>
    <cellStyle name="표준 7 2 2 2 2 3 4 4" xfId="20322"/>
    <cellStyle name="표준 7 2 2 2 2 3 5" xfId="6402"/>
    <cellStyle name="표준 7 2 2 2 2 3 5 2" xfId="23106"/>
    <cellStyle name="표준 7 2 2 2 2 3 6" xfId="11970"/>
    <cellStyle name="표준 7 2 2 2 2 3 6 2" xfId="28674"/>
    <cellStyle name="표준 7 2 2 2 2 3 7" xfId="17538"/>
    <cellStyle name="표준 7 2 2 2 2 4" xfId="1066"/>
    <cellStyle name="표준 7 2 2 2 2 4 2" xfId="2458"/>
    <cellStyle name="표준 7 2 2 2 2 4 2 2" xfId="5242"/>
    <cellStyle name="표준 7 2 2 2 2 4 2 2 2" xfId="10810"/>
    <cellStyle name="표준 7 2 2 2 2 4 2 2 2 2" xfId="27514"/>
    <cellStyle name="표준 7 2 2 2 2 4 2 2 3" xfId="16378"/>
    <cellStyle name="표준 7 2 2 2 2 4 2 2 3 2" xfId="33082"/>
    <cellStyle name="표준 7 2 2 2 2 4 2 2 4" xfId="21946"/>
    <cellStyle name="표준 7 2 2 2 2 4 2 3" xfId="8026"/>
    <cellStyle name="표준 7 2 2 2 2 4 2 3 2" xfId="24730"/>
    <cellStyle name="표준 7 2 2 2 2 4 2 4" xfId="13594"/>
    <cellStyle name="표준 7 2 2 2 2 4 2 4 2" xfId="30298"/>
    <cellStyle name="표준 7 2 2 2 2 4 2 5" xfId="19162"/>
    <cellStyle name="표준 7 2 2 2 2 4 3" xfId="3850"/>
    <cellStyle name="표준 7 2 2 2 2 4 3 2" xfId="9418"/>
    <cellStyle name="표준 7 2 2 2 2 4 3 2 2" xfId="26122"/>
    <cellStyle name="표준 7 2 2 2 2 4 3 3" xfId="14986"/>
    <cellStyle name="표준 7 2 2 2 2 4 3 3 2" xfId="31690"/>
    <cellStyle name="표준 7 2 2 2 2 4 3 4" xfId="20554"/>
    <cellStyle name="표준 7 2 2 2 2 4 4" xfId="6634"/>
    <cellStyle name="표준 7 2 2 2 2 4 4 2" xfId="23338"/>
    <cellStyle name="표준 7 2 2 2 2 4 5" xfId="12202"/>
    <cellStyle name="표준 7 2 2 2 2 4 5 2" xfId="28906"/>
    <cellStyle name="표준 7 2 2 2 2 4 6" xfId="17770"/>
    <cellStyle name="표준 7 2 2 2 2 5" xfId="1762"/>
    <cellStyle name="표준 7 2 2 2 2 5 2" xfId="4546"/>
    <cellStyle name="표준 7 2 2 2 2 5 2 2" xfId="10114"/>
    <cellStyle name="표준 7 2 2 2 2 5 2 2 2" xfId="26818"/>
    <cellStyle name="표준 7 2 2 2 2 5 2 3" xfId="15682"/>
    <cellStyle name="표준 7 2 2 2 2 5 2 3 2" xfId="32386"/>
    <cellStyle name="표준 7 2 2 2 2 5 2 4" xfId="21250"/>
    <cellStyle name="표준 7 2 2 2 2 5 3" xfId="7330"/>
    <cellStyle name="표준 7 2 2 2 2 5 3 2" xfId="24034"/>
    <cellStyle name="표준 7 2 2 2 2 5 4" xfId="12898"/>
    <cellStyle name="표준 7 2 2 2 2 5 4 2" xfId="29602"/>
    <cellStyle name="표준 7 2 2 2 2 5 5" xfId="18466"/>
    <cellStyle name="표준 7 2 2 2 2 6" xfId="3154"/>
    <cellStyle name="표준 7 2 2 2 2 6 2" xfId="8722"/>
    <cellStyle name="표준 7 2 2 2 2 6 2 2" xfId="25426"/>
    <cellStyle name="표준 7 2 2 2 2 6 3" xfId="14290"/>
    <cellStyle name="표준 7 2 2 2 2 6 3 2" xfId="30994"/>
    <cellStyle name="표준 7 2 2 2 2 6 4" xfId="19858"/>
    <cellStyle name="표준 7 2 2 2 2 7" xfId="5938"/>
    <cellStyle name="표준 7 2 2 2 2 7 2" xfId="22642"/>
    <cellStyle name="표준 7 2 2 2 2 8" xfId="11506"/>
    <cellStyle name="표준 7 2 2 2 2 8 2" xfId="28210"/>
    <cellStyle name="표준 7 2 2 2 2 9" xfId="17074"/>
    <cellStyle name="표준 7 2 2 2 3" xfId="486"/>
    <cellStyle name="표준 7 2 2 2 3 2" xfId="1182"/>
    <cellStyle name="표준 7 2 2 2 3 2 2" xfId="2574"/>
    <cellStyle name="표준 7 2 2 2 3 2 2 2" xfId="5358"/>
    <cellStyle name="표준 7 2 2 2 3 2 2 2 2" xfId="10926"/>
    <cellStyle name="표준 7 2 2 2 3 2 2 2 2 2" xfId="27630"/>
    <cellStyle name="표준 7 2 2 2 3 2 2 2 3" xfId="16494"/>
    <cellStyle name="표준 7 2 2 2 3 2 2 2 3 2" xfId="33198"/>
    <cellStyle name="표준 7 2 2 2 3 2 2 2 4" xfId="22062"/>
    <cellStyle name="표준 7 2 2 2 3 2 2 3" xfId="8142"/>
    <cellStyle name="표준 7 2 2 2 3 2 2 3 2" xfId="24846"/>
    <cellStyle name="표준 7 2 2 2 3 2 2 4" xfId="13710"/>
    <cellStyle name="표준 7 2 2 2 3 2 2 4 2" xfId="30414"/>
    <cellStyle name="표준 7 2 2 2 3 2 2 5" xfId="19278"/>
    <cellStyle name="표준 7 2 2 2 3 2 3" xfId="3966"/>
    <cellStyle name="표준 7 2 2 2 3 2 3 2" xfId="9534"/>
    <cellStyle name="표준 7 2 2 2 3 2 3 2 2" xfId="26238"/>
    <cellStyle name="표준 7 2 2 2 3 2 3 3" xfId="15102"/>
    <cellStyle name="표준 7 2 2 2 3 2 3 3 2" xfId="31806"/>
    <cellStyle name="표준 7 2 2 2 3 2 3 4" xfId="20670"/>
    <cellStyle name="표준 7 2 2 2 3 2 4" xfId="6750"/>
    <cellStyle name="표준 7 2 2 2 3 2 4 2" xfId="23454"/>
    <cellStyle name="표준 7 2 2 2 3 2 5" xfId="12318"/>
    <cellStyle name="표준 7 2 2 2 3 2 5 2" xfId="29022"/>
    <cellStyle name="표준 7 2 2 2 3 2 6" xfId="17886"/>
    <cellStyle name="표준 7 2 2 2 3 3" xfId="1878"/>
    <cellStyle name="표준 7 2 2 2 3 3 2" xfId="4662"/>
    <cellStyle name="표준 7 2 2 2 3 3 2 2" xfId="10230"/>
    <cellStyle name="표준 7 2 2 2 3 3 2 2 2" xfId="26934"/>
    <cellStyle name="표준 7 2 2 2 3 3 2 3" xfId="15798"/>
    <cellStyle name="표준 7 2 2 2 3 3 2 3 2" xfId="32502"/>
    <cellStyle name="표준 7 2 2 2 3 3 2 4" xfId="21366"/>
    <cellStyle name="표준 7 2 2 2 3 3 3" xfId="7446"/>
    <cellStyle name="표준 7 2 2 2 3 3 3 2" xfId="24150"/>
    <cellStyle name="표준 7 2 2 2 3 3 4" xfId="13014"/>
    <cellStyle name="표준 7 2 2 2 3 3 4 2" xfId="29718"/>
    <cellStyle name="표준 7 2 2 2 3 3 5" xfId="18582"/>
    <cellStyle name="표준 7 2 2 2 3 4" xfId="3270"/>
    <cellStyle name="표준 7 2 2 2 3 4 2" xfId="8838"/>
    <cellStyle name="표준 7 2 2 2 3 4 2 2" xfId="25542"/>
    <cellStyle name="표준 7 2 2 2 3 4 3" xfId="14406"/>
    <cellStyle name="표준 7 2 2 2 3 4 3 2" xfId="31110"/>
    <cellStyle name="표준 7 2 2 2 3 4 4" xfId="19974"/>
    <cellStyle name="표준 7 2 2 2 3 5" xfId="6054"/>
    <cellStyle name="표준 7 2 2 2 3 5 2" xfId="22758"/>
    <cellStyle name="표준 7 2 2 2 3 6" xfId="11622"/>
    <cellStyle name="표준 7 2 2 2 3 6 2" xfId="28326"/>
    <cellStyle name="표준 7 2 2 2 3 7" xfId="17190"/>
    <cellStyle name="표준 7 2 2 2 4" xfId="718"/>
    <cellStyle name="표준 7 2 2 2 4 2" xfId="1414"/>
    <cellStyle name="표준 7 2 2 2 4 2 2" xfId="2806"/>
    <cellStyle name="표준 7 2 2 2 4 2 2 2" xfId="5590"/>
    <cellStyle name="표준 7 2 2 2 4 2 2 2 2" xfId="11158"/>
    <cellStyle name="표준 7 2 2 2 4 2 2 2 2 2" xfId="27862"/>
    <cellStyle name="표준 7 2 2 2 4 2 2 2 3" xfId="16726"/>
    <cellStyle name="표준 7 2 2 2 4 2 2 2 3 2" xfId="33430"/>
    <cellStyle name="표준 7 2 2 2 4 2 2 2 4" xfId="22294"/>
    <cellStyle name="표준 7 2 2 2 4 2 2 3" xfId="8374"/>
    <cellStyle name="표준 7 2 2 2 4 2 2 3 2" xfId="25078"/>
    <cellStyle name="표준 7 2 2 2 4 2 2 4" xfId="13942"/>
    <cellStyle name="표준 7 2 2 2 4 2 2 4 2" xfId="30646"/>
    <cellStyle name="표준 7 2 2 2 4 2 2 5" xfId="19510"/>
    <cellStyle name="표준 7 2 2 2 4 2 3" xfId="4198"/>
    <cellStyle name="표준 7 2 2 2 4 2 3 2" xfId="9766"/>
    <cellStyle name="표준 7 2 2 2 4 2 3 2 2" xfId="26470"/>
    <cellStyle name="표준 7 2 2 2 4 2 3 3" xfId="15334"/>
    <cellStyle name="표준 7 2 2 2 4 2 3 3 2" xfId="32038"/>
    <cellStyle name="표준 7 2 2 2 4 2 3 4" xfId="20902"/>
    <cellStyle name="표준 7 2 2 2 4 2 4" xfId="6982"/>
    <cellStyle name="표준 7 2 2 2 4 2 4 2" xfId="23686"/>
    <cellStyle name="표준 7 2 2 2 4 2 5" xfId="12550"/>
    <cellStyle name="표준 7 2 2 2 4 2 5 2" xfId="29254"/>
    <cellStyle name="표준 7 2 2 2 4 2 6" xfId="18118"/>
    <cellStyle name="표준 7 2 2 2 4 3" xfId="2110"/>
    <cellStyle name="표준 7 2 2 2 4 3 2" xfId="4894"/>
    <cellStyle name="표준 7 2 2 2 4 3 2 2" xfId="10462"/>
    <cellStyle name="표준 7 2 2 2 4 3 2 2 2" xfId="27166"/>
    <cellStyle name="표준 7 2 2 2 4 3 2 3" xfId="16030"/>
    <cellStyle name="표준 7 2 2 2 4 3 2 3 2" xfId="32734"/>
    <cellStyle name="표준 7 2 2 2 4 3 2 4" xfId="21598"/>
    <cellStyle name="표준 7 2 2 2 4 3 3" xfId="7678"/>
    <cellStyle name="표준 7 2 2 2 4 3 3 2" xfId="24382"/>
    <cellStyle name="표준 7 2 2 2 4 3 4" xfId="13246"/>
    <cellStyle name="표준 7 2 2 2 4 3 4 2" xfId="29950"/>
    <cellStyle name="표준 7 2 2 2 4 3 5" xfId="18814"/>
    <cellStyle name="표준 7 2 2 2 4 4" xfId="3502"/>
    <cellStyle name="표준 7 2 2 2 4 4 2" xfId="9070"/>
    <cellStyle name="표준 7 2 2 2 4 4 2 2" xfId="25774"/>
    <cellStyle name="표준 7 2 2 2 4 4 3" xfId="14638"/>
    <cellStyle name="표준 7 2 2 2 4 4 3 2" xfId="31342"/>
    <cellStyle name="표준 7 2 2 2 4 4 4" xfId="20206"/>
    <cellStyle name="표준 7 2 2 2 4 5" xfId="6286"/>
    <cellStyle name="표준 7 2 2 2 4 5 2" xfId="22990"/>
    <cellStyle name="표준 7 2 2 2 4 6" xfId="11854"/>
    <cellStyle name="표준 7 2 2 2 4 6 2" xfId="28558"/>
    <cellStyle name="표준 7 2 2 2 4 7" xfId="17422"/>
    <cellStyle name="표준 7 2 2 2 5" xfId="950"/>
    <cellStyle name="표준 7 2 2 2 5 2" xfId="2342"/>
    <cellStyle name="표준 7 2 2 2 5 2 2" xfId="5126"/>
    <cellStyle name="표준 7 2 2 2 5 2 2 2" xfId="10694"/>
    <cellStyle name="표준 7 2 2 2 5 2 2 2 2" xfId="27398"/>
    <cellStyle name="표준 7 2 2 2 5 2 2 3" xfId="16262"/>
    <cellStyle name="표준 7 2 2 2 5 2 2 3 2" xfId="32966"/>
    <cellStyle name="표준 7 2 2 2 5 2 2 4" xfId="21830"/>
    <cellStyle name="표준 7 2 2 2 5 2 3" xfId="7910"/>
    <cellStyle name="표준 7 2 2 2 5 2 3 2" xfId="24614"/>
    <cellStyle name="표준 7 2 2 2 5 2 4" xfId="13478"/>
    <cellStyle name="표준 7 2 2 2 5 2 4 2" xfId="30182"/>
    <cellStyle name="표준 7 2 2 2 5 2 5" xfId="19046"/>
    <cellStyle name="표준 7 2 2 2 5 3" xfId="3734"/>
    <cellStyle name="표준 7 2 2 2 5 3 2" xfId="9302"/>
    <cellStyle name="표준 7 2 2 2 5 3 2 2" xfId="26006"/>
    <cellStyle name="표준 7 2 2 2 5 3 3" xfId="14870"/>
    <cellStyle name="표준 7 2 2 2 5 3 3 2" xfId="31574"/>
    <cellStyle name="표준 7 2 2 2 5 3 4" xfId="20438"/>
    <cellStyle name="표준 7 2 2 2 5 4" xfId="6518"/>
    <cellStyle name="표준 7 2 2 2 5 4 2" xfId="23222"/>
    <cellStyle name="표준 7 2 2 2 5 5" xfId="12086"/>
    <cellStyle name="표준 7 2 2 2 5 5 2" xfId="28790"/>
    <cellStyle name="표준 7 2 2 2 5 6" xfId="17654"/>
    <cellStyle name="표준 7 2 2 2 6" xfId="1646"/>
    <cellStyle name="표준 7 2 2 2 6 2" xfId="4430"/>
    <cellStyle name="표준 7 2 2 2 6 2 2" xfId="9998"/>
    <cellStyle name="표준 7 2 2 2 6 2 2 2" xfId="26702"/>
    <cellStyle name="표준 7 2 2 2 6 2 3" xfId="15566"/>
    <cellStyle name="표준 7 2 2 2 6 2 3 2" xfId="32270"/>
    <cellStyle name="표준 7 2 2 2 6 2 4" xfId="21134"/>
    <cellStyle name="표준 7 2 2 2 6 3" xfId="7214"/>
    <cellStyle name="표준 7 2 2 2 6 3 2" xfId="23918"/>
    <cellStyle name="표준 7 2 2 2 6 4" xfId="12782"/>
    <cellStyle name="표준 7 2 2 2 6 4 2" xfId="29486"/>
    <cellStyle name="표준 7 2 2 2 6 5" xfId="18350"/>
    <cellStyle name="표준 7 2 2 2 7" xfId="3038"/>
    <cellStyle name="표준 7 2 2 2 7 2" xfId="8606"/>
    <cellStyle name="표준 7 2 2 2 7 2 2" xfId="25310"/>
    <cellStyle name="표준 7 2 2 2 7 3" xfId="14174"/>
    <cellStyle name="표준 7 2 2 2 7 3 2" xfId="30878"/>
    <cellStyle name="표준 7 2 2 2 7 4" xfId="19742"/>
    <cellStyle name="표준 7 2 2 2 8" xfId="5822"/>
    <cellStyle name="표준 7 2 2 2 8 2" xfId="22526"/>
    <cellStyle name="표준 7 2 2 2 9" xfId="11390"/>
    <cellStyle name="표준 7 2 2 2 9 2" xfId="28094"/>
    <cellStyle name="표준 7 2 2 3" xfId="312"/>
    <cellStyle name="표준 7 2 2 3 2" xfId="544"/>
    <cellStyle name="표준 7 2 2 3 2 2" xfId="1240"/>
    <cellStyle name="표준 7 2 2 3 2 2 2" xfId="2632"/>
    <cellStyle name="표준 7 2 2 3 2 2 2 2" xfId="5416"/>
    <cellStyle name="표준 7 2 2 3 2 2 2 2 2" xfId="10984"/>
    <cellStyle name="표준 7 2 2 3 2 2 2 2 2 2" xfId="27688"/>
    <cellStyle name="표준 7 2 2 3 2 2 2 2 3" xfId="16552"/>
    <cellStyle name="표준 7 2 2 3 2 2 2 2 3 2" xfId="33256"/>
    <cellStyle name="표준 7 2 2 3 2 2 2 2 4" xfId="22120"/>
    <cellStyle name="표준 7 2 2 3 2 2 2 3" xfId="8200"/>
    <cellStyle name="표준 7 2 2 3 2 2 2 3 2" xfId="24904"/>
    <cellStyle name="표준 7 2 2 3 2 2 2 4" xfId="13768"/>
    <cellStyle name="표준 7 2 2 3 2 2 2 4 2" xfId="30472"/>
    <cellStyle name="표준 7 2 2 3 2 2 2 5" xfId="19336"/>
    <cellStyle name="표준 7 2 2 3 2 2 3" xfId="4024"/>
    <cellStyle name="표준 7 2 2 3 2 2 3 2" xfId="9592"/>
    <cellStyle name="표준 7 2 2 3 2 2 3 2 2" xfId="26296"/>
    <cellStyle name="표준 7 2 2 3 2 2 3 3" xfId="15160"/>
    <cellStyle name="표준 7 2 2 3 2 2 3 3 2" xfId="31864"/>
    <cellStyle name="표준 7 2 2 3 2 2 3 4" xfId="20728"/>
    <cellStyle name="표준 7 2 2 3 2 2 4" xfId="6808"/>
    <cellStyle name="표준 7 2 2 3 2 2 4 2" xfId="23512"/>
    <cellStyle name="표준 7 2 2 3 2 2 5" xfId="12376"/>
    <cellStyle name="표준 7 2 2 3 2 2 5 2" xfId="29080"/>
    <cellStyle name="표준 7 2 2 3 2 2 6" xfId="17944"/>
    <cellStyle name="표준 7 2 2 3 2 3" xfId="1936"/>
    <cellStyle name="표준 7 2 2 3 2 3 2" xfId="4720"/>
    <cellStyle name="표준 7 2 2 3 2 3 2 2" xfId="10288"/>
    <cellStyle name="표준 7 2 2 3 2 3 2 2 2" xfId="26992"/>
    <cellStyle name="표준 7 2 2 3 2 3 2 3" xfId="15856"/>
    <cellStyle name="표준 7 2 2 3 2 3 2 3 2" xfId="32560"/>
    <cellStyle name="표준 7 2 2 3 2 3 2 4" xfId="21424"/>
    <cellStyle name="표준 7 2 2 3 2 3 3" xfId="7504"/>
    <cellStyle name="표준 7 2 2 3 2 3 3 2" xfId="24208"/>
    <cellStyle name="표준 7 2 2 3 2 3 4" xfId="13072"/>
    <cellStyle name="표준 7 2 2 3 2 3 4 2" xfId="29776"/>
    <cellStyle name="표준 7 2 2 3 2 3 5" xfId="18640"/>
    <cellStyle name="표준 7 2 2 3 2 4" xfId="3328"/>
    <cellStyle name="표준 7 2 2 3 2 4 2" xfId="8896"/>
    <cellStyle name="표준 7 2 2 3 2 4 2 2" xfId="25600"/>
    <cellStyle name="표준 7 2 2 3 2 4 3" xfId="14464"/>
    <cellStyle name="표준 7 2 2 3 2 4 3 2" xfId="31168"/>
    <cellStyle name="표준 7 2 2 3 2 4 4" xfId="20032"/>
    <cellStyle name="표준 7 2 2 3 2 5" xfId="6112"/>
    <cellStyle name="표준 7 2 2 3 2 5 2" xfId="22816"/>
    <cellStyle name="표준 7 2 2 3 2 6" xfId="11680"/>
    <cellStyle name="표준 7 2 2 3 2 6 2" xfId="28384"/>
    <cellStyle name="표준 7 2 2 3 2 7" xfId="17248"/>
    <cellStyle name="표준 7 2 2 3 3" xfId="776"/>
    <cellStyle name="표준 7 2 2 3 3 2" xfId="1472"/>
    <cellStyle name="표준 7 2 2 3 3 2 2" xfId="2864"/>
    <cellStyle name="표준 7 2 2 3 3 2 2 2" xfId="5648"/>
    <cellStyle name="표준 7 2 2 3 3 2 2 2 2" xfId="11216"/>
    <cellStyle name="표준 7 2 2 3 3 2 2 2 2 2" xfId="27920"/>
    <cellStyle name="표준 7 2 2 3 3 2 2 2 3" xfId="16784"/>
    <cellStyle name="표준 7 2 2 3 3 2 2 2 3 2" xfId="33488"/>
    <cellStyle name="표준 7 2 2 3 3 2 2 2 4" xfId="22352"/>
    <cellStyle name="표준 7 2 2 3 3 2 2 3" xfId="8432"/>
    <cellStyle name="표준 7 2 2 3 3 2 2 3 2" xfId="25136"/>
    <cellStyle name="표준 7 2 2 3 3 2 2 4" xfId="14000"/>
    <cellStyle name="표준 7 2 2 3 3 2 2 4 2" xfId="30704"/>
    <cellStyle name="표준 7 2 2 3 3 2 2 5" xfId="19568"/>
    <cellStyle name="표준 7 2 2 3 3 2 3" xfId="4256"/>
    <cellStyle name="표준 7 2 2 3 3 2 3 2" xfId="9824"/>
    <cellStyle name="표준 7 2 2 3 3 2 3 2 2" xfId="26528"/>
    <cellStyle name="표준 7 2 2 3 3 2 3 3" xfId="15392"/>
    <cellStyle name="표준 7 2 2 3 3 2 3 3 2" xfId="32096"/>
    <cellStyle name="표준 7 2 2 3 3 2 3 4" xfId="20960"/>
    <cellStyle name="표준 7 2 2 3 3 2 4" xfId="7040"/>
    <cellStyle name="표준 7 2 2 3 3 2 4 2" xfId="23744"/>
    <cellStyle name="표준 7 2 2 3 3 2 5" xfId="12608"/>
    <cellStyle name="표준 7 2 2 3 3 2 5 2" xfId="29312"/>
    <cellStyle name="표준 7 2 2 3 3 2 6" xfId="18176"/>
    <cellStyle name="표준 7 2 2 3 3 3" xfId="2168"/>
    <cellStyle name="표준 7 2 2 3 3 3 2" xfId="4952"/>
    <cellStyle name="표준 7 2 2 3 3 3 2 2" xfId="10520"/>
    <cellStyle name="표준 7 2 2 3 3 3 2 2 2" xfId="27224"/>
    <cellStyle name="표준 7 2 2 3 3 3 2 3" xfId="16088"/>
    <cellStyle name="표준 7 2 2 3 3 3 2 3 2" xfId="32792"/>
    <cellStyle name="표준 7 2 2 3 3 3 2 4" xfId="21656"/>
    <cellStyle name="표준 7 2 2 3 3 3 3" xfId="7736"/>
    <cellStyle name="표준 7 2 2 3 3 3 3 2" xfId="24440"/>
    <cellStyle name="표준 7 2 2 3 3 3 4" xfId="13304"/>
    <cellStyle name="표준 7 2 2 3 3 3 4 2" xfId="30008"/>
    <cellStyle name="표준 7 2 2 3 3 3 5" xfId="18872"/>
    <cellStyle name="표준 7 2 2 3 3 4" xfId="3560"/>
    <cellStyle name="표준 7 2 2 3 3 4 2" xfId="9128"/>
    <cellStyle name="표준 7 2 2 3 3 4 2 2" xfId="25832"/>
    <cellStyle name="표준 7 2 2 3 3 4 3" xfId="14696"/>
    <cellStyle name="표준 7 2 2 3 3 4 3 2" xfId="31400"/>
    <cellStyle name="표준 7 2 2 3 3 4 4" xfId="20264"/>
    <cellStyle name="표준 7 2 2 3 3 5" xfId="6344"/>
    <cellStyle name="표준 7 2 2 3 3 5 2" xfId="23048"/>
    <cellStyle name="표준 7 2 2 3 3 6" xfId="11912"/>
    <cellStyle name="표준 7 2 2 3 3 6 2" xfId="28616"/>
    <cellStyle name="표준 7 2 2 3 3 7" xfId="17480"/>
    <cellStyle name="표준 7 2 2 3 4" xfId="1008"/>
    <cellStyle name="표준 7 2 2 3 4 2" xfId="2400"/>
    <cellStyle name="표준 7 2 2 3 4 2 2" xfId="5184"/>
    <cellStyle name="표준 7 2 2 3 4 2 2 2" xfId="10752"/>
    <cellStyle name="표준 7 2 2 3 4 2 2 2 2" xfId="27456"/>
    <cellStyle name="표준 7 2 2 3 4 2 2 3" xfId="16320"/>
    <cellStyle name="표준 7 2 2 3 4 2 2 3 2" xfId="33024"/>
    <cellStyle name="표준 7 2 2 3 4 2 2 4" xfId="21888"/>
    <cellStyle name="표준 7 2 2 3 4 2 3" xfId="7968"/>
    <cellStyle name="표준 7 2 2 3 4 2 3 2" xfId="24672"/>
    <cellStyle name="표준 7 2 2 3 4 2 4" xfId="13536"/>
    <cellStyle name="표준 7 2 2 3 4 2 4 2" xfId="30240"/>
    <cellStyle name="표준 7 2 2 3 4 2 5" xfId="19104"/>
    <cellStyle name="표준 7 2 2 3 4 3" xfId="3792"/>
    <cellStyle name="표준 7 2 2 3 4 3 2" xfId="9360"/>
    <cellStyle name="표준 7 2 2 3 4 3 2 2" xfId="26064"/>
    <cellStyle name="표준 7 2 2 3 4 3 3" xfId="14928"/>
    <cellStyle name="표준 7 2 2 3 4 3 3 2" xfId="31632"/>
    <cellStyle name="표준 7 2 2 3 4 3 4" xfId="20496"/>
    <cellStyle name="표준 7 2 2 3 4 4" xfId="6576"/>
    <cellStyle name="표준 7 2 2 3 4 4 2" xfId="23280"/>
    <cellStyle name="표준 7 2 2 3 4 5" xfId="12144"/>
    <cellStyle name="표준 7 2 2 3 4 5 2" xfId="28848"/>
    <cellStyle name="표준 7 2 2 3 4 6" xfId="17712"/>
    <cellStyle name="표준 7 2 2 3 5" xfId="1704"/>
    <cellStyle name="표준 7 2 2 3 5 2" xfId="4488"/>
    <cellStyle name="표준 7 2 2 3 5 2 2" xfId="10056"/>
    <cellStyle name="표준 7 2 2 3 5 2 2 2" xfId="26760"/>
    <cellStyle name="표준 7 2 2 3 5 2 3" xfId="15624"/>
    <cellStyle name="표준 7 2 2 3 5 2 3 2" xfId="32328"/>
    <cellStyle name="표준 7 2 2 3 5 2 4" xfId="21192"/>
    <cellStyle name="표준 7 2 2 3 5 3" xfId="7272"/>
    <cellStyle name="표준 7 2 2 3 5 3 2" xfId="23976"/>
    <cellStyle name="표준 7 2 2 3 5 4" xfId="12840"/>
    <cellStyle name="표준 7 2 2 3 5 4 2" xfId="29544"/>
    <cellStyle name="표준 7 2 2 3 5 5" xfId="18408"/>
    <cellStyle name="표준 7 2 2 3 6" xfId="3096"/>
    <cellStyle name="표준 7 2 2 3 6 2" xfId="8664"/>
    <cellStyle name="표준 7 2 2 3 6 2 2" xfId="25368"/>
    <cellStyle name="표준 7 2 2 3 6 3" xfId="14232"/>
    <cellStyle name="표준 7 2 2 3 6 3 2" xfId="30936"/>
    <cellStyle name="표준 7 2 2 3 6 4" xfId="19800"/>
    <cellStyle name="표준 7 2 2 3 7" xfId="5880"/>
    <cellStyle name="표준 7 2 2 3 7 2" xfId="22584"/>
    <cellStyle name="표준 7 2 2 3 8" xfId="11448"/>
    <cellStyle name="표준 7 2 2 3 8 2" xfId="28152"/>
    <cellStyle name="표준 7 2 2 3 9" xfId="17016"/>
    <cellStyle name="표준 7 2 2 4" xfId="428"/>
    <cellStyle name="표준 7 2 2 4 2" xfId="1124"/>
    <cellStyle name="표준 7 2 2 4 2 2" xfId="2516"/>
    <cellStyle name="표준 7 2 2 4 2 2 2" xfId="5300"/>
    <cellStyle name="표준 7 2 2 4 2 2 2 2" xfId="10868"/>
    <cellStyle name="표준 7 2 2 4 2 2 2 2 2" xfId="27572"/>
    <cellStyle name="표준 7 2 2 4 2 2 2 3" xfId="16436"/>
    <cellStyle name="표준 7 2 2 4 2 2 2 3 2" xfId="33140"/>
    <cellStyle name="표준 7 2 2 4 2 2 2 4" xfId="22004"/>
    <cellStyle name="표준 7 2 2 4 2 2 3" xfId="8084"/>
    <cellStyle name="표준 7 2 2 4 2 2 3 2" xfId="24788"/>
    <cellStyle name="표준 7 2 2 4 2 2 4" xfId="13652"/>
    <cellStyle name="표준 7 2 2 4 2 2 4 2" xfId="30356"/>
    <cellStyle name="표준 7 2 2 4 2 2 5" xfId="19220"/>
    <cellStyle name="표준 7 2 2 4 2 3" xfId="3908"/>
    <cellStyle name="표준 7 2 2 4 2 3 2" xfId="9476"/>
    <cellStyle name="표준 7 2 2 4 2 3 2 2" xfId="26180"/>
    <cellStyle name="표준 7 2 2 4 2 3 3" xfId="15044"/>
    <cellStyle name="표준 7 2 2 4 2 3 3 2" xfId="31748"/>
    <cellStyle name="표준 7 2 2 4 2 3 4" xfId="20612"/>
    <cellStyle name="표준 7 2 2 4 2 4" xfId="6692"/>
    <cellStyle name="표준 7 2 2 4 2 4 2" xfId="23396"/>
    <cellStyle name="표준 7 2 2 4 2 5" xfId="12260"/>
    <cellStyle name="표준 7 2 2 4 2 5 2" xfId="28964"/>
    <cellStyle name="표준 7 2 2 4 2 6" xfId="17828"/>
    <cellStyle name="표준 7 2 2 4 3" xfId="1820"/>
    <cellStyle name="표준 7 2 2 4 3 2" xfId="4604"/>
    <cellStyle name="표준 7 2 2 4 3 2 2" xfId="10172"/>
    <cellStyle name="표준 7 2 2 4 3 2 2 2" xfId="26876"/>
    <cellStyle name="표준 7 2 2 4 3 2 3" xfId="15740"/>
    <cellStyle name="표준 7 2 2 4 3 2 3 2" xfId="32444"/>
    <cellStyle name="표준 7 2 2 4 3 2 4" xfId="21308"/>
    <cellStyle name="표준 7 2 2 4 3 3" xfId="7388"/>
    <cellStyle name="표준 7 2 2 4 3 3 2" xfId="24092"/>
    <cellStyle name="표준 7 2 2 4 3 4" xfId="12956"/>
    <cellStyle name="표준 7 2 2 4 3 4 2" xfId="29660"/>
    <cellStyle name="표준 7 2 2 4 3 5" xfId="18524"/>
    <cellStyle name="표준 7 2 2 4 4" xfId="3212"/>
    <cellStyle name="표준 7 2 2 4 4 2" xfId="8780"/>
    <cellStyle name="표준 7 2 2 4 4 2 2" xfId="25484"/>
    <cellStyle name="표준 7 2 2 4 4 3" xfId="14348"/>
    <cellStyle name="표준 7 2 2 4 4 3 2" xfId="31052"/>
    <cellStyle name="표준 7 2 2 4 4 4" xfId="19916"/>
    <cellStyle name="표준 7 2 2 4 5" xfId="5996"/>
    <cellStyle name="표준 7 2 2 4 5 2" xfId="22700"/>
    <cellStyle name="표준 7 2 2 4 6" xfId="11564"/>
    <cellStyle name="표준 7 2 2 4 6 2" xfId="28268"/>
    <cellStyle name="표준 7 2 2 4 7" xfId="17132"/>
    <cellStyle name="표준 7 2 2 5" xfId="660"/>
    <cellStyle name="표준 7 2 2 5 2" xfId="1356"/>
    <cellStyle name="표준 7 2 2 5 2 2" xfId="2748"/>
    <cellStyle name="표준 7 2 2 5 2 2 2" xfId="5532"/>
    <cellStyle name="표준 7 2 2 5 2 2 2 2" xfId="11100"/>
    <cellStyle name="표준 7 2 2 5 2 2 2 2 2" xfId="27804"/>
    <cellStyle name="표준 7 2 2 5 2 2 2 3" xfId="16668"/>
    <cellStyle name="표준 7 2 2 5 2 2 2 3 2" xfId="33372"/>
    <cellStyle name="표준 7 2 2 5 2 2 2 4" xfId="22236"/>
    <cellStyle name="표준 7 2 2 5 2 2 3" xfId="8316"/>
    <cellStyle name="표준 7 2 2 5 2 2 3 2" xfId="25020"/>
    <cellStyle name="표준 7 2 2 5 2 2 4" xfId="13884"/>
    <cellStyle name="표준 7 2 2 5 2 2 4 2" xfId="30588"/>
    <cellStyle name="표준 7 2 2 5 2 2 5" xfId="19452"/>
    <cellStyle name="표준 7 2 2 5 2 3" xfId="4140"/>
    <cellStyle name="표준 7 2 2 5 2 3 2" xfId="9708"/>
    <cellStyle name="표준 7 2 2 5 2 3 2 2" xfId="26412"/>
    <cellStyle name="표준 7 2 2 5 2 3 3" xfId="15276"/>
    <cellStyle name="표준 7 2 2 5 2 3 3 2" xfId="31980"/>
    <cellStyle name="표준 7 2 2 5 2 3 4" xfId="20844"/>
    <cellStyle name="표준 7 2 2 5 2 4" xfId="6924"/>
    <cellStyle name="표준 7 2 2 5 2 4 2" xfId="23628"/>
    <cellStyle name="표준 7 2 2 5 2 5" xfId="12492"/>
    <cellStyle name="표준 7 2 2 5 2 5 2" xfId="29196"/>
    <cellStyle name="표준 7 2 2 5 2 6" xfId="18060"/>
    <cellStyle name="표준 7 2 2 5 3" xfId="2052"/>
    <cellStyle name="표준 7 2 2 5 3 2" xfId="4836"/>
    <cellStyle name="표준 7 2 2 5 3 2 2" xfId="10404"/>
    <cellStyle name="표준 7 2 2 5 3 2 2 2" xfId="27108"/>
    <cellStyle name="표준 7 2 2 5 3 2 3" xfId="15972"/>
    <cellStyle name="표준 7 2 2 5 3 2 3 2" xfId="32676"/>
    <cellStyle name="표준 7 2 2 5 3 2 4" xfId="21540"/>
    <cellStyle name="표준 7 2 2 5 3 3" xfId="7620"/>
    <cellStyle name="표준 7 2 2 5 3 3 2" xfId="24324"/>
    <cellStyle name="표준 7 2 2 5 3 4" xfId="13188"/>
    <cellStyle name="표준 7 2 2 5 3 4 2" xfId="29892"/>
    <cellStyle name="표준 7 2 2 5 3 5" xfId="18756"/>
    <cellStyle name="표준 7 2 2 5 4" xfId="3444"/>
    <cellStyle name="표준 7 2 2 5 4 2" xfId="9012"/>
    <cellStyle name="표준 7 2 2 5 4 2 2" xfId="25716"/>
    <cellStyle name="표준 7 2 2 5 4 3" xfId="14580"/>
    <cellStyle name="표준 7 2 2 5 4 3 2" xfId="31284"/>
    <cellStyle name="표준 7 2 2 5 4 4" xfId="20148"/>
    <cellStyle name="표준 7 2 2 5 5" xfId="6228"/>
    <cellStyle name="표준 7 2 2 5 5 2" xfId="22932"/>
    <cellStyle name="표준 7 2 2 5 6" xfId="11796"/>
    <cellStyle name="표준 7 2 2 5 6 2" xfId="28500"/>
    <cellStyle name="표준 7 2 2 5 7" xfId="17364"/>
    <cellStyle name="표준 7 2 2 6" xfId="892"/>
    <cellStyle name="표준 7 2 2 6 2" xfId="2284"/>
    <cellStyle name="표준 7 2 2 6 2 2" xfId="5068"/>
    <cellStyle name="표준 7 2 2 6 2 2 2" xfId="10636"/>
    <cellStyle name="표준 7 2 2 6 2 2 2 2" xfId="27340"/>
    <cellStyle name="표준 7 2 2 6 2 2 3" xfId="16204"/>
    <cellStyle name="표준 7 2 2 6 2 2 3 2" xfId="32908"/>
    <cellStyle name="표준 7 2 2 6 2 2 4" xfId="21772"/>
    <cellStyle name="표준 7 2 2 6 2 3" xfId="7852"/>
    <cellStyle name="표준 7 2 2 6 2 3 2" xfId="24556"/>
    <cellStyle name="표준 7 2 2 6 2 4" xfId="13420"/>
    <cellStyle name="표준 7 2 2 6 2 4 2" xfId="30124"/>
    <cellStyle name="표준 7 2 2 6 2 5" xfId="18988"/>
    <cellStyle name="표준 7 2 2 6 3" xfId="3676"/>
    <cellStyle name="표준 7 2 2 6 3 2" xfId="9244"/>
    <cellStyle name="표준 7 2 2 6 3 2 2" xfId="25948"/>
    <cellStyle name="표준 7 2 2 6 3 3" xfId="14812"/>
    <cellStyle name="표준 7 2 2 6 3 3 2" xfId="31516"/>
    <cellStyle name="표준 7 2 2 6 3 4" xfId="20380"/>
    <cellStyle name="표준 7 2 2 6 4" xfId="6460"/>
    <cellStyle name="표준 7 2 2 6 4 2" xfId="23164"/>
    <cellStyle name="표준 7 2 2 6 5" xfId="12028"/>
    <cellStyle name="표준 7 2 2 6 5 2" xfId="28732"/>
    <cellStyle name="표준 7 2 2 6 6" xfId="17596"/>
    <cellStyle name="표준 7 2 2 7" xfId="1588"/>
    <cellStyle name="표준 7 2 2 7 2" xfId="4372"/>
    <cellStyle name="표준 7 2 2 7 2 2" xfId="9940"/>
    <cellStyle name="표준 7 2 2 7 2 2 2" xfId="26644"/>
    <cellStyle name="표준 7 2 2 7 2 3" xfId="15508"/>
    <cellStyle name="표준 7 2 2 7 2 3 2" xfId="32212"/>
    <cellStyle name="표준 7 2 2 7 2 4" xfId="21076"/>
    <cellStyle name="표준 7 2 2 7 3" xfId="7156"/>
    <cellStyle name="표준 7 2 2 7 3 2" xfId="23860"/>
    <cellStyle name="표준 7 2 2 7 4" xfId="12724"/>
    <cellStyle name="표준 7 2 2 7 4 2" xfId="29428"/>
    <cellStyle name="표준 7 2 2 7 5" xfId="18292"/>
    <cellStyle name="표준 7 2 2 8" xfId="2980"/>
    <cellStyle name="표준 7 2 2 8 2" xfId="8548"/>
    <cellStyle name="표준 7 2 2 8 2 2" xfId="25252"/>
    <cellStyle name="표준 7 2 2 8 3" xfId="14116"/>
    <cellStyle name="표준 7 2 2 8 3 2" xfId="30820"/>
    <cellStyle name="표준 7 2 2 8 4" xfId="19684"/>
    <cellStyle name="표준 7 2 2 9" xfId="5764"/>
    <cellStyle name="표준 7 2 2 9 2" xfId="22468"/>
    <cellStyle name="표준 7 2 3" xfId="225"/>
    <cellStyle name="표준 7 2 3 10" xfId="16929"/>
    <cellStyle name="표준 7 2 3 2" xfId="341"/>
    <cellStyle name="표준 7 2 3 2 2" xfId="573"/>
    <cellStyle name="표준 7 2 3 2 2 2" xfId="1269"/>
    <cellStyle name="표준 7 2 3 2 2 2 2" xfId="2661"/>
    <cellStyle name="표준 7 2 3 2 2 2 2 2" xfId="5445"/>
    <cellStyle name="표준 7 2 3 2 2 2 2 2 2" xfId="11013"/>
    <cellStyle name="표준 7 2 3 2 2 2 2 2 2 2" xfId="27717"/>
    <cellStyle name="표준 7 2 3 2 2 2 2 2 3" xfId="16581"/>
    <cellStyle name="표준 7 2 3 2 2 2 2 2 3 2" xfId="33285"/>
    <cellStyle name="표준 7 2 3 2 2 2 2 2 4" xfId="22149"/>
    <cellStyle name="표준 7 2 3 2 2 2 2 3" xfId="8229"/>
    <cellStyle name="표준 7 2 3 2 2 2 2 3 2" xfId="24933"/>
    <cellStyle name="표준 7 2 3 2 2 2 2 4" xfId="13797"/>
    <cellStyle name="표준 7 2 3 2 2 2 2 4 2" xfId="30501"/>
    <cellStyle name="표준 7 2 3 2 2 2 2 5" xfId="19365"/>
    <cellStyle name="표준 7 2 3 2 2 2 3" xfId="4053"/>
    <cellStyle name="표준 7 2 3 2 2 2 3 2" xfId="9621"/>
    <cellStyle name="표준 7 2 3 2 2 2 3 2 2" xfId="26325"/>
    <cellStyle name="표준 7 2 3 2 2 2 3 3" xfId="15189"/>
    <cellStyle name="표준 7 2 3 2 2 2 3 3 2" xfId="31893"/>
    <cellStyle name="표준 7 2 3 2 2 2 3 4" xfId="20757"/>
    <cellStyle name="표준 7 2 3 2 2 2 4" xfId="6837"/>
    <cellStyle name="표준 7 2 3 2 2 2 4 2" xfId="23541"/>
    <cellStyle name="표준 7 2 3 2 2 2 5" xfId="12405"/>
    <cellStyle name="표준 7 2 3 2 2 2 5 2" xfId="29109"/>
    <cellStyle name="표준 7 2 3 2 2 2 6" xfId="17973"/>
    <cellStyle name="표준 7 2 3 2 2 3" xfId="1965"/>
    <cellStyle name="표준 7 2 3 2 2 3 2" xfId="4749"/>
    <cellStyle name="표준 7 2 3 2 2 3 2 2" xfId="10317"/>
    <cellStyle name="표준 7 2 3 2 2 3 2 2 2" xfId="27021"/>
    <cellStyle name="표준 7 2 3 2 2 3 2 3" xfId="15885"/>
    <cellStyle name="표준 7 2 3 2 2 3 2 3 2" xfId="32589"/>
    <cellStyle name="표준 7 2 3 2 2 3 2 4" xfId="21453"/>
    <cellStyle name="표준 7 2 3 2 2 3 3" xfId="7533"/>
    <cellStyle name="표준 7 2 3 2 2 3 3 2" xfId="24237"/>
    <cellStyle name="표준 7 2 3 2 2 3 4" xfId="13101"/>
    <cellStyle name="표준 7 2 3 2 2 3 4 2" xfId="29805"/>
    <cellStyle name="표준 7 2 3 2 2 3 5" xfId="18669"/>
    <cellStyle name="표준 7 2 3 2 2 4" xfId="3357"/>
    <cellStyle name="표준 7 2 3 2 2 4 2" xfId="8925"/>
    <cellStyle name="표준 7 2 3 2 2 4 2 2" xfId="25629"/>
    <cellStyle name="표준 7 2 3 2 2 4 3" xfId="14493"/>
    <cellStyle name="표준 7 2 3 2 2 4 3 2" xfId="31197"/>
    <cellStyle name="표준 7 2 3 2 2 4 4" xfId="20061"/>
    <cellStyle name="표준 7 2 3 2 2 5" xfId="6141"/>
    <cellStyle name="표준 7 2 3 2 2 5 2" xfId="22845"/>
    <cellStyle name="표준 7 2 3 2 2 6" xfId="11709"/>
    <cellStyle name="표준 7 2 3 2 2 6 2" xfId="28413"/>
    <cellStyle name="표준 7 2 3 2 2 7" xfId="17277"/>
    <cellStyle name="표준 7 2 3 2 3" xfId="805"/>
    <cellStyle name="표준 7 2 3 2 3 2" xfId="1501"/>
    <cellStyle name="표준 7 2 3 2 3 2 2" xfId="2893"/>
    <cellStyle name="표준 7 2 3 2 3 2 2 2" xfId="5677"/>
    <cellStyle name="표준 7 2 3 2 3 2 2 2 2" xfId="11245"/>
    <cellStyle name="표준 7 2 3 2 3 2 2 2 2 2" xfId="27949"/>
    <cellStyle name="표준 7 2 3 2 3 2 2 2 3" xfId="16813"/>
    <cellStyle name="표준 7 2 3 2 3 2 2 2 3 2" xfId="33517"/>
    <cellStyle name="표준 7 2 3 2 3 2 2 2 4" xfId="22381"/>
    <cellStyle name="표준 7 2 3 2 3 2 2 3" xfId="8461"/>
    <cellStyle name="표준 7 2 3 2 3 2 2 3 2" xfId="25165"/>
    <cellStyle name="표준 7 2 3 2 3 2 2 4" xfId="14029"/>
    <cellStyle name="표준 7 2 3 2 3 2 2 4 2" xfId="30733"/>
    <cellStyle name="표준 7 2 3 2 3 2 2 5" xfId="19597"/>
    <cellStyle name="표준 7 2 3 2 3 2 3" xfId="4285"/>
    <cellStyle name="표준 7 2 3 2 3 2 3 2" xfId="9853"/>
    <cellStyle name="표준 7 2 3 2 3 2 3 2 2" xfId="26557"/>
    <cellStyle name="표준 7 2 3 2 3 2 3 3" xfId="15421"/>
    <cellStyle name="표준 7 2 3 2 3 2 3 3 2" xfId="32125"/>
    <cellStyle name="표준 7 2 3 2 3 2 3 4" xfId="20989"/>
    <cellStyle name="표준 7 2 3 2 3 2 4" xfId="7069"/>
    <cellStyle name="표준 7 2 3 2 3 2 4 2" xfId="23773"/>
    <cellStyle name="표준 7 2 3 2 3 2 5" xfId="12637"/>
    <cellStyle name="표준 7 2 3 2 3 2 5 2" xfId="29341"/>
    <cellStyle name="표준 7 2 3 2 3 2 6" xfId="18205"/>
    <cellStyle name="표준 7 2 3 2 3 3" xfId="2197"/>
    <cellStyle name="표준 7 2 3 2 3 3 2" xfId="4981"/>
    <cellStyle name="표준 7 2 3 2 3 3 2 2" xfId="10549"/>
    <cellStyle name="표준 7 2 3 2 3 3 2 2 2" xfId="27253"/>
    <cellStyle name="표준 7 2 3 2 3 3 2 3" xfId="16117"/>
    <cellStyle name="표준 7 2 3 2 3 3 2 3 2" xfId="32821"/>
    <cellStyle name="표준 7 2 3 2 3 3 2 4" xfId="21685"/>
    <cellStyle name="표준 7 2 3 2 3 3 3" xfId="7765"/>
    <cellStyle name="표준 7 2 3 2 3 3 3 2" xfId="24469"/>
    <cellStyle name="표준 7 2 3 2 3 3 4" xfId="13333"/>
    <cellStyle name="표준 7 2 3 2 3 3 4 2" xfId="30037"/>
    <cellStyle name="표준 7 2 3 2 3 3 5" xfId="18901"/>
    <cellStyle name="표준 7 2 3 2 3 4" xfId="3589"/>
    <cellStyle name="표준 7 2 3 2 3 4 2" xfId="9157"/>
    <cellStyle name="표준 7 2 3 2 3 4 2 2" xfId="25861"/>
    <cellStyle name="표준 7 2 3 2 3 4 3" xfId="14725"/>
    <cellStyle name="표준 7 2 3 2 3 4 3 2" xfId="31429"/>
    <cellStyle name="표준 7 2 3 2 3 4 4" xfId="20293"/>
    <cellStyle name="표준 7 2 3 2 3 5" xfId="6373"/>
    <cellStyle name="표준 7 2 3 2 3 5 2" xfId="23077"/>
    <cellStyle name="표준 7 2 3 2 3 6" xfId="11941"/>
    <cellStyle name="표준 7 2 3 2 3 6 2" xfId="28645"/>
    <cellStyle name="표준 7 2 3 2 3 7" xfId="17509"/>
    <cellStyle name="표준 7 2 3 2 4" xfId="1037"/>
    <cellStyle name="표준 7 2 3 2 4 2" xfId="2429"/>
    <cellStyle name="표준 7 2 3 2 4 2 2" xfId="5213"/>
    <cellStyle name="표준 7 2 3 2 4 2 2 2" xfId="10781"/>
    <cellStyle name="표준 7 2 3 2 4 2 2 2 2" xfId="27485"/>
    <cellStyle name="표준 7 2 3 2 4 2 2 3" xfId="16349"/>
    <cellStyle name="표준 7 2 3 2 4 2 2 3 2" xfId="33053"/>
    <cellStyle name="표준 7 2 3 2 4 2 2 4" xfId="21917"/>
    <cellStyle name="표준 7 2 3 2 4 2 3" xfId="7997"/>
    <cellStyle name="표준 7 2 3 2 4 2 3 2" xfId="24701"/>
    <cellStyle name="표준 7 2 3 2 4 2 4" xfId="13565"/>
    <cellStyle name="표준 7 2 3 2 4 2 4 2" xfId="30269"/>
    <cellStyle name="표준 7 2 3 2 4 2 5" xfId="19133"/>
    <cellStyle name="표준 7 2 3 2 4 3" xfId="3821"/>
    <cellStyle name="표준 7 2 3 2 4 3 2" xfId="9389"/>
    <cellStyle name="표준 7 2 3 2 4 3 2 2" xfId="26093"/>
    <cellStyle name="표준 7 2 3 2 4 3 3" xfId="14957"/>
    <cellStyle name="표준 7 2 3 2 4 3 3 2" xfId="31661"/>
    <cellStyle name="표준 7 2 3 2 4 3 4" xfId="20525"/>
    <cellStyle name="표준 7 2 3 2 4 4" xfId="6605"/>
    <cellStyle name="표준 7 2 3 2 4 4 2" xfId="23309"/>
    <cellStyle name="표준 7 2 3 2 4 5" xfId="12173"/>
    <cellStyle name="표준 7 2 3 2 4 5 2" xfId="28877"/>
    <cellStyle name="표준 7 2 3 2 4 6" xfId="17741"/>
    <cellStyle name="표준 7 2 3 2 5" xfId="1733"/>
    <cellStyle name="표준 7 2 3 2 5 2" xfId="4517"/>
    <cellStyle name="표준 7 2 3 2 5 2 2" xfId="10085"/>
    <cellStyle name="표준 7 2 3 2 5 2 2 2" xfId="26789"/>
    <cellStyle name="표준 7 2 3 2 5 2 3" xfId="15653"/>
    <cellStyle name="표준 7 2 3 2 5 2 3 2" xfId="32357"/>
    <cellStyle name="표준 7 2 3 2 5 2 4" xfId="21221"/>
    <cellStyle name="표준 7 2 3 2 5 3" xfId="7301"/>
    <cellStyle name="표준 7 2 3 2 5 3 2" xfId="24005"/>
    <cellStyle name="표준 7 2 3 2 5 4" xfId="12869"/>
    <cellStyle name="표준 7 2 3 2 5 4 2" xfId="29573"/>
    <cellStyle name="표준 7 2 3 2 5 5" xfId="18437"/>
    <cellStyle name="표준 7 2 3 2 6" xfId="3125"/>
    <cellStyle name="표준 7 2 3 2 6 2" xfId="8693"/>
    <cellStyle name="표준 7 2 3 2 6 2 2" xfId="25397"/>
    <cellStyle name="표준 7 2 3 2 6 3" xfId="14261"/>
    <cellStyle name="표준 7 2 3 2 6 3 2" xfId="30965"/>
    <cellStyle name="표준 7 2 3 2 6 4" xfId="19829"/>
    <cellStyle name="표준 7 2 3 2 7" xfId="5909"/>
    <cellStyle name="표준 7 2 3 2 7 2" xfId="22613"/>
    <cellStyle name="표준 7 2 3 2 8" xfId="11477"/>
    <cellStyle name="표준 7 2 3 2 8 2" xfId="28181"/>
    <cellStyle name="표준 7 2 3 2 9" xfId="17045"/>
    <cellStyle name="표준 7 2 3 3" xfId="457"/>
    <cellStyle name="표준 7 2 3 3 2" xfId="1153"/>
    <cellStyle name="표준 7 2 3 3 2 2" xfId="2545"/>
    <cellStyle name="표준 7 2 3 3 2 2 2" xfId="5329"/>
    <cellStyle name="표준 7 2 3 3 2 2 2 2" xfId="10897"/>
    <cellStyle name="표준 7 2 3 3 2 2 2 2 2" xfId="27601"/>
    <cellStyle name="표준 7 2 3 3 2 2 2 3" xfId="16465"/>
    <cellStyle name="표준 7 2 3 3 2 2 2 3 2" xfId="33169"/>
    <cellStyle name="표준 7 2 3 3 2 2 2 4" xfId="22033"/>
    <cellStyle name="표준 7 2 3 3 2 2 3" xfId="8113"/>
    <cellStyle name="표준 7 2 3 3 2 2 3 2" xfId="24817"/>
    <cellStyle name="표준 7 2 3 3 2 2 4" xfId="13681"/>
    <cellStyle name="표준 7 2 3 3 2 2 4 2" xfId="30385"/>
    <cellStyle name="표준 7 2 3 3 2 2 5" xfId="19249"/>
    <cellStyle name="표준 7 2 3 3 2 3" xfId="3937"/>
    <cellStyle name="표준 7 2 3 3 2 3 2" xfId="9505"/>
    <cellStyle name="표준 7 2 3 3 2 3 2 2" xfId="26209"/>
    <cellStyle name="표준 7 2 3 3 2 3 3" xfId="15073"/>
    <cellStyle name="표준 7 2 3 3 2 3 3 2" xfId="31777"/>
    <cellStyle name="표준 7 2 3 3 2 3 4" xfId="20641"/>
    <cellStyle name="표준 7 2 3 3 2 4" xfId="6721"/>
    <cellStyle name="표준 7 2 3 3 2 4 2" xfId="23425"/>
    <cellStyle name="표준 7 2 3 3 2 5" xfId="12289"/>
    <cellStyle name="표준 7 2 3 3 2 5 2" xfId="28993"/>
    <cellStyle name="표준 7 2 3 3 2 6" xfId="17857"/>
    <cellStyle name="표준 7 2 3 3 3" xfId="1849"/>
    <cellStyle name="표준 7 2 3 3 3 2" xfId="4633"/>
    <cellStyle name="표준 7 2 3 3 3 2 2" xfId="10201"/>
    <cellStyle name="표준 7 2 3 3 3 2 2 2" xfId="26905"/>
    <cellStyle name="표준 7 2 3 3 3 2 3" xfId="15769"/>
    <cellStyle name="표준 7 2 3 3 3 2 3 2" xfId="32473"/>
    <cellStyle name="표준 7 2 3 3 3 2 4" xfId="21337"/>
    <cellStyle name="표준 7 2 3 3 3 3" xfId="7417"/>
    <cellStyle name="표준 7 2 3 3 3 3 2" xfId="24121"/>
    <cellStyle name="표준 7 2 3 3 3 4" xfId="12985"/>
    <cellStyle name="표준 7 2 3 3 3 4 2" xfId="29689"/>
    <cellStyle name="표준 7 2 3 3 3 5" xfId="18553"/>
    <cellStyle name="표준 7 2 3 3 4" xfId="3241"/>
    <cellStyle name="표준 7 2 3 3 4 2" xfId="8809"/>
    <cellStyle name="표준 7 2 3 3 4 2 2" xfId="25513"/>
    <cellStyle name="표준 7 2 3 3 4 3" xfId="14377"/>
    <cellStyle name="표준 7 2 3 3 4 3 2" xfId="31081"/>
    <cellStyle name="표준 7 2 3 3 4 4" xfId="19945"/>
    <cellStyle name="표준 7 2 3 3 5" xfId="6025"/>
    <cellStyle name="표준 7 2 3 3 5 2" xfId="22729"/>
    <cellStyle name="표준 7 2 3 3 6" xfId="11593"/>
    <cellStyle name="표준 7 2 3 3 6 2" xfId="28297"/>
    <cellStyle name="표준 7 2 3 3 7" xfId="17161"/>
    <cellStyle name="표준 7 2 3 4" xfId="689"/>
    <cellStyle name="표준 7 2 3 4 2" xfId="1385"/>
    <cellStyle name="표준 7 2 3 4 2 2" xfId="2777"/>
    <cellStyle name="표준 7 2 3 4 2 2 2" xfId="5561"/>
    <cellStyle name="표준 7 2 3 4 2 2 2 2" xfId="11129"/>
    <cellStyle name="표준 7 2 3 4 2 2 2 2 2" xfId="27833"/>
    <cellStyle name="표준 7 2 3 4 2 2 2 3" xfId="16697"/>
    <cellStyle name="표준 7 2 3 4 2 2 2 3 2" xfId="33401"/>
    <cellStyle name="표준 7 2 3 4 2 2 2 4" xfId="22265"/>
    <cellStyle name="표준 7 2 3 4 2 2 3" xfId="8345"/>
    <cellStyle name="표준 7 2 3 4 2 2 3 2" xfId="25049"/>
    <cellStyle name="표준 7 2 3 4 2 2 4" xfId="13913"/>
    <cellStyle name="표준 7 2 3 4 2 2 4 2" xfId="30617"/>
    <cellStyle name="표준 7 2 3 4 2 2 5" xfId="19481"/>
    <cellStyle name="표준 7 2 3 4 2 3" xfId="4169"/>
    <cellStyle name="표준 7 2 3 4 2 3 2" xfId="9737"/>
    <cellStyle name="표준 7 2 3 4 2 3 2 2" xfId="26441"/>
    <cellStyle name="표준 7 2 3 4 2 3 3" xfId="15305"/>
    <cellStyle name="표준 7 2 3 4 2 3 3 2" xfId="32009"/>
    <cellStyle name="표준 7 2 3 4 2 3 4" xfId="20873"/>
    <cellStyle name="표준 7 2 3 4 2 4" xfId="6953"/>
    <cellStyle name="표준 7 2 3 4 2 4 2" xfId="23657"/>
    <cellStyle name="표준 7 2 3 4 2 5" xfId="12521"/>
    <cellStyle name="표준 7 2 3 4 2 5 2" xfId="29225"/>
    <cellStyle name="표준 7 2 3 4 2 6" xfId="18089"/>
    <cellStyle name="표준 7 2 3 4 3" xfId="2081"/>
    <cellStyle name="표준 7 2 3 4 3 2" xfId="4865"/>
    <cellStyle name="표준 7 2 3 4 3 2 2" xfId="10433"/>
    <cellStyle name="표준 7 2 3 4 3 2 2 2" xfId="27137"/>
    <cellStyle name="표준 7 2 3 4 3 2 3" xfId="16001"/>
    <cellStyle name="표준 7 2 3 4 3 2 3 2" xfId="32705"/>
    <cellStyle name="표준 7 2 3 4 3 2 4" xfId="21569"/>
    <cellStyle name="표준 7 2 3 4 3 3" xfId="7649"/>
    <cellStyle name="표준 7 2 3 4 3 3 2" xfId="24353"/>
    <cellStyle name="표준 7 2 3 4 3 4" xfId="13217"/>
    <cellStyle name="표준 7 2 3 4 3 4 2" xfId="29921"/>
    <cellStyle name="표준 7 2 3 4 3 5" xfId="18785"/>
    <cellStyle name="표준 7 2 3 4 4" xfId="3473"/>
    <cellStyle name="표준 7 2 3 4 4 2" xfId="9041"/>
    <cellStyle name="표준 7 2 3 4 4 2 2" xfId="25745"/>
    <cellStyle name="표준 7 2 3 4 4 3" xfId="14609"/>
    <cellStyle name="표준 7 2 3 4 4 3 2" xfId="31313"/>
    <cellStyle name="표준 7 2 3 4 4 4" xfId="20177"/>
    <cellStyle name="표준 7 2 3 4 5" xfId="6257"/>
    <cellStyle name="표준 7 2 3 4 5 2" xfId="22961"/>
    <cellStyle name="표준 7 2 3 4 6" xfId="11825"/>
    <cellStyle name="표준 7 2 3 4 6 2" xfId="28529"/>
    <cellStyle name="표준 7 2 3 4 7" xfId="17393"/>
    <cellStyle name="표준 7 2 3 5" xfId="921"/>
    <cellStyle name="표준 7 2 3 5 2" xfId="2313"/>
    <cellStyle name="표준 7 2 3 5 2 2" xfId="5097"/>
    <cellStyle name="표준 7 2 3 5 2 2 2" xfId="10665"/>
    <cellStyle name="표준 7 2 3 5 2 2 2 2" xfId="27369"/>
    <cellStyle name="표준 7 2 3 5 2 2 3" xfId="16233"/>
    <cellStyle name="표준 7 2 3 5 2 2 3 2" xfId="32937"/>
    <cellStyle name="표준 7 2 3 5 2 2 4" xfId="21801"/>
    <cellStyle name="표준 7 2 3 5 2 3" xfId="7881"/>
    <cellStyle name="표준 7 2 3 5 2 3 2" xfId="24585"/>
    <cellStyle name="표준 7 2 3 5 2 4" xfId="13449"/>
    <cellStyle name="표준 7 2 3 5 2 4 2" xfId="30153"/>
    <cellStyle name="표준 7 2 3 5 2 5" xfId="19017"/>
    <cellStyle name="표준 7 2 3 5 3" xfId="3705"/>
    <cellStyle name="표준 7 2 3 5 3 2" xfId="9273"/>
    <cellStyle name="표준 7 2 3 5 3 2 2" xfId="25977"/>
    <cellStyle name="표준 7 2 3 5 3 3" xfId="14841"/>
    <cellStyle name="표준 7 2 3 5 3 3 2" xfId="31545"/>
    <cellStyle name="표준 7 2 3 5 3 4" xfId="20409"/>
    <cellStyle name="표준 7 2 3 5 4" xfId="6489"/>
    <cellStyle name="표준 7 2 3 5 4 2" xfId="23193"/>
    <cellStyle name="표준 7 2 3 5 5" xfId="12057"/>
    <cellStyle name="표준 7 2 3 5 5 2" xfId="28761"/>
    <cellStyle name="표준 7 2 3 5 6" xfId="17625"/>
    <cellStyle name="표준 7 2 3 6" xfId="1617"/>
    <cellStyle name="표준 7 2 3 6 2" xfId="4401"/>
    <cellStyle name="표준 7 2 3 6 2 2" xfId="9969"/>
    <cellStyle name="표준 7 2 3 6 2 2 2" xfId="26673"/>
    <cellStyle name="표준 7 2 3 6 2 3" xfId="15537"/>
    <cellStyle name="표준 7 2 3 6 2 3 2" xfId="32241"/>
    <cellStyle name="표준 7 2 3 6 2 4" xfId="21105"/>
    <cellStyle name="표준 7 2 3 6 3" xfId="7185"/>
    <cellStyle name="표준 7 2 3 6 3 2" xfId="23889"/>
    <cellStyle name="표준 7 2 3 6 4" xfId="12753"/>
    <cellStyle name="표준 7 2 3 6 4 2" xfId="29457"/>
    <cellStyle name="표준 7 2 3 6 5" xfId="18321"/>
    <cellStyle name="표준 7 2 3 7" xfId="3009"/>
    <cellStyle name="표준 7 2 3 7 2" xfId="8577"/>
    <cellStyle name="표준 7 2 3 7 2 2" xfId="25281"/>
    <cellStyle name="표준 7 2 3 7 3" xfId="14145"/>
    <cellStyle name="표준 7 2 3 7 3 2" xfId="30849"/>
    <cellStyle name="표준 7 2 3 7 4" xfId="19713"/>
    <cellStyle name="표준 7 2 3 8" xfId="5793"/>
    <cellStyle name="표준 7 2 3 8 2" xfId="22497"/>
    <cellStyle name="표준 7 2 3 9" xfId="11361"/>
    <cellStyle name="표준 7 2 3 9 2" xfId="28065"/>
    <cellStyle name="표준 7 2 4" xfId="283"/>
    <cellStyle name="표준 7 2 4 2" xfId="515"/>
    <cellStyle name="표준 7 2 4 2 2" xfId="1211"/>
    <cellStyle name="표준 7 2 4 2 2 2" xfId="2603"/>
    <cellStyle name="표준 7 2 4 2 2 2 2" xfId="5387"/>
    <cellStyle name="표준 7 2 4 2 2 2 2 2" xfId="10955"/>
    <cellStyle name="표준 7 2 4 2 2 2 2 2 2" xfId="27659"/>
    <cellStyle name="표준 7 2 4 2 2 2 2 3" xfId="16523"/>
    <cellStyle name="표준 7 2 4 2 2 2 2 3 2" xfId="33227"/>
    <cellStyle name="표준 7 2 4 2 2 2 2 4" xfId="22091"/>
    <cellStyle name="표준 7 2 4 2 2 2 3" xfId="8171"/>
    <cellStyle name="표준 7 2 4 2 2 2 3 2" xfId="24875"/>
    <cellStyle name="표준 7 2 4 2 2 2 4" xfId="13739"/>
    <cellStyle name="표준 7 2 4 2 2 2 4 2" xfId="30443"/>
    <cellStyle name="표준 7 2 4 2 2 2 5" xfId="19307"/>
    <cellStyle name="표준 7 2 4 2 2 3" xfId="3995"/>
    <cellStyle name="표준 7 2 4 2 2 3 2" xfId="9563"/>
    <cellStyle name="표준 7 2 4 2 2 3 2 2" xfId="26267"/>
    <cellStyle name="표준 7 2 4 2 2 3 3" xfId="15131"/>
    <cellStyle name="표준 7 2 4 2 2 3 3 2" xfId="31835"/>
    <cellStyle name="표준 7 2 4 2 2 3 4" xfId="20699"/>
    <cellStyle name="표준 7 2 4 2 2 4" xfId="6779"/>
    <cellStyle name="표준 7 2 4 2 2 4 2" xfId="23483"/>
    <cellStyle name="표준 7 2 4 2 2 5" xfId="12347"/>
    <cellStyle name="표준 7 2 4 2 2 5 2" xfId="29051"/>
    <cellStyle name="표준 7 2 4 2 2 6" xfId="17915"/>
    <cellStyle name="표준 7 2 4 2 3" xfId="1907"/>
    <cellStyle name="표준 7 2 4 2 3 2" xfId="4691"/>
    <cellStyle name="표준 7 2 4 2 3 2 2" xfId="10259"/>
    <cellStyle name="표준 7 2 4 2 3 2 2 2" xfId="26963"/>
    <cellStyle name="표준 7 2 4 2 3 2 3" xfId="15827"/>
    <cellStyle name="표준 7 2 4 2 3 2 3 2" xfId="32531"/>
    <cellStyle name="표준 7 2 4 2 3 2 4" xfId="21395"/>
    <cellStyle name="표준 7 2 4 2 3 3" xfId="7475"/>
    <cellStyle name="표준 7 2 4 2 3 3 2" xfId="24179"/>
    <cellStyle name="표준 7 2 4 2 3 4" xfId="13043"/>
    <cellStyle name="표준 7 2 4 2 3 4 2" xfId="29747"/>
    <cellStyle name="표준 7 2 4 2 3 5" xfId="18611"/>
    <cellStyle name="표준 7 2 4 2 4" xfId="3299"/>
    <cellStyle name="표준 7 2 4 2 4 2" xfId="8867"/>
    <cellStyle name="표준 7 2 4 2 4 2 2" xfId="25571"/>
    <cellStyle name="표준 7 2 4 2 4 3" xfId="14435"/>
    <cellStyle name="표준 7 2 4 2 4 3 2" xfId="31139"/>
    <cellStyle name="표준 7 2 4 2 4 4" xfId="20003"/>
    <cellStyle name="표준 7 2 4 2 5" xfId="6083"/>
    <cellStyle name="표준 7 2 4 2 5 2" xfId="22787"/>
    <cellStyle name="표준 7 2 4 2 6" xfId="11651"/>
    <cellStyle name="표준 7 2 4 2 6 2" xfId="28355"/>
    <cellStyle name="표준 7 2 4 2 7" xfId="17219"/>
    <cellStyle name="표준 7 2 4 3" xfId="747"/>
    <cellStyle name="표준 7 2 4 3 2" xfId="1443"/>
    <cellStyle name="표준 7 2 4 3 2 2" xfId="2835"/>
    <cellStyle name="표준 7 2 4 3 2 2 2" xfId="5619"/>
    <cellStyle name="표준 7 2 4 3 2 2 2 2" xfId="11187"/>
    <cellStyle name="표준 7 2 4 3 2 2 2 2 2" xfId="27891"/>
    <cellStyle name="표준 7 2 4 3 2 2 2 3" xfId="16755"/>
    <cellStyle name="표준 7 2 4 3 2 2 2 3 2" xfId="33459"/>
    <cellStyle name="표준 7 2 4 3 2 2 2 4" xfId="22323"/>
    <cellStyle name="표준 7 2 4 3 2 2 3" xfId="8403"/>
    <cellStyle name="표준 7 2 4 3 2 2 3 2" xfId="25107"/>
    <cellStyle name="표준 7 2 4 3 2 2 4" xfId="13971"/>
    <cellStyle name="표준 7 2 4 3 2 2 4 2" xfId="30675"/>
    <cellStyle name="표준 7 2 4 3 2 2 5" xfId="19539"/>
    <cellStyle name="표준 7 2 4 3 2 3" xfId="4227"/>
    <cellStyle name="표준 7 2 4 3 2 3 2" xfId="9795"/>
    <cellStyle name="표준 7 2 4 3 2 3 2 2" xfId="26499"/>
    <cellStyle name="표준 7 2 4 3 2 3 3" xfId="15363"/>
    <cellStyle name="표준 7 2 4 3 2 3 3 2" xfId="32067"/>
    <cellStyle name="표준 7 2 4 3 2 3 4" xfId="20931"/>
    <cellStyle name="표준 7 2 4 3 2 4" xfId="7011"/>
    <cellStyle name="표준 7 2 4 3 2 4 2" xfId="23715"/>
    <cellStyle name="표준 7 2 4 3 2 5" xfId="12579"/>
    <cellStyle name="표준 7 2 4 3 2 5 2" xfId="29283"/>
    <cellStyle name="표준 7 2 4 3 2 6" xfId="18147"/>
    <cellStyle name="표준 7 2 4 3 3" xfId="2139"/>
    <cellStyle name="표준 7 2 4 3 3 2" xfId="4923"/>
    <cellStyle name="표준 7 2 4 3 3 2 2" xfId="10491"/>
    <cellStyle name="표준 7 2 4 3 3 2 2 2" xfId="27195"/>
    <cellStyle name="표준 7 2 4 3 3 2 3" xfId="16059"/>
    <cellStyle name="표준 7 2 4 3 3 2 3 2" xfId="32763"/>
    <cellStyle name="표준 7 2 4 3 3 2 4" xfId="21627"/>
    <cellStyle name="표준 7 2 4 3 3 3" xfId="7707"/>
    <cellStyle name="표준 7 2 4 3 3 3 2" xfId="24411"/>
    <cellStyle name="표준 7 2 4 3 3 4" xfId="13275"/>
    <cellStyle name="표준 7 2 4 3 3 4 2" xfId="29979"/>
    <cellStyle name="표준 7 2 4 3 3 5" xfId="18843"/>
    <cellStyle name="표준 7 2 4 3 4" xfId="3531"/>
    <cellStyle name="표준 7 2 4 3 4 2" xfId="9099"/>
    <cellStyle name="표준 7 2 4 3 4 2 2" xfId="25803"/>
    <cellStyle name="표준 7 2 4 3 4 3" xfId="14667"/>
    <cellStyle name="표준 7 2 4 3 4 3 2" xfId="31371"/>
    <cellStyle name="표준 7 2 4 3 4 4" xfId="20235"/>
    <cellStyle name="표준 7 2 4 3 5" xfId="6315"/>
    <cellStyle name="표준 7 2 4 3 5 2" xfId="23019"/>
    <cellStyle name="표준 7 2 4 3 6" xfId="11883"/>
    <cellStyle name="표준 7 2 4 3 6 2" xfId="28587"/>
    <cellStyle name="표준 7 2 4 3 7" xfId="17451"/>
    <cellStyle name="표준 7 2 4 4" xfId="979"/>
    <cellStyle name="표준 7 2 4 4 2" xfId="2371"/>
    <cellStyle name="표준 7 2 4 4 2 2" xfId="5155"/>
    <cellStyle name="표준 7 2 4 4 2 2 2" xfId="10723"/>
    <cellStyle name="표준 7 2 4 4 2 2 2 2" xfId="27427"/>
    <cellStyle name="표준 7 2 4 4 2 2 3" xfId="16291"/>
    <cellStyle name="표준 7 2 4 4 2 2 3 2" xfId="32995"/>
    <cellStyle name="표준 7 2 4 4 2 2 4" xfId="21859"/>
    <cellStyle name="표준 7 2 4 4 2 3" xfId="7939"/>
    <cellStyle name="표준 7 2 4 4 2 3 2" xfId="24643"/>
    <cellStyle name="표준 7 2 4 4 2 4" xfId="13507"/>
    <cellStyle name="표준 7 2 4 4 2 4 2" xfId="30211"/>
    <cellStyle name="표준 7 2 4 4 2 5" xfId="19075"/>
    <cellStyle name="표준 7 2 4 4 3" xfId="3763"/>
    <cellStyle name="표준 7 2 4 4 3 2" xfId="9331"/>
    <cellStyle name="표준 7 2 4 4 3 2 2" xfId="26035"/>
    <cellStyle name="표준 7 2 4 4 3 3" xfId="14899"/>
    <cellStyle name="표준 7 2 4 4 3 3 2" xfId="31603"/>
    <cellStyle name="표준 7 2 4 4 3 4" xfId="20467"/>
    <cellStyle name="표준 7 2 4 4 4" xfId="6547"/>
    <cellStyle name="표준 7 2 4 4 4 2" xfId="23251"/>
    <cellStyle name="표준 7 2 4 4 5" xfId="12115"/>
    <cellStyle name="표준 7 2 4 4 5 2" xfId="28819"/>
    <cellStyle name="표준 7 2 4 4 6" xfId="17683"/>
    <cellStyle name="표준 7 2 4 5" xfId="1675"/>
    <cellStyle name="표준 7 2 4 5 2" xfId="4459"/>
    <cellStyle name="표준 7 2 4 5 2 2" xfId="10027"/>
    <cellStyle name="표준 7 2 4 5 2 2 2" xfId="26731"/>
    <cellStyle name="표준 7 2 4 5 2 3" xfId="15595"/>
    <cellStyle name="표준 7 2 4 5 2 3 2" xfId="32299"/>
    <cellStyle name="표준 7 2 4 5 2 4" xfId="21163"/>
    <cellStyle name="표준 7 2 4 5 3" xfId="7243"/>
    <cellStyle name="표준 7 2 4 5 3 2" xfId="23947"/>
    <cellStyle name="표준 7 2 4 5 4" xfId="12811"/>
    <cellStyle name="표준 7 2 4 5 4 2" xfId="29515"/>
    <cellStyle name="표준 7 2 4 5 5" xfId="18379"/>
    <cellStyle name="표준 7 2 4 6" xfId="3067"/>
    <cellStyle name="표준 7 2 4 6 2" xfId="8635"/>
    <cellStyle name="표준 7 2 4 6 2 2" xfId="25339"/>
    <cellStyle name="표준 7 2 4 6 3" xfId="14203"/>
    <cellStyle name="표준 7 2 4 6 3 2" xfId="30907"/>
    <cellStyle name="표준 7 2 4 6 4" xfId="19771"/>
    <cellStyle name="표준 7 2 4 7" xfId="5851"/>
    <cellStyle name="표준 7 2 4 7 2" xfId="22555"/>
    <cellStyle name="표준 7 2 4 8" xfId="11419"/>
    <cellStyle name="표준 7 2 4 8 2" xfId="28123"/>
    <cellStyle name="표준 7 2 4 9" xfId="16987"/>
    <cellStyle name="표준 7 2 5" xfId="399"/>
    <cellStyle name="표준 7 2 5 2" xfId="1095"/>
    <cellStyle name="표준 7 2 5 2 2" xfId="2487"/>
    <cellStyle name="표준 7 2 5 2 2 2" xfId="5271"/>
    <cellStyle name="표준 7 2 5 2 2 2 2" xfId="10839"/>
    <cellStyle name="표준 7 2 5 2 2 2 2 2" xfId="27543"/>
    <cellStyle name="표준 7 2 5 2 2 2 3" xfId="16407"/>
    <cellStyle name="표준 7 2 5 2 2 2 3 2" xfId="33111"/>
    <cellStyle name="표준 7 2 5 2 2 2 4" xfId="21975"/>
    <cellStyle name="표준 7 2 5 2 2 3" xfId="8055"/>
    <cellStyle name="표준 7 2 5 2 2 3 2" xfId="24759"/>
    <cellStyle name="표준 7 2 5 2 2 4" xfId="13623"/>
    <cellStyle name="표준 7 2 5 2 2 4 2" xfId="30327"/>
    <cellStyle name="표준 7 2 5 2 2 5" xfId="19191"/>
    <cellStyle name="표준 7 2 5 2 3" xfId="3879"/>
    <cellStyle name="표준 7 2 5 2 3 2" xfId="9447"/>
    <cellStyle name="표준 7 2 5 2 3 2 2" xfId="26151"/>
    <cellStyle name="표준 7 2 5 2 3 3" xfId="15015"/>
    <cellStyle name="표준 7 2 5 2 3 3 2" xfId="31719"/>
    <cellStyle name="표준 7 2 5 2 3 4" xfId="20583"/>
    <cellStyle name="표준 7 2 5 2 4" xfId="6663"/>
    <cellStyle name="표준 7 2 5 2 4 2" xfId="23367"/>
    <cellStyle name="표준 7 2 5 2 5" xfId="12231"/>
    <cellStyle name="표준 7 2 5 2 5 2" xfId="28935"/>
    <cellStyle name="표준 7 2 5 2 6" xfId="17799"/>
    <cellStyle name="표준 7 2 5 3" xfId="1791"/>
    <cellStyle name="표준 7 2 5 3 2" xfId="4575"/>
    <cellStyle name="표준 7 2 5 3 2 2" xfId="10143"/>
    <cellStyle name="표준 7 2 5 3 2 2 2" xfId="26847"/>
    <cellStyle name="표준 7 2 5 3 2 3" xfId="15711"/>
    <cellStyle name="표준 7 2 5 3 2 3 2" xfId="32415"/>
    <cellStyle name="표준 7 2 5 3 2 4" xfId="21279"/>
    <cellStyle name="표준 7 2 5 3 3" xfId="7359"/>
    <cellStyle name="표준 7 2 5 3 3 2" xfId="24063"/>
    <cellStyle name="표준 7 2 5 3 4" xfId="12927"/>
    <cellStyle name="표준 7 2 5 3 4 2" xfId="29631"/>
    <cellStyle name="표준 7 2 5 3 5" xfId="18495"/>
    <cellStyle name="표준 7 2 5 4" xfId="3183"/>
    <cellStyle name="표준 7 2 5 4 2" xfId="8751"/>
    <cellStyle name="표준 7 2 5 4 2 2" xfId="25455"/>
    <cellStyle name="표준 7 2 5 4 3" xfId="14319"/>
    <cellStyle name="표준 7 2 5 4 3 2" xfId="31023"/>
    <cellStyle name="표준 7 2 5 4 4" xfId="19887"/>
    <cellStyle name="표준 7 2 5 5" xfId="5967"/>
    <cellStyle name="표준 7 2 5 5 2" xfId="22671"/>
    <cellStyle name="표준 7 2 5 6" xfId="11535"/>
    <cellStyle name="표준 7 2 5 6 2" xfId="28239"/>
    <cellStyle name="표준 7 2 5 7" xfId="17103"/>
    <cellStyle name="표준 7 2 6" xfId="631"/>
    <cellStyle name="표준 7 2 6 2" xfId="1327"/>
    <cellStyle name="표준 7 2 6 2 2" xfId="2719"/>
    <cellStyle name="표준 7 2 6 2 2 2" xfId="5503"/>
    <cellStyle name="표준 7 2 6 2 2 2 2" xfId="11071"/>
    <cellStyle name="표준 7 2 6 2 2 2 2 2" xfId="27775"/>
    <cellStyle name="표준 7 2 6 2 2 2 3" xfId="16639"/>
    <cellStyle name="표준 7 2 6 2 2 2 3 2" xfId="33343"/>
    <cellStyle name="표준 7 2 6 2 2 2 4" xfId="22207"/>
    <cellStyle name="표준 7 2 6 2 2 3" xfId="8287"/>
    <cellStyle name="표준 7 2 6 2 2 3 2" xfId="24991"/>
    <cellStyle name="표준 7 2 6 2 2 4" xfId="13855"/>
    <cellStyle name="표준 7 2 6 2 2 4 2" xfId="30559"/>
    <cellStyle name="표준 7 2 6 2 2 5" xfId="19423"/>
    <cellStyle name="표준 7 2 6 2 3" xfId="4111"/>
    <cellStyle name="표준 7 2 6 2 3 2" xfId="9679"/>
    <cellStyle name="표준 7 2 6 2 3 2 2" xfId="26383"/>
    <cellStyle name="표준 7 2 6 2 3 3" xfId="15247"/>
    <cellStyle name="표준 7 2 6 2 3 3 2" xfId="31951"/>
    <cellStyle name="표준 7 2 6 2 3 4" xfId="20815"/>
    <cellStyle name="표준 7 2 6 2 4" xfId="6895"/>
    <cellStyle name="표준 7 2 6 2 4 2" xfId="23599"/>
    <cellStyle name="표준 7 2 6 2 5" xfId="12463"/>
    <cellStyle name="표준 7 2 6 2 5 2" xfId="29167"/>
    <cellStyle name="표준 7 2 6 2 6" xfId="18031"/>
    <cellStyle name="표준 7 2 6 3" xfId="2023"/>
    <cellStyle name="표준 7 2 6 3 2" xfId="4807"/>
    <cellStyle name="표준 7 2 6 3 2 2" xfId="10375"/>
    <cellStyle name="표준 7 2 6 3 2 2 2" xfId="27079"/>
    <cellStyle name="표준 7 2 6 3 2 3" xfId="15943"/>
    <cellStyle name="표준 7 2 6 3 2 3 2" xfId="32647"/>
    <cellStyle name="표준 7 2 6 3 2 4" xfId="21511"/>
    <cellStyle name="표준 7 2 6 3 3" xfId="7591"/>
    <cellStyle name="표준 7 2 6 3 3 2" xfId="24295"/>
    <cellStyle name="표준 7 2 6 3 4" xfId="13159"/>
    <cellStyle name="표준 7 2 6 3 4 2" xfId="29863"/>
    <cellStyle name="표준 7 2 6 3 5" xfId="18727"/>
    <cellStyle name="표준 7 2 6 4" xfId="3415"/>
    <cellStyle name="표준 7 2 6 4 2" xfId="8983"/>
    <cellStyle name="표준 7 2 6 4 2 2" xfId="25687"/>
    <cellStyle name="표준 7 2 6 4 3" xfId="14551"/>
    <cellStyle name="표준 7 2 6 4 3 2" xfId="31255"/>
    <cellStyle name="표준 7 2 6 4 4" xfId="20119"/>
    <cellStyle name="표준 7 2 6 5" xfId="6199"/>
    <cellStyle name="표준 7 2 6 5 2" xfId="22903"/>
    <cellStyle name="표준 7 2 6 6" xfId="11767"/>
    <cellStyle name="표준 7 2 6 6 2" xfId="28471"/>
    <cellStyle name="표준 7 2 6 7" xfId="17335"/>
    <cellStyle name="표준 7 2 7" xfId="863"/>
    <cellStyle name="표준 7 2 7 2" xfId="2255"/>
    <cellStyle name="표준 7 2 7 2 2" xfId="5039"/>
    <cellStyle name="표준 7 2 7 2 2 2" xfId="10607"/>
    <cellStyle name="표준 7 2 7 2 2 2 2" xfId="27311"/>
    <cellStyle name="표준 7 2 7 2 2 3" xfId="16175"/>
    <cellStyle name="표준 7 2 7 2 2 3 2" xfId="32879"/>
    <cellStyle name="표준 7 2 7 2 2 4" xfId="21743"/>
    <cellStyle name="표준 7 2 7 2 3" xfId="7823"/>
    <cellStyle name="표준 7 2 7 2 3 2" xfId="24527"/>
    <cellStyle name="표준 7 2 7 2 4" xfId="13391"/>
    <cellStyle name="표준 7 2 7 2 4 2" xfId="30095"/>
    <cellStyle name="표준 7 2 7 2 5" xfId="18959"/>
    <cellStyle name="표준 7 2 7 3" xfId="3647"/>
    <cellStyle name="표준 7 2 7 3 2" xfId="9215"/>
    <cellStyle name="표준 7 2 7 3 2 2" xfId="25919"/>
    <cellStyle name="표준 7 2 7 3 3" xfId="14783"/>
    <cellStyle name="표준 7 2 7 3 3 2" xfId="31487"/>
    <cellStyle name="표준 7 2 7 3 4" xfId="20351"/>
    <cellStyle name="표준 7 2 7 4" xfId="6431"/>
    <cellStyle name="표준 7 2 7 4 2" xfId="23135"/>
    <cellStyle name="표준 7 2 7 5" xfId="11999"/>
    <cellStyle name="표준 7 2 7 5 2" xfId="28703"/>
    <cellStyle name="표준 7 2 7 6" xfId="17567"/>
    <cellStyle name="표준 7 2 8" xfId="1559"/>
    <cellStyle name="표준 7 2 8 2" xfId="4343"/>
    <cellStyle name="표준 7 2 8 2 2" xfId="9911"/>
    <cellStyle name="표준 7 2 8 2 2 2" xfId="26615"/>
    <cellStyle name="표준 7 2 8 2 3" xfId="15479"/>
    <cellStyle name="표준 7 2 8 2 3 2" xfId="32183"/>
    <cellStyle name="표준 7 2 8 2 4" xfId="21047"/>
    <cellStyle name="표준 7 2 8 3" xfId="7127"/>
    <cellStyle name="표준 7 2 8 3 2" xfId="23831"/>
    <cellStyle name="표준 7 2 8 4" xfId="12695"/>
    <cellStyle name="표준 7 2 8 4 2" xfId="29399"/>
    <cellStyle name="표준 7 2 8 5" xfId="18263"/>
    <cellStyle name="표준 7 2 9" xfId="2951"/>
    <cellStyle name="표준 7 2 9 2" xfId="8519"/>
    <cellStyle name="표준 7 2 9 2 2" xfId="25223"/>
    <cellStyle name="표준 7 2 9 3" xfId="14087"/>
    <cellStyle name="표준 7 2 9 3 2" xfId="30791"/>
    <cellStyle name="표준 7 2 9 4" xfId="19655"/>
    <cellStyle name="표준 7 3" xfId="190"/>
    <cellStyle name="표준 7 3 10" xfId="11326"/>
    <cellStyle name="표준 7 3 10 2" xfId="28030"/>
    <cellStyle name="표준 7 3 11" xfId="16894"/>
    <cellStyle name="표준 7 3 2" xfId="248"/>
    <cellStyle name="표준 7 3 2 10" xfId="16952"/>
    <cellStyle name="표준 7 3 2 2" xfId="364"/>
    <cellStyle name="표준 7 3 2 2 2" xfId="596"/>
    <cellStyle name="표준 7 3 2 2 2 2" xfId="1292"/>
    <cellStyle name="표준 7 3 2 2 2 2 2" xfId="2684"/>
    <cellStyle name="표준 7 3 2 2 2 2 2 2" xfId="5468"/>
    <cellStyle name="표준 7 3 2 2 2 2 2 2 2" xfId="11036"/>
    <cellStyle name="표준 7 3 2 2 2 2 2 2 2 2" xfId="27740"/>
    <cellStyle name="표준 7 3 2 2 2 2 2 2 3" xfId="16604"/>
    <cellStyle name="표준 7 3 2 2 2 2 2 2 3 2" xfId="33308"/>
    <cellStyle name="표준 7 3 2 2 2 2 2 2 4" xfId="22172"/>
    <cellStyle name="표준 7 3 2 2 2 2 2 3" xfId="8252"/>
    <cellStyle name="표준 7 3 2 2 2 2 2 3 2" xfId="24956"/>
    <cellStyle name="표준 7 3 2 2 2 2 2 4" xfId="13820"/>
    <cellStyle name="표준 7 3 2 2 2 2 2 4 2" xfId="30524"/>
    <cellStyle name="표준 7 3 2 2 2 2 2 5" xfId="19388"/>
    <cellStyle name="표준 7 3 2 2 2 2 3" xfId="4076"/>
    <cellStyle name="표준 7 3 2 2 2 2 3 2" xfId="9644"/>
    <cellStyle name="표준 7 3 2 2 2 2 3 2 2" xfId="26348"/>
    <cellStyle name="표준 7 3 2 2 2 2 3 3" xfId="15212"/>
    <cellStyle name="표준 7 3 2 2 2 2 3 3 2" xfId="31916"/>
    <cellStyle name="표준 7 3 2 2 2 2 3 4" xfId="20780"/>
    <cellStyle name="표준 7 3 2 2 2 2 4" xfId="6860"/>
    <cellStyle name="표준 7 3 2 2 2 2 4 2" xfId="23564"/>
    <cellStyle name="표준 7 3 2 2 2 2 5" xfId="12428"/>
    <cellStyle name="표준 7 3 2 2 2 2 5 2" xfId="29132"/>
    <cellStyle name="표준 7 3 2 2 2 2 6" xfId="17996"/>
    <cellStyle name="표준 7 3 2 2 2 3" xfId="1988"/>
    <cellStyle name="표준 7 3 2 2 2 3 2" xfId="4772"/>
    <cellStyle name="표준 7 3 2 2 2 3 2 2" xfId="10340"/>
    <cellStyle name="표준 7 3 2 2 2 3 2 2 2" xfId="27044"/>
    <cellStyle name="표준 7 3 2 2 2 3 2 3" xfId="15908"/>
    <cellStyle name="표준 7 3 2 2 2 3 2 3 2" xfId="32612"/>
    <cellStyle name="표준 7 3 2 2 2 3 2 4" xfId="21476"/>
    <cellStyle name="표준 7 3 2 2 2 3 3" xfId="7556"/>
    <cellStyle name="표준 7 3 2 2 2 3 3 2" xfId="24260"/>
    <cellStyle name="표준 7 3 2 2 2 3 4" xfId="13124"/>
    <cellStyle name="표준 7 3 2 2 2 3 4 2" xfId="29828"/>
    <cellStyle name="표준 7 3 2 2 2 3 5" xfId="18692"/>
    <cellStyle name="표준 7 3 2 2 2 4" xfId="3380"/>
    <cellStyle name="표준 7 3 2 2 2 4 2" xfId="8948"/>
    <cellStyle name="표준 7 3 2 2 2 4 2 2" xfId="25652"/>
    <cellStyle name="표준 7 3 2 2 2 4 3" xfId="14516"/>
    <cellStyle name="표준 7 3 2 2 2 4 3 2" xfId="31220"/>
    <cellStyle name="표준 7 3 2 2 2 4 4" xfId="20084"/>
    <cellStyle name="표준 7 3 2 2 2 5" xfId="6164"/>
    <cellStyle name="표준 7 3 2 2 2 5 2" xfId="22868"/>
    <cellStyle name="표준 7 3 2 2 2 6" xfId="11732"/>
    <cellStyle name="표준 7 3 2 2 2 6 2" xfId="28436"/>
    <cellStyle name="표준 7 3 2 2 2 7" xfId="17300"/>
    <cellStyle name="표준 7 3 2 2 3" xfId="828"/>
    <cellStyle name="표준 7 3 2 2 3 2" xfId="1524"/>
    <cellStyle name="표준 7 3 2 2 3 2 2" xfId="2916"/>
    <cellStyle name="표준 7 3 2 2 3 2 2 2" xfId="5700"/>
    <cellStyle name="표준 7 3 2 2 3 2 2 2 2" xfId="11268"/>
    <cellStyle name="표준 7 3 2 2 3 2 2 2 2 2" xfId="27972"/>
    <cellStyle name="표준 7 3 2 2 3 2 2 2 3" xfId="16836"/>
    <cellStyle name="표준 7 3 2 2 3 2 2 2 3 2" xfId="33540"/>
    <cellStyle name="표준 7 3 2 2 3 2 2 2 4" xfId="22404"/>
    <cellStyle name="표준 7 3 2 2 3 2 2 3" xfId="8484"/>
    <cellStyle name="표준 7 3 2 2 3 2 2 3 2" xfId="25188"/>
    <cellStyle name="표준 7 3 2 2 3 2 2 4" xfId="14052"/>
    <cellStyle name="표준 7 3 2 2 3 2 2 4 2" xfId="30756"/>
    <cellStyle name="표준 7 3 2 2 3 2 2 5" xfId="19620"/>
    <cellStyle name="표준 7 3 2 2 3 2 3" xfId="4308"/>
    <cellStyle name="표준 7 3 2 2 3 2 3 2" xfId="9876"/>
    <cellStyle name="표준 7 3 2 2 3 2 3 2 2" xfId="26580"/>
    <cellStyle name="표준 7 3 2 2 3 2 3 3" xfId="15444"/>
    <cellStyle name="표준 7 3 2 2 3 2 3 3 2" xfId="32148"/>
    <cellStyle name="표준 7 3 2 2 3 2 3 4" xfId="21012"/>
    <cellStyle name="표준 7 3 2 2 3 2 4" xfId="7092"/>
    <cellStyle name="표준 7 3 2 2 3 2 4 2" xfId="23796"/>
    <cellStyle name="표준 7 3 2 2 3 2 5" xfId="12660"/>
    <cellStyle name="표준 7 3 2 2 3 2 5 2" xfId="29364"/>
    <cellStyle name="표준 7 3 2 2 3 2 6" xfId="18228"/>
    <cellStyle name="표준 7 3 2 2 3 3" xfId="2220"/>
    <cellStyle name="표준 7 3 2 2 3 3 2" xfId="5004"/>
    <cellStyle name="표준 7 3 2 2 3 3 2 2" xfId="10572"/>
    <cellStyle name="표준 7 3 2 2 3 3 2 2 2" xfId="27276"/>
    <cellStyle name="표준 7 3 2 2 3 3 2 3" xfId="16140"/>
    <cellStyle name="표준 7 3 2 2 3 3 2 3 2" xfId="32844"/>
    <cellStyle name="표준 7 3 2 2 3 3 2 4" xfId="21708"/>
    <cellStyle name="표준 7 3 2 2 3 3 3" xfId="7788"/>
    <cellStyle name="표준 7 3 2 2 3 3 3 2" xfId="24492"/>
    <cellStyle name="표준 7 3 2 2 3 3 4" xfId="13356"/>
    <cellStyle name="표준 7 3 2 2 3 3 4 2" xfId="30060"/>
    <cellStyle name="표준 7 3 2 2 3 3 5" xfId="18924"/>
    <cellStyle name="표준 7 3 2 2 3 4" xfId="3612"/>
    <cellStyle name="표준 7 3 2 2 3 4 2" xfId="9180"/>
    <cellStyle name="표준 7 3 2 2 3 4 2 2" xfId="25884"/>
    <cellStyle name="표준 7 3 2 2 3 4 3" xfId="14748"/>
    <cellStyle name="표준 7 3 2 2 3 4 3 2" xfId="31452"/>
    <cellStyle name="표준 7 3 2 2 3 4 4" xfId="20316"/>
    <cellStyle name="표준 7 3 2 2 3 5" xfId="6396"/>
    <cellStyle name="표준 7 3 2 2 3 5 2" xfId="23100"/>
    <cellStyle name="표준 7 3 2 2 3 6" xfId="11964"/>
    <cellStyle name="표준 7 3 2 2 3 6 2" xfId="28668"/>
    <cellStyle name="표준 7 3 2 2 3 7" xfId="17532"/>
    <cellStyle name="표준 7 3 2 2 4" xfId="1060"/>
    <cellStyle name="표준 7 3 2 2 4 2" xfId="2452"/>
    <cellStyle name="표준 7 3 2 2 4 2 2" xfId="5236"/>
    <cellStyle name="표준 7 3 2 2 4 2 2 2" xfId="10804"/>
    <cellStyle name="표준 7 3 2 2 4 2 2 2 2" xfId="27508"/>
    <cellStyle name="표준 7 3 2 2 4 2 2 3" xfId="16372"/>
    <cellStyle name="표준 7 3 2 2 4 2 2 3 2" xfId="33076"/>
    <cellStyle name="표준 7 3 2 2 4 2 2 4" xfId="21940"/>
    <cellStyle name="표준 7 3 2 2 4 2 3" xfId="8020"/>
    <cellStyle name="표준 7 3 2 2 4 2 3 2" xfId="24724"/>
    <cellStyle name="표준 7 3 2 2 4 2 4" xfId="13588"/>
    <cellStyle name="표준 7 3 2 2 4 2 4 2" xfId="30292"/>
    <cellStyle name="표준 7 3 2 2 4 2 5" xfId="19156"/>
    <cellStyle name="표준 7 3 2 2 4 3" xfId="3844"/>
    <cellStyle name="표준 7 3 2 2 4 3 2" xfId="9412"/>
    <cellStyle name="표준 7 3 2 2 4 3 2 2" xfId="26116"/>
    <cellStyle name="표준 7 3 2 2 4 3 3" xfId="14980"/>
    <cellStyle name="표준 7 3 2 2 4 3 3 2" xfId="31684"/>
    <cellStyle name="표준 7 3 2 2 4 3 4" xfId="20548"/>
    <cellStyle name="표준 7 3 2 2 4 4" xfId="6628"/>
    <cellStyle name="표준 7 3 2 2 4 4 2" xfId="23332"/>
    <cellStyle name="표준 7 3 2 2 4 5" xfId="12196"/>
    <cellStyle name="표준 7 3 2 2 4 5 2" xfId="28900"/>
    <cellStyle name="표준 7 3 2 2 4 6" xfId="17764"/>
    <cellStyle name="표준 7 3 2 2 5" xfId="1756"/>
    <cellStyle name="표준 7 3 2 2 5 2" xfId="4540"/>
    <cellStyle name="표준 7 3 2 2 5 2 2" xfId="10108"/>
    <cellStyle name="표준 7 3 2 2 5 2 2 2" xfId="26812"/>
    <cellStyle name="표준 7 3 2 2 5 2 3" xfId="15676"/>
    <cellStyle name="표준 7 3 2 2 5 2 3 2" xfId="32380"/>
    <cellStyle name="표준 7 3 2 2 5 2 4" xfId="21244"/>
    <cellStyle name="표준 7 3 2 2 5 3" xfId="7324"/>
    <cellStyle name="표준 7 3 2 2 5 3 2" xfId="24028"/>
    <cellStyle name="표준 7 3 2 2 5 4" xfId="12892"/>
    <cellStyle name="표준 7 3 2 2 5 4 2" xfId="29596"/>
    <cellStyle name="표준 7 3 2 2 5 5" xfId="18460"/>
    <cellStyle name="표준 7 3 2 2 6" xfId="3148"/>
    <cellStyle name="표준 7 3 2 2 6 2" xfId="8716"/>
    <cellStyle name="표준 7 3 2 2 6 2 2" xfId="25420"/>
    <cellStyle name="표준 7 3 2 2 6 3" xfId="14284"/>
    <cellStyle name="표준 7 3 2 2 6 3 2" xfId="30988"/>
    <cellStyle name="표준 7 3 2 2 6 4" xfId="19852"/>
    <cellStyle name="표준 7 3 2 2 7" xfId="5932"/>
    <cellStyle name="표준 7 3 2 2 7 2" xfId="22636"/>
    <cellStyle name="표준 7 3 2 2 8" xfId="11500"/>
    <cellStyle name="표준 7 3 2 2 8 2" xfId="28204"/>
    <cellStyle name="표준 7 3 2 2 9" xfId="17068"/>
    <cellStyle name="표준 7 3 2 3" xfId="480"/>
    <cellStyle name="표준 7 3 2 3 2" xfId="1176"/>
    <cellStyle name="표준 7 3 2 3 2 2" xfId="2568"/>
    <cellStyle name="표준 7 3 2 3 2 2 2" xfId="5352"/>
    <cellStyle name="표준 7 3 2 3 2 2 2 2" xfId="10920"/>
    <cellStyle name="표준 7 3 2 3 2 2 2 2 2" xfId="27624"/>
    <cellStyle name="표준 7 3 2 3 2 2 2 3" xfId="16488"/>
    <cellStyle name="표준 7 3 2 3 2 2 2 3 2" xfId="33192"/>
    <cellStyle name="표준 7 3 2 3 2 2 2 4" xfId="22056"/>
    <cellStyle name="표준 7 3 2 3 2 2 3" xfId="8136"/>
    <cellStyle name="표준 7 3 2 3 2 2 3 2" xfId="24840"/>
    <cellStyle name="표준 7 3 2 3 2 2 4" xfId="13704"/>
    <cellStyle name="표준 7 3 2 3 2 2 4 2" xfId="30408"/>
    <cellStyle name="표준 7 3 2 3 2 2 5" xfId="19272"/>
    <cellStyle name="표준 7 3 2 3 2 3" xfId="3960"/>
    <cellStyle name="표준 7 3 2 3 2 3 2" xfId="9528"/>
    <cellStyle name="표준 7 3 2 3 2 3 2 2" xfId="26232"/>
    <cellStyle name="표준 7 3 2 3 2 3 3" xfId="15096"/>
    <cellStyle name="표준 7 3 2 3 2 3 3 2" xfId="31800"/>
    <cellStyle name="표준 7 3 2 3 2 3 4" xfId="20664"/>
    <cellStyle name="표준 7 3 2 3 2 4" xfId="6744"/>
    <cellStyle name="표준 7 3 2 3 2 4 2" xfId="23448"/>
    <cellStyle name="표준 7 3 2 3 2 5" xfId="12312"/>
    <cellStyle name="표준 7 3 2 3 2 5 2" xfId="29016"/>
    <cellStyle name="표준 7 3 2 3 2 6" xfId="17880"/>
    <cellStyle name="표준 7 3 2 3 3" xfId="1872"/>
    <cellStyle name="표준 7 3 2 3 3 2" xfId="4656"/>
    <cellStyle name="표준 7 3 2 3 3 2 2" xfId="10224"/>
    <cellStyle name="표준 7 3 2 3 3 2 2 2" xfId="26928"/>
    <cellStyle name="표준 7 3 2 3 3 2 3" xfId="15792"/>
    <cellStyle name="표준 7 3 2 3 3 2 3 2" xfId="32496"/>
    <cellStyle name="표준 7 3 2 3 3 2 4" xfId="21360"/>
    <cellStyle name="표준 7 3 2 3 3 3" xfId="7440"/>
    <cellStyle name="표준 7 3 2 3 3 3 2" xfId="24144"/>
    <cellStyle name="표준 7 3 2 3 3 4" xfId="13008"/>
    <cellStyle name="표준 7 3 2 3 3 4 2" xfId="29712"/>
    <cellStyle name="표준 7 3 2 3 3 5" xfId="18576"/>
    <cellStyle name="표준 7 3 2 3 4" xfId="3264"/>
    <cellStyle name="표준 7 3 2 3 4 2" xfId="8832"/>
    <cellStyle name="표준 7 3 2 3 4 2 2" xfId="25536"/>
    <cellStyle name="표준 7 3 2 3 4 3" xfId="14400"/>
    <cellStyle name="표준 7 3 2 3 4 3 2" xfId="31104"/>
    <cellStyle name="표준 7 3 2 3 4 4" xfId="19968"/>
    <cellStyle name="표준 7 3 2 3 5" xfId="6048"/>
    <cellStyle name="표준 7 3 2 3 5 2" xfId="22752"/>
    <cellStyle name="표준 7 3 2 3 6" xfId="11616"/>
    <cellStyle name="표준 7 3 2 3 6 2" xfId="28320"/>
    <cellStyle name="표준 7 3 2 3 7" xfId="17184"/>
    <cellStyle name="표준 7 3 2 4" xfId="712"/>
    <cellStyle name="표준 7 3 2 4 2" xfId="1408"/>
    <cellStyle name="표준 7 3 2 4 2 2" xfId="2800"/>
    <cellStyle name="표준 7 3 2 4 2 2 2" xfId="5584"/>
    <cellStyle name="표준 7 3 2 4 2 2 2 2" xfId="11152"/>
    <cellStyle name="표준 7 3 2 4 2 2 2 2 2" xfId="27856"/>
    <cellStyle name="표준 7 3 2 4 2 2 2 3" xfId="16720"/>
    <cellStyle name="표준 7 3 2 4 2 2 2 3 2" xfId="33424"/>
    <cellStyle name="표준 7 3 2 4 2 2 2 4" xfId="22288"/>
    <cellStyle name="표준 7 3 2 4 2 2 3" xfId="8368"/>
    <cellStyle name="표준 7 3 2 4 2 2 3 2" xfId="25072"/>
    <cellStyle name="표준 7 3 2 4 2 2 4" xfId="13936"/>
    <cellStyle name="표준 7 3 2 4 2 2 4 2" xfId="30640"/>
    <cellStyle name="표준 7 3 2 4 2 2 5" xfId="19504"/>
    <cellStyle name="표준 7 3 2 4 2 3" xfId="4192"/>
    <cellStyle name="표준 7 3 2 4 2 3 2" xfId="9760"/>
    <cellStyle name="표준 7 3 2 4 2 3 2 2" xfId="26464"/>
    <cellStyle name="표준 7 3 2 4 2 3 3" xfId="15328"/>
    <cellStyle name="표준 7 3 2 4 2 3 3 2" xfId="32032"/>
    <cellStyle name="표준 7 3 2 4 2 3 4" xfId="20896"/>
    <cellStyle name="표준 7 3 2 4 2 4" xfId="6976"/>
    <cellStyle name="표준 7 3 2 4 2 4 2" xfId="23680"/>
    <cellStyle name="표준 7 3 2 4 2 5" xfId="12544"/>
    <cellStyle name="표준 7 3 2 4 2 5 2" xfId="29248"/>
    <cellStyle name="표준 7 3 2 4 2 6" xfId="18112"/>
    <cellStyle name="표준 7 3 2 4 3" xfId="2104"/>
    <cellStyle name="표준 7 3 2 4 3 2" xfId="4888"/>
    <cellStyle name="표준 7 3 2 4 3 2 2" xfId="10456"/>
    <cellStyle name="표준 7 3 2 4 3 2 2 2" xfId="27160"/>
    <cellStyle name="표준 7 3 2 4 3 2 3" xfId="16024"/>
    <cellStyle name="표준 7 3 2 4 3 2 3 2" xfId="32728"/>
    <cellStyle name="표준 7 3 2 4 3 2 4" xfId="21592"/>
    <cellStyle name="표준 7 3 2 4 3 3" xfId="7672"/>
    <cellStyle name="표준 7 3 2 4 3 3 2" xfId="24376"/>
    <cellStyle name="표준 7 3 2 4 3 4" xfId="13240"/>
    <cellStyle name="표준 7 3 2 4 3 4 2" xfId="29944"/>
    <cellStyle name="표준 7 3 2 4 3 5" xfId="18808"/>
    <cellStyle name="표준 7 3 2 4 4" xfId="3496"/>
    <cellStyle name="표준 7 3 2 4 4 2" xfId="9064"/>
    <cellStyle name="표준 7 3 2 4 4 2 2" xfId="25768"/>
    <cellStyle name="표준 7 3 2 4 4 3" xfId="14632"/>
    <cellStyle name="표준 7 3 2 4 4 3 2" xfId="31336"/>
    <cellStyle name="표준 7 3 2 4 4 4" xfId="20200"/>
    <cellStyle name="표준 7 3 2 4 5" xfId="6280"/>
    <cellStyle name="표준 7 3 2 4 5 2" xfId="22984"/>
    <cellStyle name="표준 7 3 2 4 6" xfId="11848"/>
    <cellStyle name="표준 7 3 2 4 6 2" xfId="28552"/>
    <cellStyle name="표준 7 3 2 4 7" xfId="17416"/>
    <cellStyle name="표준 7 3 2 5" xfId="944"/>
    <cellStyle name="표준 7 3 2 5 2" xfId="2336"/>
    <cellStyle name="표준 7 3 2 5 2 2" xfId="5120"/>
    <cellStyle name="표준 7 3 2 5 2 2 2" xfId="10688"/>
    <cellStyle name="표준 7 3 2 5 2 2 2 2" xfId="27392"/>
    <cellStyle name="표준 7 3 2 5 2 2 3" xfId="16256"/>
    <cellStyle name="표준 7 3 2 5 2 2 3 2" xfId="32960"/>
    <cellStyle name="표준 7 3 2 5 2 2 4" xfId="21824"/>
    <cellStyle name="표준 7 3 2 5 2 3" xfId="7904"/>
    <cellStyle name="표준 7 3 2 5 2 3 2" xfId="24608"/>
    <cellStyle name="표준 7 3 2 5 2 4" xfId="13472"/>
    <cellStyle name="표준 7 3 2 5 2 4 2" xfId="30176"/>
    <cellStyle name="표준 7 3 2 5 2 5" xfId="19040"/>
    <cellStyle name="표준 7 3 2 5 3" xfId="3728"/>
    <cellStyle name="표준 7 3 2 5 3 2" xfId="9296"/>
    <cellStyle name="표준 7 3 2 5 3 2 2" xfId="26000"/>
    <cellStyle name="표준 7 3 2 5 3 3" xfId="14864"/>
    <cellStyle name="표준 7 3 2 5 3 3 2" xfId="31568"/>
    <cellStyle name="표준 7 3 2 5 3 4" xfId="20432"/>
    <cellStyle name="표준 7 3 2 5 4" xfId="6512"/>
    <cellStyle name="표준 7 3 2 5 4 2" xfId="23216"/>
    <cellStyle name="표준 7 3 2 5 5" xfId="12080"/>
    <cellStyle name="표준 7 3 2 5 5 2" xfId="28784"/>
    <cellStyle name="표준 7 3 2 5 6" xfId="17648"/>
    <cellStyle name="표준 7 3 2 6" xfId="1640"/>
    <cellStyle name="표준 7 3 2 6 2" xfId="4424"/>
    <cellStyle name="표준 7 3 2 6 2 2" xfId="9992"/>
    <cellStyle name="표준 7 3 2 6 2 2 2" xfId="26696"/>
    <cellStyle name="표준 7 3 2 6 2 3" xfId="15560"/>
    <cellStyle name="표준 7 3 2 6 2 3 2" xfId="32264"/>
    <cellStyle name="표준 7 3 2 6 2 4" xfId="21128"/>
    <cellStyle name="표준 7 3 2 6 3" xfId="7208"/>
    <cellStyle name="표준 7 3 2 6 3 2" xfId="23912"/>
    <cellStyle name="표준 7 3 2 6 4" xfId="12776"/>
    <cellStyle name="표준 7 3 2 6 4 2" xfId="29480"/>
    <cellStyle name="표준 7 3 2 6 5" xfId="18344"/>
    <cellStyle name="표준 7 3 2 7" xfId="3032"/>
    <cellStyle name="표준 7 3 2 7 2" xfId="8600"/>
    <cellStyle name="표준 7 3 2 7 2 2" xfId="25304"/>
    <cellStyle name="표준 7 3 2 7 3" xfId="14168"/>
    <cellStyle name="표준 7 3 2 7 3 2" xfId="30872"/>
    <cellStyle name="표준 7 3 2 7 4" xfId="19736"/>
    <cellStyle name="표준 7 3 2 8" xfId="5816"/>
    <cellStyle name="표준 7 3 2 8 2" xfId="22520"/>
    <cellStyle name="표준 7 3 2 9" xfId="11384"/>
    <cellStyle name="표준 7 3 2 9 2" xfId="28088"/>
    <cellStyle name="표준 7 3 3" xfId="306"/>
    <cellStyle name="표준 7 3 3 2" xfId="538"/>
    <cellStyle name="표준 7 3 3 2 2" xfId="1234"/>
    <cellStyle name="표준 7 3 3 2 2 2" xfId="2626"/>
    <cellStyle name="표준 7 3 3 2 2 2 2" xfId="5410"/>
    <cellStyle name="표준 7 3 3 2 2 2 2 2" xfId="10978"/>
    <cellStyle name="표준 7 3 3 2 2 2 2 2 2" xfId="27682"/>
    <cellStyle name="표준 7 3 3 2 2 2 2 3" xfId="16546"/>
    <cellStyle name="표준 7 3 3 2 2 2 2 3 2" xfId="33250"/>
    <cellStyle name="표준 7 3 3 2 2 2 2 4" xfId="22114"/>
    <cellStyle name="표준 7 3 3 2 2 2 3" xfId="8194"/>
    <cellStyle name="표준 7 3 3 2 2 2 3 2" xfId="24898"/>
    <cellStyle name="표준 7 3 3 2 2 2 4" xfId="13762"/>
    <cellStyle name="표준 7 3 3 2 2 2 4 2" xfId="30466"/>
    <cellStyle name="표준 7 3 3 2 2 2 5" xfId="19330"/>
    <cellStyle name="표준 7 3 3 2 2 3" xfId="4018"/>
    <cellStyle name="표준 7 3 3 2 2 3 2" xfId="9586"/>
    <cellStyle name="표준 7 3 3 2 2 3 2 2" xfId="26290"/>
    <cellStyle name="표준 7 3 3 2 2 3 3" xfId="15154"/>
    <cellStyle name="표준 7 3 3 2 2 3 3 2" xfId="31858"/>
    <cellStyle name="표준 7 3 3 2 2 3 4" xfId="20722"/>
    <cellStyle name="표준 7 3 3 2 2 4" xfId="6802"/>
    <cellStyle name="표준 7 3 3 2 2 4 2" xfId="23506"/>
    <cellStyle name="표준 7 3 3 2 2 5" xfId="12370"/>
    <cellStyle name="표준 7 3 3 2 2 5 2" xfId="29074"/>
    <cellStyle name="표준 7 3 3 2 2 6" xfId="17938"/>
    <cellStyle name="표준 7 3 3 2 3" xfId="1930"/>
    <cellStyle name="표준 7 3 3 2 3 2" xfId="4714"/>
    <cellStyle name="표준 7 3 3 2 3 2 2" xfId="10282"/>
    <cellStyle name="표준 7 3 3 2 3 2 2 2" xfId="26986"/>
    <cellStyle name="표준 7 3 3 2 3 2 3" xfId="15850"/>
    <cellStyle name="표준 7 3 3 2 3 2 3 2" xfId="32554"/>
    <cellStyle name="표준 7 3 3 2 3 2 4" xfId="21418"/>
    <cellStyle name="표준 7 3 3 2 3 3" xfId="7498"/>
    <cellStyle name="표준 7 3 3 2 3 3 2" xfId="24202"/>
    <cellStyle name="표준 7 3 3 2 3 4" xfId="13066"/>
    <cellStyle name="표준 7 3 3 2 3 4 2" xfId="29770"/>
    <cellStyle name="표준 7 3 3 2 3 5" xfId="18634"/>
    <cellStyle name="표준 7 3 3 2 4" xfId="3322"/>
    <cellStyle name="표준 7 3 3 2 4 2" xfId="8890"/>
    <cellStyle name="표준 7 3 3 2 4 2 2" xfId="25594"/>
    <cellStyle name="표준 7 3 3 2 4 3" xfId="14458"/>
    <cellStyle name="표준 7 3 3 2 4 3 2" xfId="31162"/>
    <cellStyle name="표준 7 3 3 2 4 4" xfId="20026"/>
    <cellStyle name="표준 7 3 3 2 5" xfId="6106"/>
    <cellStyle name="표준 7 3 3 2 5 2" xfId="22810"/>
    <cellStyle name="표준 7 3 3 2 6" xfId="11674"/>
    <cellStyle name="표준 7 3 3 2 6 2" xfId="28378"/>
    <cellStyle name="표준 7 3 3 2 7" xfId="17242"/>
    <cellStyle name="표준 7 3 3 3" xfId="770"/>
    <cellStyle name="표준 7 3 3 3 2" xfId="1466"/>
    <cellStyle name="표준 7 3 3 3 2 2" xfId="2858"/>
    <cellStyle name="표준 7 3 3 3 2 2 2" xfId="5642"/>
    <cellStyle name="표준 7 3 3 3 2 2 2 2" xfId="11210"/>
    <cellStyle name="표준 7 3 3 3 2 2 2 2 2" xfId="27914"/>
    <cellStyle name="표준 7 3 3 3 2 2 2 3" xfId="16778"/>
    <cellStyle name="표준 7 3 3 3 2 2 2 3 2" xfId="33482"/>
    <cellStyle name="표준 7 3 3 3 2 2 2 4" xfId="22346"/>
    <cellStyle name="표준 7 3 3 3 2 2 3" xfId="8426"/>
    <cellStyle name="표준 7 3 3 3 2 2 3 2" xfId="25130"/>
    <cellStyle name="표준 7 3 3 3 2 2 4" xfId="13994"/>
    <cellStyle name="표준 7 3 3 3 2 2 4 2" xfId="30698"/>
    <cellStyle name="표준 7 3 3 3 2 2 5" xfId="19562"/>
    <cellStyle name="표준 7 3 3 3 2 3" xfId="4250"/>
    <cellStyle name="표준 7 3 3 3 2 3 2" xfId="9818"/>
    <cellStyle name="표준 7 3 3 3 2 3 2 2" xfId="26522"/>
    <cellStyle name="표준 7 3 3 3 2 3 3" xfId="15386"/>
    <cellStyle name="표준 7 3 3 3 2 3 3 2" xfId="32090"/>
    <cellStyle name="표준 7 3 3 3 2 3 4" xfId="20954"/>
    <cellStyle name="표준 7 3 3 3 2 4" xfId="7034"/>
    <cellStyle name="표준 7 3 3 3 2 4 2" xfId="23738"/>
    <cellStyle name="표준 7 3 3 3 2 5" xfId="12602"/>
    <cellStyle name="표준 7 3 3 3 2 5 2" xfId="29306"/>
    <cellStyle name="표준 7 3 3 3 2 6" xfId="18170"/>
    <cellStyle name="표준 7 3 3 3 3" xfId="2162"/>
    <cellStyle name="표준 7 3 3 3 3 2" xfId="4946"/>
    <cellStyle name="표준 7 3 3 3 3 2 2" xfId="10514"/>
    <cellStyle name="표준 7 3 3 3 3 2 2 2" xfId="27218"/>
    <cellStyle name="표준 7 3 3 3 3 2 3" xfId="16082"/>
    <cellStyle name="표준 7 3 3 3 3 2 3 2" xfId="32786"/>
    <cellStyle name="표준 7 3 3 3 3 2 4" xfId="21650"/>
    <cellStyle name="표준 7 3 3 3 3 3" xfId="7730"/>
    <cellStyle name="표준 7 3 3 3 3 3 2" xfId="24434"/>
    <cellStyle name="표준 7 3 3 3 3 4" xfId="13298"/>
    <cellStyle name="표준 7 3 3 3 3 4 2" xfId="30002"/>
    <cellStyle name="표준 7 3 3 3 3 5" xfId="18866"/>
    <cellStyle name="표준 7 3 3 3 4" xfId="3554"/>
    <cellStyle name="표준 7 3 3 3 4 2" xfId="9122"/>
    <cellStyle name="표준 7 3 3 3 4 2 2" xfId="25826"/>
    <cellStyle name="표준 7 3 3 3 4 3" xfId="14690"/>
    <cellStyle name="표준 7 3 3 3 4 3 2" xfId="31394"/>
    <cellStyle name="표준 7 3 3 3 4 4" xfId="20258"/>
    <cellStyle name="표준 7 3 3 3 5" xfId="6338"/>
    <cellStyle name="표준 7 3 3 3 5 2" xfId="23042"/>
    <cellStyle name="표준 7 3 3 3 6" xfId="11906"/>
    <cellStyle name="표준 7 3 3 3 6 2" xfId="28610"/>
    <cellStyle name="표준 7 3 3 3 7" xfId="17474"/>
    <cellStyle name="표준 7 3 3 4" xfId="1002"/>
    <cellStyle name="표준 7 3 3 4 2" xfId="2394"/>
    <cellStyle name="표준 7 3 3 4 2 2" xfId="5178"/>
    <cellStyle name="표준 7 3 3 4 2 2 2" xfId="10746"/>
    <cellStyle name="표준 7 3 3 4 2 2 2 2" xfId="27450"/>
    <cellStyle name="표준 7 3 3 4 2 2 3" xfId="16314"/>
    <cellStyle name="표준 7 3 3 4 2 2 3 2" xfId="33018"/>
    <cellStyle name="표준 7 3 3 4 2 2 4" xfId="21882"/>
    <cellStyle name="표준 7 3 3 4 2 3" xfId="7962"/>
    <cellStyle name="표준 7 3 3 4 2 3 2" xfId="24666"/>
    <cellStyle name="표준 7 3 3 4 2 4" xfId="13530"/>
    <cellStyle name="표준 7 3 3 4 2 4 2" xfId="30234"/>
    <cellStyle name="표준 7 3 3 4 2 5" xfId="19098"/>
    <cellStyle name="표준 7 3 3 4 3" xfId="3786"/>
    <cellStyle name="표준 7 3 3 4 3 2" xfId="9354"/>
    <cellStyle name="표준 7 3 3 4 3 2 2" xfId="26058"/>
    <cellStyle name="표준 7 3 3 4 3 3" xfId="14922"/>
    <cellStyle name="표준 7 3 3 4 3 3 2" xfId="31626"/>
    <cellStyle name="표준 7 3 3 4 3 4" xfId="20490"/>
    <cellStyle name="표준 7 3 3 4 4" xfId="6570"/>
    <cellStyle name="표준 7 3 3 4 4 2" xfId="23274"/>
    <cellStyle name="표준 7 3 3 4 5" xfId="12138"/>
    <cellStyle name="표준 7 3 3 4 5 2" xfId="28842"/>
    <cellStyle name="표준 7 3 3 4 6" xfId="17706"/>
    <cellStyle name="표준 7 3 3 5" xfId="1698"/>
    <cellStyle name="표준 7 3 3 5 2" xfId="4482"/>
    <cellStyle name="표준 7 3 3 5 2 2" xfId="10050"/>
    <cellStyle name="표준 7 3 3 5 2 2 2" xfId="26754"/>
    <cellStyle name="표준 7 3 3 5 2 3" xfId="15618"/>
    <cellStyle name="표준 7 3 3 5 2 3 2" xfId="32322"/>
    <cellStyle name="표준 7 3 3 5 2 4" xfId="21186"/>
    <cellStyle name="표준 7 3 3 5 3" xfId="7266"/>
    <cellStyle name="표준 7 3 3 5 3 2" xfId="23970"/>
    <cellStyle name="표준 7 3 3 5 4" xfId="12834"/>
    <cellStyle name="표준 7 3 3 5 4 2" xfId="29538"/>
    <cellStyle name="표준 7 3 3 5 5" xfId="18402"/>
    <cellStyle name="표준 7 3 3 6" xfId="3090"/>
    <cellStyle name="표준 7 3 3 6 2" xfId="8658"/>
    <cellStyle name="표준 7 3 3 6 2 2" xfId="25362"/>
    <cellStyle name="표준 7 3 3 6 3" xfId="14226"/>
    <cellStyle name="표준 7 3 3 6 3 2" xfId="30930"/>
    <cellStyle name="표준 7 3 3 6 4" xfId="19794"/>
    <cellStyle name="표준 7 3 3 7" xfId="5874"/>
    <cellStyle name="표준 7 3 3 7 2" xfId="22578"/>
    <cellStyle name="표준 7 3 3 8" xfId="11442"/>
    <cellStyle name="표준 7 3 3 8 2" xfId="28146"/>
    <cellStyle name="표준 7 3 3 9" xfId="17010"/>
    <cellStyle name="표준 7 3 4" xfId="422"/>
    <cellStyle name="표준 7 3 4 2" xfId="1118"/>
    <cellStyle name="표준 7 3 4 2 2" xfId="2510"/>
    <cellStyle name="표준 7 3 4 2 2 2" xfId="5294"/>
    <cellStyle name="표준 7 3 4 2 2 2 2" xfId="10862"/>
    <cellStyle name="표준 7 3 4 2 2 2 2 2" xfId="27566"/>
    <cellStyle name="표준 7 3 4 2 2 2 3" xfId="16430"/>
    <cellStyle name="표준 7 3 4 2 2 2 3 2" xfId="33134"/>
    <cellStyle name="표준 7 3 4 2 2 2 4" xfId="21998"/>
    <cellStyle name="표준 7 3 4 2 2 3" xfId="8078"/>
    <cellStyle name="표준 7 3 4 2 2 3 2" xfId="24782"/>
    <cellStyle name="표준 7 3 4 2 2 4" xfId="13646"/>
    <cellStyle name="표준 7 3 4 2 2 4 2" xfId="30350"/>
    <cellStyle name="표준 7 3 4 2 2 5" xfId="19214"/>
    <cellStyle name="표준 7 3 4 2 3" xfId="3902"/>
    <cellStyle name="표준 7 3 4 2 3 2" xfId="9470"/>
    <cellStyle name="표준 7 3 4 2 3 2 2" xfId="26174"/>
    <cellStyle name="표준 7 3 4 2 3 3" xfId="15038"/>
    <cellStyle name="표준 7 3 4 2 3 3 2" xfId="31742"/>
    <cellStyle name="표준 7 3 4 2 3 4" xfId="20606"/>
    <cellStyle name="표준 7 3 4 2 4" xfId="6686"/>
    <cellStyle name="표준 7 3 4 2 4 2" xfId="23390"/>
    <cellStyle name="표준 7 3 4 2 5" xfId="12254"/>
    <cellStyle name="표준 7 3 4 2 5 2" xfId="28958"/>
    <cellStyle name="표준 7 3 4 2 6" xfId="17822"/>
    <cellStyle name="표준 7 3 4 3" xfId="1814"/>
    <cellStyle name="표준 7 3 4 3 2" xfId="4598"/>
    <cellStyle name="표준 7 3 4 3 2 2" xfId="10166"/>
    <cellStyle name="표준 7 3 4 3 2 2 2" xfId="26870"/>
    <cellStyle name="표준 7 3 4 3 2 3" xfId="15734"/>
    <cellStyle name="표준 7 3 4 3 2 3 2" xfId="32438"/>
    <cellStyle name="표준 7 3 4 3 2 4" xfId="21302"/>
    <cellStyle name="표준 7 3 4 3 3" xfId="7382"/>
    <cellStyle name="표준 7 3 4 3 3 2" xfId="24086"/>
    <cellStyle name="표준 7 3 4 3 4" xfId="12950"/>
    <cellStyle name="표준 7 3 4 3 4 2" xfId="29654"/>
    <cellStyle name="표준 7 3 4 3 5" xfId="18518"/>
    <cellStyle name="표준 7 3 4 4" xfId="3206"/>
    <cellStyle name="표준 7 3 4 4 2" xfId="8774"/>
    <cellStyle name="표준 7 3 4 4 2 2" xfId="25478"/>
    <cellStyle name="표준 7 3 4 4 3" xfId="14342"/>
    <cellStyle name="표준 7 3 4 4 3 2" xfId="31046"/>
    <cellStyle name="표준 7 3 4 4 4" xfId="19910"/>
    <cellStyle name="표준 7 3 4 5" xfId="5990"/>
    <cellStyle name="표준 7 3 4 5 2" xfId="22694"/>
    <cellStyle name="표준 7 3 4 6" xfId="11558"/>
    <cellStyle name="표준 7 3 4 6 2" xfId="28262"/>
    <cellStyle name="표준 7 3 4 7" xfId="17126"/>
    <cellStyle name="표준 7 3 5" xfId="654"/>
    <cellStyle name="표준 7 3 5 2" xfId="1350"/>
    <cellStyle name="표준 7 3 5 2 2" xfId="2742"/>
    <cellStyle name="표준 7 3 5 2 2 2" xfId="5526"/>
    <cellStyle name="표준 7 3 5 2 2 2 2" xfId="11094"/>
    <cellStyle name="표준 7 3 5 2 2 2 2 2" xfId="27798"/>
    <cellStyle name="표준 7 3 5 2 2 2 3" xfId="16662"/>
    <cellStyle name="표준 7 3 5 2 2 2 3 2" xfId="33366"/>
    <cellStyle name="표준 7 3 5 2 2 2 4" xfId="22230"/>
    <cellStyle name="표준 7 3 5 2 2 3" xfId="8310"/>
    <cellStyle name="표준 7 3 5 2 2 3 2" xfId="25014"/>
    <cellStyle name="표준 7 3 5 2 2 4" xfId="13878"/>
    <cellStyle name="표준 7 3 5 2 2 4 2" xfId="30582"/>
    <cellStyle name="표준 7 3 5 2 2 5" xfId="19446"/>
    <cellStyle name="표준 7 3 5 2 3" xfId="4134"/>
    <cellStyle name="표준 7 3 5 2 3 2" xfId="9702"/>
    <cellStyle name="표준 7 3 5 2 3 2 2" xfId="26406"/>
    <cellStyle name="표준 7 3 5 2 3 3" xfId="15270"/>
    <cellStyle name="표준 7 3 5 2 3 3 2" xfId="31974"/>
    <cellStyle name="표준 7 3 5 2 3 4" xfId="20838"/>
    <cellStyle name="표준 7 3 5 2 4" xfId="6918"/>
    <cellStyle name="표준 7 3 5 2 4 2" xfId="23622"/>
    <cellStyle name="표준 7 3 5 2 5" xfId="12486"/>
    <cellStyle name="표준 7 3 5 2 5 2" xfId="29190"/>
    <cellStyle name="표준 7 3 5 2 6" xfId="18054"/>
    <cellStyle name="표준 7 3 5 3" xfId="2046"/>
    <cellStyle name="표준 7 3 5 3 2" xfId="4830"/>
    <cellStyle name="표준 7 3 5 3 2 2" xfId="10398"/>
    <cellStyle name="표준 7 3 5 3 2 2 2" xfId="27102"/>
    <cellStyle name="표준 7 3 5 3 2 3" xfId="15966"/>
    <cellStyle name="표준 7 3 5 3 2 3 2" xfId="32670"/>
    <cellStyle name="표준 7 3 5 3 2 4" xfId="21534"/>
    <cellStyle name="표준 7 3 5 3 3" xfId="7614"/>
    <cellStyle name="표준 7 3 5 3 3 2" xfId="24318"/>
    <cellStyle name="표준 7 3 5 3 4" xfId="13182"/>
    <cellStyle name="표준 7 3 5 3 4 2" xfId="29886"/>
    <cellStyle name="표준 7 3 5 3 5" xfId="18750"/>
    <cellStyle name="표준 7 3 5 4" xfId="3438"/>
    <cellStyle name="표준 7 3 5 4 2" xfId="9006"/>
    <cellStyle name="표준 7 3 5 4 2 2" xfId="25710"/>
    <cellStyle name="표준 7 3 5 4 3" xfId="14574"/>
    <cellStyle name="표준 7 3 5 4 3 2" xfId="31278"/>
    <cellStyle name="표준 7 3 5 4 4" xfId="20142"/>
    <cellStyle name="표준 7 3 5 5" xfId="6222"/>
    <cellStyle name="표준 7 3 5 5 2" xfId="22926"/>
    <cellStyle name="표준 7 3 5 6" xfId="11790"/>
    <cellStyle name="표준 7 3 5 6 2" xfId="28494"/>
    <cellStyle name="표준 7 3 5 7" xfId="17358"/>
    <cellStyle name="표준 7 3 6" xfId="886"/>
    <cellStyle name="표준 7 3 6 2" xfId="2278"/>
    <cellStyle name="표준 7 3 6 2 2" xfId="5062"/>
    <cellStyle name="표준 7 3 6 2 2 2" xfId="10630"/>
    <cellStyle name="표준 7 3 6 2 2 2 2" xfId="27334"/>
    <cellStyle name="표준 7 3 6 2 2 3" xfId="16198"/>
    <cellStyle name="표준 7 3 6 2 2 3 2" xfId="32902"/>
    <cellStyle name="표준 7 3 6 2 2 4" xfId="21766"/>
    <cellStyle name="표준 7 3 6 2 3" xfId="7846"/>
    <cellStyle name="표준 7 3 6 2 3 2" xfId="24550"/>
    <cellStyle name="표준 7 3 6 2 4" xfId="13414"/>
    <cellStyle name="표준 7 3 6 2 4 2" xfId="30118"/>
    <cellStyle name="표준 7 3 6 2 5" xfId="18982"/>
    <cellStyle name="표준 7 3 6 3" xfId="3670"/>
    <cellStyle name="표준 7 3 6 3 2" xfId="9238"/>
    <cellStyle name="표준 7 3 6 3 2 2" xfId="25942"/>
    <cellStyle name="표준 7 3 6 3 3" xfId="14806"/>
    <cellStyle name="표준 7 3 6 3 3 2" xfId="31510"/>
    <cellStyle name="표준 7 3 6 3 4" xfId="20374"/>
    <cellStyle name="표준 7 3 6 4" xfId="6454"/>
    <cellStyle name="표준 7 3 6 4 2" xfId="23158"/>
    <cellStyle name="표준 7 3 6 5" xfId="12022"/>
    <cellStyle name="표준 7 3 6 5 2" xfId="28726"/>
    <cellStyle name="표준 7 3 6 6" xfId="17590"/>
    <cellStyle name="표준 7 3 7" xfId="1582"/>
    <cellStyle name="표준 7 3 7 2" xfId="4366"/>
    <cellStyle name="표준 7 3 7 2 2" xfId="9934"/>
    <cellStyle name="표준 7 3 7 2 2 2" xfId="26638"/>
    <cellStyle name="표준 7 3 7 2 3" xfId="15502"/>
    <cellStyle name="표준 7 3 7 2 3 2" xfId="32206"/>
    <cellStyle name="표준 7 3 7 2 4" xfId="21070"/>
    <cellStyle name="표준 7 3 7 3" xfId="7150"/>
    <cellStyle name="표준 7 3 7 3 2" xfId="23854"/>
    <cellStyle name="표준 7 3 7 4" xfId="12718"/>
    <cellStyle name="표준 7 3 7 4 2" xfId="29422"/>
    <cellStyle name="표준 7 3 7 5" xfId="18286"/>
    <cellStyle name="표준 7 3 8" xfId="2974"/>
    <cellStyle name="표준 7 3 8 2" xfId="8542"/>
    <cellStyle name="표준 7 3 8 2 2" xfId="25246"/>
    <cellStyle name="표준 7 3 8 3" xfId="14110"/>
    <cellStyle name="표준 7 3 8 3 2" xfId="30814"/>
    <cellStyle name="표준 7 3 8 4" xfId="19678"/>
    <cellStyle name="표준 7 3 9" xfId="5758"/>
    <cellStyle name="표준 7 3 9 2" xfId="22462"/>
    <cellStyle name="표준 7 4" xfId="219"/>
    <cellStyle name="표준 7 4 10" xfId="16923"/>
    <cellStyle name="표준 7 4 2" xfId="335"/>
    <cellStyle name="표준 7 4 2 2" xfId="567"/>
    <cellStyle name="표준 7 4 2 2 2" xfId="1263"/>
    <cellStyle name="표준 7 4 2 2 2 2" xfId="2655"/>
    <cellStyle name="표준 7 4 2 2 2 2 2" xfId="5439"/>
    <cellStyle name="표준 7 4 2 2 2 2 2 2" xfId="11007"/>
    <cellStyle name="표준 7 4 2 2 2 2 2 2 2" xfId="27711"/>
    <cellStyle name="표준 7 4 2 2 2 2 2 3" xfId="16575"/>
    <cellStyle name="표준 7 4 2 2 2 2 2 3 2" xfId="33279"/>
    <cellStyle name="표준 7 4 2 2 2 2 2 4" xfId="22143"/>
    <cellStyle name="표준 7 4 2 2 2 2 3" xfId="8223"/>
    <cellStyle name="표준 7 4 2 2 2 2 3 2" xfId="24927"/>
    <cellStyle name="표준 7 4 2 2 2 2 4" xfId="13791"/>
    <cellStyle name="표준 7 4 2 2 2 2 4 2" xfId="30495"/>
    <cellStyle name="표준 7 4 2 2 2 2 5" xfId="19359"/>
    <cellStyle name="표준 7 4 2 2 2 3" xfId="4047"/>
    <cellStyle name="표준 7 4 2 2 2 3 2" xfId="9615"/>
    <cellStyle name="표준 7 4 2 2 2 3 2 2" xfId="26319"/>
    <cellStyle name="표준 7 4 2 2 2 3 3" xfId="15183"/>
    <cellStyle name="표준 7 4 2 2 2 3 3 2" xfId="31887"/>
    <cellStyle name="표준 7 4 2 2 2 3 4" xfId="20751"/>
    <cellStyle name="표준 7 4 2 2 2 4" xfId="6831"/>
    <cellStyle name="표준 7 4 2 2 2 4 2" xfId="23535"/>
    <cellStyle name="표준 7 4 2 2 2 5" xfId="12399"/>
    <cellStyle name="표준 7 4 2 2 2 5 2" xfId="29103"/>
    <cellStyle name="표준 7 4 2 2 2 6" xfId="17967"/>
    <cellStyle name="표준 7 4 2 2 3" xfId="1959"/>
    <cellStyle name="표준 7 4 2 2 3 2" xfId="4743"/>
    <cellStyle name="표준 7 4 2 2 3 2 2" xfId="10311"/>
    <cellStyle name="표준 7 4 2 2 3 2 2 2" xfId="27015"/>
    <cellStyle name="표준 7 4 2 2 3 2 3" xfId="15879"/>
    <cellStyle name="표준 7 4 2 2 3 2 3 2" xfId="32583"/>
    <cellStyle name="표준 7 4 2 2 3 2 4" xfId="21447"/>
    <cellStyle name="표준 7 4 2 2 3 3" xfId="7527"/>
    <cellStyle name="표준 7 4 2 2 3 3 2" xfId="24231"/>
    <cellStyle name="표준 7 4 2 2 3 4" xfId="13095"/>
    <cellStyle name="표준 7 4 2 2 3 4 2" xfId="29799"/>
    <cellStyle name="표준 7 4 2 2 3 5" xfId="18663"/>
    <cellStyle name="표준 7 4 2 2 4" xfId="3351"/>
    <cellStyle name="표준 7 4 2 2 4 2" xfId="8919"/>
    <cellStyle name="표준 7 4 2 2 4 2 2" xfId="25623"/>
    <cellStyle name="표준 7 4 2 2 4 3" xfId="14487"/>
    <cellStyle name="표준 7 4 2 2 4 3 2" xfId="31191"/>
    <cellStyle name="표준 7 4 2 2 4 4" xfId="20055"/>
    <cellStyle name="표준 7 4 2 2 5" xfId="6135"/>
    <cellStyle name="표준 7 4 2 2 5 2" xfId="22839"/>
    <cellStyle name="표준 7 4 2 2 6" xfId="11703"/>
    <cellStyle name="표준 7 4 2 2 6 2" xfId="28407"/>
    <cellStyle name="표준 7 4 2 2 7" xfId="17271"/>
    <cellStyle name="표준 7 4 2 3" xfId="799"/>
    <cellStyle name="표준 7 4 2 3 2" xfId="1495"/>
    <cellStyle name="표준 7 4 2 3 2 2" xfId="2887"/>
    <cellStyle name="표준 7 4 2 3 2 2 2" xfId="5671"/>
    <cellStyle name="표준 7 4 2 3 2 2 2 2" xfId="11239"/>
    <cellStyle name="표준 7 4 2 3 2 2 2 2 2" xfId="27943"/>
    <cellStyle name="표준 7 4 2 3 2 2 2 3" xfId="16807"/>
    <cellStyle name="표준 7 4 2 3 2 2 2 3 2" xfId="33511"/>
    <cellStyle name="표준 7 4 2 3 2 2 2 4" xfId="22375"/>
    <cellStyle name="표준 7 4 2 3 2 2 3" xfId="8455"/>
    <cellStyle name="표준 7 4 2 3 2 2 3 2" xfId="25159"/>
    <cellStyle name="표준 7 4 2 3 2 2 4" xfId="14023"/>
    <cellStyle name="표준 7 4 2 3 2 2 4 2" xfId="30727"/>
    <cellStyle name="표준 7 4 2 3 2 2 5" xfId="19591"/>
    <cellStyle name="표준 7 4 2 3 2 3" xfId="4279"/>
    <cellStyle name="표준 7 4 2 3 2 3 2" xfId="9847"/>
    <cellStyle name="표준 7 4 2 3 2 3 2 2" xfId="26551"/>
    <cellStyle name="표준 7 4 2 3 2 3 3" xfId="15415"/>
    <cellStyle name="표준 7 4 2 3 2 3 3 2" xfId="32119"/>
    <cellStyle name="표준 7 4 2 3 2 3 4" xfId="20983"/>
    <cellStyle name="표준 7 4 2 3 2 4" xfId="7063"/>
    <cellStyle name="표준 7 4 2 3 2 4 2" xfId="23767"/>
    <cellStyle name="표준 7 4 2 3 2 5" xfId="12631"/>
    <cellStyle name="표준 7 4 2 3 2 5 2" xfId="29335"/>
    <cellStyle name="표준 7 4 2 3 2 6" xfId="18199"/>
    <cellStyle name="표준 7 4 2 3 3" xfId="2191"/>
    <cellStyle name="표준 7 4 2 3 3 2" xfId="4975"/>
    <cellStyle name="표준 7 4 2 3 3 2 2" xfId="10543"/>
    <cellStyle name="표준 7 4 2 3 3 2 2 2" xfId="27247"/>
    <cellStyle name="표준 7 4 2 3 3 2 3" xfId="16111"/>
    <cellStyle name="표준 7 4 2 3 3 2 3 2" xfId="32815"/>
    <cellStyle name="표준 7 4 2 3 3 2 4" xfId="21679"/>
    <cellStyle name="표준 7 4 2 3 3 3" xfId="7759"/>
    <cellStyle name="표준 7 4 2 3 3 3 2" xfId="24463"/>
    <cellStyle name="표준 7 4 2 3 3 4" xfId="13327"/>
    <cellStyle name="표준 7 4 2 3 3 4 2" xfId="30031"/>
    <cellStyle name="표준 7 4 2 3 3 5" xfId="18895"/>
    <cellStyle name="표준 7 4 2 3 4" xfId="3583"/>
    <cellStyle name="표준 7 4 2 3 4 2" xfId="9151"/>
    <cellStyle name="표준 7 4 2 3 4 2 2" xfId="25855"/>
    <cellStyle name="표준 7 4 2 3 4 3" xfId="14719"/>
    <cellStyle name="표준 7 4 2 3 4 3 2" xfId="31423"/>
    <cellStyle name="표준 7 4 2 3 4 4" xfId="20287"/>
    <cellStyle name="표준 7 4 2 3 5" xfId="6367"/>
    <cellStyle name="표준 7 4 2 3 5 2" xfId="23071"/>
    <cellStyle name="표준 7 4 2 3 6" xfId="11935"/>
    <cellStyle name="표준 7 4 2 3 6 2" xfId="28639"/>
    <cellStyle name="표준 7 4 2 3 7" xfId="17503"/>
    <cellStyle name="표준 7 4 2 4" xfId="1031"/>
    <cellStyle name="표준 7 4 2 4 2" xfId="2423"/>
    <cellStyle name="표준 7 4 2 4 2 2" xfId="5207"/>
    <cellStyle name="표준 7 4 2 4 2 2 2" xfId="10775"/>
    <cellStyle name="표준 7 4 2 4 2 2 2 2" xfId="27479"/>
    <cellStyle name="표준 7 4 2 4 2 2 3" xfId="16343"/>
    <cellStyle name="표준 7 4 2 4 2 2 3 2" xfId="33047"/>
    <cellStyle name="표준 7 4 2 4 2 2 4" xfId="21911"/>
    <cellStyle name="표준 7 4 2 4 2 3" xfId="7991"/>
    <cellStyle name="표준 7 4 2 4 2 3 2" xfId="24695"/>
    <cellStyle name="표준 7 4 2 4 2 4" xfId="13559"/>
    <cellStyle name="표준 7 4 2 4 2 4 2" xfId="30263"/>
    <cellStyle name="표준 7 4 2 4 2 5" xfId="19127"/>
    <cellStyle name="표준 7 4 2 4 3" xfId="3815"/>
    <cellStyle name="표준 7 4 2 4 3 2" xfId="9383"/>
    <cellStyle name="표준 7 4 2 4 3 2 2" xfId="26087"/>
    <cellStyle name="표준 7 4 2 4 3 3" xfId="14951"/>
    <cellStyle name="표준 7 4 2 4 3 3 2" xfId="31655"/>
    <cellStyle name="표준 7 4 2 4 3 4" xfId="20519"/>
    <cellStyle name="표준 7 4 2 4 4" xfId="6599"/>
    <cellStyle name="표준 7 4 2 4 4 2" xfId="23303"/>
    <cellStyle name="표준 7 4 2 4 5" xfId="12167"/>
    <cellStyle name="표준 7 4 2 4 5 2" xfId="28871"/>
    <cellStyle name="표준 7 4 2 4 6" xfId="17735"/>
    <cellStyle name="표준 7 4 2 5" xfId="1727"/>
    <cellStyle name="표준 7 4 2 5 2" xfId="4511"/>
    <cellStyle name="표준 7 4 2 5 2 2" xfId="10079"/>
    <cellStyle name="표준 7 4 2 5 2 2 2" xfId="26783"/>
    <cellStyle name="표준 7 4 2 5 2 3" xfId="15647"/>
    <cellStyle name="표준 7 4 2 5 2 3 2" xfId="32351"/>
    <cellStyle name="표준 7 4 2 5 2 4" xfId="21215"/>
    <cellStyle name="표준 7 4 2 5 3" xfId="7295"/>
    <cellStyle name="표준 7 4 2 5 3 2" xfId="23999"/>
    <cellStyle name="표준 7 4 2 5 4" xfId="12863"/>
    <cellStyle name="표준 7 4 2 5 4 2" xfId="29567"/>
    <cellStyle name="표준 7 4 2 5 5" xfId="18431"/>
    <cellStyle name="표준 7 4 2 6" xfId="3119"/>
    <cellStyle name="표준 7 4 2 6 2" xfId="8687"/>
    <cellStyle name="표준 7 4 2 6 2 2" xfId="25391"/>
    <cellStyle name="표준 7 4 2 6 3" xfId="14255"/>
    <cellStyle name="표준 7 4 2 6 3 2" xfId="30959"/>
    <cellStyle name="표준 7 4 2 6 4" xfId="19823"/>
    <cellStyle name="표준 7 4 2 7" xfId="5903"/>
    <cellStyle name="표준 7 4 2 7 2" xfId="22607"/>
    <cellStyle name="표준 7 4 2 8" xfId="11471"/>
    <cellStyle name="표준 7 4 2 8 2" xfId="28175"/>
    <cellStyle name="표준 7 4 2 9" xfId="17039"/>
    <cellStyle name="표준 7 4 3" xfId="451"/>
    <cellStyle name="표준 7 4 3 2" xfId="1147"/>
    <cellStyle name="표준 7 4 3 2 2" xfId="2539"/>
    <cellStyle name="표준 7 4 3 2 2 2" xfId="5323"/>
    <cellStyle name="표준 7 4 3 2 2 2 2" xfId="10891"/>
    <cellStyle name="표준 7 4 3 2 2 2 2 2" xfId="27595"/>
    <cellStyle name="표준 7 4 3 2 2 2 3" xfId="16459"/>
    <cellStyle name="표준 7 4 3 2 2 2 3 2" xfId="33163"/>
    <cellStyle name="표준 7 4 3 2 2 2 4" xfId="22027"/>
    <cellStyle name="표준 7 4 3 2 2 3" xfId="8107"/>
    <cellStyle name="표준 7 4 3 2 2 3 2" xfId="24811"/>
    <cellStyle name="표준 7 4 3 2 2 4" xfId="13675"/>
    <cellStyle name="표준 7 4 3 2 2 4 2" xfId="30379"/>
    <cellStyle name="표준 7 4 3 2 2 5" xfId="19243"/>
    <cellStyle name="표준 7 4 3 2 3" xfId="3931"/>
    <cellStyle name="표준 7 4 3 2 3 2" xfId="9499"/>
    <cellStyle name="표준 7 4 3 2 3 2 2" xfId="26203"/>
    <cellStyle name="표준 7 4 3 2 3 3" xfId="15067"/>
    <cellStyle name="표준 7 4 3 2 3 3 2" xfId="31771"/>
    <cellStyle name="표준 7 4 3 2 3 4" xfId="20635"/>
    <cellStyle name="표준 7 4 3 2 4" xfId="6715"/>
    <cellStyle name="표준 7 4 3 2 4 2" xfId="23419"/>
    <cellStyle name="표준 7 4 3 2 5" xfId="12283"/>
    <cellStyle name="표준 7 4 3 2 5 2" xfId="28987"/>
    <cellStyle name="표준 7 4 3 2 6" xfId="17851"/>
    <cellStyle name="표준 7 4 3 3" xfId="1843"/>
    <cellStyle name="표준 7 4 3 3 2" xfId="4627"/>
    <cellStyle name="표준 7 4 3 3 2 2" xfId="10195"/>
    <cellStyle name="표준 7 4 3 3 2 2 2" xfId="26899"/>
    <cellStyle name="표준 7 4 3 3 2 3" xfId="15763"/>
    <cellStyle name="표준 7 4 3 3 2 3 2" xfId="32467"/>
    <cellStyle name="표준 7 4 3 3 2 4" xfId="21331"/>
    <cellStyle name="표준 7 4 3 3 3" xfId="7411"/>
    <cellStyle name="표준 7 4 3 3 3 2" xfId="24115"/>
    <cellStyle name="표준 7 4 3 3 4" xfId="12979"/>
    <cellStyle name="표준 7 4 3 3 4 2" xfId="29683"/>
    <cellStyle name="표준 7 4 3 3 5" xfId="18547"/>
    <cellStyle name="표준 7 4 3 4" xfId="3235"/>
    <cellStyle name="표준 7 4 3 4 2" xfId="8803"/>
    <cellStyle name="표준 7 4 3 4 2 2" xfId="25507"/>
    <cellStyle name="표준 7 4 3 4 3" xfId="14371"/>
    <cellStyle name="표준 7 4 3 4 3 2" xfId="31075"/>
    <cellStyle name="표준 7 4 3 4 4" xfId="19939"/>
    <cellStyle name="표준 7 4 3 5" xfId="6019"/>
    <cellStyle name="표준 7 4 3 5 2" xfId="22723"/>
    <cellStyle name="표준 7 4 3 6" xfId="11587"/>
    <cellStyle name="표준 7 4 3 6 2" xfId="28291"/>
    <cellStyle name="표준 7 4 3 7" xfId="17155"/>
    <cellStyle name="표준 7 4 4" xfId="683"/>
    <cellStyle name="표준 7 4 4 2" xfId="1379"/>
    <cellStyle name="표준 7 4 4 2 2" xfId="2771"/>
    <cellStyle name="표준 7 4 4 2 2 2" xfId="5555"/>
    <cellStyle name="표준 7 4 4 2 2 2 2" xfId="11123"/>
    <cellStyle name="표준 7 4 4 2 2 2 2 2" xfId="27827"/>
    <cellStyle name="표준 7 4 4 2 2 2 3" xfId="16691"/>
    <cellStyle name="표준 7 4 4 2 2 2 3 2" xfId="33395"/>
    <cellStyle name="표준 7 4 4 2 2 2 4" xfId="22259"/>
    <cellStyle name="표준 7 4 4 2 2 3" xfId="8339"/>
    <cellStyle name="표준 7 4 4 2 2 3 2" xfId="25043"/>
    <cellStyle name="표준 7 4 4 2 2 4" xfId="13907"/>
    <cellStyle name="표준 7 4 4 2 2 4 2" xfId="30611"/>
    <cellStyle name="표준 7 4 4 2 2 5" xfId="19475"/>
    <cellStyle name="표준 7 4 4 2 3" xfId="4163"/>
    <cellStyle name="표준 7 4 4 2 3 2" xfId="9731"/>
    <cellStyle name="표준 7 4 4 2 3 2 2" xfId="26435"/>
    <cellStyle name="표준 7 4 4 2 3 3" xfId="15299"/>
    <cellStyle name="표준 7 4 4 2 3 3 2" xfId="32003"/>
    <cellStyle name="표준 7 4 4 2 3 4" xfId="20867"/>
    <cellStyle name="표준 7 4 4 2 4" xfId="6947"/>
    <cellStyle name="표준 7 4 4 2 4 2" xfId="23651"/>
    <cellStyle name="표준 7 4 4 2 5" xfId="12515"/>
    <cellStyle name="표준 7 4 4 2 5 2" xfId="29219"/>
    <cellStyle name="표준 7 4 4 2 6" xfId="18083"/>
    <cellStyle name="표준 7 4 4 3" xfId="2075"/>
    <cellStyle name="표준 7 4 4 3 2" xfId="4859"/>
    <cellStyle name="표준 7 4 4 3 2 2" xfId="10427"/>
    <cellStyle name="표준 7 4 4 3 2 2 2" xfId="27131"/>
    <cellStyle name="표준 7 4 4 3 2 3" xfId="15995"/>
    <cellStyle name="표준 7 4 4 3 2 3 2" xfId="32699"/>
    <cellStyle name="표준 7 4 4 3 2 4" xfId="21563"/>
    <cellStyle name="표준 7 4 4 3 3" xfId="7643"/>
    <cellStyle name="표준 7 4 4 3 3 2" xfId="24347"/>
    <cellStyle name="표준 7 4 4 3 4" xfId="13211"/>
    <cellStyle name="표준 7 4 4 3 4 2" xfId="29915"/>
    <cellStyle name="표준 7 4 4 3 5" xfId="18779"/>
    <cellStyle name="표준 7 4 4 4" xfId="3467"/>
    <cellStyle name="표준 7 4 4 4 2" xfId="9035"/>
    <cellStyle name="표준 7 4 4 4 2 2" xfId="25739"/>
    <cellStyle name="표준 7 4 4 4 3" xfId="14603"/>
    <cellStyle name="표준 7 4 4 4 3 2" xfId="31307"/>
    <cellStyle name="표준 7 4 4 4 4" xfId="20171"/>
    <cellStyle name="표준 7 4 4 5" xfId="6251"/>
    <cellStyle name="표준 7 4 4 5 2" xfId="22955"/>
    <cellStyle name="표준 7 4 4 6" xfId="11819"/>
    <cellStyle name="표준 7 4 4 6 2" xfId="28523"/>
    <cellStyle name="표준 7 4 4 7" xfId="17387"/>
    <cellStyle name="표준 7 4 5" xfId="915"/>
    <cellStyle name="표준 7 4 5 2" xfId="2307"/>
    <cellStyle name="표준 7 4 5 2 2" xfId="5091"/>
    <cellStyle name="표준 7 4 5 2 2 2" xfId="10659"/>
    <cellStyle name="표준 7 4 5 2 2 2 2" xfId="27363"/>
    <cellStyle name="표준 7 4 5 2 2 3" xfId="16227"/>
    <cellStyle name="표준 7 4 5 2 2 3 2" xfId="32931"/>
    <cellStyle name="표준 7 4 5 2 2 4" xfId="21795"/>
    <cellStyle name="표준 7 4 5 2 3" xfId="7875"/>
    <cellStyle name="표준 7 4 5 2 3 2" xfId="24579"/>
    <cellStyle name="표준 7 4 5 2 4" xfId="13443"/>
    <cellStyle name="표준 7 4 5 2 4 2" xfId="30147"/>
    <cellStyle name="표준 7 4 5 2 5" xfId="19011"/>
    <cellStyle name="표준 7 4 5 3" xfId="3699"/>
    <cellStyle name="표준 7 4 5 3 2" xfId="9267"/>
    <cellStyle name="표준 7 4 5 3 2 2" xfId="25971"/>
    <cellStyle name="표준 7 4 5 3 3" xfId="14835"/>
    <cellStyle name="표준 7 4 5 3 3 2" xfId="31539"/>
    <cellStyle name="표준 7 4 5 3 4" xfId="20403"/>
    <cellStyle name="표준 7 4 5 4" xfId="6483"/>
    <cellStyle name="표준 7 4 5 4 2" xfId="23187"/>
    <cellStyle name="표준 7 4 5 5" xfId="12051"/>
    <cellStyle name="표준 7 4 5 5 2" xfId="28755"/>
    <cellStyle name="표준 7 4 5 6" xfId="17619"/>
    <cellStyle name="표준 7 4 6" xfId="1611"/>
    <cellStyle name="표준 7 4 6 2" xfId="4395"/>
    <cellStyle name="표준 7 4 6 2 2" xfId="9963"/>
    <cellStyle name="표준 7 4 6 2 2 2" xfId="26667"/>
    <cellStyle name="표준 7 4 6 2 3" xfId="15531"/>
    <cellStyle name="표준 7 4 6 2 3 2" xfId="32235"/>
    <cellStyle name="표준 7 4 6 2 4" xfId="21099"/>
    <cellStyle name="표준 7 4 6 3" xfId="7179"/>
    <cellStyle name="표준 7 4 6 3 2" xfId="23883"/>
    <cellStyle name="표준 7 4 6 4" xfId="12747"/>
    <cellStyle name="표준 7 4 6 4 2" xfId="29451"/>
    <cellStyle name="표준 7 4 6 5" xfId="18315"/>
    <cellStyle name="표준 7 4 7" xfId="3003"/>
    <cellStyle name="표준 7 4 7 2" xfId="8571"/>
    <cellStyle name="표준 7 4 7 2 2" xfId="25275"/>
    <cellStyle name="표준 7 4 7 3" xfId="14139"/>
    <cellStyle name="표준 7 4 7 3 2" xfId="30843"/>
    <cellStyle name="표준 7 4 7 4" xfId="19707"/>
    <cellStyle name="표준 7 4 8" xfId="5787"/>
    <cellStyle name="표준 7 4 8 2" xfId="22491"/>
    <cellStyle name="표준 7 4 9" xfId="11355"/>
    <cellStyle name="표준 7 4 9 2" xfId="28059"/>
    <cellStyle name="표준 7 5" xfId="277"/>
    <cellStyle name="표준 7 5 2" xfId="509"/>
    <cellStyle name="표준 7 5 2 2" xfId="1205"/>
    <cellStyle name="표준 7 5 2 2 2" xfId="2597"/>
    <cellStyle name="표준 7 5 2 2 2 2" xfId="5381"/>
    <cellStyle name="표준 7 5 2 2 2 2 2" xfId="10949"/>
    <cellStyle name="표준 7 5 2 2 2 2 2 2" xfId="27653"/>
    <cellStyle name="표준 7 5 2 2 2 2 3" xfId="16517"/>
    <cellStyle name="표준 7 5 2 2 2 2 3 2" xfId="33221"/>
    <cellStyle name="표준 7 5 2 2 2 2 4" xfId="22085"/>
    <cellStyle name="표준 7 5 2 2 2 3" xfId="8165"/>
    <cellStyle name="표준 7 5 2 2 2 3 2" xfId="24869"/>
    <cellStyle name="표준 7 5 2 2 2 4" xfId="13733"/>
    <cellStyle name="표준 7 5 2 2 2 4 2" xfId="30437"/>
    <cellStyle name="표준 7 5 2 2 2 5" xfId="19301"/>
    <cellStyle name="표준 7 5 2 2 3" xfId="3989"/>
    <cellStyle name="표준 7 5 2 2 3 2" xfId="9557"/>
    <cellStyle name="표준 7 5 2 2 3 2 2" xfId="26261"/>
    <cellStyle name="표준 7 5 2 2 3 3" xfId="15125"/>
    <cellStyle name="표준 7 5 2 2 3 3 2" xfId="31829"/>
    <cellStyle name="표준 7 5 2 2 3 4" xfId="20693"/>
    <cellStyle name="표준 7 5 2 2 4" xfId="6773"/>
    <cellStyle name="표준 7 5 2 2 4 2" xfId="23477"/>
    <cellStyle name="표준 7 5 2 2 5" xfId="12341"/>
    <cellStyle name="표준 7 5 2 2 5 2" xfId="29045"/>
    <cellStyle name="표준 7 5 2 2 6" xfId="17909"/>
    <cellStyle name="표준 7 5 2 3" xfId="1901"/>
    <cellStyle name="표준 7 5 2 3 2" xfId="4685"/>
    <cellStyle name="표준 7 5 2 3 2 2" xfId="10253"/>
    <cellStyle name="표준 7 5 2 3 2 2 2" xfId="26957"/>
    <cellStyle name="표준 7 5 2 3 2 3" xfId="15821"/>
    <cellStyle name="표준 7 5 2 3 2 3 2" xfId="32525"/>
    <cellStyle name="표준 7 5 2 3 2 4" xfId="21389"/>
    <cellStyle name="표준 7 5 2 3 3" xfId="7469"/>
    <cellStyle name="표준 7 5 2 3 3 2" xfId="24173"/>
    <cellStyle name="표준 7 5 2 3 4" xfId="13037"/>
    <cellStyle name="표준 7 5 2 3 4 2" xfId="29741"/>
    <cellStyle name="표준 7 5 2 3 5" xfId="18605"/>
    <cellStyle name="표준 7 5 2 4" xfId="3293"/>
    <cellStyle name="표준 7 5 2 4 2" xfId="8861"/>
    <cellStyle name="표준 7 5 2 4 2 2" xfId="25565"/>
    <cellStyle name="표준 7 5 2 4 3" xfId="14429"/>
    <cellStyle name="표준 7 5 2 4 3 2" xfId="31133"/>
    <cellStyle name="표준 7 5 2 4 4" xfId="19997"/>
    <cellStyle name="표준 7 5 2 5" xfId="6077"/>
    <cellStyle name="표준 7 5 2 5 2" xfId="22781"/>
    <cellStyle name="표준 7 5 2 6" xfId="11645"/>
    <cellStyle name="표준 7 5 2 6 2" xfId="28349"/>
    <cellStyle name="표준 7 5 2 7" xfId="17213"/>
    <cellStyle name="표준 7 5 3" xfId="741"/>
    <cellStyle name="표준 7 5 3 2" xfId="1437"/>
    <cellStyle name="표준 7 5 3 2 2" xfId="2829"/>
    <cellStyle name="표준 7 5 3 2 2 2" xfId="5613"/>
    <cellStyle name="표준 7 5 3 2 2 2 2" xfId="11181"/>
    <cellStyle name="표준 7 5 3 2 2 2 2 2" xfId="27885"/>
    <cellStyle name="표준 7 5 3 2 2 2 3" xfId="16749"/>
    <cellStyle name="표준 7 5 3 2 2 2 3 2" xfId="33453"/>
    <cellStyle name="표준 7 5 3 2 2 2 4" xfId="22317"/>
    <cellStyle name="표준 7 5 3 2 2 3" xfId="8397"/>
    <cellStyle name="표준 7 5 3 2 2 3 2" xfId="25101"/>
    <cellStyle name="표준 7 5 3 2 2 4" xfId="13965"/>
    <cellStyle name="표준 7 5 3 2 2 4 2" xfId="30669"/>
    <cellStyle name="표준 7 5 3 2 2 5" xfId="19533"/>
    <cellStyle name="표준 7 5 3 2 3" xfId="4221"/>
    <cellStyle name="표준 7 5 3 2 3 2" xfId="9789"/>
    <cellStyle name="표준 7 5 3 2 3 2 2" xfId="26493"/>
    <cellStyle name="표준 7 5 3 2 3 3" xfId="15357"/>
    <cellStyle name="표준 7 5 3 2 3 3 2" xfId="32061"/>
    <cellStyle name="표준 7 5 3 2 3 4" xfId="20925"/>
    <cellStyle name="표준 7 5 3 2 4" xfId="7005"/>
    <cellStyle name="표준 7 5 3 2 4 2" xfId="23709"/>
    <cellStyle name="표준 7 5 3 2 5" xfId="12573"/>
    <cellStyle name="표준 7 5 3 2 5 2" xfId="29277"/>
    <cellStyle name="표준 7 5 3 2 6" xfId="18141"/>
    <cellStyle name="표준 7 5 3 3" xfId="2133"/>
    <cellStyle name="표준 7 5 3 3 2" xfId="4917"/>
    <cellStyle name="표준 7 5 3 3 2 2" xfId="10485"/>
    <cellStyle name="표준 7 5 3 3 2 2 2" xfId="27189"/>
    <cellStyle name="표준 7 5 3 3 2 3" xfId="16053"/>
    <cellStyle name="표준 7 5 3 3 2 3 2" xfId="32757"/>
    <cellStyle name="표준 7 5 3 3 2 4" xfId="21621"/>
    <cellStyle name="표준 7 5 3 3 3" xfId="7701"/>
    <cellStyle name="표준 7 5 3 3 3 2" xfId="24405"/>
    <cellStyle name="표준 7 5 3 3 4" xfId="13269"/>
    <cellStyle name="표준 7 5 3 3 4 2" xfId="29973"/>
    <cellStyle name="표준 7 5 3 3 5" xfId="18837"/>
    <cellStyle name="표준 7 5 3 4" xfId="3525"/>
    <cellStyle name="표준 7 5 3 4 2" xfId="9093"/>
    <cellStyle name="표준 7 5 3 4 2 2" xfId="25797"/>
    <cellStyle name="표준 7 5 3 4 3" xfId="14661"/>
    <cellStyle name="표준 7 5 3 4 3 2" xfId="31365"/>
    <cellStyle name="표준 7 5 3 4 4" xfId="20229"/>
    <cellStyle name="표준 7 5 3 5" xfId="6309"/>
    <cellStyle name="표준 7 5 3 5 2" xfId="23013"/>
    <cellStyle name="표준 7 5 3 6" xfId="11877"/>
    <cellStyle name="표준 7 5 3 6 2" xfId="28581"/>
    <cellStyle name="표준 7 5 3 7" xfId="17445"/>
    <cellStyle name="표준 7 5 4" xfId="973"/>
    <cellStyle name="표준 7 5 4 2" xfId="2365"/>
    <cellStyle name="표준 7 5 4 2 2" xfId="5149"/>
    <cellStyle name="표준 7 5 4 2 2 2" xfId="10717"/>
    <cellStyle name="표준 7 5 4 2 2 2 2" xfId="27421"/>
    <cellStyle name="표준 7 5 4 2 2 3" xfId="16285"/>
    <cellStyle name="표준 7 5 4 2 2 3 2" xfId="32989"/>
    <cellStyle name="표준 7 5 4 2 2 4" xfId="21853"/>
    <cellStyle name="표준 7 5 4 2 3" xfId="7933"/>
    <cellStyle name="표준 7 5 4 2 3 2" xfId="24637"/>
    <cellStyle name="표준 7 5 4 2 4" xfId="13501"/>
    <cellStyle name="표준 7 5 4 2 4 2" xfId="30205"/>
    <cellStyle name="표준 7 5 4 2 5" xfId="19069"/>
    <cellStyle name="표준 7 5 4 3" xfId="3757"/>
    <cellStyle name="표준 7 5 4 3 2" xfId="9325"/>
    <cellStyle name="표준 7 5 4 3 2 2" xfId="26029"/>
    <cellStyle name="표준 7 5 4 3 3" xfId="14893"/>
    <cellStyle name="표준 7 5 4 3 3 2" xfId="31597"/>
    <cellStyle name="표준 7 5 4 3 4" xfId="20461"/>
    <cellStyle name="표준 7 5 4 4" xfId="6541"/>
    <cellStyle name="표준 7 5 4 4 2" xfId="23245"/>
    <cellStyle name="표준 7 5 4 5" xfId="12109"/>
    <cellStyle name="표준 7 5 4 5 2" xfId="28813"/>
    <cellStyle name="표준 7 5 4 6" xfId="17677"/>
    <cellStyle name="표준 7 5 5" xfId="1669"/>
    <cellStyle name="표준 7 5 5 2" xfId="4453"/>
    <cellStyle name="표준 7 5 5 2 2" xfId="10021"/>
    <cellStyle name="표준 7 5 5 2 2 2" xfId="26725"/>
    <cellStyle name="표준 7 5 5 2 3" xfId="15589"/>
    <cellStyle name="표준 7 5 5 2 3 2" xfId="32293"/>
    <cellStyle name="표준 7 5 5 2 4" xfId="21157"/>
    <cellStyle name="표준 7 5 5 3" xfId="7237"/>
    <cellStyle name="표준 7 5 5 3 2" xfId="23941"/>
    <cellStyle name="표준 7 5 5 4" xfId="12805"/>
    <cellStyle name="표준 7 5 5 4 2" xfId="29509"/>
    <cellStyle name="표준 7 5 5 5" xfId="18373"/>
    <cellStyle name="표준 7 5 6" xfId="3061"/>
    <cellStyle name="표준 7 5 6 2" xfId="8629"/>
    <cellStyle name="표준 7 5 6 2 2" xfId="25333"/>
    <cellStyle name="표준 7 5 6 3" xfId="14197"/>
    <cellStyle name="표준 7 5 6 3 2" xfId="30901"/>
    <cellStyle name="표준 7 5 6 4" xfId="19765"/>
    <cellStyle name="표준 7 5 7" xfId="5845"/>
    <cellStyle name="표준 7 5 7 2" xfId="22549"/>
    <cellStyle name="표준 7 5 8" xfId="11413"/>
    <cellStyle name="표준 7 5 8 2" xfId="28117"/>
    <cellStyle name="표준 7 5 9" xfId="16981"/>
    <cellStyle name="표준 7 6" xfId="393"/>
    <cellStyle name="표준 7 6 2" xfId="1089"/>
    <cellStyle name="표준 7 6 2 2" xfId="2481"/>
    <cellStyle name="표준 7 6 2 2 2" xfId="5265"/>
    <cellStyle name="표준 7 6 2 2 2 2" xfId="10833"/>
    <cellStyle name="표준 7 6 2 2 2 2 2" xfId="27537"/>
    <cellStyle name="표준 7 6 2 2 2 3" xfId="16401"/>
    <cellStyle name="표준 7 6 2 2 2 3 2" xfId="33105"/>
    <cellStyle name="표준 7 6 2 2 2 4" xfId="21969"/>
    <cellStyle name="표준 7 6 2 2 3" xfId="8049"/>
    <cellStyle name="표준 7 6 2 2 3 2" xfId="24753"/>
    <cellStyle name="표준 7 6 2 2 4" xfId="13617"/>
    <cellStyle name="표준 7 6 2 2 4 2" xfId="30321"/>
    <cellStyle name="표준 7 6 2 2 5" xfId="19185"/>
    <cellStyle name="표준 7 6 2 3" xfId="3873"/>
    <cellStyle name="표준 7 6 2 3 2" xfId="9441"/>
    <cellStyle name="표준 7 6 2 3 2 2" xfId="26145"/>
    <cellStyle name="표준 7 6 2 3 3" xfId="15009"/>
    <cellStyle name="표준 7 6 2 3 3 2" xfId="31713"/>
    <cellStyle name="표준 7 6 2 3 4" xfId="20577"/>
    <cellStyle name="표준 7 6 2 4" xfId="6657"/>
    <cellStyle name="표준 7 6 2 4 2" xfId="23361"/>
    <cellStyle name="표준 7 6 2 5" xfId="12225"/>
    <cellStyle name="표준 7 6 2 5 2" xfId="28929"/>
    <cellStyle name="표준 7 6 2 6" xfId="17793"/>
    <cellStyle name="표준 7 6 3" xfId="1785"/>
    <cellStyle name="표준 7 6 3 2" xfId="4569"/>
    <cellStyle name="표준 7 6 3 2 2" xfId="10137"/>
    <cellStyle name="표준 7 6 3 2 2 2" xfId="26841"/>
    <cellStyle name="표준 7 6 3 2 3" xfId="15705"/>
    <cellStyle name="표준 7 6 3 2 3 2" xfId="32409"/>
    <cellStyle name="표준 7 6 3 2 4" xfId="21273"/>
    <cellStyle name="표준 7 6 3 3" xfId="7353"/>
    <cellStyle name="표준 7 6 3 3 2" xfId="24057"/>
    <cellStyle name="표준 7 6 3 4" xfId="12921"/>
    <cellStyle name="표준 7 6 3 4 2" xfId="29625"/>
    <cellStyle name="표준 7 6 3 5" xfId="18489"/>
    <cellStyle name="표준 7 6 4" xfId="3177"/>
    <cellStyle name="표준 7 6 4 2" xfId="8745"/>
    <cellStyle name="표준 7 6 4 2 2" xfId="25449"/>
    <cellStyle name="표준 7 6 4 3" xfId="14313"/>
    <cellStyle name="표준 7 6 4 3 2" xfId="31017"/>
    <cellStyle name="표준 7 6 4 4" xfId="19881"/>
    <cellStyle name="표준 7 6 5" xfId="5961"/>
    <cellStyle name="표준 7 6 5 2" xfId="22665"/>
    <cellStyle name="표준 7 6 6" xfId="11529"/>
    <cellStyle name="표준 7 6 6 2" xfId="28233"/>
    <cellStyle name="표준 7 6 7" xfId="17097"/>
    <cellStyle name="표준 7 7" xfId="625"/>
    <cellStyle name="표준 7 7 2" xfId="1321"/>
    <cellStyle name="표준 7 7 2 2" xfId="2713"/>
    <cellStyle name="표준 7 7 2 2 2" xfId="5497"/>
    <cellStyle name="표준 7 7 2 2 2 2" xfId="11065"/>
    <cellStyle name="표준 7 7 2 2 2 2 2" xfId="27769"/>
    <cellStyle name="표준 7 7 2 2 2 3" xfId="16633"/>
    <cellStyle name="표준 7 7 2 2 2 3 2" xfId="33337"/>
    <cellStyle name="표준 7 7 2 2 2 4" xfId="22201"/>
    <cellStyle name="표준 7 7 2 2 3" xfId="8281"/>
    <cellStyle name="표준 7 7 2 2 3 2" xfId="24985"/>
    <cellStyle name="표준 7 7 2 2 4" xfId="13849"/>
    <cellStyle name="표준 7 7 2 2 4 2" xfId="30553"/>
    <cellStyle name="표준 7 7 2 2 5" xfId="19417"/>
    <cellStyle name="표준 7 7 2 3" xfId="4105"/>
    <cellStyle name="표준 7 7 2 3 2" xfId="9673"/>
    <cellStyle name="표준 7 7 2 3 2 2" xfId="26377"/>
    <cellStyle name="표준 7 7 2 3 3" xfId="15241"/>
    <cellStyle name="표준 7 7 2 3 3 2" xfId="31945"/>
    <cellStyle name="표준 7 7 2 3 4" xfId="20809"/>
    <cellStyle name="표준 7 7 2 4" xfId="6889"/>
    <cellStyle name="표준 7 7 2 4 2" xfId="23593"/>
    <cellStyle name="표준 7 7 2 5" xfId="12457"/>
    <cellStyle name="표준 7 7 2 5 2" xfId="29161"/>
    <cellStyle name="표준 7 7 2 6" xfId="18025"/>
    <cellStyle name="표준 7 7 3" xfId="2017"/>
    <cellStyle name="표준 7 7 3 2" xfId="4801"/>
    <cellStyle name="표준 7 7 3 2 2" xfId="10369"/>
    <cellStyle name="표준 7 7 3 2 2 2" xfId="27073"/>
    <cellStyle name="표준 7 7 3 2 3" xfId="15937"/>
    <cellStyle name="표준 7 7 3 2 3 2" xfId="32641"/>
    <cellStyle name="표준 7 7 3 2 4" xfId="21505"/>
    <cellStyle name="표준 7 7 3 3" xfId="7585"/>
    <cellStyle name="표준 7 7 3 3 2" xfId="24289"/>
    <cellStyle name="표준 7 7 3 4" xfId="13153"/>
    <cellStyle name="표준 7 7 3 4 2" xfId="29857"/>
    <cellStyle name="표준 7 7 3 5" xfId="18721"/>
    <cellStyle name="표준 7 7 4" xfId="3409"/>
    <cellStyle name="표준 7 7 4 2" xfId="8977"/>
    <cellStyle name="표준 7 7 4 2 2" xfId="25681"/>
    <cellStyle name="표준 7 7 4 3" xfId="14545"/>
    <cellStyle name="표준 7 7 4 3 2" xfId="31249"/>
    <cellStyle name="표준 7 7 4 4" xfId="20113"/>
    <cellStyle name="표준 7 7 5" xfId="6193"/>
    <cellStyle name="표준 7 7 5 2" xfId="22897"/>
    <cellStyle name="표준 7 7 6" xfId="11761"/>
    <cellStyle name="표준 7 7 6 2" xfId="28465"/>
    <cellStyle name="표준 7 7 7" xfId="17329"/>
    <cellStyle name="표준 7 8" xfId="857"/>
    <cellStyle name="표준 7 8 2" xfId="2249"/>
    <cellStyle name="표준 7 8 2 2" xfId="5033"/>
    <cellStyle name="표준 7 8 2 2 2" xfId="10601"/>
    <cellStyle name="표준 7 8 2 2 2 2" xfId="27305"/>
    <cellStyle name="표준 7 8 2 2 3" xfId="16169"/>
    <cellStyle name="표준 7 8 2 2 3 2" xfId="32873"/>
    <cellStyle name="표준 7 8 2 2 4" xfId="21737"/>
    <cellStyle name="표준 7 8 2 3" xfId="7817"/>
    <cellStyle name="표준 7 8 2 3 2" xfId="24521"/>
    <cellStyle name="표준 7 8 2 4" xfId="13385"/>
    <cellStyle name="표준 7 8 2 4 2" xfId="30089"/>
    <cellStyle name="표준 7 8 2 5" xfId="18953"/>
    <cellStyle name="표준 7 8 3" xfId="3641"/>
    <cellStyle name="표준 7 8 3 2" xfId="9209"/>
    <cellStyle name="표준 7 8 3 2 2" xfId="25913"/>
    <cellStyle name="표준 7 8 3 3" xfId="14777"/>
    <cellStyle name="표준 7 8 3 3 2" xfId="31481"/>
    <cellStyle name="표준 7 8 3 4" xfId="20345"/>
    <cellStyle name="표준 7 8 4" xfId="6425"/>
    <cellStyle name="표준 7 8 4 2" xfId="23129"/>
    <cellStyle name="표준 7 8 5" xfId="11993"/>
    <cellStyle name="표준 7 8 5 2" xfId="28697"/>
    <cellStyle name="표준 7 8 6" xfId="17561"/>
    <cellStyle name="표준 7 9" xfId="1553"/>
    <cellStyle name="표준 7 9 2" xfId="4337"/>
    <cellStyle name="표준 7 9 2 2" xfId="9905"/>
    <cellStyle name="표준 7 9 2 2 2" xfId="26609"/>
    <cellStyle name="표준 7 9 2 3" xfId="15473"/>
    <cellStyle name="표준 7 9 2 3 2" xfId="32177"/>
    <cellStyle name="표준 7 9 2 4" xfId="21041"/>
    <cellStyle name="표준 7 9 3" xfId="7121"/>
    <cellStyle name="표준 7 9 3 2" xfId="23825"/>
    <cellStyle name="표준 7 9 4" xfId="12689"/>
    <cellStyle name="표준 7 9 4 2" xfId="29393"/>
    <cellStyle name="표준 7 9 5" xfId="18257"/>
    <cellStyle name="표준 8" xfId="19"/>
    <cellStyle name="표준 9" xfId="34"/>
    <cellStyle name="표준 9 2" xfId="36"/>
    <cellStyle name="표준 9 2 2" xfId="153"/>
    <cellStyle name="표준 9 3" xfId="37"/>
    <cellStyle name="표준 9 3 2" xfId="152"/>
    <cellStyle name="하이퍼링크" xfId="1" builtinId="8"/>
  </cellStyles>
  <dxfs count="22">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11EFAA"/>
      <color rgb="FFFF8800"/>
      <color rgb="FFFF6600"/>
      <color rgb="FF0000FF"/>
      <color rgb="FF009900"/>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11</xdr:row>
      <xdr:rowOff>142875</xdr:rowOff>
    </xdr:from>
    <xdr:to>
      <xdr:col>15</xdr:col>
      <xdr:colOff>609600</xdr:colOff>
      <xdr:row>29</xdr:row>
      <xdr:rowOff>28575</xdr:rowOff>
    </xdr:to>
    <xdr:pic>
      <xdr:nvPicPr>
        <xdr:cNvPr id="2" name="Picture 8" descr="logo">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2771775"/>
          <a:ext cx="9829800" cy="3657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378199</xdr:colOff>
      <xdr:row>26</xdr:row>
      <xdr:rowOff>47624</xdr:rowOff>
    </xdr:from>
    <xdr:to>
      <xdr:col>12</xdr:col>
      <xdr:colOff>409575</xdr:colOff>
      <xdr:row>30</xdr:row>
      <xdr:rowOff>25774</xdr:rowOff>
    </xdr:to>
    <xdr:sp macro="" textlink="">
      <xdr:nvSpPr>
        <xdr:cNvPr id="3" name="Text Box 6">
          <a:extLst>
            <a:ext uri="{FF2B5EF4-FFF2-40B4-BE49-F238E27FC236}">
              <a16:creationId xmlns:a16="http://schemas.microsoft.com/office/drawing/2014/main" id="{00000000-0008-0000-0000-000003000000}"/>
            </a:ext>
          </a:extLst>
        </xdr:cNvPr>
        <xdr:cNvSpPr txBox="1">
          <a:spLocks noChangeArrowheads="1"/>
        </xdr:cNvSpPr>
      </xdr:nvSpPr>
      <xdr:spPr bwMode="auto">
        <a:xfrm>
          <a:off x="1749799" y="5819774"/>
          <a:ext cx="5879726" cy="816350"/>
        </a:xfrm>
        <a:prstGeom prst="rect">
          <a:avLst/>
        </a:prstGeom>
        <a:noFill/>
        <a:ln w="9525">
          <a:noFill/>
          <a:miter lim="800000"/>
          <a:headEnd/>
          <a:tailEnd/>
        </a:ln>
      </xdr:spPr>
      <xdr:txBody>
        <a:bodyPr vertOverflow="clip" wrap="square" lIns="91440" tIns="45720" rIns="91440" bIns="45720" anchor="ctr" upright="1"/>
        <a:lstStyle/>
        <a:p>
          <a:pPr algn="ctr" rtl="0">
            <a:defRPr sz="1000"/>
          </a:pPr>
          <a:r>
            <a:rPr lang="en-US" altLang="ko-KR" sz="900" b="0" i="0" u="none" strike="noStrike" baseline="0">
              <a:solidFill>
                <a:srgbClr val="000000"/>
              </a:solidFill>
              <a:latin typeface="+mn-ea"/>
              <a:ea typeface="+mn-ea"/>
            </a:rPr>
            <a:t>CJ</a:t>
          </a:r>
          <a:r>
            <a:rPr lang="ko-KR" altLang="en-US" sz="900" b="0" i="0" u="none" strike="noStrike" baseline="0">
              <a:solidFill>
                <a:srgbClr val="000000"/>
              </a:solidFill>
              <a:latin typeface="+mn-ea"/>
              <a:ea typeface="+mn-ea"/>
            </a:rPr>
            <a:t>올리브네트웍스의 사전 승인 없이 본 내용의 전부 또는 일부에 대한 복사</a:t>
          </a:r>
          <a:r>
            <a:rPr lang="en-US" altLang="ko-KR" sz="900" b="0" i="0" u="none" strike="noStrike" baseline="0">
              <a:solidFill>
                <a:srgbClr val="000000"/>
              </a:solidFill>
              <a:latin typeface="+mn-ea"/>
              <a:ea typeface="+mn-ea"/>
            </a:rPr>
            <a:t>, </a:t>
          </a:r>
          <a:r>
            <a:rPr lang="ko-KR" altLang="en-US" sz="900" b="0" i="0" u="none" strike="noStrike" baseline="0">
              <a:solidFill>
                <a:srgbClr val="000000"/>
              </a:solidFill>
              <a:latin typeface="+mn-ea"/>
              <a:ea typeface="+mn-ea"/>
            </a:rPr>
            <a:t>전재</a:t>
          </a:r>
          <a:r>
            <a:rPr lang="en-US" altLang="ko-KR" sz="900" b="0" i="0" u="none" strike="noStrike" baseline="0">
              <a:solidFill>
                <a:srgbClr val="000000"/>
              </a:solidFill>
              <a:latin typeface="+mn-ea"/>
              <a:ea typeface="+mn-ea"/>
            </a:rPr>
            <a:t>, </a:t>
          </a:r>
          <a:r>
            <a:rPr lang="ko-KR" altLang="en-US" sz="900" b="0" i="0" u="none" strike="noStrike" baseline="0">
              <a:solidFill>
                <a:srgbClr val="000000"/>
              </a:solidFill>
              <a:latin typeface="+mn-ea"/>
              <a:ea typeface="+mn-ea"/>
            </a:rPr>
            <a:t>배포</a:t>
          </a:r>
          <a:r>
            <a:rPr lang="en-US" altLang="ko-KR" sz="900" b="0" i="0" u="none" strike="noStrike" baseline="0">
              <a:solidFill>
                <a:srgbClr val="000000"/>
              </a:solidFill>
              <a:latin typeface="+mn-ea"/>
              <a:ea typeface="+mn-ea"/>
            </a:rPr>
            <a:t>, </a:t>
          </a:r>
          <a:r>
            <a:rPr lang="ko-KR" altLang="en-US" sz="900" b="0" i="0" u="none" strike="noStrike" baseline="0">
              <a:solidFill>
                <a:srgbClr val="000000"/>
              </a:solidFill>
              <a:latin typeface="+mn-ea"/>
              <a:ea typeface="+mn-ea"/>
            </a:rPr>
            <a:t>사용을 금합니다</a:t>
          </a:r>
          <a:r>
            <a:rPr lang="en-US" altLang="ko-KR" sz="900" b="0" i="0" u="none" strike="noStrike" baseline="0">
              <a:solidFill>
                <a:srgbClr val="000000"/>
              </a:solidFill>
              <a:latin typeface="+mn-ea"/>
              <a:ea typeface="+mn-ea"/>
            </a:rPr>
            <a:t>.</a:t>
          </a:r>
        </a:p>
      </xdr:txBody>
    </xdr:sp>
    <xdr:clientData/>
  </xdr:twoCellAnchor>
  <xdr:twoCellAnchor editAs="oneCell">
    <xdr:from>
      <xdr:col>12</xdr:col>
      <xdr:colOff>676275</xdr:colOff>
      <xdr:row>25</xdr:row>
      <xdr:rowOff>28575</xdr:rowOff>
    </xdr:from>
    <xdr:to>
      <xdr:col>15</xdr:col>
      <xdr:colOff>257175</xdr:colOff>
      <xdr:row>27</xdr:row>
      <xdr:rowOff>142875</xdr:rowOff>
    </xdr:to>
    <xdr:pic>
      <xdr:nvPicPr>
        <xdr:cNvPr id="4" name="그림 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896225" y="5591175"/>
          <a:ext cx="1638300"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00000000-0008-0000-0200-00008F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00000000-0008-0000-0200-000090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00000000-0008-0000-0200-000091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00000000-0008-0000-0200-000092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00000000-0008-0000-0200-000093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00000000-0008-0000-0200-000094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00000000-0008-0000-0200-000095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00000000-0008-0000-0200-000096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00000000-0008-0000-0200-000097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00000000-0008-0000-0200-00009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00000000-0008-0000-0200-00009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00000000-0008-0000-0200-00009A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00000000-0008-0000-0200-00009B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00000000-0008-0000-0200-00009C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00000000-0008-0000-0200-00009D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00000000-0008-0000-0200-00009E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00000000-0008-0000-0200-00009F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00000000-0008-0000-0200-0000A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00000000-0008-0000-0200-0000A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00000000-0008-0000-0200-0000A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00000000-0008-0000-0200-0000A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00000000-0008-0000-0200-0000A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00000000-0008-0000-0200-0000A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00000000-0008-0000-0200-0000A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00000000-0008-0000-0200-0000A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00000000-0008-0000-0200-0000A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00000000-0008-0000-0200-0000A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00000000-0008-0000-0200-0000A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00000000-0008-0000-0200-0000A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00000000-0008-0000-0200-0000A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00000000-0008-0000-0200-0000A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00000000-0008-0000-0200-0000A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00000000-0008-0000-0200-0000A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00000000-0008-0000-0200-0000B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00000000-0008-0000-0200-0000B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00000000-0008-0000-0200-0000B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00000000-0008-0000-0200-0000B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00000000-0008-0000-0200-0000B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00000000-0008-0000-0200-0000B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00000000-0008-0000-0200-0000B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00000000-0008-0000-0200-0000B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00000000-0008-0000-0200-0000B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00000000-0008-0000-0200-0000B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00000000-0008-0000-0200-0000B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00000000-0008-0000-0200-0000B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00000000-0008-0000-0200-0000B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00000000-0008-0000-0200-0000B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00000000-0008-0000-0200-0000B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00000000-0008-0000-0200-0000B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00000000-0008-0000-0200-0000C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00000000-0008-0000-0200-0000C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00000000-0008-0000-0200-0000C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00000000-0008-0000-0200-0000C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00000000-0008-0000-0200-0000C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00000000-0008-0000-0200-0000C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00000000-0008-0000-0200-0000C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00000000-0008-0000-0200-0000C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00000000-0008-0000-0200-0000C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00000000-0008-0000-0200-0000C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00000000-0008-0000-0200-0000C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00000000-0008-0000-0200-0000C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00000000-0008-0000-0200-0000C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00000000-0008-0000-0200-0000C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00000000-0008-0000-0200-0000C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00000000-0008-0000-0200-0000C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00000000-0008-0000-0200-0000D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0000000-0008-0000-0200-0000D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00000000-0008-0000-0200-0000D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00000000-0008-0000-0200-0000D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0000000-0008-0000-0200-0000D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00000000-0008-0000-0200-0000D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00000000-0008-0000-0200-0000D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00000000-0008-0000-0200-0000D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00000000-0008-0000-0200-0000D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00000000-0008-0000-0200-0000D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00000000-0008-0000-0200-0000D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00000000-0008-0000-0200-0000D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00000000-0008-0000-0200-0000D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00000000-0008-0000-0200-0000D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00000000-0008-0000-0200-0000D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00000000-0008-0000-0200-0000D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00000000-0008-0000-0200-0000E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00000000-0008-0000-0200-0000E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00000000-0008-0000-0200-0000E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00000000-0008-0000-0200-0000E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00000000-0008-0000-0200-0000E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00000000-0008-0000-0200-0000E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00000000-0008-0000-0200-0000E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00000000-0008-0000-0200-0000E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0000000-0008-0000-0200-0000E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00000000-0008-0000-0200-0000E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00000000-0008-0000-0200-0000E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00000000-0008-0000-0200-0000E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00000000-0008-0000-0200-0000E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00000000-0008-0000-0200-0000E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00000000-0008-0000-0200-0000E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00000000-0008-0000-0200-0000E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00000000-0008-0000-0200-0000F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00000000-0008-0000-0200-0000F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00000000-0008-0000-0200-0000F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00000000-0008-0000-0200-0000F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00000000-0008-0000-0200-0000F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00000000-0008-0000-0200-0000F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00000000-0008-0000-0200-0000F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00000000-0008-0000-0200-0000F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00000000-0008-0000-0200-0000F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00000000-0008-0000-0200-0000F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00000000-0008-0000-0200-0000F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00000000-0008-0000-0200-0000F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00000000-0008-0000-0200-0000FC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00000000-0008-0000-0200-0000FD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00000000-0008-0000-0200-0000FE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00000000-0008-0000-0200-0000FF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00000000-0008-0000-0200-000000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0000000-0008-0000-0200-000001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00000000-0008-0000-0200-000002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00000000-0008-0000-0200-000003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00000000-0008-0000-0200-000004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00000000-0008-0000-0200-000005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00000000-0008-0000-0200-000006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00000000-0008-0000-0200-000007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00000000-0008-0000-0200-00000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00000000-0008-0000-0200-00000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00000000-0008-0000-0200-00000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0000000-0008-0000-0200-00000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00000000-0008-0000-0200-00000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00000000-0008-0000-0200-00000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00000000-0008-0000-0200-00000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00000000-0008-0000-0200-00000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00000000-0008-0000-0200-00001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00000000-0008-0000-0200-00001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00000000-0008-0000-0200-00001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0000000-0008-0000-0200-00001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00000000-0008-0000-0200-00001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00000000-0008-0000-0200-00001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00000000-0008-0000-0200-00001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00000000-0008-0000-0200-00001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00000000-0008-0000-0200-00001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00000000-0008-0000-0200-00001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00000000-0008-0000-0200-00001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00000000-0008-0000-0200-00001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00000000-0008-0000-0200-00001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00000000-0008-0000-0200-00001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00000000-0008-0000-0200-00001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00000000-0008-0000-0200-00001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00000000-0008-0000-0200-00002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00000000-0008-0000-0200-00002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00000000-0008-0000-0200-00002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00000000-0008-0000-0200-00002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00000000-0008-0000-0200-00002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00000000-0008-0000-0200-00002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00000000-0008-0000-0200-00002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00000000-0008-0000-0200-00002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00000000-0008-0000-0200-00002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0000000-0008-0000-0200-00002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00000000-0008-0000-0200-00002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00000000-0008-0000-0200-00002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00000000-0008-0000-0200-00002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00000000-0008-0000-0200-00002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00000000-0008-0000-0200-00002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00000000-0008-0000-0200-00002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00000000-0008-0000-0200-00003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00000000-0008-0000-0200-00003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00000000-0008-0000-0200-00003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00000000-0008-0000-0200-00003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00000000-0008-0000-0200-00003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00000000-0008-0000-0200-00003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00000000-0008-0000-0200-00003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00000000-0008-0000-0200-00003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00000000-0008-0000-0200-00003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00000000-0008-0000-0200-00003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00000000-0008-0000-0200-00003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00000000-0008-0000-0200-00003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00000000-0008-0000-0200-00003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00000000-0008-0000-0200-00003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00000000-0008-0000-0200-00003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00000000-0008-0000-0200-00003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00000000-0008-0000-0200-00004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00000000-0008-0000-0200-00004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00000000-0008-0000-0200-00004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00000000-0008-0000-0200-00004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00000000-0008-0000-0200-00004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00000000-0008-0000-0200-00004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00000000-0008-0000-0200-00004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00000000-0008-0000-0200-00004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00000000-0008-0000-0200-00004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00000000-0008-0000-0200-00004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00000000-0008-0000-0200-00004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00000000-0008-0000-0200-00004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00000000-0008-0000-0200-00004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00000000-0008-0000-0200-00004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00000000-0008-0000-0200-00004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00000000-0008-0000-0200-00004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00000000-0008-0000-0200-00005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00000000-0008-0000-0200-00005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0000000-0008-0000-0200-00005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00000000-0008-0000-0200-00005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0000000-0008-0000-0200-00005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00000000-0008-0000-0200-00005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00000000-0008-0000-0200-00005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00000000-0008-0000-0200-00005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00000000-0008-0000-0200-00005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00000000-0008-0000-0200-00005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00000000-0008-0000-0200-00005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00000000-0008-0000-0200-00005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00000000-0008-0000-0200-00005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00000000-0008-0000-0200-00005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00000000-0008-0000-0200-00005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00000000-0008-0000-0200-00005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00000000-0008-0000-0200-00006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00000000-0008-0000-0200-00006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00000000-0008-0000-0200-00006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00000000-0008-0000-0200-00006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00000000-0008-0000-0200-00006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00000000-0008-0000-0200-00006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00000000-0008-0000-0200-00006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00000000-0008-0000-0200-00006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00000000-0008-0000-0200-00006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00000000-0008-0000-0200-00006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00000000-0008-0000-0200-00006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00000000-0008-0000-0200-00006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00000000-0008-0000-0200-00006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00000000-0008-0000-0200-00006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00000000-0008-0000-0200-00006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0000000-0008-0000-0200-00006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00000000-0008-0000-0200-00007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00000000-0008-0000-0200-00007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00000000-0008-0000-0200-00007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00000000-0008-0000-0200-00007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00000000-0008-0000-0200-00007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00000000-0008-0000-0200-00007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00000000-0008-0000-0200-00007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00000000-0008-0000-0200-00007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00000000-0008-0000-0200-00007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00000000-0008-0000-0200-00007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00000000-0008-0000-0200-00007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00000000-0008-0000-0200-00007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00000000-0008-0000-0200-00007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00000000-0008-0000-0200-00007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00000000-0008-0000-0200-00007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00000000-0008-0000-0200-00007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00000000-0008-0000-0200-00008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0000000-0008-0000-0200-00008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00000000-0008-0000-0200-00008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0000000-0008-0000-0200-00008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00000000-0008-0000-0200-00008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00000000-0008-0000-0200-00008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00000000-0008-0000-0200-00008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00000000-0008-0000-0200-00008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00000000-0008-0000-0200-00008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0000000-0008-0000-0200-00008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0000000-0008-0000-0200-00008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00000000-0008-0000-0200-00008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00000000-0008-0000-0200-00008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0000000-0008-0000-0200-00008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00000000-0008-0000-0200-00008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00000000-0008-0000-0200-00008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00000000-0008-0000-0200-00009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00000000-0008-0000-0200-00009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0000000-0008-0000-0200-00009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00000000-0008-0000-0200-00009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00000000-0008-0000-0200-00009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00000000-0008-0000-0200-00009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00000000-0008-0000-0200-00009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00000000-0008-0000-0200-00009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00000000-0008-0000-0200-00009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00000000-0008-0000-0200-00009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00000000-0008-0000-0200-00009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00000000-0008-0000-0200-00009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00000000-0008-0000-0200-00009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00000000-0008-0000-0200-00009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00000000-0008-0000-0200-00009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00000000-0008-0000-0200-00009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00000000-0008-0000-0200-00008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00000000-0008-0000-0200-00008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00000000-0008-0000-0200-00008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00000000-0008-0000-0200-00008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00000000-0008-0000-0200-00008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00000000-0008-0000-0200-00008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00000000-0008-0000-0200-00008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0000000-0008-0000-0200-00008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00000000-0008-0000-0200-00008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00000000-0008-0000-0200-00009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00000000-0008-0000-0200-00009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0000000-0008-0000-0200-00009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00000000-0008-0000-0200-00009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00000000-0008-0000-0200-00009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00000000-0008-0000-0200-00009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0000000-0008-0000-0200-00009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00000000-0008-0000-0200-00009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00000000-0008-0000-0200-00009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00000000-0008-0000-0200-00009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00000000-0008-0000-0200-00006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00000000-0008-0000-0200-00006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00000000-0008-0000-0200-00003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00000000-0008-0000-0200-00003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00000000-0008-0000-0200-00003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00000000-0008-0000-0200-00003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00000000-0008-0000-0200-00004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00000000-0008-0000-0200-00004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00000000-0008-0000-0200-00004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00000000-0008-0000-0200-00004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00000000-0008-0000-0200-00005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00000000-0008-0000-0200-00005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00000000-0008-0000-0200-00005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00000000-0008-0000-0200-00005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00000000-0008-0000-0200-00000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00000000-0008-0000-0200-00000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00000000-0008-0000-0200-00000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00000000-0008-0000-0200-00000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00000000-0008-0000-0200-00001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00000000-0008-0000-0200-00001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00000000-0008-0000-0200-00001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00000000-0008-0000-0200-00001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00000000-0008-0000-0200-00002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00000000-0008-0000-0200-00002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00000000-0008-0000-0200-00002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00000000-0008-0000-0200-00002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00000000-0008-0000-0200-00002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00000000-0008-0000-0200-00003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00000000-0008-0000-0200-00003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00000000-0008-0000-0200-00003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00000000-0008-0000-0200-00003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00000000-0008-0000-0200-00004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00000000-0008-0000-0200-00004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00000000-0008-0000-0200-00004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0000000-0008-0000-0200-00005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00000000-0008-0000-0200-00005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00000000-0008-0000-0200-00005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00000000-0008-0000-0200-00005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00000000-0008-0000-0200-00006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00000000-0008-0000-0200-00006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00000000-0008-0000-0200-00006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00000000-0008-0000-0200-00006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00000000-0008-0000-0200-00007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00000000-0008-0000-0200-00007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00000000-0008-0000-0200-00007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00000000-0008-0000-0200-00007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00000000-0008-0000-0200-00008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00000000-0008-0000-0200-00008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00000000-0008-0000-0200-00008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00000000-0008-0000-0200-00008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00000000-0008-0000-0200-00008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00000000-0008-0000-0200-00008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00000000-0008-0000-0200-00008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00000000-0008-0000-0200-00008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00000000-0008-0000-0200-00009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00000000-0008-0000-0200-00009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00000000-0008-0000-0200-00009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00000000-0008-0000-0200-0000A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00000000-0008-0000-0200-0000A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00000000-0008-0000-0200-0000A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00000000-0008-0000-0200-0000A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00000000-0008-0000-0200-0000A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00000000-0008-0000-0200-00001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00000000-0008-0000-0200-00001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00000000-0008-0000-0200-00001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00000000-0008-0000-0200-00001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00000000-0008-0000-0200-00001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00000000-0008-0000-0200-00002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00000000-0008-0000-0200-00002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00000000-0008-0000-0200-00002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00000000-0008-0000-0200-00002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00000000-0008-0000-0200-00002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00000000-0008-0000-0200-00004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00000000-0008-0000-0200-00004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00000000-0008-0000-0200-00004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00000000-0008-0000-0200-00004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00000000-0008-0000-0200-00004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00000000-0008-0000-0200-00009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00000000-0008-0000-0200-0000B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00000000-0008-0000-0200-0000D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00000000-0008-0000-0200-0000D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00000000-0008-0000-0200-0000D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00000000-0008-0000-0200-0000D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00000000-0008-0000-0200-0000D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00000000-0008-0000-0200-0000D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0000000-0008-0000-0200-0000E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00000000-0008-0000-0200-0000E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00000000-0008-0000-0200-0000E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00000000-0008-0000-0200-0000E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0000000-0008-0000-0200-0000E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00000000-0008-0000-0200-0000E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00000000-0008-0000-0200-0000E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00000000-0008-0000-0200-0000E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00000000-0008-0000-0200-0000E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00000000-0008-0000-0200-0000E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00000000-0008-0000-0200-0000E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00000000-0008-0000-0200-0000E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00000000-0008-0000-0200-00000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00000000-0008-0000-0200-00000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00000000-0008-0000-0200-00002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00000000-0008-0000-0200-00004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00000000-0008-0000-0200-00006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0000000-0008-0000-0200-00007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00000000-0008-0000-0200-00009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00000000-0008-0000-0200-00009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00000000-0008-0000-0200-0000B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00000000-0008-0000-0200-0000B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00000000-0008-0000-0200-0000D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00000000-0008-0000-0200-0000D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00000000-0008-0000-0200-0000E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00000000-0008-0000-0200-0000E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00000000-0008-0000-0200-00000A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00000000-0008-0000-0200-000025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00000000-0008-0000-0200-000040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00000000-0008-0000-0200-00005B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00000000-0008-0000-0200-00003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00000000-0008-0000-0200-0000A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00000000-0008-0000-0200-0000A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00000000-0008-0000-0200-0000A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00000000-0008-0000-0200-00004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00000000-0008-0000-0200-00004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00000000-0008-0000-0200-00007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00000000-0008-0000-0200-00007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00000000-0008-0000-0200-00009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00000000-0008-0000-0200-00009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00000000-0008-0000-0200-0000B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00000000-0008-0000-0200-0000B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00000000-0008-0000-0200-0000D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00000000-0008-0000-0200-0000D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00000000-0008-0000-0200-00003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00000000-0008-0000-0200-00003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00000000-0008-0000-0200-00004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00000000-0008-0000-0200-00004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00000000-0008-0000-0200-00006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00000000-0008-0000-0200-00006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00000000-0008-0000-0200-00008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00000000-0008-0000-0200-00008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00000000-0008-0000-0200-0000A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00000000-0008-0000-0200-0000A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00000000-0008-0000-0200-0000C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00000000-0008-0000-0200-0000C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00000000-0008-0000-0200-0000E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00000000-0008-0000-0200-0000E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00000000-0008-0000-0200-000000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00000000-0008-0000-0200-000001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00000000-0008-0000-0200-00001D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00000000-0008-0000-0200-00001E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00000000-0008-0000-0200-00009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00000000-0008-0000-0200-0000A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00000000-0008-0000-0200-0000B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00000000-0008-0000-0200-00007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00000000-0008-0000-0200-00004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00000000-0008-0000-0200-00004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00000000-0008-0000-0200-0000A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00000000-0008-0000-0200-0000A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00000000-0008-0000-0200-0000A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00000000-0008-0000-0200-0000A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00000000-0008-0000-0200-0000B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00000000-0008-0000-0200-0000B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00000000-0008-0000-0200-0000B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00000000-0008-0000-0200-0000B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00000000-0008-0000-0200-0000B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00000000-0008-0000-0200-0000B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00000000-0008-0000-0200-0000B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00000000-0008-0000-0200-0000C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00000000-0008-0000-0200-0000C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0000000-0008-0000-0200-0000C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00000000-0008-0000-0200-0000C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00000000-0008-0000-0200-0000C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00000000-0008-0000-0200-0000C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00000000-0008-0000-0200-0000C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00000000-0008-0000-0200-0000C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00000000-0008-0000-0200-0000C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00000000-0008-0000-0200-0000C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00000000-0008-0000-0200-0000D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00000000-0008-0000-0200-0000A5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00000000-0008-0000-0200-0000A6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00000000-0008-0000-0200-0000A7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00000000-0008-0000-0200-0000A8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00000000-0008-0000-0200-0000A9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00000000-0008-0000-0200-0000AA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00000000-0008-0000-0200-0000AB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00000000-0008-0000-0200-0000AC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00000000-0008-0000-0200-0000AD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00000000-0008-0000-0200-0000AE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00000000-0008-0000-0200-0000B5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00000000-0008-0000-0200-0000B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00000000-0008-0000-0200-0000B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00000000-0008-0000-0200-0000B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00000000-0008-0000-0200-0000B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00000000-0008-0000-0200-0000B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0000000-0008-0000-0200-0000B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00000000-0008-0000-0200-00004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00000000-0008-0000-0200-00004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00000000-0008-0000-0200-00005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00000000-0008-0000-0200-00005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0000000-0008-0000-0200-0000A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00000000-0008-0000-0200-0000A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00000000-0008-0000-0200-0000B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00000000-0008-0000-0200-0000B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00000000-0008-0000-0200-0000B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00000000-0008-0000-0200-0000B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00000000-0008-0000-0200-0000B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00000000-0008-0000-0200-0000B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00000000-0008-0000-0200-0000B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00000000-0008-0000-0200-0000B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00000000-0008-0000-0200-0000B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00000000-0008-0000-0200-00008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00000000-0008-0000-0200-00008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00000000-0008-0000-0200-00008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00000000-0008-0000-0200-00008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00000000-0008-0000-0200-00008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00000000-0008-0000-0200-00009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00000000-0008-0000-0200-00009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00000000-0008-0000-0200-00009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00000000-0008-0000-0200-0000A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00000000-0008-0000-0200-0000A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00000000-0008-0000-0200-00005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00000000-0008-0000-0200-00005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00000000-0008-0000-0200-00005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00000000-0008-0000-0200-00005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00000000-0008-0000-0200-00005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00000000-0008-0000-0200-00005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00000000-0008-0000-0200-00005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00000000-0008-0000-0200-00006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00000000-0008-0000-0200-00008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00000000-0008-0000-0200-00008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00000000-0008-0000-0200-00008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00000000-0008-0000-0200-00008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00000000-0008-0000-0200-00008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00000000-0008-0000-0200-00008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00000000-0008-0000-0200-00008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00000000-0008-0000-0200-00008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00000000-0008-0000-0200-00008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00000000-0008-0000-0200-00008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00000000-0008-0000-0200-00008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00000000-0008-0000-0200-0000D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00000000-0008-0000-0200-0000D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00000000-0008-0000-0200-0000D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0000000-0008-0000-0200-0000E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00000000-0008-0000-0200-0000E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00000000-0008-0000-0200-0000E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00000000-0008-0000-0200-0000E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00000000-0008-0000-0200-0000E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0000000-0008-0000-0200-0000E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00000000-0008-0000-0200-0000E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00000000-0008-0000-0200-000050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00000000-0008-0000-0200-000051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00000000-0008-0000-0200-000052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00000000-0008-0000-0200-000053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00000000-0008-0000-0200-00005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00000000-0008-0000-0200-00005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00000000-0008-0000-0200-00005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00000000-0008-0000-0200-00005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00000000-0008-0000-0200-00005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00000000-0008-0000-0200-00005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00000000-0008-0000-0200-000093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00000000-0008-0000-0200-00009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00000000-0008-0000-0200-00009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00000000-0008-0000-0200-00009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00000000-0008-0000-0200-00009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00000000-0008-0000-0200-00009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00000000-0008-0000-0200-00009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00000000-0008-0000-0200-00009A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00000000-0008-0000-0200-00009B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00000000-0008-0000-0200-00009C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00000000-0008-0000-0200-00004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00000000-0008-0000-0200-00004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00000000-0008-0000-0200-00004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00000000-0008-0000-0200-00004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00000000-0008-0000-0200-00004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00000000-0008-0000-0200-00004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00000000-0008-0000-0200-00004A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00000000-0008-0000-0200-00004B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00000000-0008-0000-0200-00004C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00000000-0008-0000-0200-00004D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00000000-0008-0000-0200-0000FC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00000000-0008-0000-0200-0000FD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00000000-0008-0000-0200-0000FE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000000-0008-0000-0200-0000FF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00000000-0008-0000-0200-0000A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00000000-0008-0000-0200-0000A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00000000-0008-0000-0200-0000A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00000000-0008-0000-0200-0000A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00000000-0008-0000-0200-0000A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00000000-0008-0000-0200-0000B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00000000-0008-0000-0200-0000BE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00000000-0008-0000-0200-0000BF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00000000-0008-0000-0200-00005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00000000-0008-0000-0200-00005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00000000-0008-0000-0200-00005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00000000-0008-0000-0200-00005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00000000-0008-0000-0200-00005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00000000-0008-0000-0200-00005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00000000-0008-0000-0200-00006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00000000-0008-0000-0200-00006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00000000-0008-0000-0200-0000A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00000000-0008-0000-0200-0000A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00000000-0008-0000-0200-0000A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00000000-0008-0000-0200-0000B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00000000-0008-0000-0200-0000B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0000000-0008-0000-0200-0000B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00000000-0008-0000-0200-0000B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00000000-0008-0000-0200-0000B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00000000-0008-0000-0200-0000B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00000000-0008-0000-0200-0000B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00000000-0008-0000-0200-00007E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00000000-0008-0000-0200-00007F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00000000-0008-0000-0200-000000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00000000-0008-0000-0200-000001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00000000-0008-0000-0200-000002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00000000-0008-0000-0200-000003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00000000-0008-0000-0200-000004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00000000-0008-0000-0200-000005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00000000-0008-0000-0200-000006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00000000-0008-0000-0200-000007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00000000-0008-0000-0200-00000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00000000-0008-0000-0200-00000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00000000-0008-0000-0200-00000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00000000-0008-0000-0200-00000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00000000-0008-0000-0200-00000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00000000-0008-0000-0200-00000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00000000-0008-0000-0200-00000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00000000-0008-0000-0200-00000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00000000-0008-0000-0200-00000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00000000-0008-0000-0200-00000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00000000-0008-0000-0200-00001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00000000-0008-0000-0200-00001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00000000-0008-0000-0200-00001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00000000-0008-0000-0200-00001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00000000-0008-0000-0200-00001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00000000-0008-0000-0200-00001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00000000-0008-0000-0200-00001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00000000-0008-0000-0200-00002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00000000-0008-0000-0200-00002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00000000-0008-0000-0200-00002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00000000-0008-0000-0200-0000B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6" name="연결선: 꺾임 64975">
          <a:extLst>
            <a:ext uri="{FF2B5EF4-FFF2-40B4-BE49-F238E27FC236}">
              <a16:creationId xmlns:a16="http://schemas.microsoft.com/office/drawing/2014/main" id="{00000000-0008-0000-0200-0000D0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7" name="연결선: 꺾임 64976">
          <a:extLst>
            <a:ext uri="{FF2B5EF4-FFF2-40B4-BE49-F238E27FC236}">
              <a16:creationId xmlns:a16="http://schemas.microsoft.com/office/drawing/2014/main" id="{00000000-0008-0000-0200-0000D1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8" name="연결선: 꺾임 64977">
          <a:extLst>
            <a:ext uri="{FF2B5EF4-FFF2-40B4-BE49-F238E27FC236}">
              <a16:creationId xmlns:a16="http://schemas.microsoft.com/office/drawing/2014/main" id="{00000000-0008-0000-0200-0000D2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9" name="연결선: 꺾임 64978">
          <a:extLst>
            <a:ext uri="{FF2B5EF4-FFF2-40B4-BE49-F238E27FC236}">
              <a16:creationId xmlns:a16="http://schemas.microsoft.com/office/drawing/2014/main" id="{00000000-0008-0000-0200-0000D3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80" name="연결선: 꺾임 64979">
          <a:extLst>
            <a:ext uri="{FF2B5EF4-FFF2-40B4-BE49-F238E27FC236}">
              <a16:creationId xmlns:a16="http://schemas.microsoft.com/office/drawing/2014/main" id="{00000000-0008-0000-0200-0000D4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4" name="연결선: 꺾임 64993">
          <a:extLst>
            <a:ext uri="{FF2B5EF4-FFF2-40B4-BE49-F238E27FC236}">
              <a16:creationId xmlns:a16="http://schemas.microsoft.com/office/drawing/2014/main" id="{00000000-0008-0000-0200-0000E2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5" name="연결선: 꺾임 64994">
          <a:extLst>
            <a:ext uri="{FF2B5EF4-FFF2-40B4-BE49-F238E27FC236}">
              <a16:creationId xmlns:a16="http://schemas.microsoft.com/office/drawing/2014/main" id="{00000000-0008-0000-0200-0000E3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6" name="연결선: 꺾임 64995">
          <a:extLst>
            <a:ext uri="{FF2B5EF4-FFF2-40B4-BE49-F238E27FC236}">
              <a16:creationId xmlns:a16="http://schemas.microsoft.com/office/drawing/2014/main" id="{00000000-0008-0000-0200-0000E4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7" name="연결선: 꺾임 64996">
          <a:extLst>
            <a:ext uri="{FF2B5EF4-FFF2-40B4-BE49-F238E27FC236}">
              <a16:creationId xmlns:a16="http://schemas.microsoft.com/office/drawing/2014/main" id="{00000000-0008-0000-0200-0000E5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8" name="연결선: 꺾임 64997">
          <a:extLst>
            <a:ext uri="{FF2B5EF4-FFF2-40B4-BE49-F238E27FC236}">
              <a16:creationId xmlns:a16="http://schemas.microsoft.com/office/drawing/2014/main" id="{00000000-0008-0000-0200-0000E6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463</xdr:row>
      <xdr:rowOff>0</xdr:rowOff>
    </xdr:to>
    <xdr:cxnSp macro="">
      <xdr:nvCxnSpPr>
        <xdr:cNvPr id="860083" name="직선 화살표 연결선 860082"/>
        <xdr:cNvCxnSpPr/>
      </xdr:nvCxnSpPr>
      <xdr:spPr>
        <a:xfrm>
          <a:off x="24469725" y="819023"/>
          <a:ext cx="0" cy="69951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3</xdr:row>
      <xdr:rowOff>76073</xdr:rowOff>
    </xdr:from>
    <xdr:to>
      <xdr:col>63</xdr:col>
      <xdr:colOff>0</xdr:colOff>
      <xdr:row>463</xdr:row>
      <xdr:rowOff>0</xdr:rowOff>
    </xdr:to>
    <xdr:cxnSp macro="">
      <xdr:nvCxnSpPr>
        <xdr:cNvPr id="860084" name="직선 화살표 연결선 860083"/>
        <xdr:cNvCxnSpPr/>
      </xdr:nvCxnSpPr>
      <xdr:spPr>
        <a:xfrm>
          <a:off x="36661725" y="819023"/>
          <a:ext cx="0" cy="69951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3</xdr:row>
      <xdr:rowOff>76073</xdr:rowOff>
    </xdr:from>
    <xdr:to>
      <xdr:col>79</xdr:col>
      <xdr:colOff>0</xdr:colOff>
      <xdr:row>463</xdr:row>
      <xdr:rowOff>0</xdr:rowOff>
    </xdr:to>
    <xdr:cxnSp macro="">
      <xdr:nvCxnSpPr>
        <xdr:cNvPr id="860085" name="직선 화살표 연결선 860084"/>
        <xdr:cNvCxnSpPr/>
      </xdr:nvCxnSpPr>
      <xdr:spPr>
        <a:xfrm>
          <a:off x="48853725" y="819023"/>
          <a:ext cx="0" cy="69951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122464</xdr:colOff>
      <xdr:row>3</xdr:row>
      <xdr:rowOff>76073</xdr:rowOff>
    </xdr:from>
    <xdr:to>
      <xdr:col>82</xdr:col>
      <xdr:colOff>122464</xdr:colOff>
      <xdr:row>463</xdr:row>
      <xdr:rowOff>0</xdr:rowOff>
    </xdr:to>
    <xdr:cxnSp macro="">
      <xdr:nvCxnSpPr>
        <xdr:cNvPr id="860086" name="직선 화살표 연결선 860085"/>
        <xdr:cNvCxnSpPr/>
      </xdr:nvCxnSpPr>
      <xdr:spPr>
        <a:xfrm>
          <a:off x="19686814" y="819023"/>
          <a:ext cx="0" cy="699517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122464</xdr:colOff>
      <xdr:row>462</xdr:row>
      <xdr:rowOff>19050</xdr:rowOff>
    </xdr:from>
    <xdr:to>
      <xdr:col>82</xdr:col>
      <xdr:colOff>123734</xdr:colOff>
      <xdr:row>462</xdr:row>
      <xdr:rowOff>133350</xdr:rowOff>
    </xdr:to>
    <xdr:sp macro="" textlink="">
      <xdr:nvSpPr>
        <xdr:cNvPr id="860087" name="459"/>
        <xdr:cNvSpPr/>
      </xdr:nvSpPr>
      <xdr:spPr>
        <a:xfrm>
          <a:off x="19115314" y="70637400"/>
          <a:ext cx="5727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122464</xdr:colOff>
      <xdr:row>462</xdr:row>
      <xdr:rowOff>76200</xdr:rowOff>
    </xdr:from>
    <xdr:to>
      <xdr:col>82</xdr:col>
      <xdr:colOff>122464</xdr:colOff>
      <xdr:row>462</xdr:row>
      <xdr:rowOff>76200</xdr:rowOff>
    </xdr:to>
    <xdr:cxnSp macro="">
      <xdr:nvCxnSpPr>
        <xdr:cNvPr id="860088" name="직선 화살표 연결선 860087"/>
        <xdr:cNvCxnSpPr/>
      </xdr:nvCxnSpPr>
      <xdr:spPr>
        <a:xfrm>
          <a:off x="19115314" y="70694550"/>
          <a:ext cx="5715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20411</xdr:colOff>
      <xdr:row>461</xdr:row>
      <xdr:rowOff>19050</xdr:rowOff>
    </xdr:from>
    <xdr:to>
      <xdr:col>76</xdr:col>
      <xdr:colOff>82913</xdr:colOff>
      <xdr:row>461</xdr:row>
      <xdr:rowOff>133350</xdr:rowOff>
    </xdr:to>
    <xdr:sp macro="" textlink="">
      <xdr:nvSpPr>
        <xdr:cNvPr id="860089" name="458"/>
        <xdr:cNvSpPr/>
      </xdr:nvSpPr>
      <xdr:spPr>
        <a:xfrm>
          <a:off x="18441761" y="70485000"/>
          <a:ext cx="3482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20411</xdr:colOff>
      <xdr:row>461</xdr:row>
      <xdr:rowOff>76200</xdr:rowOff>
    </xdr:from>
    <xdr:to>
      <xdr:col>76</xdr:col>
      <xdr:colOff>81643</xdr:colOff>
      <xdr:row>461</xdr:row>
      <xdr:rowOff>76200</xdr:rowOff>
    </xdr:to>
    <xdr:cxnSp macro="">
      <xdr:nvCxnSpPr>
        <xdr:cNvPr id="860090" name="직선 화살표 연결선 860089"/>
        <xdr:cNvCxnSpPr/>
      </xdr:nvCxnSpPr>
      <xdr:spPr>
        <a:xfrm>
          <a:off x="18441761" y="70542150"/>
          <a:ext cx="3469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20411</xdr:colOff>
      <xdr:row>460</xdr:row>
      <xdr:rowOff>19050</xdr:rowOff>
    </xdr:from>
    <xdr:to>
      <xdr:col>75</xdr:col>
      <xdr:colOff>123734</xdr:colOff>
      <xdr:row>460</xdr:row>
      <xdr:rowOff>133350</xdr:rowOff>
    </xdr:to>
    <xdr:sp macro="" textlink="">
      <xdr:nvSpPr>
        <xdr:cNvPr id="860091" name="457"/>
        <xdr:cNvSpPr/>
      </xdr:nvSpPr>
      <xdr:spPr>
        <a:xfrm>
          <a:off x="17584511" y="70332600"/>
          <a:ext cx="11034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20411</xdr:colOff>
      <xdr:row>460</xdr:row>
      <xdr:rowOff>76200</xdr:rowOff>
    </xdr:from>
    <xdr:to>
      <xdr:col>75</xdr:col>
      <xdr:colOff>122464</xdr:colOff>
      <xdr:row>460</xdr:row>
      <xdr:rowOff>76200</xdr:rowOff>
    </xdr:to>
    <xdr:cxnSp macro="">
      <xdr:nvCxnSpPr>
        <xdr:cNvPr id="860092" name="직선 화살표 연결선 860091"/>
        <xdr:cNvCxnSpPr/>
      </xdr:nvCxnSpPr>
      <xdr:spPr>
        <a:xfrm>
          <a:off x="17584511" y="70389750"/>
          <a:ext cx="11021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20411</xdr:colOff>
      <xdr:row>459</xdr:row>
      <xdr:rowOff>19050</xdr:rowOff>
    </xdr:from>
    <xdr:to>
      <xdr:col>82</xdr:col>
      <xdr:colOff>123734</xdr:colOff>
      <xdr:row>459</xdr:row>
      <xdr:rowOff>133350</xdr:rowOff>
    </xdr:to>
    <xdr:sp macro="" textlink="">
      <xdr:nvSpPr>
        <xdr:cNvPr id="860093" name="456"/>
        <xdr:cNvSpPr/>
      </xdr:nvSpPr>
      <xdr:spPr>
        <a:xfrm>
          <a:off x="17584511" y="70180200"/>
          <a:ext cx="21035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20411</xdr:colOff>
      <xdr:row>459</xdr:row>
      <xdr:rowOff>76200</xdr:rowOff>
    </xdr:from>
    <xdr:to>
      <xdr:col>82</xdr:col>
      <xdr:colOff>122464</xdr:colOff>
      <xdr:row>459</xdr:row>
      <xdr:rowOff>76200</xdr:rowOff>
    </xdr:to>
    <xdr:cxnSp macro="">
      <xdr:nvCxnSpPr>
        <xdr:cNvPr id="860094" name="직선 화살표 연결선 860093"/>
        <xdr:cNvCxnSpPr/>
      </xdr:nvCxnSpPr>
      <xdr:spPr>
        <a:xfrm>
          <a:off x="17584511" y="70237350"/>
          <a:ext cx="21023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20411</xdr:colOff>
      <xdr:row>458</xdr:row>
      <xdr:rowOff>19050</xdr:rowOff>
    </xdr:from>
    <xdr:to>
      <xdr:col>83</xdr:col>
      <xdr:colOff>42090</xdr:colOff>
      <xdr:row>458</xdr:row>
      <xdr:rowOff>133350</xdr:rowOff>
    </xdr:to>
    <xdr:sp macro="" textlink="">
      <xdr:nvSpPr>
        <xdr:cNvPr id="860095" name="455"/>
        <xdr:cNvSpPr/>
      </xdr:nvSpPr>
      <xdr:spPr>
        <a:xfrm>
          <a:off x="16298636" y="70027800"/>
          <a:ext cx="34506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20411</xdr:colOff>
      <xdr:row>458</xdr:row>
      <xdr:rowOff>76200</xdr:rowOff>
    </xdr:from>
    <xdr:to>
      <xdr:col>83</xdr:col>
      <xdr:colOff>40821</xdr:colOff>
      <xdr:row>458</xdr:row>
      <xdr:rowOff>76200</xdr:rowOff>
    </xdr:to>
    <xdr:cxnSp macro="">
      <xdr:nvCxnSpPr>
        <xdr:cNvPr id="860096" name="직선 화살표 연결선 860095"/>
        <xdr:cNvCxnSpPr/>
      </xdr:nvCxnSpPr>
      <xdr:spPr>
        <a:xfrm>
          <a:off x="16298636" y="70084950"/>
          <a:ext cx="3449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102054</xdr:colOff>
      <xdr:row>457</xdr:row>
      <xdr:rowOff>19050</xdr:rowOff>
    </xdr:from>
    <xdr:to>
      <xdr:col>74</xdr:col>
      <xdr:colOff>123734</xdr:colOff>
      <xdr:row>457</xdr:row>
      <xdr:rowOff>133350</xdr:rowOff>
    </xdr:to>
    <xdr:sp macro="" textlink="">
      <xdr:nvSpPr>
        <xdr:cNvPr id="860097" name="454"/>
        <xdr:cNvSpPr/>
      </xdr:nvSpPr>
      <xdr:spPr>
        <a:xfrm>
          <a:off x="15665904" y="69875400"/>
          <a:ext cx="28791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102054</xdr:colOff>
      <xdr:row>457</xdr:row>
      <xdr:rowOff>76200</xdr:rowOff>
    </xdr:from>
    <xdr:to>
      <xdr:col>74</xdr:col>
      <xdr:colOff>122464</xdr:colOff>
      <xdr:row>457</xdr:row>
      <xdr:rowOff>76200</xdr:rowOff>
    </xdr:to>
    <xdr:cxnSp macro="">
      <xdr:nvCxnSpPr>
        <xdr:cNvPr id="860098" name="직선 화살표 연결선 860097"/>
        <xdr:cNvCxnSpPr/>
      </xdr:nvCxnSpPr>
      <xdr:spPr>
        <a:xfrm>
          <a:off x="15665904" y="69932550"/>
          <a:ext cx="28779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102054</xdr:colOff>
      <xdr:row>456</xdr:row>
      <xdr:rowOff>19050</xdr:rowOff>
    </xdr:from>
    <xdr:to>
      <xdr:col>83</xdr:col>
      <xdr:colOff>42090</xdr:colOff>
      <xdr:row>456</xdr:row>
      <xdr:rowOff>133350</xdr:rowOff>
    </xdr:to>
    <xdr:sp macro="" textlink="">
      <xdr:nvSpPr>
        <xdr:cNvPr id="860099" name="453"/>
        <xdr:cNvSpPr/>
      </xdr:nvSpPr>
      <xdr:spPr>
        <a:xfrm>
          <a:off x="15665904" y="69723000"/>
          <a:ext cx="40834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102054</xdr:colOff>
      <xdr:row>456</xdr:row>
      <xdr:rowOff>76200</xdr:rowOff>
    </xdr:from>
    <xdr:to>
      <xdr:col>83</xdr:col>
      <xdr:colOff>40821</xdr:colOff>
      <xdr:row>456</xdr:row>
      <xdr:rowOff>76200</xdr:rowOff>
    </xdr:to>
    <xdr:cxnSp macro="">
      <xdr:nvCxnSpPr>
        <xdr:cNvPr id="860100" name="직선 화살표 연결선 860099"/>
        <xdr:cNvCxnSpPr/>
      </xdr:nvCxnSpPr>
      <xdr:spPr>
        <a:xfrm>
          <a:off x="15665904" y="69780150"/>
          <a:ext cx="40821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20411</xdr:colOff>
      <xdr:row>455</xdr:row>
      <xdr:rowOff>19050</xdr:rowOff>
    </xdr:from>
    <xdr:to>
      <xdr:col>80</xdr:col>
      <xdr:colOff>123734</xdr:colOff>
      <xdr:row>455</xdr:row>
      <xdr:rowOff>133350</xdr:rowOff>
    </xdr:to>
    <xdr:sp macro="" textlink="">
      <xdr:nvSpPr>
        <xdr:cNvPr id="860101" name="452"/>
        <xdr:cNvSpPr/>
      </xdr:nvSpPr>
      <xdr:spPr>
        <a:xfrm>
          <a:off x="18870386" y="69570600"/>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20411</xdr:colOff>
      <xdr:row>455</xdr:row>
      <xdr:rowOff>76200</xdr:rowOff>
    </xdr:from>
    <xdr:to>
      <xdr:col>80</xdr:col>
      <xdr:colOff>122464</xdr:colOff>
      <xdr:row>455</xdr:row>
      <xdr:rowOff>76200</xdr:rowOff>
    </xdr:to>
    <xdr:cxnSp macro="">
      <xdr:nvCxnSpPr>
        <xdr:cNvPr id="860102" name="직선 화살표 연결선 860101"/>
        <xdr:cNvCxnSpPr/>
      </xdr:nvCxnSpPr>
      <xdr:spPr>
        <a:xfrm>
          <a:off x="18870386" y="69627750"/>
          <a:ext cx="5306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102054</xdr:colOff>
      <xdr:row>454</xdr:row>
      <xdr:rowOff>19050</xdr:rowOff>
    </xdr:from>
    <xdr:to>
      <xdr:col>75</xdr:col>
      <xdr:colOff>123734</xdr:colOff>
      <xdr:row>454</xdr:row>
      <xdr:rowOff>133350</xdr:rowOff>
    </xdr:to>
    <xdr:sp macro="" textlink="">
      <xdr:nvSpPr>
        <xdr:cNvPr id="860103" name="451"/>
        <xdr:cNvSpPr/>
      </xdr:nvSpPr>
      <xdr:spPr>
        <a:xfrm>
          <a:off x="18523404" y="69418200"/>
          <a:ext cx="1645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102054</xdr:colOff>
      <xdr:row>454</xdr:row>
      <xdr:rowOff>76200</xdr:rowOff>
    </xdr:from>
    <xdr:to>
      <xdr:col>75</xdr:col>
      <xdr:colOff>122464</xdr:colOff>
      <xdr:row>454</xdr:row>
      <xdr:rowOff>76200</xdr:rowOff>
    </xdr:to>
    <xdr:cxnSp macro="">
      <xdr:nvCxnSpPr>
        <xdr:cNvPr id="860104" name="직선 화살표 연결선 860103"/>
        <xdr:cNvCxnSpPr/>
      </xdr:nvCxnSpPr>
      <xdr:spPr>
        <a:xfrm>
          <a:off x="18523404" y="69475350"/>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102054</xdr:colOff>
      <xdr:row>453</xdr:row>
      <xdr:rowOff>19050</xdr:rowOff>
    </xdr:from>
    <xdr:to>
      <xdr:col>80</xdr:col>
      <xdr:colOff>123734</xdr:colOff>
      <xdr:row>453</xdr:row>
      <xdr:rowOff>133350</xdr:rowOff>
    </xdr:to>
    <xdr:sp macro="" textlink="">
      <xdr:nvSpPr>
        <xdr:cNvPr id="860105" name="450"/>
        <xdr:cNvSpPr/>
      </xdr:nvSpPr>
      <xdr:spPr>
        <a:xfrm>
          <a:off x="18523404" y="69265800"/>
          <a:ext cx="87893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102054</xdr:colOff>
      <xdr:row>453</xdr:row>
      <xdr:rowOff>76200</xdr:rowOff>
    </xdr:from>
    <xdr:to>
      <xdr:col>80</xdr:col>
      <xdr:colOff>122464</xdr:colOff>
      <xdr:row>453</xdr:row>
      <xdr:rowOff>76200</xdr:rowOff>
    </xdr:to>
    <xdr:cxnSp macro="">
      <xdr:nvCxnSpPr>
        <xdr:cNvPr id="860106" name="직선 화살표 연결선 860105"/>
        <xdr:cNvCxnSpPr/>
      </xdr:nvCxnSpPr>
      <xdr:spPr>
        <a:xfrm>
          <a:off x="18523404" y="69322950"/>
          <a:ext cx="8776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20411</xdr:colOff>
      <xdr:row>452</xdr:row>
      <xdr:rowOff>19050</xdr:rowOff>
    </xdr:from>
    <xdr:to>
      <xdr:col>75</xdr:col>
      <xdr:colOff>123734</xdr:colOff>
      <xdr:row>452</xdr:row>
      <xdr:rowOff>133350</xdr:rowOff>
    </xdr:to>
    <xdr:sp macro="" textlink="">
      <xdr:nvSpPr>
        <xdr:cNvPr id="860107" name="449"/>
        <xdr:cNvSpPr/>
      </xdr:nvSpPr>
      <xdr:spPr>
        <a:xfrm>
          <a:off x="17584511" y="69113400"/>
          <a:ext cx="11034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20411</xdr:colOff>
      <xdr:row>452</xdr:row>
      <xdr:rowOff>76200</xdr:rowOff>
    </xdr:from>
    <xdr:to>
      <xdr:col>75</xdr:col>
      <xdr:colOff>122464</xdr:colOff>
      <xdr:row>452</xdr:row>
      <xdr:rowOff>76200</xdr:rowOff>
    </xdr:to>
    <xdr:cxnSp macro="">
      <xdr:nvCxnSpPr>
        <xdr:cNvPr id="860108" name="직선 화살표 연결선 860107"/>
        <xdr:cNvCxnSpPr/>
      </xdr:nvCxnSpPr>
      <xdr:spPr>
        <a:xfrm>
          <a:off x="17584511" y="69170550"/>
          <a:ext cx="11021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61232</xdr:colOff>
      <xdr:row>451</xdr:row>
      <xdr:rowOff>19050</xdr:rowOff>
    </xdr:from>
    <xdr:to>
      <xdr:col>67</xdr:col>
      <xdr:colOff>123734</xdr:colOff>
      <xdr:row>451</xdr:row>
      <xdr:rowOff>133350</xdr:rowOff>
    </xdr:to>
    <xdr:sp macro="" textlink="">
      <xdr:nvSpPr>
        <xdr:cNvPr id="860109" name="448"/>
        <xdr:cNvSpPr/>
      </xdr:nvSpPr>
      <xdr:spPr>
        <a:xfrm>
          <a:off x="16910957" y="68961000"/>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61232</xdr:colOff>
      <xdr:row>451</xdr:row>
      <xdr:rowOff>76200</xdr:rowOff>
    </xdr:from>
    <xdr:to>
      <xdr:col>67</xdr:col>
      <xdr:colOff>122464</xdr:colOff>
      <xdr:row>451</xdr:row>
      <xdr:rowOff>76200</xdr:rowOff>
    </xdr:to>
    <xdr:cxnSp macro="">
      <xdr:nvCxnSpPr>
        <xdr:cNvPr id="860110" name="직선 화살표 연결선 860109"/>
        <xdr:cNvCxnSpPr/>
      </xdr:nvCxnSpPr>
      <xdr:spPr>
        <a:xfrm>
          <a:off x="16910957" y="69018150"/>
          <a:ext cx="63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61232</xdr:colOff>
      <xdr:row>450</xdr:row>
      <xdr:rowOff>19050</xdr:rowOff>
    </xdr:from>
    <xdr:to>
      <xdr:col>75</xdr:col>
      <xdr:colOff>123734</xdr:colOff>
      <xdr:row>450</xdr:row>
      <xdr:rowOff>133350</xdr:rowOff>
    </xdr:to>
    <xdr:sp macro="" textlink="">
      <xdr:nvSpPr>
        <xdr:cNvPr id="860111" name="447"/>
        <xdr:cNvSpPr/>
      </xdr:nvSpPr>
      <xdr:spPr>
        <a:xfrm>
          <a:off x="16910957" y="68808600"/>
          <a:ext cx="1777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61232</xdr:colOff>
      <xdr:row>450</xdr:row>
      <xdr:rowOff>76200</xdr:rowOff>
    </xdr:from>
    <xdr:to>
      <xdr:col>75</xdr:col>
      <xdr:colOff>122464</xdr:colOff>
      <xdr:row>450</xdr:row>
      <xdr:rowOff>76200</xdr:rowOff>
    </xdr:to>
    <xdr:cxnSp macro="">
      <xdr:nvCxnSpPr>
        <xdr:cNvPr id="860112" name="직선 화살표 연결선 860111"/>
        <xdr:cNvCxnSpPr/>
      </xdr:nvCxnSpPr>
      <xdr:spPr>
        <a:xfrm>
          <a:off x="16910957" y="68865750"/>
          <a:ext cx="1775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20411</xdr:colOff>
      <xdr:row>449</xdr:row>
      <xdr:rowOff>19050</xdr:rowOff>
    </xdr:from>
    <xdr:to>
      <xdr:col>63</xdr:col>
      <xdr:colOff>62502</xdr:colOff>
      <xdr:row>449</xdr:row>
      <xdr:rowOff>133350</xdr:rowOff>
    </xdr:to>
    <xdr:sp macro="" textlink="">
      <xdr:nvSpPr>
        <xdr:cNvPr id="860113" name="446"/>
        <xdr:cNvSpPr/>
      </xdr:nvSpPr>
      <xdr:spPr>
        <a:xfrm>
          <a:off x="16298636" y="68656200"/>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20411</xdr:colOff>
      <xdr:row>449</xdr:row>
      <xdr:rowOff>76200</xdr:rowOff>
    </xdr:from>
    <xdr:to>
      <xdr:col>63</xdr:col>
      <xdr:colOff>61232</xdr:colOff>
      <xdr:row>449</xdr:row>
      <xdr:rowOff>76200</xdr:rowOff>
    </xdr:to>
    <xdr:cxnSp macro="">
      <xdr:nvCxnSpPr>
        <xdr:cNvPr id="860114" name="직선 화살표 연결선 860113"/>
        <xdr:cNvCxnSpPr/>
      </xdr:nvCxnSpPr>
      <xdr:spPr>
        <a:xfrm>
          <a:off x="16298636" y="68713350"/>
          <a:ext cx="6123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102054</xdr:colOff>
      <xdr:row>448</xdr:row>
      <xdr:rowOff>19050</xdr:rowOff>
    </xdr:from>
    <xdr:to>
      <xdr:col>58</xdr:col>
      <xdr:colOff>123734</xdr:colOff>
      <xdr:row>448</xdr:row>
      <xdr:rowOff>133350</xdr:rowOff>
    </xdr:to>
    <xdr:sp macro="" textlink="">
      <xdr:nvSpPr>
        <xdr:cNvPr id="860115" name="445"/>
        <xdr:cNvSpPr/>
      </xdr:nvSpPr>
      <xdr:spPr>
        <a:xfrm>
          <a:off x="15665904" y="68503800"/>
          <a:ext cx="5931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102054</xdr:colOff>
      <xdr:row>448</xdr:row>
      <xdr:rowOff>76200</xdr:rowOff>
    </xdr:from>
    <xdr:to>
      <xdr:col>58</xdr:col>
      <xdr:colOff>122464</xdr:colOff>
      <xdr:row>448</xdr:row>
      <xdr:rowOff>76200</xdr:rowOff>
    </xdr:to>
    <xdr:cxnSp macro="">
      <xdr:nvCxnSpPr>
        <xdr:cNvPr id="860116" name="직선 화살표 연결선 860115"/>
        <xdr:cNvCxnSpPr/>
      </xdr:nvCxnSpPr>
      <xdr:spPr>
        <a:xfrm>
          <a:off x="15665904" y="68560950"/>
          <a:ext cx="5919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102054</xdr:colOff>
      <xdr:row>447</xdr:row>
      <xdr:rowOff>19050</xdr:rowOff>
    </xdr:from>
    <xdr:to>
      <xdr:col>63</xdr:col>
      <xdr:colOff>62502</xdr:colOff>
      <xdr:row>447</xdr:row>
      <xdr:rowOff>133350</xdr:rowOff>
    </xdr:to>
    <xdr:sp macro="" textlink="">
      <xdr:nvSpPr>
        <xdr:cNvPr id="860117" name="444"/>
        <xdr:cNvSpPr/>
      </xdr:nvSpPr>
      <xdr:spPr>
        <a:xfrm>
          <a:off x="15665904" y="68351400"/>
          <a:ext cx="1246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102054</xdr:colOff>
      <xdr:row>447</xdr:row>
      <xdr:rowOff>76200</xdr:rowOff>
    </xdr:from>
    <xdr:to>
      <xdr:col>63</xdr:col>
      <xdr:colOff>61232</xdr:colOff>
      <xdr:row>447</xdr:row>
      <xdr:rowOff>76200</xdr:rowOff>
    </xdr:to>
    <xdr:cxnSp macro="">
      <xdr:nvCxnSpPr>
        <xdr:cNvPr id="860118" name="직선 화살표 연결선 860117"/>
        <xdr:cNvCxnSpPr/>
      </xdr:nvCxnSpPr>
      <xdr:spPr>
        <a:xfrm>
          <a:off x="15665904" y="68408550"/>
          <a:ext cx="1245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102054</xdr:colOff>
      <xdr:row>446</xdr:row>
      <xdr:rowOff>19050</xdr:rowOff>
    </xdr:from>
    <xdr:to>
      <xdr:col>83</xdr:col>
      <xdr:colOff>42090</xdr:colOff>
      <xdr:row>446</xdr:row>
      <xdr:rowOff>133350</xdr:rowOff>
    </xdr:to>
    <xdr:sp macro="" textlink="">
      <xdr:nvSpPr>
        <xdr:cNvPr id="860119" name="443"/>
        <xdr:cNvSpPr/>
      </xdr:nvSpPr>
      <xdr:spPr>
        <a:xfrm>
          <a:off x="15665904" y="68199000"/>
          <a:ext cx="40834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102054</xdr:colOff>
      <xdr:row>446</xdr:row>
      <xdr:rowOff>76200</xdr:rowOff>
    </xdr:from>
    <xdr:to>
      <xdr:col>83</xdr:col>
      <xdr:colOff>40821</xdr:colOff>
      <xdr:row>446</xdr:row>
      <xdr:rowOff>76200</xdr:rowOff>
    </xdr:to>
    <xdr:cxnSp macro="">
      <xdr:nvCxnSpPr>
        <xdr:cNvPr id="860120" name="직선 화살표 연결선 860119"/>
        <xdr:cNvCxnSpPr/>
      </xdr:nvCxnSpPr>
      <xdr:spPr>
        <a:xfrm>
          <a:off x="15665904" y="68256150"/>
          <a:ext cx="40821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20411</xdr:colOff>
      <xdr:row>445</xdr:row>
      <xdr:rowOff>19050</xdr:rowOff>
    </xdr:from>
    <xdr:to>
      <xdr:col>62</xdr:col>
      <xdr:colOff>123734</xdr:colOff>
      <xdr:row>445</xdr:row>
      <xdr:rowOff>133350</xdr:rowOff>
    </xdr:to>
    <xdr:sp macro="" textlink="">
      <xdr:nvSpPr>
        <xdr:cNvPr id="860121" name="442"/>
        <xdr:cNvSpPr/>
      </xdr:nvSpPr>
      <xdr:spPr>
        <a:xfrm>
          <a:off x="16727261" y="680466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20411</xdr:colOff>
      <xdr:row>445</xdr:row>
      <xdr:rowOff>76200</xdr:rowOff>
    </xdr:from>
    <xdr:to>
      <xdr:col>62</xdr:col>
      <xdr:colOff>122464</xdr:colOff>
      <xdr:row>445</xdr:row>
      <xdr:rowOff>76200</xdr:rowOff>
    </xdr:to>
    <xdr:cxnSp macro="">
      <xdr:nvCxnSpPr>
        <xdr:cNvPr id="860122" name="직선 화살표 연결선 860121"/>
        <xdr:cNvCxnSpPr/>
      </xdr:nvCxnSpPr>
      <xdr:spPr>
        <a:xfrm>
          <a:off x="16727261" y="681037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444</xdr:row>
      <xdr:rowOff>19050</xdr:rowOff>
    </xdr:from>
    <xdr:to>
      <xdr:col>61</xdr:col>
      <xdr:colOff>123734</xdr:colOff>
      <xdr:row>444</xdr:row>
      <xdr:rowOff>133350</xdr:rowOff>
    </xdr:to>
    <xdr:sp macro="" textlink="">
      <xdr:nvSpPr>
        <xdr:cNvPr id="860123" name="441"/>
        <xdr:cNvSpPr/>
      </xdr:nvSpPr>
      <xdr:spPr>
        <a:xfrm>
          <a:off x="16584386" y="678942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444</xdr:row>
      <xdr:rowOff>76200</xdr:rowOff>
    </xdr:from>
    <xdr:to>
      <xdr:col>61</xdr:col>
      <xdr:colOff>122464</xdr:colOff>
      <xdr:row>444</xdr:row>
      <xdr:rowOff>76200</xdr:rowOff>
    </xdr:to>
    <xdr:cxnSp macro="">
      <xdr:nvCxnSpPr>
        <xdr:cNvPr id="860124" name="직선 화살표 연결선 860123"/>
        <xdr:cNvCxnSpPr/>
      </xdr:nvCxnSpPr>
      <xdr:spPr>
        <a:xfrm>
          <a:off x="16584386" y="679513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443</xdr:row>
      <xdr:rowOff>19050</xdr:rowOff>
    </xdr:from>
    <xdr:to>
      <xdr:col>60</xdr:col>
      <xdr:colOff>123734</xdr:colOff>
      <xdr:row>443</xdr:row>
      <xdr:rowOff>133350</xdr:rowOff>
    </xdr:to>
    <xdr:sp macro="" textlink="">
      <xdr:nvSpPr>
        <xdr:cNvPr id="860125" name="440"/>
        <xdr:cNvSpPr/>
      </xdr:nvSpPr>
      <xdr:spPr>
        <a:xfrm>
          <a:off x="16441511" y="677418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443</xdr:row>
      <xdr:rowOff>76200</xdr:rowOff>
    </xdr:from>
    <xdr:to>
      <xdr:col>60</xdr:col>
      <xdr:colOff>122464</xdr:colOff>
      <xdr:row>443</xdr:row>
      <xdr:rowOff>76200</xdr:rowOff>
    </xdr:to>
    <xdr:cxnSp macro="">
      <xdr:nvCxnSpPr>
        <xdr:cNvPr id="860126" name="직선 화살표 연결선 860125"/>
        <xdr:cNvCxnSpPr/>
      </xdr:nvCxnSpPr>
      <xdr:spPr>
        <a:xfrm>
          <a:off x="16441511" y="677989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442</xdr:row>
      <xdr:rowOff>19050</xdr:rowOff>
    </xdr:from>
    <xdr:to>
      <xdr:col>62</xdr:col>
      <xdr:colOff>123734</xdr:colOff>
      <xdr:row>442</xdr:row>
      <xdr:rowOff>133350</xdr:rowOff>
    </xdr:to>
    <xdr:sp macro="" textlink="">
      <xdr:nvSpPr>
        <xdr:cNvPr id="860127" name="439"/>
        <xdr:cNvSpPr/>
      </xdr:nvSpPr>
      <xdr:spPr>
        <a:xfrm>
          <a:off x="16441511" y="67589400"/>
          <a:ext cx="3890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442</xdr:row>
      <xdr:rowOff>76200</xdr:rowOff>
    </xdr:from>
    <xdr:to>
      <xdr:col>62</xdr:col>
      <xdr:colOff>122464</xdr:colOff>
      <xdr:row>442</xdr:row>
      <xdr:rowOff>76200</xdr:rowOff>
    </xdr:to>
    <xdr:cxnSp macro="">
      <xdr:nvCxnSpPr>
        <xdr:cNvPr id="860128" name="직선 화살표 연결선 860127"/>
        <xdr:cNvCxnSpPr/>
      </xdr:nvCxnSpPr>
      <xdr:spPr>
        <a:xfrm>
          <a:off x="16441511" y="67646550"/>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20411</xdr:colOff>
      <xdr:row>441</xdr:row>
      <xdr:rowOff>19050</xdr:rowOff>
    </xdr:from>
    <xdr:to>
      <xdr:col>56</xdr:col>
      <xdr:colOff>103324</xdr:colOff>
      <xdr:row>441</xdr:row>
      <xdr:rowOff>133350</xdr:rowOff>
    </xdr:to>
    <xdr:sp macro="" textlink="">
      <xdr:nvSpPr>
        <xdr:cNvPr id="860129" name="438"/>
        <xdr:cNvSpPr/>
      </xdr:nvSpPr>
      <xdr:spPr>
        <a:xfrm>
          <a:off x="15870011" y="67437000"/>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20411</xdr:colOff>
      <xdr:row>441</xdr:row>
      <xdr:rowOff>76200</xdr:rowOff>
    </xdr:from>
    <xdr:to>
      <xdr:col>56</xdr:col>
      <xdr:colOff>102054</xdr:colOff>
      <xdr:row>441</xdr:row>
      <xdr:rowOff>76200</xdr:rowOff>
    </xdr:to>
    <xdr:cxnSp macro="">
      <xdr:nvCxnSpPr>
        <xdr:cNvPr id="860130" name="직선 화살표 연결선 860129"/>
        <xdr:cNvCxnSpPr/>
      </xdr:nvCxnSpPr>
      <xdr:spPr>
        <a:xfrm>
          <a:off x="15870011" y="67494150"/>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20411</xdr:colOff>
      <xdr:row>440</xdr:row>
      <xdr:rowOff>19050</xdr:rowOff>
    </xdr:from>
    <xdr:to>
      <xdr:col>56</xdr:col>
      <xdr:colOff>103324</xdr:colOff>
      <xdr:row>440</xdr:row>
      <xdr:rowOff>133350</xdr:rowOff>
    </xdr:to>
    <xdr:sp macro="" textlink="">
      <xdr:nvSpPr>
        <xdr:cNvPr id="860131" name="437"/>
        <xdr:cNvSpPr/>
      </xdr:nvSpPr>
      <xdr:spPr>
        <a:xfrm>
          <a:off x="15727136" y="67284600"/>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20411</xdr:colOff>
      <xdr:row>440</xdr:row>
      <xdr:rowOff>76200</xdr:rowOff>
    </xdr:from>
    <xdr:to>
      <xdr:col>56</xdr:col>
      <xdr:colOff>102054</xdr:colOff>
      <xdr:row>440</xdr:row>
      <xdr:rowOff>76200</xdr:rowOff>
    </xdr:to>
    <xdr:cxnSp macro="">
      <xdr:nvCxnSpPr>
        <xdr:cNvPr id="860132" name="직선 화살표 연결선 860131"/>
        <xdr:cNvCxnSpPr/>
      </xdr:nvCxnSpPr>
      <xdr:spPr>
        <a:xfrm>
          <a:off x="15727136" y="67341750"/>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20411</xdr:colOff>
      <xdr:row>439</xdr:row>
      <xdr:rowOff>19050</xdr:rowOff>
    </xdr:from>
    <xdr:to>
      <xdr:col>55</xdr:col>
      <xdr:colOff>123734</xdr:colOff>
      <xdr:row>439</xdr:row>
      <xdr:rowOff>133350</xdr:rowOff>
    </xdr:to>
    <xdr:sp macro="" textlink="">
      <xdr:nvSpPr>
        <xdr:cNvPr id="860133" name="436"/>
        <xdr:cNvSpPr/>
      </xdr:nvSpPr>
      <xdr:spPr>
        <a:xfrm>
          <a:off x="15441386" y="67132200"/>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20411</xdr:colOff>
      <xdr:row>439</xdr:row>
      <xdr:rowOff>76200</xdr:rowOff>
    </xdr:from>
    <xdr:to>
      <xdr:col>55</xdr:col>
      <xdr:colOff>122464</xdr:colOff>
      <xdr:row>439</xdr:row>
      <xdr:rowOff>76200</xdr:rowOff>
    </xdr:to>
    <xdr:cxnSp macro="">
      <xdr:nvCxnSpPr>
        <xdr:cNvPr id="860134" name="직선 화살표 연결선 860133"/>
        <xdr:cNvCxnSpPr/>
      </xdr:nvCxnSpPr>
      <xdr:spPr>
        <a:xfrm>
          <a:off x="15441386" y="67189350"/>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20411</xdr:colOff>
      <xdr:row>438</xdr:row>
      <xdr:rowOff>19050</xdr:rowOff>
    </xdr:from>
    <xdr:to>
      <xdr:col>56</xdr:col>
      <xdr:colOff>103324</xdr:colOff>
      <xdr:row>438</xdr:row>
      <xdr:rowOff>133350</xdr:rowOff>
    </xdr:to>
    <xdr:sp macro="" textlink="">
      <xdr:nvSpPr>
        <xdr:cNvPr id="860135" name="435"/>
        <xdr:cNvSpPr/>
      </xdr:nvSpPr>
      <xdr:spPr>
        <a:xfrm>
          <a:off x="15441386" y="66979800"/>
          <a:ext cx="51153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20411</xdr:colOff>
      <xdr:row>438</xdr:row>
      <xdr:rowOff>76200</xdr:rowOff>
    </xdr:from>
    <xdr:to>
      <xdr:col>56</xdr:col>
      <xdr:colOff>102054</xdr:colOff>
      <xdr:row>438</xdr:row>
      <xdr:rowOff>76200</xdr:rowOff>
    </xdr:to>
    <xdr:cxnSp macro="">
      <xdr:nvCxnSpPr>
        <xdr:cNvPr id="860136" name="직선 화살표 연결선 860135"/>
        <xdr:cNvCxnSpPr/>
      </xdr:nvCxnSpPr>
      <xdr:spPr>
        <a:xfrm>
          <a:off x="15441386" y="67036950"/>
          <a:ext cx="51026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20411</xdr:colOff>
      <xdr:row>437</xdr:row>
      <xdr:rowOff>19050</xdr:rowOff>
    </xdr:from>
    <xdr:to>
      <xdr:col>62</xdr:col>
      <xdr:colOff>123734</xdr:colOff>
      <xdr:row>437</xdr:row>
      <xdr:rowOff>133350</xdr:rowOff>
    </xdr:to>
    <xdr:sp macro="" textlink="">
      <xdr:nvSpPr>
        <xdr:cNvPr id="860137" name="434"/>
        <xdr:cNvSpPr/>
      </xdr:nvSpPr>
      <xdr:spPr>
        <a:xfrm>
          <a:off x="15441386" y="66827400"/>
          <a:ext cx="13891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20411</xdr:colOff>
      <xdr:row>437</xdr:row>
      <xdr:rowOff>76200</xdr:rowOff>
    </xdr:from>
    <xdr:to>
      <xdr:col>62</xdr:col>
      <xdr:colOff>122464</xdr:colOff>
      <xdr:row>437</xdr:row>
      <xdr:rowOff>76200</xdr:rowOff>
    </xdr:to>
    <xdr:cxnSp macro="">
      <xdr:nvCxnSpPr>
        <xdr:cNvPr id="860138" name="직선 화살표 연결선 860137"/>
        <xdr:cNvCxnSpPr/>
      </xdr:nvCxnSpPr>
      <xdr:spPr>
        <a:xfrm>
          <a:off x="15441386" y="66884550"/>
          <a:ext cx="1387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20411</xdr:colOff>
      <xdr:row>436</xdr:row>
      <xdr:rowOff>19050</xdr:rowOff>
    </xdr:from>
    <xdr:to>
      <xdr:col>66</xdr:col>
      <xdr:colOff>123734</xdr:colOff>
      <xdr:row>436</xdr:row>
      <xdr:rowOff>133350</xdr:rowOff>
    </xdr:to>
    <xdr:sp macro="" textlink="">
      <xdr:nvSpPr>
        <xdr:cNvPr id="860139" name="433"/>
        <xdr:cNvSpPr/>
      </xdr:nvSpPr>
      <xdr:spPr>
        <a:xfrm>
          <a:off x="15870011" y="66675000"/>
          <a:ext cx="1532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20411</xdr:colOff>
      <xdr:row>436</xdr:row>
      <xdr:rowOff>76200</xdr:rowOff>
    </xdr:from>
    <xdr:to>
      <xdr:col>66</xdr:col>
      <xdr:colOff>122464</xdr:colOff>
      <xdr:row>436</xdr:row>
      <xdr:rowOff>76200</xdr:rowOff>
    </xdr:to>
    <xdr:cxnSp macro="">
      <xdr:nvCxnSpPr>
        <xdr:cNvPr id="860140" name="직선 화살표 연결선 860139"/>
        <xdr:cNvCxnSpPr/>
      </xdr:nvCxnSpPr>
      <xdr:spPr>
        <a:xfrm>
          <a:off x="15870011" y="66732150"/>
          <a:ext cx="1530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20411</xdr:colOff>
      <xdr:row>435</xdr:row>
      <xdr:rowOff>19050</xdr:rowOff>
    </xdr:from>
    <xdr:to>
      <xdr:col>65</xdr:col>
      <xdr:colOff>123734</xdr:colOff>
      <xdr:row>435</xdr:row>
      <xdr:rowOff>133350</xdr:rowOff>
    </xdr:to>
    <xdr:sp macro="" textlink="">
      <xdr:nvSpPr>
        <xdr:cNvPr id="860141" name="432"/>
        <xdr:cNvSpPr/>
      </xdr:nvSpPr>
      <xdr:spPr>
        <a:xfrm>
          <a:off x="15584261" y="66522600"/>
          <a:ext cx="1674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20411</xdr:colOff>
      <xdr:row>435</xdr:row>
      <xdr:rowOff>76200</xdr:rowOff>
    </xdr:from>
    <xdr:to>
      <xdr:col>65</xdr:col>
      <xdr:colOff>122464</xdr:colOff>
      <xdr:row>435</xdr:row>
      <xdr:rowOff>76200</xdr:rowOff>
    </xdr:to>
    <xdr:cxnSp macro="">
      <xdr:nvCxnSpPr>
        <xdr:cNvPr id="860142" name="직선 화살표 연결선 860141"/>
        <xdr:cNvCxnSpPr/>
      </xdr:nvCxnSpPr>
      <xdr:spPr>
        <a:xfrm>
          <a:off x="15584261" y="66579750"/>
          <a:ext cx="16736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81643</xdr:colOff>
      <xdr:row>434</xdr:row>
      <xdr:rowOff>19050</xdr:rowOff>
    </xdr:from>
    <xdr:to>
      <xdr:col>53</xdr:col>
      <xdr:colOff>123734</xdr:colOff>
      <xdr:row>434</xdr:row>
      <xdr:rowOff>133350</xdr:rowOff>
    </xdr:to>
    <xdr:sp macro="" textlink="">
      <xdr:nvSpPr>
        <xdr:cNvPr id="860143" name="431"/>
        <xdr:cNvSpPr/>
      </xdr:nvSpPr>
      <xdr:spPr>
        <a:xfrm>
          <a:off x="15359743" y="66370200"/>
          <a:ext cx="184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81643</xdr:colOff>
      <xdr:row>434</xdr:row>
      <xdr:rowOff>76200</xdr:rowOff>
    </xdr:from>
    <xdr:to>
      <xdr:col>53</xdr:col>
      <xdr:colOff>122464</xdr:colOff>
      <xdr:row>434</xdr:row>
      <xdr:rowOff>76200</xdr:rowOff>
    </xdr:to>
    <xdr:cxnSp macro="">
      <xdr:nvCxnSpPr>
        <xdr:cNvPr id="860144" name="직선 화살표 연결선 860143"/>
        <xdr:cNvCxnSpPr/>
      </xdr:nvCxnSpPr>
      <xdr:spPr>
        <a:xfrm>
          <a:off x="15359743" y="66427350"/>
          <a:ext cx="1836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81643</xdr:colOff>
      <xdr:row>433</xdr:row>
      <xdr:rowOff>19050</xdr:rowOff>
    </xdr:from>
    <xdr:to>
      <xdr:col>66</xdr:col>
      <xdr:colOff>123734</xdr:colOff>
      <xdr:row>433</xdr:row>
      <xdr:rowOff>133350</xdr:rowOff>
    </xdr:to>
    <xdr:sp macro="" textlink="">
      <xdr:nvSpPr>
        <xdr:cNvPr id="860145" name="430"/>
        <xdr:cNvSpPr/>
      </xdr:nvSpPr>
      <xdr:spPr>
        <a:xfrm>
          <a:off x="15359743" y="66217800"/>
          <a:ext cx="2042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81643</xdr:colOff>
      <xdr:row>433</xdr:row>
      <xdr:rowOff>76200</xdr:rowOff>
    </xdr:from>
    <xdr:to>
      <xdr:col>66</xdr:col>
      <xdr:colOff>122464</xdr:colOff>
      <xdr:row>433</xdr:row>
      <xdr:rowOff>76200</xdr:rowOff>
    </xdr:to>
    <xdr:cxnSp macro="">
      <xdr:nvCxnSpPr>
        <xdr:cNvPr id="860146" name="직선 화살표 연결선 860145"/>
        <xdr:cNvCxnSpPr/>
      </xdr:nvCxnSpPr>
      <xdr:spPr>
        <a:xfrm>
          <a:off x="15359743" y="66274950"/>
          <a:ext cx="204107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81643</xdr:colOff>
      <xdr:row>432</xdr:row>
      <xdr:rowOff>19050</xdr:rowOff>
    </xdr:from>
    <xdr:to>
      <xdr:col>66</xdr:col>
      <xdr:colOff>123734</xdr:colOff>
      <xdr:row>432</xdr:row>
      <xdr:rowOff>133350</xdr:rowOff>
    </xdr:to>
    <xdr:sp macro="" textlink="">
      <xdr:nvSpPr>
        <xdr:cNvPr id="860147" name="429"/>
        <xdr:cNvSpPr/>
      </xdr:nvSpPr>
      <xdr:spPr>
        <a:xfrm>
          <a:off x="15359743" y="66065400"/>
          <a:ext cx="2042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81643</xdr:colOff>
      <xdr:row>432</xdr:row>
      <xdr:rowOff>76200</xdr:rowOff>
    </xdr:from>
    <xdr:to>
      <xdr:col>66</xdr:col>
      <xdr:colOff>122464</xdr:colOff>
      <xdr:row>432</xdr:row>
      <xdr:rowOff>76200</xdr:rowOff>
    </xdr:to>
    <xdr:cxnSp macro="">
      <xdr:nvCxnSpPr>
        <xdr:cNvPr id="860148" name="직선 화살표 연결선 860147"/>
        <xdr:cNvCxnSpPr/>
      </xdr:nvCxnSpPr>
      <xdr:spPr>
        <a:xfrm>
          <a:off x="15359743" y="66122550"/>
          <a:ext cx="204107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20411</xdr:colOff>
      <xdr:row>431</xdr:row>
      <xdr:rowOff>19050</xdr:rowOff>
    </xdr:from>
    <xdr:to>
      <xdr:col>65</xdr:col>
      <xdr:colOff>123734</xdr:colOff>
      <xdr:row>431</xdr:row>
      <xdr:rowOff>133350</xdr:rowOff>
    </xdr:to>
    <xdr:sp macro="" textlink="">
      <xdr:nvSpPr>
        <xdr:cNvPr id="860149" name="428"/>
        <xdr:cNvSpPr/>
      </xdr:nvSpPr>
      <xdr:spPr>
        <a:xfrm>
          <a:off x="17155886" y="659130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20411</xdr:colOff>
      <xdr:row>431</xdr:row>
      <xdr:rowOff>76200</xdr:rowOff>
    </xdr:from>
    <xdr:to>
      <xdr:col>65</xdr:col>
      <xdr:colOff>122464</xdr:colOff>
      <xdr:row>431</xdr:row>
      <xdr:rowOff>76200</xdr:rowOff>
    </xdr:to>
    <xdr:cxnSp macro="">
      <xdr:nvCxnSpPr>
        <xdr:cNvPr id="860150" name="직선 화살표 연결선 860149"/>
        <xdr:cNvCxnSpPr/>
      </xdr:nvCxnSpPr>
      <xdr:spPr>
        <a:xfrm>
          <a:off x="17155886" y="659701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20411</xdr:colOff>
      <xdr:row>430</xdr:row>
      <xdr:rowOff>19050</xdr:rowOff>
    </xdr:from>
    <xdr:to>
      <xdr:col>63</xdr:col>
      <xdr:colOff>103324</xdr:colOff>
      <xdr:row>430</xdr:row>
      <xdr:rowOff>133350</xdr:rowOff>
    </xdr:to>
    <xdr:sp macro="" textlink="">
      <xdr:nvSpPr>
        <xdr:cNvPr id="860151" name="427"/>
        <xdr:cNvSpPr/>
      </xdr:nvSpPr>
      <xdr:spPr>
        <a:xfrm>
          <a:off x="16870136" y="65760600"/>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20411</xdr:colOff>
      <xdr:row>430</xdr:row>
      <xdr:rowOff>76200</xdr:rowOff>
    </xdr:from>
    <xdr:to>
      <xdr:col>63</xdr:col>
      <xdr:colOff>102054</xdr:colOff>
      <xdr:row>430</xdr:row>
      <xdr:rowOff>76200</xdr:rowOff>
    </xdr:to>
    <xdr:cxnSp macro="">
      <xdr:nvCxnSpPr>
        <xdr:cNvPr id="860152" name="직선 화살표 연결선 860151"/>
        <xdr:cNvCxnSpPr/>
      </xdr:nvCxnSpPr>
      <xdr:spPr>
        <a:xfrm>
          <a:off x="16870136" y="65817750"/>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20411</xdr:colOff>
      <xdr:row>429</xdr:row>
      <xdr:rowOff>19050</xdr:rowOff>
    </xdr:from>
    <xdr:to>
      <xdr:col>65</xdr:col>
      <xdr:colOff>123734</xdr:colOff>
      <xdr:row>429</xdr:row>
      <xdr:rowOff>133350</xdr:rowOff>
    </xdr:to>
    <xdr:sp macro="" textlink="">
      <xdr:nvSpPr>
        <xdr:cNvPr id="860153" name="426"/>
        <xdr:cNvSpPr/>
      </xdr:nvSpPr>
      <xdr:spPr>
        <a:xfrm>
          <a:off x="16870136" y="65608200"/>
          <a:ext cx="3890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20411</xdr:colOff>
      <xdr:row>429</xdr:row>
      <xdr:rowOff>76200</xdr:rowOff>
    </xdr:from>
    <xdr:to>
      <xdr:col>65</xdr:col>
      <xdr:colOff>122464</xdr:colOff>
      <xdr:row>429</xdr:row>
      <xdr:rowOff>76200</xdr:rowOff>
    </xdr:to>
    <xdr:cxnSp macro="">
      <xdr:nvCxnSpPr>
        <xdr:cNvPr id="860154" name="직선 화살표 연결선 860153"/>
        <xdr:cNvCxnSpPr/>
      </xdr:nvCxnSpPr>
      <xdr:spPr>
        <a:xfrm>
          <a:off x="16870136" y="65665350"/>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428</xdr:row>
      <xdr:rowOff>19050</xdr:rowOff>
    </xdr:from>
    <xdr:to>
      <xdr:col>60</xdr:col>
      <xdr:colOff>123734</xdr:colOff>
      <xdr:row>428</xdr:row>
      <xdr:rowOff>133350</xdr:rowOff>
    </xdr:to>
    <xdr:sp macro="" textlink="">
      <xdr:nvSpPr>
        <xdr:cNvPr id="860155" name="425"/>
        <xdr:cNvSpPr/>
      </xdr:nvSpPr>
      <xdr:spPr>
        <a:xfrm>
          <a:off x="16441511" y="654558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428</xdr:row>
      <xdr:rowOff>76200</xdr:rowOff>
    </xdr:from>
    <xdr:to>
      <xdr:col>60</xdr:col>
      <xdr:colOff>122464</xdr:colOff>
      <xdr:row>428</xdr:row>
      <xdr:rowOff>76200</xdr:rowOff>
    </xdr:to>
    <xdr:cxnSp macro="">
      <xdr:nvCxnSpPr>
        <xdr:cNvPr id="860156" name="직선 화살표 연결선 860155"/>
        <xdr:cNvCxnSpPr/>
      </xdr:nvCxnSpPr>
      <xdr:spPr>
        <a:xfrm>
          <a:off x="16441511" y="655129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20411</xdr:colOff>
      <xdr:row>427</xdr:row>
      <xdr:rowOff>19050</xdr:rowOff>
    </xdr:from>
    <xdr:to>
      <xdr:col>59</xdr:col>
      <xdr:colOff>123734</xdr:colOff>
      <xdr:row>427</xdr:row>
      <xdr:rowOff>133350</xdr:rowOff>
    </xdr:to>
    <xdr:sp macro="" textlink="">
      <xdr:nvSpPr>
        <xdr:cNvPr id="860157" name="424"/>
        <xdr:cNvSpPr/>
      </xdr:nvSpPr>
      <xdr:spPr>
        <a:xfrm>
          <a:off x="16298636" y="653034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20411</xdr:colOff>
      <xdr:row>427</xdr:row>
      <xdr:rowOff>76200</xdr:rowOff>
    </xdr:from>
    <xdr:to>
      <xdr:col>59</xdr:col>
      <xdr:colOff>122464</xdr:colOff>
      <xdr:row>427</xdr:row>
      <xdr:rowOff>76200</xdr:rowOff>
    </xdr:to>
    <xdr:cxnSp macro="">
      <xdr:nvCxnSpPr>
        <xdr:cNvPr id="860158" name="직선 화살표 연결선 860157"/>
        <xdr:cNvCxnSpPr/>
      </xdr:nvCxnSpPr>
      <xdr:spPr>
        <a:xfrm>
          <a:off x="16298636" y="653605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426</xdr:row>
      <xdr:rowOff>19050</xdr:rowOff>
    </xdr:from>
    <xdr:to>
      <xdr:col>58</xdr:col>
      <xdr:colOff>123734</xdr:colOff>
      <xdr:row>426</xdr:row>
      <xdr:rowOff>133350</xdr:rowOff>
    </xdr:to>
    <xdr:sp macro="" textlink="">
      <xdr:nvSpPr>
        <xdr:cNvPr id="860159" name="423"/>
        <xdr:cNvSpPr/>
      </xdr:nvSpPr>
      <xdr:spPr>
        <a:xfrm>
          <a:off x="16012886" y="65151000"/>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426</xdr:row>
      <xdr:rowOff>76200</xdr:rowOff>
    </xdr:from>
    <xdr:to>
      <xdr:col>58</xdr:col>
      <xdr:colOff>122464</xdr:colOff>
      <xdr:row>426</xdr:row>
      <xdr:rowOff>76200</xdr:rowOff>
    </xdr:to>
    <xdr:cxnSp macro="">
      <xdr:nvCxnSpPr>
        <xdr:cNvPr id="860160" name="직선 화살표 연결선 860159"/>
        <xdr:cNvCxnSpPr/>
      </xdr:nvCxnSpPr>
      <xdr:spPr>
        <a:xfrm>
          <a:off x="16012886" y="65208150"/>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425</xdr:row>
      <xdr:rowOff>19050</xdr:rowOff>
    </xdr:from>
    <xdr:to>
      <xdr:col>60</xdr:col>
      <xdr:colOff>123734</xdr:colOff>
      <xdr:row>425</xdr:row>
      <xdr:rowOff>133350</xdr:rowOff>
    </xdr:to>
    <xdr:sp macro="" textlink="">
      <xdr:nvSpPr>
        <xdr:cNvPr id="860161" name="422"/>
        <xdr:cNvSpPr/>
      </xdr:nvSpPr>
      <xdr:spPr>
        <a:xfrm>
          <a:off x="16012886" y="64998600"/>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425</xdr:row>
      <xdr:rowOff>76200</xdr:rowOff>
    </xdr:from>
    <xdr:to>
      <xdr:col>60</xdr:col>
      <xdr:colOff>122464</xdr:colOff>
      <xdr:row>425</xdr:row>
      <xdr:rowOff>76200</xdr:rowOff>
    </xdr:to>
    <xdr:cxnSp macro="">
      <xdr:nvCxnSpPr>
        <xdr:cNvPr id="860162" name="직선 화살표 연결선 860161"/>
        <xdr:cNvCxnSpPr/>
      </xdr:nvCxnSpPr>
      <xdr:spPr>
        <a:xfrm>
          <a:off x="16012886" y="65055750"/>
          <a:ext cx="5306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20411</xdr:colOff>
      <xdr:row>424</xdr:row>
      <xdr:rowOff>19050</xdr:rowOff>
    </xdr:from>
    <xdr:to>
      <xdr:col>56</xdr:col>
      <xdr:colOff>103324</xdr:colOff>
      <xdr:row>424</xdr:row>
      <xdr:rowOff>133350</xdr:rowOff>
    </xdr:to>
    <xdr:sp macro="" textlink="">
      <xdr:nvSpPr>
        <xdr:cNvPr id="860163" name="421"/>
        <xdr:cNvSpPr/>
      </xdr:nvSpPr>
      <xdr:spPr>
        <a:xfrm>
          <a:off x="15870011" y="64846200"/>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20411</xdr:colOff>
      <xdr:row>424</xdr:row>
      <xdr:rowOff>76200</xdr:rowOff>
    </xdr:from>
    <xdr:to>
      <xdr:col>56</xdr:col>
      <xdr:colOff>102054</xdr:colOff>
      <xdr:row>424</xdr:row>
      <xdr:rowOff>76200</xdr:rowOff>
    </xdr:to>
    <xdr:cxnSp macro="">
      <xdr:nvCxnSpPr>
        <xdr:cNvPr id="860164" name="직선 화살표 연결선 860163"/>
        <xdr:cNvCxnSpPr/>
      </xdr:nvCxnSpPr>
      <xdr:spPr>
        <a:xfrm>
          <a:off x="15870011" y="64903350"/>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20411</xdr:colOff>
      <xdr:row>423</xdr:row>
      <xdr:rowOff>19050</xdr:rowOff>
    </xdr:from>
    <xdr:to>
      <xdr:col>55</xdr:col>
      <xdr:colOff>123734</xdr:colOff>
      <xdr:row>423</xdr:row>
      <xdr:rowOff>133350</xdr:rowOff>
    </xdr:to>
    <xdr:sp macro="" textlink="">
      <xdr:nvSpPr>
        <xdr:cNvPr id="860165" name="420"/>
        <xdr:cNvSpPr/>
      </xdr:nvSpPr>
      <xdr:spPr>
        <a:xfrm>
          <a:off x="15727136" y="646938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20411</xdr:colOff>
      <xdr:row>423</xdr:row>
      <xdr:rowOff>76200</xdr:rowOff>
    </xdr:from>
    <xdr:to>
      <xdr:col>55</xdr:col>
      <xdr:colOff>122464</xdr:colOff>
      <xdr:row>423</xdr:row>
      <xdr:rowOff>76200</xdr:rowOff>
    </xdr:to>
    <xdr:cxnSp macro="">
      <xdr:nvCxnSpPr>
        <xdr:cNvPr id="860166" name="직선 화살표 연결선 860165"/>
        <xdr:cNvCxnSpPr/>
      </xdr:nvCxnSpPr>
      <xdr:spPr>
        <a:xfrm>
          <a:off x="15727136" y="647509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20411</xdr:colOff>
      <xdr:row>422</xdr:row>
      <xdr:rowOff>19050</xdr:rowOff>
    </xdr:from>
    <xdr:to>
      <xdr:col>56</xdr:col>
      <xdr:colOff>103324</xdr:colOff>
      <xdr:row>422</xdr:row>
      <xdr:rowOff>133350</xdr:rowOff>
    </xdr:to>
    <xdr:sp macro="" textlink="">
      <xdr:nvSpPr>
        <xdr:cNvPr id="860167" name="419"/>
        <xdr:cNvSpPr/>
      </xdr:nvSpPr>
      <xdr:spPr>
        <a:xfrm>
          <a:off x="15727136" y="64541400"/>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20411</xdr:colOff>
      <xdr:row>422</xdr:row>
      <xdr:rowOff>76200</xdr:rowOff>
    </xdr:from>
    <xdr:to>
      <xdr:col>56</xdr:col>
      <xdr:colOff>102054</xdr:colOff>
      <xdr:row>422</xdr:row>
      <xdr:rowOff>76200</xdr:rowOff>
    </xdr:to>
    <xdr:cxnSp macro="">
      <xdr:nvCxnSpPr>
        <xdr:cNvPr id="860168" name="직선 화살표 연결선 860167"/>
        <xdr:cNvCxnSpPr/>
      </xdr:nvCxnSpPr>
      <xdr:spPr>
        <a:xfrm>
          <a:off x="15727136" y="64598550"/>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20411</xdr:colOff>
      <xdr:row>421</xdr:row>
      <xdr:rowOff>19050</xdr:rowOff>
    </xdr:from>
    <xdr:to>
      <xdr:col>54</xdr:col>
      <xdr:colOff>123734</xdr:colOff>
      <xdr:row>421</xdr:row>
      <xdr:rowOff>133350</xdr:rowOff>
    </xdr:to>
    <xdr:sp macro="" textlink="">
      <xdr:nvSpPr>
        <xdr:cNvPr id="860169" name="418"/>
        <xdr:cNvSpPr/>
      </xdr:nvSpPr>
      <xdr:spPr>
        <a:xfrm>
          <a:off x="15584261" y="643890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20411</xdr:colOff>
      <xdr:row>421</xdr:row>
      <xdr:rowOff>76200</xdr:rowOff>
    </xdr:from>
    <xdr:to>
      <xdr:col>54</xdr:col>
      <xdr:colOff>122464</xdr:colOff>
      <xdr:row>421</xdr:row>
      <xdr:rowOff>76200</xdr:rowOff>
    </xdr:to>
    <xdr:cxnSp macro="">
      <xdr:nvCxnSpPr>
        <xdr:cNvPr id="860170" name="직선 화살표 연결선 860169"/>
        <xdr:cNvCxnSpPr/>
      </xdr:nvCxnSpPr>
      <xdr:spPr>
        <a:xfrm>
          <a:off x="15584261" y="644461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20411</xdr:colOff>
      <xdr:row>420</xdr:row>
      <xdr:rowOff>19050</xdr:rowOff>
    </xdr:from>
    <xdr:to>
      <xdr:col>53</xdr:col>
      <xdr:colOff>123734</xdr:colOff>
      <xdr:row>420</xdr:row>
      <xdr:rowOff>133350</xdr:rowOff>
    </xdr:to>
    <xdr:sp macro="" textlink="">
      <xdr:nvSpPr>
        <xdr:cNvPr id="860171" name="417"/>
        <xdr:cNvSpPr/>
      </xdr:nvSpPr>
      <xdr:spPr>
        <a:xfrm>
          <a:off x="15441386" y="642366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20411</xdr:colOff>
      <xdr:row>420</xdr:row>
      <xdr:rowOff>76200</xdr:rowOff>
    </xdr:from>
    <xdr:to>
      <xdr:col>53</xdr:col>
      <xdr:colOff>122464</xdr:colOff>
      <xdr:row>420</xdr:row>
      <xdr:rowOff>76200</xdr:rowOff>
    </xdr:to>
    <xdr:cxnSp macro="">
      <xdr:nvCxnSpPr>
        <xdr:cNvPr id="860172" name="직선 화살표 연결선 860171"/>
        <xdr:cNvCxnSpPr/>
      </xdr:nvCxnSpPr>
      <xdr:spPr>
        <a:xfrm>
          <a:off x="15441386" y="642937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20411</xdr:colOff>
      <xdr:row>419</xdr:row>
      <xdr:rowOff>19050</xdr:rowOff>
    </xdr:from>
    <xdr:to>
      <xdr:col>52</xdr:col>
      <xdr:colOff>123734</xdr:colOff>
      <xdr:row>419</xdr:row>
      <xdr:rowOff>133350</xdr:rowOff>
    </xdr:to>
    <xdr:sp macro="" textlink="">
      <xdr:nvSpPr>
        <xdr:cNvPr id="860173" name="416"/>
        <xdr:cNvSpPr/>
      </xdr:nvSpPr>
      <xdr:spPr>
        <a:xfrm>
          <a:off x="14727011" y="64084200"/>
          <a:ext cx="6748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20411</xdr:colOff>
      <xdr:row>419</xdr:row>
      <xdr:rowOff>76200</xdr:rowOff>
    </xdr:from>
    <xdr:to>
      <xdr:col>52</xdr:col>
      <xdr:colOff>122464</xdr:colOff>
      <xdr:row>419</xdr:row>
      <xdr:rowOff>76200</xdr:rowOff>
    </xdr:to>
    <xdr:cxnSp macro="">
      <xdr:nvCxnSpPr>
        <xdr:cNvPr id="860174" name="직선 화살표 연결선 860173"/>
        <xdr:cNvCxnSpPr/>
      </xdr:nvCxnSpPr>
      <xdr:spPr>
        <a:xfrm>
          <a:off x="14727011" y="64141350"/>
          <a:ext cx="6735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20411</xdr:colOff>
      <xdr:row>418</xdr:row>
      <xdr:rowOff>19050</xdr:rowOff>
    </xdr:from>
    <xdr:to>
      <xdr:col>54</xdr:col>
      <xdr:colOff>123734</xdr:colOff>
      <xdr:row>418</xdr:row>
      <xdr:rowOff>133350</xdr:rowOff>
    </xdr:to>
    <xdr:sp macro="" textlink="">
      <xdr:nvSpPr>
        <xdr:cNvPr id="860175" name="415"/>
        <xdr:cNvSpPr/>
      </xdr:nvSpPr>
      <xdr:spPr>
        <a:xfrm>
          <a:off x="14727011" y="63931800"/>
          <a:ext cx="9605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20411</xdr:colOff>
      <xdr:row>418</xdr:row>
      <xdr:rowOff>76200</xdr:rowOff>
    </xdr:from>
    <xdr:to>
      <xdr:col>54</xdr:col>
      <xdr:colOff>122464</xdr:colOff>
      <xdr:row>418</xdr:row>
      <xdr:rowOff>76200</xdr:rowOff>
    </xdr:to>
    <xdr:cxnSp macro="">
      <xdr:nvCxnSpPr>
        <xdr:cNvPr id="860176" name="직선 화살표 연결선 860175"/>
        <xdr:cNvCxnSpPr/>
      </xdr:nvCxnSpPr>
      <xdr:spPr>
        <a:xfrm>
          <a:off x="14727011" y="63988950"/>
          <a:ext cx="9593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20411</xdr:colOff>
      <xdr:row>417</xdr:row>
      <xdr:rowOff>19050</xdr:rowOff>
    </xdr:from>
    <xdr:to>
      <xdr:col>65</xdr:col>
      <xdr:colOff>123734</xdr:colOff>
      <xdr:row>417</xdr:row>
      <xdr:rowOff>133350</xdr:rowOff>
    </xdr:to>
    <xdr:sp macro="" textlink="">
      <xdr:nvSpPr>
        <xdr:cNvPr id="860177" name="414"/>
        <xdr:cNvSpPr/>
      </xdr:nvSpPr>
      <xdr:spPr>
        <a:xfrm>
          <a:off x="14727011" y="63779400"/>
          <a:ext cx="25321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20411</xdr:colOff>
      <xdr:row>417</xdr:row>
      <xdr:rowOff>76200</xdr:rowOff>
    </xdr:from>
    <xdr:to>
      <xdr:col>65</xdr:col>
      <xdr:colOff>122464</xdr:colOff>
      <xdr:row>417</xdr:row>
      <xdr:rowOff>76200</xdr:rowOff>
    </xdr:to>
    <xdr:cxnSp macro="">
      <xdr:nvCxnSpPr>
        <xdr:cNvPr id="860178" name="직선 화살표 연결선 860177"/>
        <xdr:cNvCxnSpPr/>
      </xdr:nvCxnSpPr>
      <xdr:spPr>
        <a:xfrm>
          <a:off x="14727011" y="63836550"/>
          <a:ext cx="2530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20411</xdr:colOff>
      <xdr:row>416</xdr:row>
      <xdr:rowOff>19050</xdr:rowOff>
    </xdr:from>
    <xdr:to>
      <xdr:col>66</xdr:col>
      <xdr:colOff>123734</xdr:colOff>
      <xdr:row>416</xdr:row>
      <xdr:rowOff>133350</xdr:rowOff>
    </xdr:to>
    <xdr:sp macro="" textlink="">
      <xdr:nvSpPr>
        <xdr:cNvPr id="860179" name="413"/>
        <xdr:cNvSpPr/>
      </xdr:nvSpPr>
      <xdr:spPr>
        <a:xfrm>
          <a:off x="14727011" y="63627000"/>
          <a:ext cx="26750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20411</xdr:colOff>
      <xdr:row>416</xdr:row>
      <xdr:rowOff>76200</xdr:rowOff>
    </xdr:from>
    <xdr:to>
      <xdr:col>66</xdr:col>
      <xdr:colOff>122464</xdr:colOff>
      <xdr:row>416</xdr:row>
      <xdr:rowOff>76200</xdr:rowOff>
    </xdr:to>
    <xdr:cxnSp macro="">
      <xdr:nvCxnSpPr>
        <xdr:cNvPr id="860180" name="직선 화살표 연결선 860179"/>
        <xdr:cNvCxnSpPr/>
      </xdr:nvCxnSpPr>
      <xdr:spPr>
        <a:xfrm>
          <a:off x="14727011" y="63684150"/>
          <a:ext cx="2673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415</xdr:row>
      <xdr:rowOff>19050</xdr:rowOff>
    </xdr:from>
    <xdr:to>
      <xdr:col>58</xdr:col>
      <xdr:colOff>123734</xdr:colOff>
      <xdr:row>415</xdr:row>
      <xdr:rowOff>133350</xdr:rowOff>
    </xdr:to>
    <xdr:sp macro="" textlink="">
      <xdr:nvSpPr>
        <xdr:cNvPr id="860181" name="412"/>
        <xdr:cNvSpPr/>
      </xdr:nvSpPr>
      <xdr:spPr>
        <a:xfrm>
          <a:off x="16012886" y="63474600"/>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415</xdr:row>
      <xdr:rowOff>76200</xdr:rowOff>
    </xdr:from>
    <xdr:to>
      <xdr:col>58</xdr:col>
      <xdr:colOff>122464</xdr:colOff>
      <xdr:row>415</xdr:row>
      <xdr:rowOff>76200</xdr:rowOff>
    </xdr:to>
    <xdr:cxnSp macro="">
      <xdr:nvCxnSpPr>
        <xdr:cNvPr id="860182" name="직선 화살표 연결선 860181"/>
        <xdr:cNvCxnSpPr/>
      </xdr:nvCxnSpPr>
      <xdr:spPr>
        <a:xfrm>
          <a:off x="16012886" y="63531750"/>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20411</xdr:colOff>
      <xdr:row>414</xdr:row>
      <xdr:rowOff>19050</xdr:rowOff>
    </xdr:from>
    <xdr:to>
      <xdr:col>58</xdr:col>
      <xdr:colOff>42090</xdr:colOff>
      <xdr:row>414</xdr:row>
      <xdr:rowOff>133350</xdr:rowOff>
    </xdr:to>
    <xdr:sp macro="" textlink="">
      <xdr:nvSpPr>
        <xdr:cNvPr id="860183" name="411"/>
        <xdr:cNvSpPr/>
      </xdr:nvSpPr>
      <xdr:spPr>
        <a:xfrm>
          <a:off x="15870011" y="63322200"/>
          <a:ext cx="3074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20411</xdr:colOff>
      <xdr:row>414</xdr:row>
      <xdr:rowOff>76200</xdr:rowOff>
    </xdr:from>
    <xdr:to>
      <xdr:col>58</xdr:col>
      <xdr:colOff>40821</xdr:colOff>
      <xdr:row>414</xdr:row>
      <xdr:rowOff>76200</xdr:rowOff>
    </xdr:to>
    <xdr:cxnSp macro="">
      <xdr:nvCxnSpPr>
        <xdr:cNvPr id="860184" name="직선 화살표 연결선 860183"/>
        <xdr:cNvCxnSpPr/>
      </xdr:nvCxnSpPr>
      <xdr:spPr>
        <a:xfrm>
          <a:off x="15870011" y="63379350"/>
          <a:ext cx="3061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20411</xdr:colOff>
      <xdr:row>413</xdr:row>
      <xdr:rowOff>19050</xdr:rowOff>
    </xdr:from>
    <xdr:to>
      <xdr:col>58</xdr:col>
      <xdr:colOff>123734</xdr:colOff>
      <xdr:row>413</xdr:row>
      <xdr:rowOff>133350</xdr:rowOff>
    </xdr:to>
    <xdr:sp macro="" textlink="">
      <xdr:nvSpPr>
        <xdr:cNvPr id="860185" name="410"/>
        <xdr:cNvSpPr/>
      </xdr:nvSpPr>
      <xdr:spPr>
        <a:xfrm>
          <a:off x="15441386" y="63169800"/>
          <a:ext cx="8176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20411</xdr:colOff>
      <xdr:row>413</xdr:row>
      <xdr:rowOff>76200</xdr:rowOff>
    </xdr:from>
    <xdr:to>
      <xdr:col>58</xdr:col>
      <xdr:colOff>122464</xdr:colOff>
      <xdr:row>413</xdr:row>
      <xdr:rowOff>76200</xdr:rowOff>
    </xdr:to>
    <xdr:cxnSp macro="">
      <xdr:nvCxnSpPr>
        <xdr:cNvPr id="860186" name="직선 화살표 연결선 860185"/>
        <xdr:cNvCxnSpPr/>
      </xdr:nvCxnSpPr>
      <xdr:spPr>
        <a:xfrm>
          <a:off x="15441386" y="63226950"/>
          <a:ext cx="8164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20411</xdr:colOff>
      <xdr:row>412</xdr:row>
      <xdr:rowOff>19050</xdr:rowOff>
    </xdr:from>
    <xdr:to>
      <xdr:col>58</xdr:col>
      <xdr:colOff>123734</xdr:colOff>
      <xdr:row>412</xdr:row>
      <xdr:rowOff>133350</xdr:rowOff>
    </xdr:to>
    <xdr:sp macro="" textlink="">
      <xdr:nvSpPr>
        <xdr:cNvPr id="860187" name="409"/>
        <xdr:cNvSpPr/>
      </xdr:nvSpPr>
      <xdr:spPr>
        <a:xfrm>
          <a:off x="15441386" y="63017400"/>
          <a:ext cx="8176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20411</xdr:colOff>
      <xdr:row>412</xdr:row>
      <xdr:rowOff>76200</xdr:rowOff>
    </xdr:from>
    <xdr:to>
      <xdr:col>58</xdr:col>
      <xdr:colOff>122464</xdr:colOff>
      <xdr:row>412</xdr:row>
      <xdr:rowOff>76200</xdr:rowOff>
    </xdr:to>
    <xdr:cxnSp macro="">
      <xdr:nvCxnSpPr>
        <xdr:cNvPr id="860188" name="직선 화살표 연결선 860187"/>
        <xdr:cNvCxnSpPr/>
      </xdr:nvCxnSpPr>
      <xdr:spPr>
        <a:xfrm>
          <a:off x="15441386" y="63074550"/>
          <a:ext cx="8164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40821</xdr:colOff>
      <xdr:row>411</xdr:row>
      <xdr:rowOff>19050</xdr:rowOff>
    </xdr:from>
    <xdr:to>
      <xdr:col>58</xdr:col>
      <xdr:colOff>123734</xdr:colOff>
      <xdr:row>411</xdr:row>
      <xdr:rowOff>133350</xdr:rowOff>
    </xdr:to>
    <xdr:sp macro="" textlink="">
      <xdr:nvSpPr>
        <xdr:cNvPr id="860189" name="408"/>
        <xdr:cNvSpPr/>
      </xdr:nvSpPr>
      <xdr:spPr>
        <a:xfrm>
          <a:off x="16033296" y="62865000"/>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40821</xdr:colOff>
      <xdr:row>411</xdr:row>
      <xdr:rowOff>76200</xdr:rowOff>
    </xdr:from>
    <xdr:to>
      <xdr:col>58</xdr:col>
      <xdr:colOff>122464</xdr:colOff>
      <xdr:row>411</xdr:row>
      <xdr:rowOff>76200</xdr:rowOff>
    </xdr:to>
    <xdr:cxnSp macro="">
      <xdr:nvCxnSpPr>
        <xdr:cNvPr id="860190" name="직선 화살표 연결선 860189"/>
        <xdr:cNvCxnSpPr/>
      </xdr:nvCxnSpPr>
      <xdr:spPr>
        <a:xfrm>
          <a:off x="16033296" y="62922150"/>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61232</xdr:colOff>
      <xdr:row>410</xdr:row>
      <xdr:rowOff>19050</xdr:rowOff>
    </xdr:from>
    <xdr:to>
      <xdr:col>56</xdr:col>
      <xdr:colOff>62502</xdr:colOff>
      <xdr:row>410</xdr:row>
      <xdr:rowOff>133350</xdr:rowOff>
    </xdr:to>
    <xdr:sp macro="" textlink="">
      <xdr:nvSpPr>
        <xdr:cNvPr id="860191" name="407"/>
        <xdr:cNvSpPr/>
      </xdr:nvSpPr>
      <xdr:spPr>
        <a:xfrm>
          <a:off x="15767957" y="62712600"/>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61232</xdr:colOff>
      <xdr:row>410</xdr:row>
      <xdr:rowOff>76200</xdr:rowOff>
    </xdr:from>
    <xdr:to>
      <xdr:col>56</xdr:col>
      <xdr:colOff>61232</xdr:colOff>
      <xdr:row>410</xdr:row>
      <xdr:rowOff>76200</xdr:rowOff>
    </xdr:to>
    <xdr:cxnSp macro="">
      <xdr:nvCxnSpPr>
        <xdr:cNvPr id="860192" name="직선 화살표 연결선 860191"/>
        <xdr:cNvCxnSpPr/>
      </xdr:nvCxnSpPr>
      <xdr:spPr>
        <a:xfrm>
          <a:off x="15767957" y="62769750"/>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20411</xdr:colOff>
      <xdr:row>409</xdr:row>
      <xdr:rowOff>19050</xdr:rowOff>
    </xdr:from>
    <xdr:to>
      <xdr:col>55</xdr:col>
      <xdr:colOff>123734</xdr:colOff>
      <xdr:row>409</xdr:row>
      <xdr:rowOff>133350</xdr:rowOff>
    </xdr:to>
    <xdr:sp macro="" textlink="">
      <xdr:nvSpPr>
        <xdr:cNvPr id="860193" name="406"/>
        <xdr:cNvSpPr/>
      </xdr:nvSpPr>
      <xdr:spPr>
        <a:xfrm>
          <a:off x="15584261" y="62560200"/>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20411</xdr:colOff>
      <xdr:row>409</xdr:row>
      <xdr:rowOff>76200</xdr:rowOff>
    </xdr:from>
    <xdr:to>
      <xdr:col>55</xdr:col>
      <xdr:colOff>122464</xdr:colOff>
      <xdr:row>409</xdr:row>
      <xdr:rowOff>76200</xdr:rowOff>
    </xdr:to>
    <xdr:cxnSp macro="">
      <xdr:nvCxnSpPr>
        <xdr:cNvPr id="860194" name="직선 화살표 연결선 860193"/>
        <xdr:cNvCxnSpPr/>
      </xdr:nvCxnSpPr>
      <xdr:spPr>
        <a:xfrm>
          <a:off x="15584261" y="62617350"/>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20411</xdr:colOff>
      <xdr:row>408</xdr:row>
      <xdr:rowOff>19050</xdr:rowOff>
    </xdr:from>
    <xdr:to>
      <xdr:col>58</xdr:col>
      <xdr:colOff>123734</xdr:colOff>
      <xdr:row>408</xdr:row>
      <xdr:rowOff>133350</xdr:rowOff>
    </xdr:to>
    <xdr:sp macro="" textlink="">
      <xdr:nvSpPr>
        <xdr:cNvPr id="860195" name="405"/>
        <xdr:cNvSpPr/>
      </xdr:nvSpPr>
      <xdr:spPr>
        <a:xfrm>
          <a:off x="15441386" y="62407800"/>
          <a:ext cx="8176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20411</xdr:colOff>
      <xdr:row>408</xdr:row>
      <xdr:rowOff>76200</xdr:rowOff>
    </xdr:from>
    <xdr:to>
      <xdr:col>58</xdr:col>
      <xdr:colOff>122464</xdr:colOff>
      <xdr:row>408</xdr:row>
      <xdr:rowOff>76200</xdr:rowOff>
    </xdr:to>
    <xdr:cxnSp macro="">
      <xdr:nvCxnSpPr>
        <xdr:cNvPr id="860196" name="직선 화살표 연결선 860195"/>
        <xdr:cNvCxnSpPr/>
      </xdr:nvCxnSpPr>
      <xdr:spPr>
        <a:xfrm>
          <a:off x="15441386" y="62464950"/>
          <a:ext cx="8164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20411</xdr:colOff>
      <xdr:row>407</xdr:row>
      <xdr:rowOff>19050</xdr:rowOff>
    </xdr:from>
    <xdr:to>
      <xdr:col>52</xdr:col>
      <xdr:colOff>123734</xdr:colOff>
      <xdr:row>407</xdr:row>
      <xdr:rowOff>133350</xdr:rowOff>
    </xdr:to>
    <xdr:sp macro="" textlink="">
      <xdr:nvSpPr>
        <xdr:cNvPr id="860197" name="404"/>
        <xdr:cNvSpPr/>
      </xdr:nvSpPr>
      <xdr:spPr>
        <a:xfrm>
          <a:off x="14869886" y="62255400"/>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20411</xdr:colOff>
      <xdr:row>407</xdr:row>
      <xdr:rowOff>76200</xdr:rowOff>
    </xdr:from>
    <xdr:to>
      <xdr:col>52</xdr:col>
      <xdr:colOff>122464</xdr:colOff>
      <xdr:row>407</xdr:row>
      <xdr:rowOff>76200</xdr:rowOff>
    </xdr:to>
    <xdr:cxnSp macro="">
      <xdr:nvCxnSpPr>
        <xdr:cNvPr id="860198" name="직선 화살표 연결선 860197"/>
        <xdr:cNvCxnSpPr/>
      </xdr:nvCxnSpPr>
      <xdr:spPr>
        <a:xfrm>
          <a:off x="14869886" y="62312550"/>
          <a:ext cx="5306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81643</xdr:colOff>
      <xdr:row>406</xdr:row>
      <xdr:rowOff>19050</xdr:rowOff>
    </xdr:from>
    <xdr:to>
      <xdr:col>50</xdr:col>
      <xdr:colOff>82913</xdr:colOff>
      <xdr:row>406</xdr:row>
      <xdr:rowOff>133350</xdr:rowOff>
    </xdr:to>
    <xdr:sp macro="" textlink="">
      <xdr:nvSpPr>
        <xdr:cNvPr id="860199" name="403"/>
        <xdr:cNvSpPr/>
      </xdr:nvSpPr>
      <xdr:spPr>
        <a:xfrm>
          <a:off x="13359493" y="62103000"/>
          <a:ext cx="17157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81643</xdr:colOff>
      <xdr:row>406</xdr:row>
      <xdr:rowOff>76200</xdr:rowOff>
    </xdr:from>
    <xdr:to>
      <xdr:col>50</xdr:col>
      <xdr:colOff>81643</xdr:colOff>
      <xdr:row>406</xdr:row>
      <xdr:rowOff>76200</xdr:rowOff>
    </xdr:to>
    <xdr:cxnSp macro="">
      <xdr:nvCxnSpPr>
        <xdr:cNvPr id="860200" name="직선 화살표 연결선 860199"/>
        <xdr:cNvCxnSpPr/>
      </xdr:nvCxnSpPr>
      <xdr:spPr>
        <a:xfrm>
          <a:off x="13359493" y="62160150"/>
          <a:ext cx="17145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61232</xdr:colOff>
      <xdr:row>405</xdr:row>
      <xdr:rowOff>19050</xdr:rowOff>
    </xdr:from>
    <xdr:to>
      <xdr:col>50</xdr:col>
      <xdr:colOff>123734</xdr:colOff>
      <xdr:row>405</xdr:row>
      <xdr:rowOff>133350</xdr:rowOff>
    </xdr:to>
    <xdr:sp macro="" textlink="">
      <xdr:nvSpPr>
        <xdr:cNvPr id="860201" name="402"/>
        <xdr:cNvSpPr/>
      </xdr:nvSpPr>
      <xdr:spPr>
        <a:xfrm>
          <a:off x="14339207" y="61950600"/>
          <a:ext cx="77687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61232</xdr:colOff>
      <xdr:row>405</xdr:row>
      <xdr:rowOff>76200</xdr:rowOff>
    </xdr:from>
    <xdr:to>
      <xdr:col>50</xdr:col>
      <xdr:colOff>122464</xdr:colOff>
      <xdr:row>405</xdr:row>
      <xdr:rowOff>76200</xdr:rowOff>
    </xdr:to>
    <xdr:cxnSp macro="">
      <xdr:nvCxnSpPr>
        <xdr:cNvPr id="860202" name="직선 화살표 연결선 860201"/>
        <xdr:cNvCxnSpPr/>
      </xdr:nvCxnSpPr>
      <xdr:spPr>
        <a:xfrm>
          <a:off x="14339207" y="62007750"/>
          <a:ext cx="7756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404</xdr:row>
      <xdr:rowOff>19050</xdr:rowOff>
    </xdr:from>
    <xdr:to>
      <xdr:col>45</xdr:col>
      <xdr:colOff>62502</xdr:colOff>
      <xdr:row>404</xdr:row>
      <xdr:rowOff>133350</xdr:rowOff>
    </xdr:to>
    <xdr:sp macro="" textlink="">
      <xdr:nvSpPr>
        <xdr:cNvPr id="860203" name="401"/>
        <xdr:cNvSpPr/>
      </xdr:nvSpPr>
      <xdr:spPr>
        <a:xfrm>
          <a:off x="13155386" y="61798200"/>
          <a:ext cx="1185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404</xdr:row>
      <xdr:rowOff>76200</xdr:rowOff>
    </xdr:from>
    <xdr:to>
      <xdr:col>45</xdr:col>
      <xdr:colOff>61232</xdr:colOff>
      <xdr:row>404</xdr:row>
      <xdr:rowOff>76200</xdr:rowOff>
    </xdr:to>
    <xdr:cxnSp macro="">
      <xdr:nvCxnSpPr>
        <xdr:cNvPr id="860204" name="직선 화살표 연결선 860203"/>
        <xdr:cNvCxnSpPr/>
      </xdr:nvCxnSpPr>
      <xdr:spPr>
        <a:xfrm>
          <a:off x="13155386" y="61855350"/>
          <a:ext cx="1183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403</xdr:row>
      <xdr:rowOff>19050</xdr:rowOff>
    </xdr:from>
    <xdr:to>
      <xdr:col>36</xdr:col>
      <xdr:colOff>123734</xdr:colOff>
      <xdr:row>403</xdr:row>
      <xdr:rowOff>133350</xdr:rowOff>
    </xdr:to>
    <xdr:sp macro="" textlink="">
      <xdr:nvSpPr>
        <xdr:cNvPr id="860205" name="400"/>
        <xdr:cNvSpPr/>
      </xdr:nvSpPr>
      <xdr:spPr>
        <a:xfrm>
          <a:off x="13012511" y="616458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403</xdr:row>
      <xdr:rowOff>76200</xdr:rowOff>
    </xdr:from>
    <xdr:to>
      <xdr:col>36</xdr:col>
      <xdr:colOff>122464</xdr:colOff>
      <xdr:row>403</xdr:row>
      <xdr:rowOff>76200</xdr:rowOff>
    </xdr:to>
    <xdr:cxnSp macro="">
      <xdr:nvCxnSpPr>
        <xdr:cNvPr id="860206" name="직선 화살표 연결선 860205"/>
        <xdr:cNvCxnSpPr/>
      </xdr:nvCxnSpPr>
      <xdr:spPr>
        <a:xfrm>
          <a:off x="13012511" y="617029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20411</xdr:colOff>
      <xdr:row>402</xdr:row>
      <xdr:rowOff>19050</xdr:rowOff>
    </xdr:from>
    <xdr:to>
      <xdr:col>48</xdr:col>
      <xdr:colOff>123734</xdr:colOff>
      <xdr:row>402</xdr:row>
      <xdr:rowOff>133350</xdr:rowOff>
    </xdr:to>
    <xdr:sp macro="" textlink="">
      <xdr:nvSpPr>
        <xdr:cNvPr id="860207" name="399"/>
        <xdr:cNvSpPr/>
      </xdr:nvSpPr>
      <xdr:spPr>
        <a:xfrm>
          <a:off x="14727011" y="614934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20411</xdr:colOff>
      <xdr:row>402</xdr:row>
      <xdr:rowOff>76200</xdr:rowOff>
    </xdr:from>
    <xdr:to>
      <xdr:col>48</xdr:col>
      <xdr:colOff>122464</xdr:colOff>
      <xdr:row>402</xdr:row>
      <xdr:rowOff>76200</xdr:rowOff>
    </xdr:to>
    <xdr:cxnSp macro="">
      <xdr:nvCxnSpPr>
        <xdr:cNvPr id="860208" name="직선 화살표 연결선 860207"/>
        <xdr:cNvCxnSpPr/>
      </xdr:nvCxnSpPr>
      <xdr:spPr>
        <a:xfrm>
          <a:off x="14727011" y="615505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401</xdr:row>
      <xdr:rowOff>19050</xdr:rowOff>
    </xdr:from>
    <xdr:to>
      <xdr:col>40</xdr:col>
      <xdr:colOff>123734</xdr:colOff>
      <xdr:row>401</xdr:row>
      <xdr:rowOff>133350</xdr:rowOff>
    </xdr:to>
    <xdr:sp macro="" textlink="">
      <xdr:nvSpPr>
        <xdr:cNvPr id="860209" name="398"/>
        <xdr:cNvSpPr/>
      </xdr:nvSpPr>
      <xdr:spPr>
        <a:xfrm>
          <a:off x="13012511" y="61341000"/>
          <a:ext cx="6748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401</xdr:row>
      <xdr:rowOff>76200</xdr:rowOff>
    </xdr:from>
    <xdr:to>
      <xdr:col>40</xdr:col>
      <xdr:colOff>122464</xdr:colOff>
      <xdr:row>401</xdr:row>
      <xdr:rowOff>76200</xdr:rowOff>
    </xdr:to>
    <xdr:cxnSp macro="">
      <xdr:nvCxnSpPr>
        <xdr:cNvPr id="860210" name="직선 화살표 연결선 860209"/>
        <xdr:cNvCxnSpPr/>
      </xdr:nvCxnSpPr>
      <xdr:spPr>
        <a:xfrm>
          <a:off x="13012511" y="61398150"/>
          <a:ext cx="6735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400</xdr:row>
      <xdr:rowOff>19050</xdr:rowOff>
    </xdr:from>
    <xdr:to>
      <xdr:col>49</xdr:col>
      <xdr:colOff>123734</xdr:colOff>
      <xdr:row>400</xdr:row>
      <xdr:rowOff>133350</xdr:rowOff>
    </xdr:to>
    <xdr:sp macro="" textlink="">
      <xdr:nvSpPr>
        <xdr:cNvPr id="860211" name="397"/>
        <xdr:cNvSpPr/>
      </xdr:nvSpPr>
      <xdr:spPr>
        <a:xfrm>
          <a:off x="13441136" y="61188600"/>
          <a:ext cx="1532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400</xdr:row>
      <xdr:rowOff>76200</xdr:rowOff>
    </xdr:from>
    <xdr:to>
      <xdr:col>49</xdr:col>
      <xdr:colOff>122464</xdr:colOff>
      <xdr:row>400</xdr:row>
      <xdr:rowOff>76200</xdr:rowOff>
    </xdr:to>
    <xdr:cxnSp macro="">
      <xdr:nvCxnSpPr>
        <xdr:cNvPr id="860212" name="직선 화살표 연결선 860211"/>
        <xdr:cNvCxnSpPr/>
      </xdr:nvCxnSpPr>
      <xdr:spPr>
        <a:xfrm>
          <a:off x="13441136" y="61245750"/>
          <a:ext cx="1530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20411</xdr:colOff>
      <xdr:row>399</xdr:row>
      <xdr:rowOff>19050</xdr:rowOff>
    </xdr:from>
    <xdr:to>
      <xdr:col>45</xdr:col>
      <xdr:colOff>123734</xdr:colOff>
      <xdr:row>399</xdr:row>
      <xdr:rowOff>133350</xdr:rowOff>
    </xdr:to>
    <xdr:sp macro="" textlink="">
      <xdr:nvSpPr>
        <xdr:cNvPr id="860213" name="396"/>
        <xdr:cNvSpPr/>
      </xdr:nvSpPr>
      <xdr:spPr>
        <a:xfrm>
          <a:off x="13584011" y="61036200"/>
          <a:ext cx="8176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20411</xdr:colOff>
      <xdr:row>399</xdr:row>
      <xdr:rowOff>76200</xdr:rowOff>
    </xdr:from>
    <xdr:to>
      <xdr:col>45</xdr:col>
      <xdr:colOff>122464</xdr:colOff>
      <xdr:row>399</xdr:row>
      <xdr:rowOff>76200</xdr:rowOff>
    </xdr:to>
    <xdr:cxnSp macro="">
      <xdr:nvCxnSpPr>
        <xdr:cNvPr id="860214" name="직선 화살표 연결선 860213"/>
        <xdr:cNvCxnSpPr/>
      </xdr:nvCxnSpPr>
      <xdr:spPr>
        <a:xfrm>
          <a:off x="13584011" y="61093350"/>
          <a:ext cx="8164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398</xdr:row>
      <xdr:rowOff>19050</xdr:rowOff>
    </xdr:from>
    <xdr:to>
      <xdr:col>52</xdr:col>
      <xdr:colOff>123734</xdr:colOff>
      <xdr:row>398</xdr:row>
      <xdr:rowOff>133350</xdr:rowOff>
    </xdr:to>
    <xdr:sp macro="" textlink="">
      <xdr:nvSpPr>
        <xdr:cNvPr id="860215" name="395"/>
        <xdr:cNvSpPr/>
      </xdr:nvSpPr>
      <xdr:spPr>
        <a:xfrm>
          <a:off x="13012511" y="60883800"/>
          <a:ext cx="2389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398</xdr:row>
      <xdr:rowOff>76200</xdr:rowOff>
    </xdr:from>
    <xdr:to>
      <xdr:col>52</xdr:col>
      <xdr:colOff>122464</xdr:colOff>
      <xdr:row>398</xdr:row>
      <xdr:rowOff>76200</xdr:rowOff>
    </xdr:to>
    <xdr:cxnSp macro="">
      <xdr:nvCxnSpPr>
        <xdr:cNvPr id="860216" name="직선 화살표 연결선 860215"/>
        <xdr:cNvCxnSpPr/>
      </xdr:nvCxnSpPr>
      <xdr:spPr>
        <a:xfrm>
          <a:off x="13012511" y="60940950"/>
          <a:ext cx="2388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397</xdr:row>
      <xdr:rowOff>19050</xdr:rowOff>
    </xdr:from>
    <xdr:to>
      <xdr:col>58</xdr:col>
      <xdr:colOff>123734</xdr:colOff>
      <xdr:row>397</xdr:row>
      <xdr:rowOff>133350</xdr:rowOff>
    </xdr:to>
    <xdr:sp macro="" textlink="">
      <xdr:nvSpPr>
        <xdr:cNvPr id="860217" name="394"/>
        <xdr:cNvSpPr/>
      </xdr:nvSpPr>
      <xdr:spPr>
        <a:xfrm>
          <a:off x="13012511" y="60731400"/>
          <a:ext cx="32465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397</xdr:row>
      <xdr:rowOff>76200</xdr:rowOff>
    </xdr:from>
    <xdr:to>
      <xdr:col>58</xdr:col>
      <xdr:colOff>122464</xdr:colOff>
      <xdr:row>397</xdr:row>
      <xdr:rowOff>76200</xdr:rowOff>
    </xdr:to>
    <xdr:cxnSp macro="">
      <xdr:nvCxnSpPr>
        <xdr:cNvPr id="860218" name="직선 화살표 연결선 860217"/>
        <xdr:cNvCxnSpPr/>
      </xdr:nvCxnSpPr>
      <xdr:spPr>
        <a:xfrm>
          <a:off x="13012511" y="60788550"/>
          <a:ext cx="32453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396</xdr:row>
      <xdr:rowOff>19050</xdr:rowOff>
    </xdr:from>
    <xdr:to>
      <xdr:col>41</xdr:col>
      <xdr:colOff>42090</xdr:colOff>
      <xdr:row>396</xdr:row>
      <xdr:rowOff>133350</xdr:rowOff>
    </xdr:to>
    <xdr:sp macro="" textlink="">
      <xdr:nvSpPr>
        <xdr:cNvPr id="860219" name="393"/>
        <xdr:cNvSpPr/>
      </xdr:nvSpPr>
      <xdr:spPr>
        <a:xfrm>
          <a:off x="12869635" y="60579000"/>
          <a:ext cx="8789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396</xdr:row>
      <xdr:rowOff>76200</xdr:rowOff>
    </xdr:from>
    <xdr:to>
      <xdr:col>41</xdr:col>
      <xdr:colOff>40821</xdr:colOff>
      <xdr:row>396</xdr:row>
      <xdr:rowOff>76200</xdr:rowOff>
    </xdr:to>
    <xdr:cxnSp macro="">
      <xdr:nvCxnSpPr>
        <xdr:cNvPr id="860220" name="직선 화살표 연결선 860219"/>
        <xdr:cNvCxnSpPr/>
      </xdr:nvCxnSpPr>
      <xdr:spPr>
        <a:xfrm>
          <a:off x="12869635" y="60636150"/>
          <a:ext cx="8776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20411</xdr:colOff>
      <xdr:row>395</xdr:row>
      <xdr:rowOff>19050</xdr:rowOff>
    </xdr:from>
    <xdr:to>
      <xdr:col>52</xdr:col>
      <xdr:colOff>123734</xdr:colOff>
      <xdr:row>395</xdr:row>
      <xdr:rowOff>133350</xdr:rowOff>
    </xdr:to>
    <xdr:sp macro="" textlink="">
      <xdr:nvSpPr>
        <xdr:cNvPr id="860221" name="392"/>
        <xdr:cNvSpPr/>
      </xdr:nvSpPr>
      <xdr:spPr>
        <a:xfrm>
          <a:off x="14869886" y="60426600"/>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20411</xdr:colOff>
      <xdr:row>395</xdr:row>
      <xdr:rowOff>76200</xdr:rowOff>
    </xdr:from>
    <xdr:to>
      <xdr:col>52</xdr:col>
      <xdr:colOff>122464</xdr:colOff>
      <xdr:row>395</xdr:row>
      <xdr:rowOff>76200</xdr:rowOff>
    </xdr:to>
    <xdr:cxnSp macro="">
      <xdr:nvCxnSpPr>
        <xdr:cNvPr id="860222" name="직선 화살표 연결선 860221"/>
        <xdr:cNvCxnSpPr/>
      </xdr:nvCxnSpPr>
      <xdr:spPr>
        <a:xfrm>
          <a:off x="14869886" y="60483750"/>
          <a:ext cx="5306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394</xdr:row>
      <xdr:rowOff>19050</xdr:rowOff>
    </xdr:from>
    <xdr:to>
      <xdr:col>43</xdr:col>
      <xdr:colOff>82913</xdr:colOff>
      <xdr:row>394</xdr:row>
      <xdr:rowOff>133350</xdr:rowOff>
    </xdr:to>
    <xdr:sp macro="" textlink="">
      <xdr:nvSpPr>
        <xdr:cNvPr id="860223" name="391"/>
        <xdr:cNvSpPr/>
      </xdr:nvSpPr>
      <xdr:spPr>
        <a:xfrm>
          <a:off x="13155386" y="60274200"/>
          <a:ext cx="9197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394</xdr:row>
      <xdr:rowOff>76200</xdr:rowOff>
    </xdr:from>
    <xdr:to>
      <xdr:col>43</xdr:col>
      <xdr:colOff>81643</xdr:colOff>
      <xdr:row>394</xdr:row>
      <xdr:rowOff>76200</xdr:rowOff>
    </xdr:to>
    <xdr:cxnSp macro="">
      <xdr:nvCxnSpPr>
        <xdr:cNvPr id="860224" name="직선 화살표 연결선 860223"/>
        <xdr:cNvCxnSpPr/>
      </xdr:nvCxnSpPr>
      <xdr:spPr>
        <a:xfrm>
          <a:off x="13155386" y="60331350"/>
          <a:ext cx="9184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393</xdr:row>
      <xdr:rowOff>19050</xdr:rowOff>
    </xdr:from>
    <xdr:to>
      <xdr:col>43</xdr:col>
      <xdr:colOff>82913</xdr:colOff>
      <xdr:row>393</xdr:row>
      <xdr:rowOff>133350</xdr:rowOff>
    </xdr:to>
    <xdr:sp macro="" textlink="">
      <xdr:nvSpPr>
        <xdr:cNvPr id="860225" name="390"/>
        <xdr:cNvSpPr/>
      </xdr:nvSpPr>
      <xdr:spPr>
        <a:xfrm>
          <a:off x="13298261" y="60121800"/>
          <a:ext cx="77687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393</xdr:row>
      <xdr:rowOff>76200</xdr:rowOff>
    </xdr:from>
    <xdr:to>
      <xdr:col>43</xdr:col>
      <xdr:colOff>81643</xdr:colOff>
      <xdr:row>393</xdr:row>
      <xdr:rowOff>76200</xdr:rowOff>
    </xdr:to>
    <xdr:cxnSp macro="">
      <xdr:nvCxnSpPr>
        <xdr:cNvPr id="860226" name="직선 화살표 연결선 860225"/>
        <xdr:cNvCxnSpPr/>
      </xdr:nvCxnSpPr>
      <xdr:spPr>
        <a:xfrm>
          <a:off x="13298261" y="60178950"/>
          <a:ext cx="7756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392</xdr:row>
      <xdr:rowOff>19050</xdr:rowOff>
    </xdr:from>
    <xdr:to>
      <xdr:col>39</xdr:col>
      <xdr:colOff>123734</xdr:colOff>
      <xdr:row>392</xdr:row>
      <xdr:rowOff>133350</xdr:rowOff>
    </xdr:to>
    <xdr:sp macro="" textlink="">
      <xdr:nvSpPr>
        <xdr:cNvPr id="860227" name="389"/>
        <xdr:cNvSpPr/>
      </xdr:nvSpPr>
      <xdr:spPr>
        <a:xfrm>
          <a:off x="12869635" y="59969400"/>
          <a:ext cx="6748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392</xdr:row>
      <xdr:rowOff>76200</xdr:rowOff>
    </xdr:from>
    <xdr:to>
      <xdr:col>39</xdr:col>
      <xdr:colOff>122464</xdr:colOff>
      <xdr:row>392</xdr:row>
      <xdr:rowOff>76200</xdr:rowOff>
    </xdr:to>
    <xdr:cxnSp macro="">
      <xdr:nvCxnSpPr>
        <xdr:cNvPr id="860228" name="직선 화살표 연결선 860227"/>
        <xdr:cNvCxnSpPr/>
      </xdr:nvCxnSpPr>
      <xdr:spPr>
        <a:xfrm>
          <a:off x="12869635" y="60026550"/>
          <a:ext cx="673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391</xdr:row>
      <xdr:rowOff>19050</xdr:rowOff>
    </xdr:from>
    <xdr:to>
      <xdr:col>35</xdr:col>
      <xdr:colOff>123734</xdr:colOff>
      <xdr:row>391</xdr:row>
      <xdr:rowOff>133350</xdr:rowOff>
    </xdr:to>
    <xdr:sp macro="" textlink="">
      <xdr:nvSpPr>
        <xdr:cNvPr id="860229" name="388"/>
        <xdr:cNvSpPr/>
      </xdr:nvSpPr>
      <xdr:spPr>
        <a:xfrm>
          <a:off x="12869635" y="59817000"/>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391</xdr:row>
      <xdr:rowOff>76200</xdr:rowOff>
    </xdr:from>
    <xdr:to>
      <xdr:col>35</xdr:col>
      <xdr:colOff>122465</xdr:colOff>
      <xdr:row>391</xdr:row>
      <xdr:rowOff>76200</xdr:rowOff>
    </xdr:to>
    <xdr:cxnSp macro="">
      <xdr:nvCxnSpPr>
        <xdr:cNvPr id="860230" name="직선 화살표 연결선 860229"/>
        <xdr:cNvCxnSpPr/>
      </xdr:nvCxnSpPr>
      <xdr:spPr>
        <a:xfrm>
          <a:off x="12869635" y="598741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390</xdr:row>
      <xdr:rowOff>19050</xdr:rowOff>
    </xdr:from>
    <xdr:to>
      <xdr:col>40</xdr:col>
      <xdr:colOff>123734</xdr:colOff>
      <xdr:row>390</xdr:row>
      <xdr:rowOff>133350</xdr:rowOff>
    </xdr:to>
    <xdr:sp macro="" textlink="">
      <xdr:nvSpPr>
        <xdr:cNvPr id="860231" name="387"/>
        <xdr:cNvSpPr/>
      </xdr:nvSpPr>
      <xdr:spPr>
        <a:xfrm>
          <a:off x="12869635" y="59664600"/>
          <a:ext cx="8176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390</xdr:row>
      <xdr:rowOff>76200</xdr:rowOff>
    </xdr:from>
    <xdr:to>
      <xdr:col>40</xdr:col>
      <xdr:colOff>122464</xdr:colOff>
      <xdr:row>390</xdr:row>
      <xdr:rowOff>76200</xdr:rowOff>
    </xdr:to>
    <xdr:cxnSp macro="">
      <xdr:nvCxnSpPr>
        <xdr:cNvPr id="860232" name="직선 화살표 연결선 860231"/>
        <xdr:cNvCxnSpPr/>
      </xdr:nvCxnSpPr>
      <xdr:spPr>
        <a:xfrm>
          <a:off x="12869635" y="59721750"/>
          <a:ext cx="8164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20411</xdr:colOff>
      <xdr:row>389</xdr:row>
      <xdr:rowOff>19050</xdr:rowOff>
    </xdr:from>
    <xdr:to>
      <xdr:col>47</xdr:col>
      <xdr:colOff>82913</xdr:colOff>
      <xdr:row>389</xdr:row>
      <xdr:rowOff>133350</xdr:rowOff>
    </xdr:to>
    <xdr:sp macro="" textlink="">
      <xdr:nvSpPr>
        <xdr:cNvPr id="860233" name="386"/>
        <xdr:cNvSpPr/>
      </xdr:nvSpPr>
      <xdr:spPr>
        <a:xfrm>
          <a:off x="14155511" y="59512200"/>
          <a:ext cx="49112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20411</xdr:colOff>
      <xdr:row>389</xdr:row>
      <xdr:rowOff>76200</xdr:rowOff>
    </xdr:from>
    <xdr:to>
      <xdr:col>47</xdr:col>
      <xdr:colOff>81643</xdr:colOff>
      <xdr:row>389</xdr:row>
      <xdr:rowOff>76200</xdr:rowOff>
    </xdr:to>
    <xdr:cxnSp macro="">
      <xdr:nvCxnSpPr>
        <xdr:cNvPr id="860234" name="직선 화살표 연결선 860233"/>
        <xdr:cNvCxnSpPr/>
      </xdr:nvCxnSpPr>
      <xdr:spPr>
        <a:xfrm>
          <a:off x="14155511" y="59569350"/>
          <a:ext cx="48985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20411</xdr:colOff>
      <xdr:row>388</xdr:row>
      <xdr:rowOff>19050</xdr:rowOff>
    </xdr:from>
    <xdr:to>
      <xdr:col>43</xdr:col>
      <xdr:colOff>82913</xdr:colOff>
      <xdr:row>388</xdr:row>
      <xdr:rowOff>133350</xdr:rowOff>
    </xdr:to>
    <xdr:sp macro="" textlink="">
      <xdr:nvSpPr>
        <xdr:cNvPr id="860235" name="385"/>
        <xdr:cNvSpPr/>
      </xdr:nvSpPr>
      <xdr:spPr>
        <a:xfrm>
          <a:off x="13584011" y="59359800"/>
          <a:ext cx="49112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20411</xdr:colOff>
      <xdr:row>388</xdr:row>
      <xdr:rowOff>76200</xdr:rowOff>
    </xdr:from>
    <xdr:to>
      <xdr:col>43</xdr:col>
      <xdr:colOff>81643</xdr:colOff>
      <xdr:row>388</xdr:row>
      <xdr:rowOff>76200</xdr:rowOff>
    </xdr:to>
    <xdr:cxnSp macro="">
      <xdr:nvCxnSpPr>
        <xdr:cNvPr id="860236" name="직선 화살표 연결선 860235"/>
        <xdr:cNvCxnSpPr/>
      </xdr:nvCxnSpPr>
      <xdr:spPr>
        <a:xfrm>
          <a:off x="13584011" y="59416950"/>
          <a:ext cx="48985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387</xdr:row>
      <xdr:rowOff>19050</xdr:rowOff>
    </xdr:from>
    <xdr:to>
      <xdr:col>52</xdr:col>
      <xdr:colOff>123734</xdr:colOff>
      <xdr:row>387</xdr:row>
      <xdr:rowOff>133350</xdr:rowOff>
    </xdr:to>
    <xdr:sp macro="" textlink="">
      <xdr:nvSpPr>
        <xdr:cNvPr id="860237" name="384"/>
        <xdr:cNvSpPr/>
      </xdr:nvSpPr>
      <xdr:spPr>
        <a:xfrm>
          <a:off x="12869635" y="59207400"/>
          <a:ext cx="25321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387</xdr:row>
      <xdr:rowOff>76200</xdr:rowOff>
    </xdr:from>
    <xdr:to>
      <xdr:col>52</xdr:col>
      <xdr:colOff>122464</xdr:colOff>
      <xdr:row>387</xdr:row>
      <xdr:rowOff>76200</xdr:rowOff>
    </xdr:to>
    <xdr:cxnSp macro="">
      <xdr:nvCxnSpPr>
        <xdr:cNvPr id="860238" name="직선 화살표 연결선 860237"/>
        <xdr:cNvCxnSpPr/>
      </xdr:nvCxnSpPr>
      <xdr:spPr>
        <a:xfrm>
          <a:off x="12869635" y="59264550"/>
          <a:ext cx="2530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386</xdr:row>
      <xdr:rowOff>19050</xdr:rowOff>
    </xdr:from>
    <xdr:to>
      <xdr:col>39</xdr:col>
      <xdr:colOff>62502</xdr:colOff>
      <xdr:row>386</xdr:row>
      <xdr:rowOff>133350</xdr:rowOff>
    </xdr:to>
    <xdr:sp macro="" textlink="">
      <xdr:nvSpPr>
        <xdr:cNvPr id="860239" name="383"/>
        <xdr:cNvSpPr/>
      </xdr:nvSpPr>
      <xdr:spPr>
        <a:xfrm>
          <a:off x="12298135" y="59055000"/>
          <a:ext cx="1185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386</xdr:row>
      <xdr:rowOff>76200</xdr:rowOff>
    </xdr:from>
    <xdr:to>
      <xdr:col>39</xdr:col>
      <xdr:colOff>61232</xdr:colOff>
      <xdr:row>386</xdr:row>
      <xdr:rowOff>76200</xdr:rowOff>
    </xdr:to>
    <xdr:cxnSp macro="">
      <xdr:nvCxnSpPr>
        <xdr:cNvPr id="860240" name="직선 화살표 연결선 860239"/>
        <xdr:cNvCxnSpPr/>
      </xdr:nvCxnSpPr>
      <xdr:spPr>
        <a:xfrm>
          <a:off x="12298135" y="59112150"/>
          <a:ext cx="1183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385</xdr:row>
      <xdr:rowOff>19050</xdr:rowOff>
    </xdr:from>
    <xdr:to>
      <xdr:col>37</xdr:col>
      <xdr:colOff>42090</xdr:colOff>
      <xdr:row>385</xdr:row>
      <xdr:rowOff>133350</xdr:rowOff>
    </xdr:to>
    <xdr:sp macro="" textlink="">
      <xdr:nvSpPr>
        <xdr:cNvPr id="860241" name="382"/>
        <xdr:cNvSpPr/>
      </xdr:nvSpPr>
      <xdr:spPr>
        <a:xfrm>
          <a:off x="12298135" y="58902600"/>
          <a:ext cx="8789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385</xdr:row>
      <xdr:rowOff>76200</xdr:rowOff>
    </xdr:from>
    <xdr:to>
      <xdr:col>37</xdr:col>
      <xdr:colOff>40821</xdr:colOff>
      <xdr:row>385</xdr:row>
      <xdr:rowOff>76200</xdr:rowOff>
    </xdr:to>
    <xdr:cxnSp macro="">
      <xdr:nvCxnSpPr>
        <xdr:cNvPr id="860242" name="직선 화살표 연결선 860241"/>
        <xdr:cNvCxnSpPr/>
      </xdr:nvCxnSpPr>
      <xdr:spPr>
        <a:xfrm>
          <a:off x="12298135" y="58959750"/>
          <a:ext cx="8776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384</xdr:row>
      <xdr:rowOff>19050</xdr:rowOff>
    </xdr:from>
    <xdr:to>
      <xdr:col>39</xdr:col>
      <xdr:colOff>62502</xdr:colOff>
      <xdr:row>384</xdr:row>
      <xdr:rowOff>133350</xdr:rowOff>
    </xdr:to>
    <xdr:sp macro="" textlink="">
      <xdr:nvSpPr>
        <xdr:cNvPr id="860243" name="381"/>
        <xdr:cNvSpPr/>
      </xdr:nvSpPr>
      <xdr:spPr>
        <a:xfrm>
          <a:off x="12298135" y="58750200"/>
          <a:ext cx="11850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384</xdr:row>
      <xdr:rowOff>76200</xdr:rowOff>
    </xdr:from>
    <xdr:to>
      <xdr:col>39</xdr:col>
      <xdr:colOff>61232</xdr:colOff>
      <xdr:row>384</xdr:row>
      <xdr:rowOff>76200</xdr:rowOff>
    </xdr:to>
    <xdr:cxnSp macro="">
      <xdr:nvCxnSpPr>
        <xdr:cNvPr id="860244" name="직선 화살표 연결선 860243"/>
        <xdr:cNvCxnSpPr/>
      </xdr:nvCxnSpPr>
      <xdr:spPr>
        <a:xfrm>
          <a:off x="12298135" y="58807350"/>
          <a:ext cx="1183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383</xdr:row>
      <xdr:rowOff>19050</xdr:rowOff>
    </xdr:from>
    <xdr:to>
      <xdr:col>58</xdr:col>
      <xdr:colOff>123734</xdr:colOff>
      <xdr:row>383</xdr:row>
      <xdr:rowOff>133350</xdr:rowOff>
    </xdr:to>
    <xdr:sp macro="" textlink="">
      <xdr:nvSpPr>
        <xdr:cNvPr id="860245" name="380"/>
        <xdr:cNvSpPr/>
      </xdr:nvSpPr>
      <xdr:spPr>
        <a:xfrm>
          <a:off x="12298135" y="58597800"/>
          <a:ext cx="3960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383</xdr:row>
      <xdr:rowOff>76200</xdr:rowOff>
    </xdr:from>
    <xdr:to>
      <xdr:col>58</xdr:col>
      <xdr:colOff>122464</xdr:colOff>
      <xdr:row>383</xdr:row>
      <xdr:rowOff>76200</xdr:rowOff>
    </xdr:to>
    <xdr:cxnSp macro="">
      <xdr:nvCxnSpPr>
        <xdr:cNvPr id="860246" name="직선 화살표 연결선 860245"/>
        <xdr:cNvCxnSpPr/>
      </xdr:nvCxnSpPr>
      <xdr:spPr>
        <a:xfrm>
          <a:off x="12298135" y="58654950"/>
          <a:ext cx="39596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382</xdr:row>
      <xdr:rowOff>19050</xdr:rowOff>
    </xdr:from>
    <xdr:to>
      <xdr:col>58</xdr:col>
      <xdr:colOff>123734</xdr:colOff>
      <xdr:row>382</xdr:row>
      <xdr:rowOff>133350</xdr:rowOff>
    </xdr:to>
    <xdr:sp macro="" textlink="">
      <xdr:nvSpPr>
        <xdr:cNvPr id="860247" name="379"/>
        <xdr:cNvSpPr/>
      </xdr:nvSpPr>
      <xdr:spPr>
        <a:xfrm>
          <a:off x="16012886" y="58445400"/>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382</xdr:row>
      <xdr:rowOff>76200</xdr:rowOff>
    </xdr:from>
    <xdr:to>
      <xdr:col>58</xdr:col>
      <xdr:colOff>122464</xdr:colOff>
      <xdr:row>382</xdr:row>
      <xdr:rowOff>76200</xdr:rowOff>
    </xdr:to>
    <xdr:cxnSp macro="">
      <xdr:nvCxnSpPr>
        <xdr:cNvPr id="860248" name="직선 화살표 연결선 860247"/>
        <xdr:cNvCxnSpPr/>
      </xdr:nvCxnSpPr>
      <xdr:spPr>
        <a:xfrm>
          <a:off x="16012886" y="58502550"/>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381</xdr:row>
      <xdr:rowOff>19050</xdr:rowOff>
    </xdr:from>
    <xdr:to>
      <xdr:col>58</xdr:col>
      <xdr:colOff>62502</xdr:colOff>
      <xdr:row>381</xdr:row>
      <xdr:rowOff>133350</xdr:rowOff>
    </xdr:to>
    <xdr:sp macro="" textlink="">
      <xdr:nvSpPr>
        <xdr:cNvPr id="860249" name="378"/>
        <xdr:cNvSpPr/>
      </xdr:nvSpPr>
      <xdr:spPr>
        <a:xfrm>
          <a:off x="16012886" y="58293000"/>
          <a:ext cx="184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381</xdr:row>
      <xdr:rowOff>76200</xdr:rowOff>
    </xdr:from>
    <xdr:to>
      <xdr:col>58</xdr:col>
      <xdr:colOff>61232</xdr:colOff>
      <xdr:row>381</xdr:row>
      <xdr:rowOff>76200</xdr:rowOff>
    </xdr:to>
    <xdr:cxnSp macro="">
      <xdr:nvCxnSpPr>
        <xdr:cNvPr id="860250" name="직선 화살표 연결선 860249"/>
        <xdr:cNvCxnSpPr/>
      </xdr:nvCxnSpPr>
      <xdr:spPr>
        <a:xfrm>
          <a:off x="16012886" y="58350150"/>
          <a:ext cx="1836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380</xdr:row>
      <xdr:rowOff>19050</xdr:rowOff>
    </xdr:from>
    <xdr:to>
      <xdr:col>58</xdr:col>
      <xdr:colOff>123734</xdr:colOff>
      <xdr:row>380</xdr:row>
      <xdr:rowOff>133350</xdr:rowOff>
    </xdr:to>
    <xdr:sp macro="" textlink="">
      <xdr:nvSpPr>
        <xdr:cNvPr id="860251" name="377"/>
        <xdr:cNvSpPr/>
      </xdr:nvSpPr>
      <xdr:spPr>
        <a:xfrm>
          <a:off x="16012886" y="58140600"/>
          <a:ext cx="2461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380</xdr:row>
      <xdr:rowOff>76200</xdr:rowOff>
    </xdr:from>
    <xdr:to>
      <xdr:col>58</xdr:col>
      <xdr:colOff>122464</xdr:colOff>
      <xdr:row>380</xdr:row>
      <xdr:rowOff>76200</xdr:rowOff>
    </xdr:to>
    <xdr:cxnSp macro="">
      <xdr:nvCxnSpPr>
        <xdr:cNvPr id="860252" name="직선 화살표 연결선 860251"/>
        <xdr:cNvCxnSpPr/>
      </xdr:nvCxnSpPr>
      <xdr:spPr>
        <a:xfrm>
          <a:off x="16012886" y="58197750"/>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20411</xdr:colOff>
      <xdr:row>379</xdr:row>
      <xdr:rowOff>19050</xdr:rowOff>
    </xdr:from>
    <xdr:to>
      <xdr:col>52</xdr:col>
      <xdr:colOff>123734</xdr:colOff>
      <xdr:row>379</xdr:row>
      <xdr:rowOff>133350</xdr:rowOff>
    </xdr:to>
    <xdr:sp macro="" textlink="">
      <xdr:nvSpPr>
        <xdr:cNvPr id="860253" name="376"/>
        <xdr:cNvSpPr/>
      </xdr:nvSpPr>
      <xdr:spPr>
        <a:xfrm>
          <a:off x="14869886" y="57988200"/>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20411</xdr:colOff>
      <xdr:row>379</xdr:row>
      <xdr:rowOff>76200</xdr:rowOff>
    </xdr:from>
    <xdr:to>
      <xdr:col>52</xdr:col>
      <xdr:colOff>122464</xdr:colOff>
      <xdr:row>379</xdr:row>
      <xdr:rowOff>76200</xdr:rowOff>
    </xdr:to>
    <xdr:cxnSp macro="">
      <xdr:nvCxnSpPr>
        <xdr:cNvPr id="860254" name="직선 화살표 연결선 860253"/>
        <xdr:cNvCxnSpPr/>
      </xdr:nvCxnSpPr>
      <xdr:spPr>
        <a:xfrm>
          <a:off x="14869886" y="58045350"/>
          <a:ext cx="5306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378</xdr:row>
      <xdr:rowOff>19050</xdr:rowOff>
    </xdr:from>
    <xdr:to>
      <xdr:col>51</xdr:col>
      <xdr:colOff>123734</xdr:colOff>
      <xdr:row>378</xdr:row>
      <xdr:rowOff>133350</xdr:rowOff>
    </xdr:to>
    <xdr:sp macro="" textlink="">
      <xdr:nvSpPr>
        <xdr:cNvPr id="860255" name="375"/>
        <xdr:cNvSpPr/>
      </xdr:nvSpPr>
      <xdr:spPr>
        <a:xfrm>
          <a:off x="13298261" y="57835800"/>
          <a:ext cx="19606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378</xdr:row>
      <xdr:rowOff>76200</xdr:rowOff>
    </xdr:from>
    <xdr:to>
      <xdr:col>51</xdr:col>
      <xdr:colOff>122464</xdr:colOff>
      <xdr:row>378</xdr:row>
      <xdr:rowOff>76200</xdr:rowOff>
    </xdr:to>
    <xdr:cxnSp macro="">
      <xdr:nvCxnSpPr>
        <xdr:cNvPr id="860256" name="직선 화살표 연결선 860255"/>
        <xdr:cNvCxnSpPr/>
      </xdr:nvCxnSpPr>
      <xdr:spPr>
        <a:xfrm>
          <a:off x="13298261" y="57892950"/>
          <a:ext cx="19594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377</xdr:row>
      <xdr:rowOff>19050</xdr:rowOff>
    </xdr:from>
    <xdr:to>
      <xdr:col>50</xdr:col>
      <xdr:colOff>123734</xdr:colOff>
      <xdr:row>377</xdr:row>
      <xdr:rowOff>133350</xdr:rowOff>
    </xdr:to>
    <xdr:sp macro="" textlink="">
      <xdr:nvSpPr>
        <xdr:cNvPr id="860257" name="374"/>
        <xdr:cNvSpPr/>
      </xdr:nvSpPr>
      <xdr:spPr>
        <a:xfrm>
          <a:off x="13012511" y="57683400"/>
          <a:ext cx="21035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377</xdr:row>
      <xdr:rowOff>76200</xdr:rowOff>
    </xdr:from>
    <xdr:to>
      <xdr:col>50</xdr:col>
      <xdr:colOff>122464</xdr:colOff>
      <xdr:row>377</xdr:row>
      <xdr:rowOff>76200</xdr:rowOff>
    </xdr:to>
    <xdr:cxnSp macro="">
      <xdr:nvCxnSpPr>
        <xdr:cNvPr id="860258" name="직선 화살표 연결선 860257"/>
        <xdr:cNvCxnSpPr/>
      </xdr:nvCxnSpPr>
      <xdr:spPr>
        <a:xfrm>
          <a:off x="13012511" y="57740550"/>
          <a:ext cx="21023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376</xdr:row>
      <xdr:rowOff>19050</xdr:rowOff>
    </xdr:from>
    <xdr:to>
      <xdr:col>52</xdr:col>
      <xdr:colOff>123734</xdr:colOff>
      <xdr:row>376</xdr:row>
      <xdr:rowOff>133350</xdr:rowOff>
    </xdr:to>
    <xdr:sp macro="" textlink="">
      <xdr:nvSpPr>
        <xdr:cNvPr id="860259" name="373"/>
        <xdr:cNvSpPr/>
      </xdr:nvSpPr>
      <xdr:spPr>
        <a:xfrm>
          <a:off x="13012511" y="57531000"/>
          <a:ext cx="2389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376</xdr:row>
      <xdr:rowOff>76200</xdr:rowOff>
    </xdr:from>
    <xdr:to>
      <xdr:col>52</xdr:col>
      <xdr:colOff>122464</xdr:colOff>
      <xdr:row>376</xdr:row>
      <xdr:rowOff>76200</xdr:rowOff>
    </xdr:to>
    <xdr:cxnSp macro="">
      <xdr:nvCxnSpPr>
        <xdr:cNvPr id="860260" name="직선 화살표 연결선 860259"/>
        <xdr:cNvCxnSpPr/>
      </xdr:nvCxnSpPr>
      <xdr:spPr>
        <a:xfrm>
          <a:off x="13012511" y="57588150"/>
          <a:ext cx="2388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375</xdr:row>
      <xdr:rowOff>19050</xdr:rowOff>
    </xdr:from>
    <xdr:to>
      <xdr:col>58</xdr:col>
      <xdr:colOff>123734</xdr:colOff>
      <xdr:row>375</xdr:row>
      <xdr:rowOff>133350</xdr:rowOff>
    </xdr:to>
    <xdr:sp macro="" textlink="">
      <xdr:nvSpPr>
        <xdr:cNvPr id="860261" name="372"/>
        <xdr:cNvSpPr/>
      </xdr:nvSpPr>
      <xdr:spPr>
        <a:xfrm>
          <a:off x="13012511" y="57378600"/>
          <a:ext cx="32465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375</xdr:row>
      <xdr:rowOff>76200</xdr:rowOff>
    </xdr:from>
    <xdr:to>
      <xdr:col>58</xdr:col>
      <xdr:colOff>122464</xdr:colOff>
      <xdr:row>375</xdr:row>
      <xdr:rowOff>76200</xdr:rowOff>
    </xdr:to>
    <xdr:cxnSp macro="">
      <xdr:nvCxnSpPr>
        <xdr:cNvPr id="860262" name="직선 화살표 연결선 860261"/>
        <xdr:cNvCxnSpPr/>
      </xdr:nvCxnSpPr>
      <xdr:spPr>
        <a:xfrm>
          <a:off x="13012511" y="57435750"/>
          <a:ext cx="32453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374</xdr:row>
      <xdr:rowOff>19050</xdr:rowOff>
    </xdr:from>
    <xdr:to>
      <xdr:col>41</xdr:col>
      <xdr:colOff>42090</xdr:colOff>
      <xdr:row>374</xdr:row>
      <xdr:rowOff>133350</xdr:rowOff>
    </xdr:to>
    <xdr:sp macro="" textlink="">
      <xdr:nvSpPr>
        <xdr:cNvPr id="860263" name="371"/>
        <xdr:cNvSpPr/>
      </xdr:nvSpPr>
      <xdr:spPr>
        <a:xfrm>
          <a:off x="12869635" y="57226200"/>
          <a:ext cx="8789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374</xdr:row>
      <xdr:rowOff>76200</xdr:rowOff>
    </xdr:from>
    <xdr:to>
      <xdr:col>41</xdr:col>
      <xdr:colOff>40821</xdr:colOff>
      <xdr:row>374</xdr:row>
      <xdr:rowOff>76200</xdr:rowOff>
    </xdr:to>
    <xdr:cxnSp macro="">
      <xdr:nvCxnSpPr>
        <xdr:cNvPr id="860264" name="직선 화살표 연결선 860263"/>
        <xdr:cNvCxnSpPr/>
      </xdr:nvCxnSpPr>
      <xdr:spPr>
        <a:xfrm>
          <a:off x="12869635" y="57283350"/>
          <a:ext cx="8776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20411</xdr:colOff>
      <xdr:row>373</xdr:row>
      <xdr:rowOff>19050</xdr:rowOff>
    </xdr:from>
    <xdr:to>
      <xdr:col>52</xdr:col>
      <xdr:colOff>123734</xdr:colOff>
      <xdr:row>373</xdr:row>
      <xdr:rowOff>133350</xdr:rowOff>
    </xdr:to>
    <xdr:sp macro="" textlink="">
      <xdr:nvSpPr>
        <xdr:cNvPr id="860265" name="370"/>
        <xdr:cNvSpPr/>
      </xdr:nvSpPr>
      <xdr:spPr>
        <a:xfrm>
          <a:off x="15155636" y="57073800"/>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20411</xdr:colOff>
      <xdr:row>373</xdr:row>
      <xdr:rowOff>76200</xdr:rowOff>
    </xdr:from>
    <xdr:to>
      <xdr:col>52</xdr:col>
      <xdr:colOff>122464</xdr:colOff>
      <xdr:row>373</xdr:row>
      <xdr:rowOff>76200</xdr:rowOff>
    </xdr:to>
    <xdr:cxnSp macro="">
      <xdr:nvCxnSpPr>
        <xdr:cNvPr id="860266" name="직선 화살표 연결선 860265"/>
        <xdr:cNvCxnSpPr/>
      </xdr:nvCxnSpPr>
      <xdr:spPr>
        <a:xfrm>
          <a:off x="15155636" y="57130950"/>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372</xdr:row>
      <xdr:rowOff>19050</xdr:rowOff>
    </xdr:from>
    <xdr:to>
      <xdr:col>43</xdr:col>
      <xdr:colOff>82913</xdr:colOff>
      <xdr:row>372</xdr:row>
      <xdr:rowOff>133350</xdr:rowOff>
    </xdr:to>
    <xdr:sp macro="" textlink="">
      <xdr:nvSpPr>
        <xdr:cNvPr id="860267" name="369"/>
        <xdr:cNvSpPr/>
      </xdr:nvSpPr>
      <xdr:spPr>
        <a:xfrm>
          <a:off x="12869635" y="56921400"/>
          <a:ext cx="1205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372</xdr:row>
      <xdr:rowOff>76200</xdr:rowOff>
    </xdr:from>
    <xdr:to>
      <xdr:col>43</xdr:col>
      <xdr:colOff>81643</xdr:colOff>
      <xdr:row>372</xdr:row>
      <xdr:rowOff>76200</xdr:rowOff>
    </xdr:to>
    <xdr:cxnSp macro="">
      <xdr:nvCxnSpPr>
        <xdr:cNvPr id="860268" name="직선 화살표 연결선 860267"/>
        <xdr:cNvCxnSpPr/>
      </xdr:nvCxnSpPr>
      <xdr:spPr>
        <a:xfrm>
          <a:off x="12869635" y="56978550"/>
          <a:ext cx="1204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371</xdr:row>
      <xdr:rowOff>19050</xdr:rowOff>
    </xdr:from>
    <xdr:to>
      <xdr:col>52</xdr:col>
      <xdr:colOff>123734</xdr:colOff>
      <xdr:row>371</xdr:row>
      <xdr:rowOff>133350</xdr:rowOff>
    </xdr:to>
    <xdr:sp macro="" textlink="">
      <xdr:nvSpPr>
        <xdr:cNvPr id="860269" name="368"/>
        <xdr:cNvSpPr/>
      </xdr:nvSpPr>
      <xdr:spPr>
        <a:xfrm>
          <a:off x="12869635" y="56769000"/>
          <a:ext cx="25321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371</xdr:row>
      <xdr:rowOff>76200</xdr:rowOff>
    </xdr:from>
    <xdr:to>
      <xdr:col>52</xdr:col>
      <xdr:colOff>122464</xdr:colOff>
      <xdr:row>371</xdr:row>
      <xdr:rowOff>76200</xdr:rowOff>
    </xdr:to>
    <xdr:cxnSp macro="">
      <xdr:nvCxnSpPr>
        <xdr:cNvPr id="860270" name="직선 화살표 연결선 860269"/>
        <xdr:cNvCxnSpPr/>
      </xdr:nvCxnSpPr>
      <xdr:spPr>
        <a:xfrm>
          <a:off x="12869635" y="56826150"/>
          <a:ext cx="2530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370</xdr:row>
      <xdr:rowOff>19050</xdr:rowOff>
    </xdr:from>
    <xdr:to>
      <xdr:col>39</xdr:col>
      <xdr:colOff>62502</xdr:colOff>
      <xdr:row>370</xdr:row>
      <xdr:rowOff>133350</xdr:rowOff>
    </xdr:to>
    <xdr:sp macro="" textlink="">
      <xdr:nvSpPr>
        <xdr:cNvPr id="860271" name="367"/>
        <xdr:cNvSpPr/>
      </xdr:nvSpPr>
      <xdr:spPr>
        <a:xfrm>
          <a:off x="12298135" y="56616600"/>
          <a:ext cx="1185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370</xdr:row>
      <xdr:rowOff>76200</xdr:rowOff>
    </xdr:from>
    <xdr:to>
      <xdr:col>39</xdr:col>
      <xdr:colOff>61232</xdr:colOff>
      <xdr:row>370</xdr:row>
      <xdr:rowOff>76200</xdr:rowOff>
    </xdr:to>
    <xdr:cxnSp macro="">
      <xdr:nvCxnSpPr>
        <xdr:cNvPr id="860272" name="직선 화살표 연결선 860271"/>
        <xdr:cNvCxnSpPr/>
      </xdr:nvCxnSpPr>
      <xdr:spPr>
        <a:xfrm>
          <a:off x="12298135" y="56673750"/>
          <a:ext cx="1183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369</xdr:row>
      <xdr:rowOff>19050</xdr:rowOff>
    </xdr:from>
    <xdr:to>
      <xdr:col>37</xdr:col>
      <xdr:colOff>42090</xdr:colOff>
      <xdr:row>369</xdr:row>
      <xdr:rowOff>133350</xdr:rowOff>
    </xdr:to>
    <xdr:sp macro="" textlink="">
      <xdr:nvSpPr>
        <xdr:cNvPr id="860273" name="366"/>
        <xdr:cNvSpPr/>
      </xdr:nvSpPr>
      <xdr:spPr>
        <a:xfrm>
          <a:off x="12298135" y="56464200"/>
          <a:ext cx="8789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369</xdr:row>
      <xdr:rowOff>76200</xdr:rowOff>
    </xdr:from>
    <xdr:to>
      <xdr:col>37</xdr:col>
      <xdr:colOff>40821</xdr:colOff>
      <xdr:row>369</xdr:row>
      <xdr:rowOff>76200</xdr:rowOff>
    </xdr:to>
    <xdr:cxnSp macro="">
      <xdr:nvCxnSpPr>
        <xdr:cNvPr id="860274" name="직선 화살표 연결선 860273"/>
        <xdr:cNvCxnSpPr/>
      </xdr:nvCxnSpPr>
      <xdr:spPr>
        <a:xfrm>
          <a:off x="12298135" y="56521350"/>
          <a:ext cx="8776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368</xdr:row>
      <xdr:rowOff>19050</xdr:rowOff>
    </xdr:from>
    <xdr:to>
      <xdr:col>39</xdr:col>
      <xdr:colOff>62502</xdr:colOff>
      <xdr:row>368</xdr:row>
      <xdr:rowOff>133350</xdr:rowOff>
    </xdr:to>
    <xdr:sp macro="" textlink="">
      <xdr:nvSpPr>
        <xdr:cNvPr id="860275" name="365"/>
        <xdr:cNvSpPr/>
      </xdr:nvSpPr>
      <xdr:spPr>
        <a:xfrm>
          <a:off x="12298135" y="56311800"/>
          <a:ext cx="11850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368</xdr:row>
      <xdr:rowOff>76200</xdr:rowOff>
    </xdr:from>
    <xdr:to>
      <xdr:col>39</xdr:col>
      <xdr:colOff>61232</xdr:colOff>
      <xdr:row>368</xdr:row>
      <xdr:rowOff>76200</xdr:rowOff>
    </xdr:to>
    <xdr:cxnSp macro="">
      <xdr:nvCxnSpPr>
        <xdr:cNvPr id="860276" name="직선 화살표 연결선 860275"/>
        <xdr:cNvCxnSpPr/>
      </xdr:nvCxnSpPr>
      <xdr:spPr>
        <a:xfrm>
          <a:off x="12298135" y="56368950"/>
          <a:ext cx="1183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367</xdr:row>
      <xdr:rowOff>19050</xdr:rowOff>
    </xdr:from>
    <xdr:to>
      <xdr:col>58</xdr:col>
      <xdr:colOff>123734</xdr:colOff>
      <xdr:row>367</xdr:row>
      <xdr:rowOff>133350</xdr:rowOff>
    </xdr:to>
    <xdr:sp macro="" textlink="">
      <xdr:nvSpPr>
        <xdr:cNvPr id="860277" name="364"/>
        <xdr:cNvSpPr/>
      </xdr:nvSpPr>
      <xdr:spPr>
        <a:xfrm>
          <a:off x="12298135" y="56159400"/>
          <a:ext cx="3960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367</xdr:row>
      <xdr:rowOff>76200</xdr:rowOff>
    </xdr:from>
    <xdr:to>
      <xdr:col>58</xdr:col>
      <xdr:colOff>122464</xdr:colOff>
      <xdr:row>367</xdr:row>
      <xdr:rowOff>76200</xdr:rowOff>
    </xdr:to>
    <xdr:cxnSp macro="">
      <xdr:nvCxnSpPr>
        <xdr:cNvPr id="860278" name="직선 화살표 연결선 860277"/>
        <xdr:cNvCxnSpPr/>
      </xdr:nvCxnSpPr>
      <xdr:spPr>
        <a:xfrm>
          <a:off x="12298135" y="56216550"/>
          <a:ext cx="39596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366</xdr:row>
      <xdr:rowOff>19050</xdr:rowOff>
    </xdr:from>
    <xdr:to>
      <xdr:col>58</xdr:col>
      <xdr:colOff>123734</xdr:colOff>
      <xdr:row>366</xdr:row>
      <xdr:rowOff>133350</xdr:rowOff>
    </xdr:to>
    <xdr:sp macro="" textlink="">
      <xdr:nvSpPr>
        <xdr:cNvPr id="860279" name="363"/>
        <xdr:cNvSpPr/>
      </xdr:nvSpPr>
      <xdr:spPr>
        <a:xfrm>
          <a:off x="16012886" y="56007000"/>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366</xdr:row>
      <xdr:rowOff>76200</xdr:rowOff>
    </xdr:from>
    <xdr:to>
      <xdr:col>58</xdr:col>
      <xdr:colOff>122464</xdr:colOff>
      <xdr:row>366</xdr:row>
      <xdr:rowOff>76200</xdr:rowOff>
    </xdr:to>
    <xdr:cxnSp macro="">
      <xdr:nvCxnSpPr>
        <xdr:cNvPr id="860280" name="직선 화살표 연결선 860279"/>
        <xdr:cNvCxnSpPr/>
      </xdr:nvCxnSpPr>
      <xdr:spPr>
        <a:xfrm>
          <a:off x="16012886" y="56064150"/>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365</xdr:row>
      <xdr:rowOff>19050</xdr:rowOff>
    </xdr:from>
    <xdr:to>
      <xdr:col>49</xdr:col>
      <xdr:colOff>123734</xdr:colOff>
      <xdr:row>365</xdr:row>
      <xdr:rowOff>133350</xdr:rowOff>
    </xdr:to>
    <xdr:sp macro="" textlink="">
      <xdr:nvSpPr>
        <xdr:cNvPr id="860281" name="362"/>
        <xdr:cNvSpPr/>
      </xdr:nvSpPr>
      <xdr:spPr>
        <a:xfrm>
          <a:off x="14298386" y="55854600"/>
          <a:ext cx="6748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365</xdr:row>
      <xdr:rowOff>76200</xdr:rowOff>
    </xdr:from>
    <xdr:to>
      <xdr:col>49</xdr:col>
      <xdr:colOff>122464</xdr:colOff>
      <xdr:row>365</xdr:row>
      <xdr:rowOff>76200</xdr:rowOff>
    </xdr:to>
    <xdr:cxnSp macro="">
      <xdr:nvCxnSpPr>
        <xdr:cNvPr id="860282" name="직선 화살표 연결선 860281"/>
        <xdr:cNvCxnSpPr/>
      </xdr:nvCxnSpPr>
      <xdr:spPr>
        <a:xfrm>
          <a:off x="14298386" y="55911750"/>
          <a:ext cx="6735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20411</xdr:colOff>
      <xdr:row>364</xdr:row>
      <xdr:rowOff>19050</xdr:rowOff>
    </xdr:from>
    <xdr:to>
      <xdr:col>56</xdr:col>
      <xdr:colOff>123734</xdr:colOff>
      <xdr:row>364</xdr:row>
      <xdr:rowOff>133350</xdr:rowOff>
    </xdr:to>
    <xdr:sp macro="" textlink="">
      <xdr:nvSpPr>
        <xdr:cNvPr id="860283" name="361"/>
        <xdr:cNvSpPr/>
      </xdr:nvSpPr>
      <xdr:spPr>
        <a:xfrm>
          <a:off x="15298511" y="55702200"/>
          <a:ext cx="6748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20411</xdr:colOff>
      <xdr:row>364</xdr:row>
      <xdr:rowOff>76200</xdr:rowOff>
    </xdr:from>
    <xdr:to>
      <xdr:col>56</xdr:col>
      <xdr:colOff>122464</xdr:colOff>
      <xdr:row>364</xdr:row>
      <xdr:rowOff>76200</xdr:rowOff>
    </xdr:to>
    <xdr:cxnSp macro="">
      <xdr:nvCxnSpPr>
        <xdr:cNvPr id="860284" name="직선 화살표 연결선 860283"/>
        <xdr:cNvCxnSpPr/>
      </xdr:nvCxnSpPr>
      <xdr:spPr>
        <a:xfrm>
          <a:off x="15298511" y="55759350"/>
          <a:ext cx="6735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20411</xdr:colOff>
      <xdr:row>363</xdr:row>
      <xdr:rowOff>19050</xdr:rowOff>
    </xdr:from>
    <xdr:to>
      <xdr:col>53</xdr:col>
      <xdr:colOff>123734</xdr:colOff>
      <xdr:row>363</xdr:row>
      <xdr:rowOff>133350</xdr:rowOff>
    </xdr:to>
    <xdr:sp macro="" textlink="">
      <xdr:nvSpPr>
        <xdr:cNvPr id="860285" name="360"/>
        <xdr:cNvSpPr/>
      </xdr:nvSpPr>
      <xdr:spPr>
        <a:xfrm>
          <a:off x="15155636" y="55549800"/>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20411</xdr:colOff>
      <xdr:row>363</xdr:row>
      <xdr:rowOff>76200</xdr:rowOff>
    </xdr:from>
    <xdr:to>
      <xdr:col>53</xdr:col>
      <xdr:colOff>122464</xdr:colOff>
      <xdr:row>363</xdr:row>
      <xdr:rowOff>76200</xdr:rowOff>
    </xdr:to>
    <xdr:cxnSp macro="">
      <xdr:nvCxnSpPr>
        <xdr:cNvPr id="860286" name="직선 화살표 연결선 860285"/>
        <xdr:cNvCxnSpPr/>
      </xdr:nvCxnSpPr>
      <xdr:spPr>
        <a:xfrm>
          <a:off x="15155636" y="55606950"/>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362</xdr:row>
      <xdr:rowOff>19050</xdr:rowOff>
    </xdr:from>
    <xdr:to>
      <xdr:col>47</xdr:col>
      <xdr:colOff>123734</xdr:colOff>
      <xdr:row>362</xdr:row>
      <xdr:rowOff>133350</xdr:rowOff>
    </xdr:to>
    <xdr:sp macro="" textlink="">
      <xdr:nvSpPr>
        <xdr:cNvPr id="860287" name="359"/>
        <xdr:cNvSpPr/>
      </xdr:nvSpPr>
      <xdr:spPr>
        <a:xfrm>
          <a:off x="14298386" y="55397400"/>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362</xdr:row>
      <xdr:rowOff>76200</xdr:rowOff>
    </xdr:from>
    <xdr:to>
      <xdr:col>47</xdr:col>
      <xdr:colOff>122464</xdr:colOff>
      <xdr:row>362</xdr:row>
      <xdr:rowOff>76200</xdr:rowOff>
    </xdr:to>
    <xdr:cxnSp macro="">
      <xdr:nvCxnSpPr>
        <xdr:cNvPr id="860288" name="직선 화살표 연결선 860287"/>
        <xdr:cNvCxnSpPr/>
      </xdr:nvCxnSpPr>
      <xdr:spPr>
        <a:xfrm>
          <a:off x="14298386" y="55454550"/>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361</xdr:row>
      <xdr:rowOff>19050</xdr:rowOff>
    </xdr:from>
    <xdr:to>
      <xdr:col>58</xdr:col>
      <xdr:colOff>123734</xdr:colOff>
      <xdr:row>361</xdr:row>
      <xdr:rowOff>133350</xdr:rowOff>
    </xdr:to>
    <xdr:sp macro="" textlink="">
      <xdr:nvSpPr>
        <xdr:cNvPr id="860289" name="358"/>
        <xdr:cNvSpPr/>
      </xdr:nvSpPr>
      <xdr:spPr>
        <a:xfrm>
          <a:off x="14298386" y="55245000"/>
          <a:ext cx="19606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361</xdr:row>
      <xdr:rowOff>76200</xdr:rowOff>
    </xdr:from>
    <xdr:to>
      <xdr:col>58</xdr:col>
      <xdr:colOff>122464</xdr:colOff>
      <xdr:row>361</xdr:row>
      <xdr:rowOff>76200</xdr:rowOff>
    </xdr:to>
    <xdr:cxnSp macro="">
      <xdr:nvCxnSpPr>
        <xdr:cNvPr id="860290" name="직선 화살표 연결선 860289"/>
        <xdr:cNvCxnSpPr/>
      </xdr:nvCxnSpPr>
      <xdr:spPr>
        <a:xfrm>
          <a:off x="14298386" y="55302150"/>
          <a:ext cx="19594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20411</xdr:colOff>
      <xdr:row>360</xdr:row>
      <xdr:rowOff>19050</xdr:rowOff>
    </xdr:from>
    <xdr:to>
      <xdr:col>56</xdr:col>
      <xdr:colOff>123734</xdr:colOff>
      <xdr:row>360</xdr:row>
      <xdr:rowOff>133350</xdr:rowOff>
    </xdr:to>
    <xdr:sp macro="" textlink="">
      <xdr:nvSpPr>
        <xdr:cNvPr id="860291" name="357"/>
        <xdr:cNvSpPr/>
      </xdr:nvSpPr>
      <xdr:spPr>
        <a:xfrm>
          <a:off x="15870011" y="550926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20411</xdr:colOff>
      <xdr:row>360</xdr:row>
      <xdr:rowOff>76200</xdr:rowOff>
    </xdr:from>
    <xdr:to>
      <xdr:col>56</xdr:col>
      <xdr:colOff>122464</xdr:colOff>
      <xdr:row>360</xdr:row>
      <xdr:rowOff>76200</xdr:rowOff>
    </xdr:to>
    <xdr:cxnSp macro="">
      <xdr:nvCxnSpPr>
        <xdr:cNvPr id="860292" name="직선 화살표 연결선 860291"/>
        <xdr:cNvCxnSpPr/>
      </xdr:nvCxnSpPr>
      <xdr:spPr>
        <a:xfrm>
          <a:off x="15870011" y="551497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20411</xdr:colOff>
      <xdr:row>359</xdr:row>
      <xdr:rowOff>19050</xdr:rowOff>
    </xdr:from>
    <xdr:to>
      <xdr:col>55</xdr:col>
      <xdr:colOff>123734</xdr:colOff>
      <xdr:row>359</xdr:row>
      <xdr:rowOff>133350</xdr:rowOff>
    </xdr:to>
    <xdr:sp macro="" textlink="">
      <xdr:nvSpPr>
        <xdr:cNvPr id="860293" name="356"/>
        <xdr:cNvSpPr/>
      </xdr:nvSpPr>
      <xdr:spPr>
        <a:xfrm>
          <a:off x="15298511" y="54940200"/>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20411</xdr:colOff>
      <xdr:row>359</xdr:row>
      <xdr:rowOff>76200</xdr:rowOff>
    </xdr:from>
    <xdr:to>
      <xdr:col>55</xdr:col>
      <xdr:colOff>122464</xdr:colOff>
      <xdr:row>359</xdr:row>
      <xdr:rowOff>76200</xdr:rowOff>
    </xdr:to>
    <xdr:cxnSp macro="">
      <xdr:nvCxnSpPr>
        <xdr:cNvPr id="860294" name="직선 화살표 연결선 860293"/>
        <xdr:cNvCxnSpPr/>
      </xdr:nvCxnSpPr>
      <xdr:spPr>
        <a:xfrm>
          <a:off x="15298511" y="54997350"/>
          <a:ext cx="5306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20411</xdr:colOff>
      <xdr:row>358</xdr:row>
      <xdr:rowOff>14288</xdr:rowOff>
    </xdr:from>
    <xdr:to>
      <xdr:col>56</xdr:col>
      <xdr:colOff>123734</xdr:colOff>
      <xdr:row>358</xdr:row>
      <xdr:rowOff>128588</xdr:rowOff>
    </xdr:to>
    <xdr:sp macro="" textlink="">
      <xdr:nvSpPr>
        <xdr:cNvPr id="860295" name="355"/>
        <xdr:cNvSpPr/>
      </xdr:nvSpPr>
      <xdr:spPr>
        <a:xfrm>
          <a:off x="15298511" y="54792563"/>
          <a:ext cx="6748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20411</xdr:colOff>
      <xdr:row>358</xdr:row>
      <xdr:rowOff>71438</xdr:rowOff>
    </xdr:from>
    <xdr:to>
      <xdr:col>56</xdr:col>
      <xdr:colOff>122464</xdr:colOff>
      <xdr:row>358</xdr:row>
      <xdr:rowOff>71438</xdr:rowOff>
    </xdr:to>
    <xdr:cxnSp macro="">
      <xdr:nvCxnSpPr>
        <xdr:cNvPr id="860296" name="직선 화살표 연결선 860295"/>
        <xdr:cNvCxnSpPr/>
      </xdr:nvCxnSpPr>
      <xdr:spPr>
        <a:xfrm>
          <a:off x="15298511" y="54849713"/>
          <a:ext cx="6735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20411</xdr:colOff>
      <xdr:row>357</xdr:row>
      <xdr:rowOff>19050</xdr:rowOff>
    </xdr:from>
    <xdr:to>
      <xdr:col>53</xdr:col>
      <xdr:colOff>42090</xdr:colOff>
      <xdr:row>357</xdr:row>
      <xdr:rowOff>133350</xdr:rowOff>
    </xdr:to>
    <xdr:sp macro="" textlink="">
      <xdr:nvSpPr>
        <xdr:cNvPr id="860297" name="354"/>
        <xdr:cNvSpPr/>
      </xdr:nvSpPr>
      <xdr:spPr>
        <a:xfrm>
          <a:off x="15012761" y="54644925"/>
          <a:ext cx="4503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20411</xdr:colOff>
      <xdr:row>357</xdr:row>
      <xdr:rowOff>76200</xdr:rowOff>
    </xdr:from>
    <xdr:to>
      <xdr:col>53</xdr:col>
      <xdr:colOff>40821</xdr:colOff>
      <xdr:row>357</xdr:row>
      <xdr:rowOff>76200</xdr:rowOff>
    </xdr:to>
    <xdr:cxnSp macro="">
      <xdr:nvCxnSpPr>
        <xdr:cNvPr id="860298" name="직선 화살표 연결선 860297"/>
        <xdr:cNvCxnSpPr/>
      </xdr:nvCxnSpPr>
      <xdr:spPr>
        <a:xfrm>
          <a:off x="15012761" y="54702075"/>
          <a:ext cx="4490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20411</xdr:colOff>
      <xdr:row>356</xdr:row>
      <xdr:rowOff>19050</xdr:rowOff>
    </xdr:from>
    <xdr:to>
      <xdr:col>57</xdr:col>
      <xdr:colOff>123734</xdr:colOff>
      <xdr:row>356</xdr:row>
      <xdr:rowOff>133350</xdr:rowOff>
    </xdr:to>
    <xdr:sp macro="" textlink="">
      <xdr:nvSpPr>
        <xdr:cNvPr id="860299" name="353"/>
        <xdr:cNvSpPr/>
      </xdr:nvSpPr>
      <xdr:spPr>
        <a:xfrm>
          <a:off x="14584136" y="54492525"/>
          <a:ext cx="1532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20411</xdr:colOff>
      <xdr:row>356</xdr:row>
      <xdr:rowOff>76200</xdr:rowOff>
    </xdr:from>
    <xdr:to>
      <xdr:col>57</xdr:col>
      <xdr:colOff>122464</xdr:colOff>
      <xdr:row>356</xdr:row>
      <xdr:rowOff>76200</xdr:rowOff>
    </xdr:to>
    <xdr:cxnSp macro="">
      <xdr:nvCxnSpPr>
        <xdr:cNvPr id="860300" name="직선 화살표 연결선 860299"/>
        <xdr:cNvCxnSpPr/>
      </xdr:nvCxnSpPr>
      <xdr:spPr>
        <a:xfrm>
          <a:off x="14584136" y="54549675"/>
          <a:ext cx="1530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355</xdr:row>
      <xdr:rowOff>19050</xdr:rowOff>
    </xdr:from>
    <xdr:to>
      <xdr:col>46</xdr:col>
      <xdr:colOff>123734</xdr:colOff>
      <xdr:row>355</xdr:row>
      <xdr:rowOff>133350</xdr:rowOff>
    </xdr:to>
    <xdr:sp macro="" textlink="">
      <xdr:nvSpPr>
        <xdr:cNvPr id="860301" name="352"/>
        <xdr:cNvSpPr/>
      </xdr:nvSpPr>
      <xdr:spPr>
        <a:xfrm>
          <a:off x="13298261" y="54340125"/>
          <a:ext cx="1246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355</xdr:row>
      <xdr:rowOff>76200</xdr:rowOff>
    </xdr:from>
    <xdr:to>
      <xdr:col>46</xdr:col>
      <xdr:colOff>122464</xdr:colOff>
      <xdr:row>355</xdr:row>
      <xdr:rowOff>76200</xdr:rowOff>
    </xdr:to>
    <xdr:cxnSp macro="">
      <xdr:nvCxnSpPr>
        <xdr:cNvPr id="860302" name="직선 화살표 연결선 860301"/>
        <xdr:cNvCxnSpPr/>
      </xdr:nvCxnSpPr>
      <xdr:spPr>
        <a:xfrm>
          <a:off x="13298261" y="54397275"/>
          <a:ext cx="1245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20411</xdr:colOff>
      <xdr:row>354</xdr:row>
      <xdr:rowOff>19050</xdr:rowOff>
    </xdr:from>
    <xdr:to>
      <xdr:col>42</xdr:col>
      <xdr:colOff>123734</xdr:colOff>
      <xdr:row>354</xdr:row>
      <xdr:rowOff>133350</xdr:rowOff>
    </xdr:to>
    <xdr:sp macro="" textlink="">
      <xdr:nvSpPr>
        <xdr:cNvPr id="860303" name="351"/>
        <xdr:cNvSpPr/>
      </xdr:nvSpPr>
      <xdr:spPr>
        <a:xfrm>
          <a:off x="13584011" y="54187725"/>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20411</xdr:colOff>
      <xdr:row>354</xdr:row>
      <xdr:rowOff>76200</xdr:rowOff>
    </xdr:from>
    <xdr:to>
      <xdr:col>42</xdr:col>
      <xdr:colOff>122464</xdr:colOff>
      <xdr:row>354</xdr:row>
      <xdr:rowOff>76200</xdr:rowOff>
    </xdr:to>
    <xdr:cxnSp macro="">
      <xdr:nvCxnSpPr>
        <xdr:cNvPr id="860304" name="직선 화살표 연결선 860303"/>
        <xdr:cNvCxnSpPr/>
      </xdr:nvCxnSpPr>
      <xdr:spPr>
        <a:xfrm>
          <a:off x="13584011" y="54244875"/>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20411</xdr:colOff>
      <xdr:row>353</xdr:row>
      <xdr:rowOff>19050</xdr:rowOff>
    </xdr:from>
    <xdr:to>
      <xdr:col>56</xdr:col>
      <xdr:colOff>123734</xdr:colOff>
      <xdr:row>353</xdr:row>
      <xdr:rowOff>133350</xdr:rowOff>
    </xdr:to>
    <xdr:sp macro="" textlink="">
      <xdr:nvSpPr>
        <xdr:cNvPr id="860305" name="350"/>
        <xdr:cNvSpPr/>
      </xdr:nvSpPr>
      <xdr:spPr>
        <a:xfrm>
          <a:off x="15298511" y="54035325"/>
          <a:ext cx="6748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20411</xdr:colOff>
      <xdr:row>353</xdr:row>
      <xdr:rowOff>76200</xdr:rowOff>
    </xdr:from>
    <xdr:to>
      <xdr:col>56</xdr:col>
      <xdr:colOff>122464</xdr:colOff>
      <xdr:row>353</xdr:row>
      <xdr:rowOff>76200</xdr:rowOff>
    </xdr:to>
    <xdr:cxnSp macro="">
      <xdr:nvCxnSpPr>
        <xdr:cNvPr id="860306" name="직선 화살표 연결선 860305"/>
        <xdr:cNvCxnSpPr/>
      </xdr:nvCxnSpPr>
      <xdr:spPr>
        <a:xfrm>
          <a:off x="15298511" y="54092475"/>
          <a:ext cx="6735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20411</xdr:colOff>
      <xdr:row>352</xdr:row>
      <xdr:rowOff>19050</xdr:rowOff>
    </xdr:from>
    <xdr:to>
      <xdr:col>51</xdr:col>
      <xdr:colOff>123734</xdr:colOff>
      <xdr:row>352</xdr:row>
      <xdr:rowOff>133350</xdr:rowOff>
    </xdr:to>
    <xdr:sp macro="" textlink="">
      <xdr:nvSpPr>
        <xdr:cNvPr id="860307" name="349"/>
        <xdr:cNvSpPr/>
      </xdr:nvSpPr>
      <xdr:spPr>
        <a:xfrm>
          <a:off x="13869761" y="53882925"/>
          <a:ext cx="1389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20411</xdr:colOff>
      <xdr:row>352</xdr:row>
      <xdr:rowOff>76200</xdr:rowOff>
    </xdr:from>
    <xdr:to>
      <xdr:col>51</xdr:col>
      <xdr:colOff>122464</xdr:colOff>
      <xdr:row>352</xdr:row>
      <xdr:rowOff>76200</xdr:rowOff>
    </xdr:to>
    <xdr:cxnSp macro="">
      <xdr:nvCxnSpPr>
        <xdr:cNvPr id="860308" name="직선 화살표 연결선 860307"/>
        <xdr:cNvCxnSpPr/>
      </xdr:nvCxnSpPr>
      <xdr:spPr>
        <a:xfrm>
          <a:off x="13869761" y="53940075"/>
          <a:ext cx="1387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351</xdr:row>
      <xdr:rowOff>19050</xdr:rowOff>
    </xdr:from>
    <xdr:to>
      <xdr:col>47</xdr:col>
      <xdr:colOff>123734</xdr:colOff>
      <xdr:row>351</xdr:row>
      <xdr:rowOff>133350</xdr:rowOff>
    </xdr:to>
    <xdr:sp macro="" textlink="">
      <xdr:nvSpPr>
        <xdr:cNvPr id="860309" name="348"/>
        <xdr:cNvSpPr/>
      </xdr:nvSpPr>
      <xdr:spPr>
        <a:xfrm>
          <a:off x="13441136" y="53730525"/>
          <a:ext cx="1246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351</xdr:row>
      <xdr:rowOff>76200</xdr:rowOff>
    </xdr:from>
    <xdr:to>
      <xdr:col>47</xdr:col>
      <xdr:colOff>122464</xdr:colOff>
      <xdr:row>351</xdr:row>
      <xdr:rowOff>76200</xdr:rowOff>
    </xdr:to>
    <xdr:cxnSp macro="">
      <xdr:nvCxnSpPr>
        <xdr:cNvPr id="860310" name="직선 화살표 연결선 860309"/>
        <xdr:cNvCxnSpPr/>
      </xdr:nvCxnSpPr>
      <xdr:spPr>
        <a:xfrm>
          <a:off x="13441136" y="53787675"/>
          <a:ext cx="1245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20411</xdr:colOff>
      <xdr:row>350</xdr:row>
      <xdr:rowOff>19050</xdr:rowOff>
    </xdr:from>
    <xdr:to>
      <xdr:col>43</xdr:col>
      <xdr:colOff>123734</xdr:colOff>
      <xdr:row>350</xdr:row>
      <xdr:rowOff>133350</xdr:rowOff>
    </xdr:to>
    <xdr:sp macro="" textlink="">
      <xdr:nvSpPr>
        <xdr:cNvPr id="860311" name="347"/>
        <xdr:cNvSpPr/>
      </xdr:nvSpPr>
      <xdr:spPr>
        <a:xfrm>
          <a:off x="13584011" y="535781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20411</xdr:colOff>
      <xdr:row>350</xdr:row>
      <xdr:rowOff>76200</xdr:rowOff>
    </xdr:from>
    <xdr:to>
      <xdr:col>43</xdr:col>
      <xdr:colOff>122464</xdr:colOff>
      <xdr:row>350</xdr:row>
      <xdr:rowOff>76200</xdr:rowOff>
    </xdr:to>
    <xdr:cxnSp macro="">
      <xdr:nvCxnSpPr>
        <xdr:cNvPr id="860312" name="직선 화살표 연결선 860311"/>
        <xdr:cNvCxnSpPr/>
      </xdr:nvCxnSpPr>
      <xdr:spPr>
        <a:xfrm>
          <a:off x="13584011" y="53635275"/>
          <a:ext cx="5306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20411</xdr:colOff>
      <xdr:row>349</xdr:row>
      <xdr:rowOff>19050</xdr:rowOff>
    </xdr:from>
    <xdr:to>
      <xdr:col>47</xdr:col>
      <xdr:colOff>123734</xdr:colOff>
      <xdr:row>349</xdr:row>
      <xdr:rowOff>133350</xdr:rowOff>
    </xdr:to>
    <xdr:sp macro="" textlink="">
      <xdr:nvSpPr>
        <xdr:cNvPr id="860313" name="346"/>
        <xdr:cNvSpPr/>
      </xdr:nvSpPr>
      <xdr:spPr>
        <a:xfrm>
          <a:off x="13584011" y="53425725"/>
          <a:ext cx="11034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20411</xdr:colOff>
      <xdr:row>349</xdr:row>
      <xdr:rowOff>76200</xdr:rowOff>
    </xdr:from>
    <xdr:to>
      <xdr:col>47</xdr:col>
      <xdr:colOff>122464</xdr:colOff>
      <xdr:row>349</xdr:row>
      <xdr:rowOff>76200</xdr:rowOff>
    </xdr:to>
    <xdr:cxnSp macro="">
      <xdr:nvCxnSpPr>
        <xdr:cNvPr id="860314" name="직선 화살표 연결선 860313"/>
        <xdr:cNvCxnSpPr/>
      </xdr:nvCxnSpPr>
      <xdr:spPr>
        <a:xfrm>
          <a:off x="13584011" y="53482875"/>
          <a:ext cx="11021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348</xdr:row>
      <xdr:rowOff>19050</xdr:rowOff>
    </xdr:from>
    <xdr:to>
      <xdr:col>38</xdr:col>
      <xdr:colOff>123734</xdr:colOff>
      <xdr:row>348</xdr:row>
      <xdr:rowOff>133350</xdr:rowOff>
    </xdr:to>
    <xdr:sp macro="" textlink="">
      <xdr:nvSpPr>
        <xdr:cNvPr id="860315" name="345"/>
        <xdr:cNvSpPr/>
      </xdr:nvSpPr>
      <xdr:spPr>
        <a:xfrm>
          <a:off x="13155386" y="53273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348</xdr:row>
      <xdr:rowOff>76200</xdr:rowOff>
    </xdr:from>
    <xdr:to>
      <xdr:col>38</xdr:col>
      <xdr:colOff>122464</xdr:colOff>
      <xdr:row>348</xdr:row>
      <xdr:rowOff>76200</xdr:rowOff>
    </xdr:to>
    <xdr:cxnSp macro="">
      <xdr:nvCxnSpPr>
        <xdr:cNvPr id="860316" name="직선 화살표 연결선 860315"/>
        <xdr:cNvCxnSpPr/>
      </xdr:nvCxnSpPr>
      <xdr:spPr>
        <a:xfrm>
          <a:off x="13155386" y="533304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20411</xdr:colOff>
      <xdr:row>347</xdr:row>
      <xdr:rowOff>19050</xdr:rowOff>
    </xdr:from>
    <xdr:to>
      <xdr:col>47</xdr:col>
      <xdr:colOff>42090</xdr:colOff>
      <xdr:row>347</xdr:row>
      <xdr:rowOff>133350</xdr:rowOff>
    </xdr:to>
    <xdr:sp macro="" textlink="">
      <xdr:nvSpPr>
        <xdr:cNvPr id="860317" name="344"/>
        <xdr:cNvSpPr/>
      </xdr:nvSpPr>
      <xdr:spPr>
        <a:xfrm>
          <a:off x="13726886" y="53120925"/>
          <a:ext cx="8789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20411</xdr:colOff>
      <xdr:row>347</xdr:row>
      <xdr:rowOff>76200</xdr:rowOff>
    </xdr:from>
    <xdr:to>
      <xdr:col>47</xdr:col>
      <xdr:colOff>40821</xdr:colOff>
      <xdr:row>347</xdr:row>
      <xdr:rowOff>76200</xdr:rowOff>
    </xdr:to>
    <xdr:cxnSp macro="">
      <xdr:nvCxnSpPr>
        <xdr:cNvPr id="860318" name="직선 화살표 연결선 860317"/>
        <xdr:cNvCxnSpPr/>
      </xdr:nvCxnSpPr>
      <xdr:spPr>
        <a:xfrm>
          <a:off x="13726886" y="53178075"/>
          <a:ext cx="8776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346</xdr:row>
      <xdr:rowOff>19050</xdr:rowOff>
    </xdr:from>
    <xdr:to>
      <xdr:col>57</xdr:col>
      <xdr:colOff>123734</xdr:colOff>
      <xdr:row>346</xdr:row>
      <xdr:rowOff>133350</xdr:rowOff>
    </xdr:to>
    <xdr:sp macro="" textlink="">
      <xdr:nvSpPr>
        <xdr:cNvPr id="860319" name="343"/>
        <xdr:cNvSpPr/>
      </xdr:nvSpPr>
      <xdr:spPr>
        <a:xfrm>
          <a:off x="13155386" y="52968525"/>
          <a:ext cx="29608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346</xdr:row>
      <xdr:rowOff>76200</xdr:rowOff>
    </xdr:from>
    <xdr:to>
      <xdr:col>57</xdr:col>
      <xdr:colOff>122464</xdr:colOff>
      <xdr:row>346</xdr:row>
      <xdr:rowOff>76200</xdr:rowOff>
    </xdr:to>
    <xdr:cxnSp macro="">
      <xdr:nvCxnSpPr>
        <xdr:cNvPr id="860320" name="직선 화살표 연결선 860319"/>
        <xdr:cNvCxnSpPr/>
      </xdr:nvCxnSpPr>
      <xdr:spPr>
        <a:xfrm>
          <a:off x="13155386" y="53025675"/>
          <a:ext cx="29595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345</xdr:row>
      <xdr:rowOff>19050</xdr:rowOff>
    </xdr:from>
    <xdr:to>
      <xdr:col>58</xdr:col>
      <xdr:colOff>123734</xdr:colOff>
      <xdr:row>345</xdr:row>
      <xdr:rowOff>133350</xdr:rowOff>
    </xdr:to>
    <xdr:sp macro="" textlink="">
      <xdr:nvSpPr>
        <xdr:cNvPr id="860321" name="342"/>
        <xdr:cNvSpPr/>
      </xdr:nvSpPr>
      <xdr:spPr>
        <a:xfrm>
          <a:off x="13155386" y="52816125"/>
          <a:ext cx="31036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345</xdr:row>
      <xdr:rowOff>76200</xdr:rowOff>
    </xdr:from>
    <xdr:to>
      <xdr:col>58</xdr:col>
      <xdr:colOff>122464</xdr:colOff>
      <xdr:row>345</xdr:row>
      <xdr:rowOff>76200</xdr:rowOff>
    </xdr:to>
    <xdr:cxnSp macro="">
      <xdr:nvCxnSpPr>
        <xdr:cNvPr id="860322" name="직선 화살표 연결선 860321"/>
        <xdr:cNvCxnSpPr/>
      </xdr:nvCxnSpPr>
      <xdr:spPr>
        <a:xfrm>
          <a:off x="13155386" y="52873275"/>
          <a:ext cx="31024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344</xdr:row>
      <xdr:rowOff>19050</xdr:rowOff>
    </xdr:from>
    <xdr:to>
      <xdr:col>41</xdr:col>
      <xdr:colOff>42090</xdr:colOff>
      <xdr:row>344</xdr:row>
      <xdr:rowOff>133350</xdr:rowOff>
    </xdr:to>
    <xdr:sp macro="" textlink="">
      <xdr:nvSpPr>
        <xdr:cNvPr id="860323" name="341"/>
        <xdr:cNvSpPr/>
      </xdr:nvSpPr>
      <xdr:spPr>
        <a:xfrm>
          <a:off x="12869635" y="52663725"/>
          <a:ext cx="8789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344</xdr:row>
      <xdr:rowOff>76200</xdr:rowOff>
    </xdr:from>
    <xdr:to>
      <xdr:col>41</xdr:col>
      <xdr:colOff>40821</xdr:colOff>
      <xdr:row>344</xdr:row>
      <xdr:rowOff>76200</xdr:rowOff>
    </xdr:to>
    <xdr:cxnSp macro="">
      <xdr:nvCxnSpPr>
        <xdr:cNvPr id="860324" name="직선 화살표 연결선 860323"/>
        <xdr:cNvCxnSpPr/>
      </xdr:nvCxnSpPr>
      <xdr:spPr>
        <a:xfrm>
          <a:off x="12869635" y="52720875"/>
          <a:ext cx="8776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343</xdr:row>
      <xdr:rowOff>19050</xdr:rowOff>
    </xdr:from>
    <xdr:to>
      <xdr:col>40</xdr:col>
      <xdr:colOff>123734</xdr:colOff>
      <xdr:row>343</xdr:row>
      <xdr:rowOff>133350</xdr:rowOff>
    </xdr:to>
    <xdr:sp macro="" textlink="">
      <xdr:nvSpPr>
        <xdr:cNvPr id="860325" name="340"/>
        <xdr:cNvSpPr/>
      </xdr:nvSpPr>
      <xdr:spPr>
        <a:xfrm>
          <a:off x="12869635" y="52511325"/>
          <a:ext cx="8176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343</xdr:row>
      <xdr:rowOff>76200</xdr:rowOff>
    </xdr:from>
    <xdr:to>
      <xdr:col>40</xdr:col>
      <xdr:colOff>122464</xdr:colOff>
      <xdr:row>343</xdr:row>
      <xdr:rowOff>76200</xdr:rowOff>
    </xdr:to>
    <xdr:cxnSp macro="">
      <xdr:nvCxnSpPr>
        <xdr:cNvPr id="860326" name="직선 화살표 연결선 860325"/>
        <xdr:cNvCxnSpPr/>
      </xdr:nvCxnSpPr>
      <xdr:spPr>
        <a:xfrm>
          <a:off x="12869635" y="52568475"/>
          <a:ext cx="8164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342</xdr:row>
      <xdr:rowOff>19050</xdr:rowOff>
    </xdr:from>
    <xdr:to>
      <xdr:col>39</xdr:col>
      <xdr:colOff>123734</xdr:colOff>
      <xdr:row>342</xdr:row>
      <xdr:rowOff>133350</xdr:rowOff>
    </xdr:to>
    <xdr:sp macro="" textlink="">
      <xdr:nvSpPr>
        <xdr:cNvPr id="860327" name="339"/>
        <xdr:cNvSpPr/>
      </xdr:nvSpPr>
      <xdr:spPr>
        <a:xfrm>
          <a:off x="12869635" y="52358925"/>
          <a:ext cx="6748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342</xdr:row>
      <xdr:rowOff>76200</xdr:rowOff>
    </xdr:from>
    <xdr:to>
      <xdr:col>39</xdr:col>
      <xdr:colOff>122464</xdr:colOff>
      <xdr:row>342</xdr:row>
      <xdr:rowOff>76200</xdr:rowOff>
    </xdr:to>
    <xdr:cxnSp macro="">
      <xdr:nvCxnSpPr>
        <xdr:cNvPr id="860328" name="직선 화살표 연결선 860327"/>
        <xdr:cNvCxnSpPr/>
      </xdr:nvCxnSpPr>
      <xdr:spPr>
        <a:xfrm>
          <a:off x="12869635" y="52416075"/>
          <a:ext cx="673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341</xdr:row>
      <xdr:rowOff>19050</xdr:rowOff>
    </xdr:from>
    <xdr:to>
      <xdr:col>37</xdr:col>
      <xdr:colOff>123734</xdr:colOff>
      <xdr:row>341</xdr:row>
      <xdr:rowOff>133350</xdr:rowOff>
    </xdr:to>
    <xdr:sp macro="" textlink="">
      <xdr:nvSpPr>
        <xdr:cNvPr id="860329" name="338"/>
        <xdr:cNvSpPr/>
      </xdr:nvSpPr>
      <xdr:spPr>
        <a:xfrm>
          <a:off x="12869635" y="52206525"/>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341</xdr:row>
      <xdr:rowOff>76200</xdr:rowOff>
    </xdr:from>
    <xdr:to>
      <xdr:col>37</xdr:col>
      <xdr:colOff>122464</xdr:colOff>
      <xdr:row>341</xdr:row>
      <xdr:rowOff>76200</xdr:rowOff>
    </xdr:to>
    <xdr:cxnSp macro="">
      <xdr:nvCxnSpPr>
        <xdr:cNvPr id="860330" name="직선 화살표 연결선 860329"/>
        <xdr:cNvCxnSpPr/>
      </xdr:nvCxnSpPr>
      <xdr:spPr>
        <a:xfrm>
          <a:off x="12869635" y="52263675"/>
          <a:ext cx="3878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340</xdr:row>
      <xdr:rowOff>19050</xdr:rowOff>
    </xdr:from>
    <xdr:to>
      <xdr:col>37</xdr:col>
      <xdr:colOff>123734</xdr:colOff>
      <xdr:row>340</xdr:row>
      <xdr:rowOff>133350</xdr:rowOff>
    </xdr:to>
    <xdr:sp macro="" textlink="">
      <xdr:nvSpPr>
        <xdr:cNvPr id="860331" name="337"/>
        <xdr:cNvSpPr/>
      </xdr:nvSpPr>
      <xdr:spPr>
        <a:xfrm>
          <a:off x="12869635" y="52054125"/>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340</xdr:row>
      <xdr:rowOff>76200</xdr:rowOff>
    </xdr:from>
    <xdr:to>
      <xdr:col>37</xdr:col>
      <xdr:colOff>122464</xdr:colOff>
      <xdr:row>340</xdr:row>
      <xdr:rowOff>76200</xdr:rowOff>
    </xdr:to>
    <xdr:cxnSp macro="">
      <xdr:nvCxnSpPr>
        <xdr:cNvPr id="860332" name="직선 화살표 연결선 860331"/>
        <xdr:cNvCxnSpPr/>
      </xdr:nvCxnSpPr>
      <xdr:spPr>
        <a:xfrm>
          <a:off x="12869635" y="52111275"/>
          <a:ext cx="3878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339</xdr:row>
      <xdr:rowOff>19050</xdr:rowOff>
    </xdr:from>
    <xdr:to>
      <xdr:col>38</xdr:col>
      <xdr:colOff>123734</xdr:colOff>
      <xdr:row>339</xdr:row>
      <xdr:rowOff>133350</xdr:rowOff>
    </xdr:to>
    <xdr:sp macro="" textlink="">
      <xdr:nvSpPr>
        <xdr:cNvPr id="860333" name="336"/>
        <xdr:cNvSpPr/>
      </xdr:nvSpPr>
      <xdr:spPr>
        <a:xfrm>
          <a:off x="12869635" y="51901725"/>
          <a:ext cx="5319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339</xdr:row>
      <xdr:rowOff>76200</xdr:rowOff>
    </xdr:from>
    <xdr:to>
      <xdr:col>38</xdr:col>
      <xdr:colOff>122464</xdr:colOff>
      <xdr:row>339</xdr:row>
      <xdr:rowOff>76200</xdr:rowOff>
    </xdr:to>
    <xdr:cxnSp macro="">
      <xdr:nvCxnSpPr>
        <xdr:cNvPr id="860334" name="직선 화살표 연결선 860333"/>
        <xdr:cNvCxnSpPr/>
      </xdr:nvCxnSpPr>
      <xdr:spPr>
        <a:xfrm>
          <a:off x="12869635" y="51958875"/>
          <a:ext cx="5306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338</xdr:row>
      <xdr:rowOff>19050</xdr:rowOff>
    </xdr:from>
    <xdr:to>
      <xdr:col>38</xdr:col>
      <xdr:colOff>123734</xdr:colOff>
      <xdr:row>338</xdr:row>
      <xdr:rowOff>133350</xdr:rowOff>
    </xdr:to>
    <xdr:sp macro="" textlink="">
      <xdr:nvSpPr>
        <xdr:cNvPr id="860335" name="335"/>
        <xdr:cNvSpPr/>
      </xdr:nvSpPr>
      <xdr:spPr>
        <a:xfrm>
          <a:off x="12869635" y="51749325"/>
          <a:ext cx="5319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338</xdr:row>
      <xdr:rowOff>76200</xdr:rowOff>
    </xdr:from>
    <xdr:to>
      <xdr:col>38</xdr:col>
      <xdr:colOff>122464</xdr:colOff>
      <xdr:row>338</xdr:row>
      <xdr:rowOff>76200</xdr:rowOff>
    </xdr:to>
    <xdr:cxnSp macro="">
      <xdr:nvCxnSpPr>
        <xdr:cNvPr id="860336" name="직선 화살표 연결선 860335"/>
        <xdr:cNvCxnSpPr/>
      </xdr:nvCxnSpPr>
      <xdr:spPr>
        <a:xfrm>
          <a:off x="12869635" y="51806475"/>
          <a:ext cx="5306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337</xdr:row>
      <xdr:rowOff>19050</xdr:rowOff>
    </xdr:from>
    <xdr:to>
      <xdr:col>38</xdr:col>
      <xdr:colOff>123734</xdr:colOff>
      <xdr:row>337</xdr:row>
      <xdr:rowOff>133350</xdr:rowOff>
    </xdr:to>
    <xdr:sp macro="" textlink="">
      <xdr:nvSpPr>
        <xdr:cNvPr id="860337" name="334"/>
        <xdr:cNvSpPr/>
      </xdr:nvSpPr>
      <xdr:spPr>
        <a:xfrm>
          <a:off x="12869635" y="51596925"/>
          <a:ext cx="5319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337</xdr:row>
      <xdr:rowOff>76200</xdr:rowOff>
    </xdr:from>
    <xdr:to>
      <xdr:col>38</xdr:col>
      <xdr:colOff>122464</xdr:colOff>
      <xdr:row>337</xdr:row>
      <xdr:rowOff>76200</xdr:rowOff>
    </xdr:to>
    <xdr:cxnSp macro="">
      <xdr:nvCxnSpPr>
        <xdr:cNvPr id="860338" name="직선 화살표 연결선 860337"/>
        <xdr:cNvCxnSpPr/>
      </xdr:nvCxnSpPr>
      <xdr:spPr>
        <a:xfrm>
          <a:off x="12869635" y="51654075"/>
          <a:ext cx="5306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336</xdr:row>
      <xdr:rowOff>19050</xdr:rowOff>
    </xdr:from>
    <xdr:to>
      <xdr:col>40</xdr:col>
      <xdr:colOff>123734</xdr:colOff>
      <xdr:row>336</xdr:row>
      <xdr:rowOff>133350</xdr:rowOff>
    </xdr:to>
    <xdr:sp macro="" textlink="">
      <xdr:nvSpPr>
        <xdr:cNvPr id="860339" name="333"/>
        <xdr:cNvSpPr/>
      </xdr:nvSpPr>
      <xdr:spPr>
        <a:xfrm>
          <a:off x="12869635" y="51444525"/>
          <a:ext cx="8176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336</xdr:row>
      <xdr:rowOff>76200</xdr:rowOff>
    </xdr:from>
    <xdr:to>
      <xdr:col>40</xdr:col>
      <xdr:colOff>122464</xdr:colOff>
      <xdr:row>336</xdr:row>
      <xdr:rowOff>76200</xdr:rowOff>
    </xdr:to>
    <xdr:cxnSp macro="">
      <xdr:nvCxnSpPr>
        <xdr:cNvPr id="860340" name="직선 화살표 연결선 860339"/>
        <xdr:cNvCxnSpPr/>
      </xdr:nvCxnSpPr>
      <xdr:spPr>
        <a:xfrm>
          <a:off x="12869635" y="51501675"/>
          <a:ext cx="8164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335</xdr:row>
      <xdr:rowOff>19050</xdr:rowOff>
    </xdr:from>
    <xdr:to>
      <xdr:col>41</xdr:col>
      <xdr:colOff>42090</xdr:colOff>
      <xdr:row>335</xdr:row>
      <xdr:rowOff>133350</xdr:rowOff>
    </xdr:to>
    <xdr:sp macro="" textlink="">
      <xdr:nvSpPr>
        <xdr:cNvPr id="860341" name="332"/>
        <xdr:cNvSpPr/>
      </xdr:nvSpPr>
      <xdr:spPr>
        <a:xfrm>
          <a:off x="12869635" y="51292125"/>
          <a:ext cx="87893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335</xdr:row>
      <xdr:rowOff>76200</xdr:rowOff>
    </xdr:from>
    <xdr:to>
      <xdr:col>41</xdr:col>
      <xdr:colOff>40821</xdr:colOff>
      <xdr:row>335</xdr:row>
      <xdr:rowOff>76200</xdr:rowOff>
    </xdr:to>
    <xdr:cxnSp macro="">
      <xdr:nvCxnSpPr>
        <xdr:cNvPr id="860342" name="직선 화살표 연결선 860341"/>
        <xdr:cNvCxnSpPr/>
      </xdr:nvCxnSpPr>
      <xdr:spPr>
        <a:xfrm>
          <a:off x="12869635" y="51349275"/>
          <a:ext cx="8776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334</xdr:row>
      <xdr:rowOff>19050</xdr:rowOff>
    </xdr:from>
    <xdr:to>
      <xdr:col>38</xdr:col>
      <xdr:colOff>123734</xdr:colOff>
      <xdr:row>334</xdr:row>
      <xdr:rowOff>133350</xdr:rowOff>
    </xdr:to>
    <xdr:sp macro="" textlink="">
      <xdr:nvSpPr>
        <xdr:cNvPr id="860343" name="331"/>
        <xdr:cNvSpPr/>
      </xdr:nvSpPr>
      <xdr:spPr>
        <a:xfrm>
          <a:off x="12298135" y="51139725"/>
          <a:ext cx="11034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334</xdr:row>
      <xdr:rowOff>76200</xdr:rowOff>
    </xdr:from>
    <xdr:to>
      <xdr:col>38</xdr:col>
      <xdr:colOff>122464</xdr:colOff>
      <xdr:row>334</xdr:row>
      <xdr:rowOff>76200</xdr:rowOff>
    </xdr:to>
    <xdr:cxnSp macro="">
      <xdr:nvCxnSpPr>
        <xdr:cNvPr id="860344" name="직선 화살표 연결선 860343"/>
        <xdr:cNvCxnSpPr/>
      </xdr:nvCxnSpPr>
      <xdr:spPr>
        <a:xfrm>
          <a:off x="12298135" y="51196875"/>
          <a:ext cx="11021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333</xdr:row>
      <xdr:rowOff>19050</xdr:rowOff>
    </xdr:from>
    <xdr:to>
      <xdr:col>37</xdr:col>
      <xdr:colOff>42090</xdr:colOff>
      <xdr:row>333</xdr:row>
      <xdr:rowOff>133350</xdr:rowOff>
    </xdr:to>
    <xdr:sp macro="" textlink="">
      <xdr:nvSpPr>
        <xdr:cNvPr id="860345" name="330"/>
        <xdr:cNvSpPr/>
      </xdr:nvSpPr>
      <xdr:spPr>
        <a:xfrm>
          <a:off x="12298135" y="50987325"/>
          <a:ext cx="8789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333</xdr:row>
      <xdr:rowOff>76200</xdr:rowOff>
    </xdr:from>
    <xdr:to>
      <xdr:col>37</xdr:col>
      <xdr:colOff>40821</xdr:colOff>
      <xdr:row>333</xdr:row>
      <xdr:rowOff>76200</xdr:rowOff>
    </xdr:to>
    <xdr:cxnSp macro="">
      <xdr:nvCxnSpPr>
        <xdr:cNvPr id="860346" name="직선 화살표 연결선 860345"/>
        <xdr:cNvCxnSpPr/>
      </xdr:nvCxnSpPr>
      <xdr:spPr>
        <a:xfrm>
          <a:off x="12298135" y="51044475"/>
          <a:ext cx="8776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332</xdr:row>
      <xdr:rowOff>19050</xdr:rowOff>
    </xdr:from>
    <xdr:to>
      <xdr:col>38</xdr:col>
      <xdr:colOff>123734</xdr:colOff>
      <xdr:row>332</xdr:row>
      <xdr:rowOff>133350</xdr:rowOff>
    </xdr:to>
    <xdr:sp macro="" textlink="">
      <xdr:nvSpPr>
        <xdr:cNvPr id="860347" name="329"/>
        <xdr:cNvSpPr/>
      </xdr:nvSpPr>
      <xdr:spPr>
        <a:xfrm>
          <a:off x="12298135" y="50834925"/>
          <a:ext cx="11034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332</xdr:row>
      <xdr:rowOff>76200</xdr:rowOff>
    </xdr:from>
    <xdr:to>
      <xdr:col>38</xdr:col>
      <xdr:colOff>122464</xdr:colOff>
      <xdr:row>332</xdr:row>
      <xdr:rowOff>76200</xdr:rowOff>
    </xdr:to>
    <xdr:cxnSp macro="">
      <xdr:nvCxnSpPr>
        <xdr:cNvPr id="860348" name="직선 화살표 연결선 860347"/>
        <xdr:cNvCxnSpPr/>
      </xdr:nvCxnSpPr>
      <xdr:spPr>
        <a:xfrm>
          <a:off x="12298135" y="50892075"/>
          <a:ext cx="11021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331</xdr:row>
      <xdr:rowOff>19050</xdr:rowOff>
    </xdr:from>
    <xdr:to>
      <xdr:col>58</xdr:col>
      <xdr:colOff>123734</xdr:colOff>
      <xdr:row>331</xdr:row>
      <xdr:rowOff>133350</xdr:rowOff>
    </xdr:to>
    <xdr:sp macro="" textlink="">
      <xdr:nvSpPr>
        <xdr:cNvPr id="860349" name="328"/>
        <xdr:cNvSpPr/>
      </xdr:nvSpPr>
      <xdr:spPr>
        <a:xfrm>
          <a:off x="12298135" y="50682525"/>
          <a:ext cx="3960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331</xdr:row>
      <xdr:rowOff>76200</xdr:rowOff>
    </xdr:from>
    <xdr:to>
      <xdr:col>58</xdr:col>
      <xdr:colOff>122464</xdr:colOff>
      <xdr:row>331</xdr:row>
      <xdr:rowOff>76200</xdr:rowOff>
    </xdr:to>
    <xdr:cxnSp macro="">
      <xdr:nvCxnSpPr>
        <xdr:cNvPr id="860350" name="직선 화살표 연결선 860349"/>
        <xdr:cNvCxnSpPr/>
      </xdr:nvCxnSpPr>
      <xdr:spPr>
        <a:xfrm>
          <a:off x="12298135" y="50739675"/>
          <a:ext cx="39596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330</xdr:row>
      <xdr:rowOff>19050</xdr:rowOff>
    </xdr:from>
    <xdr:to>
      <xdr:col>58</xdr:col>
      <xdr:colOff>123734</xdr:colOff>
      <xdr:row>330</xdr:row>
      <xdr:rowOff>133350</xdr:rowOff>
    </xdr:to>
    <xdr:sp macro="" textlink="">
      <xdr:nvSpPr>
        <xdr:cNvPr id="860351" name="327"/>
        <xdr:cNvSpPr/>
      </xdr:nvSpPr>
      <xdr:spPr>
        <a:xfrm>
          <a:off x="16012886" y="50530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330</xdr:row>
      <xdr:rowOff>76200</xdr:rowOff>
    </xdr:from>
    <xdr:to>
      <xdr:col>58</xdr:col>
      <xdr:colOff>122464</xdr:colOff>
      <xdr:row>330</xdr:row>
      <xdr:rowOff>76200</xdr:rowOff>
    </xdr:to>
    <xdr:cxnSp macro="">
      <xdr:nvCxnSpPr>
        <xdr:cNvPr id="860352" name="직선 화살표 연결선 860351"/>
        <xdr:cNvCxnSpPr/>
      </xdr:nvCxnSpPr>
      <xdr:spPr>
        <a:xfrm>
          <a:off x="16012886" y="505872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20411</xdr:colOff>
      <xdr:row>329</xdr:row>
      <xdr:rowOff>19050</xdr:rowOff>
    </xdr:from>
    <xdr:to>
      <xdr:col>57</xdr:col>
      <xdr:colOff>123734</xdr:colOff>
      <xdr:row>329</xdr:row>
      <xdr:rowOff>133350</xdr:rowOff>
    </xdr:to>
    <xdr:sp macro="" textlink="">
      <xdr:nvSpPr>
        <xdr:cNvPr id="860353" name="326"/>
        <xdr:cNvSpPr/>
      </xdr:nvSpPr>
      <xdr:spPr>
        <a:xfrm>
          <a:off x="15012761" y="50377725"/>
          <a:ext cx="11034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20411</xdr:colOff>
      <xdr:row>329</xdr:row>
      <xdr:rowOff>76200</xdr:rowOff>
    </xdr:from>
    <xdr:to>
      <xdr:col>57</xdr:col>
      <xdr:colOff>122464</xdr:colOff>
      <xdr:row>329</xdr:row>
      <xdr:rowOff>76200</xdr:rowOff>
    </xdr:to>
    <xdr:cxnSp macro="">
      <xdr:nvCxnSpPr>
        <xdr:cNvPr id="860354" name="직선 화살표 연결선 860353"/>
        <xdr:cNvCxnSpPr/>
      </xdr:nvCxnSpPr>
      <xdr:spPr>
        <a:xfrm>
          <a:off x="15012761" y="50434875"/>
          <a:ext cx="11021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20411</xdr:colOff>
      <xdr:row>328</xdr:row>
      <xdr:rowOff>19050</xdr:rowOff>
    </xdr:from>
    <xdr:to>
      <xdr:col>56</xdr:col>
      <xdr:colOff>123734</xdr:colOff>
      <xdr:row>328</xdr:row>
      <xdr:rowOff>133350</xdr:rowOff>
    </xdr:to>
    <xdr:sp macro="" textlink="">
      <xdr:nvSpPr>
        <xdr:cNvPr id="860355" name="325"/>
        <xdr:cNvSpPr/>
      </xdr:nvSpPr>
      <xdr:spPr>
        <a:xfrm>
          <a:off x="15298511" y="50225325"/>
          <a:ext cx="6748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20411</xdr:colOff>
      <xdr:row>328</xdr:row>
      <xdr:rowOff>76200</xdr:rowOff>
    </xdr:from>
    <xdr:to>
      <xdr:col>56</xdr:col>
      <xdr:colOff>122464</xdr:colOff>
      <xdr:row>328</xdr:row>
      <xdr:rowOff>76200</xdr:rowOff>
    </xdr:to>
    <xdr:cxnSp macro="">
      <xdr:nvCxnSpPr>
        <xdr:cNvPr id="860356" name="직선 화살표 연결선 860355"/>
        <xdr:cNvCxnSpPr/>
      </xdr:nvCxnSpPr>
      <xdr:spPr>
        <a:xfrm>
          <a:off x="15298511" y="50282475"/>
          <a:ext cx="6735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20411</xdr:colOff>
      <xdr:row>327</xdr:row>
      <xdr:rowOff>19050</xdr:rowOff>
    </xdr:from>
    <xdr:to>
      <xdr:col>54</xdr:col>
      <xdr:colOff>123734</xdr:colOff>
      <xdr:row>327</xdr:row>
      <xdr:rowOff>133350</xdr:rowOff>
    </xdr:to>
    <xdr:sp macro="" textlink="">
      <xdr:nvSpPr>
        <xdr:cNvPr id="860357" name="324"/>
        <xdr:cNvSpPr/>
      </xdr:nvSpPr>
      <xdr:spPr>
        <a:xfrm>
          <a:off x="15155636" y="500729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20411</xdr:colOff>
      <xdr:row>327</xdr:row>
      <xdr:rowOff>76200</xdr:rowOff>
    </xdr:from>
    <xdr:to>
      <xdr:col>54</xdr:col>
      <xdr:colOff>122464</xdr:colOff>
      <xdr:row>327</xdr:row>
      <xdr:rowOff>76200</xdr:rowOff>
    </xdr:to>
    <xdr:cxnSp macro="">
      <xdr:nvCxnSpPr>
        <xdr:cNvPr id="860358" name="직선 화살표 연결선 860357"/>
        <xdr:cNvCxnSpPr/>
      </xdr:nvCxnSpPr>
      <xdr:spPr>
        <a:xfrm>
          <a:off x="15155636" y="50130075"/>
          <a:ext cx="5306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326</xdr:row>
      <xdr:rowOff>19050</xdr:rowOff>
    </xdr:from>
    <xdr:to>
      <xdr:col>58</xdr:col>
      <xdr:colOff>123734</xdr:colOff>
      <xdr:row>326</xdr:row>
      <xdr:rowOff>133350</xdr:rowOff>
    </xdr:to>
    <xdr:sp macro="" textlink="">
      <xdr:nvSpPr>
        <xdr:cNvPr id="860359" name="323"/>
        <xdr:cNvSpPr/>
      </xdr:nvSpPr>
      <xdr:spPr>
        <a:xfrm>
          <a:off x="13155386" y="49920525"/>
          <a:ext cx="31036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326</xdr:row>
      <xdr:rowOff>76200</xdr:rowOff>
    </xdr:from>
    <xdr:to>
      <xdr:col>58</xdr:col>
      <xdr:colOff>122464</xdr:colOff>
      <xdr:row>326</xdr:row>
      <xdr:rowOff>76200</xdr:rowOff>
    </xdr:to>
    <xdr:cxnSp macro="">
      <xdr:nvCxnSpPr>
        <xdr:cNvPr id="860360" name="직선 화살표 연결선 860359"/>
        <xdr:cNvCxnSpPr/>
      </xdr:nvCxnSpPr>
      <xdr:spPr>
        <a:xfrm>
          <a:off x="13155386" y="49977675"/>
          <a:ext cx="31024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325</xdr:row>
      <xdr:rowOff>19050</xdr:rowOff>
    </xdr:from>
    <xdr:to>
      <xdr:col>58</xdr:col>
      <xdr:colOff>123734</xdr:colOff>
      <xdr:row>325</xdr:row>
      <xdr:rowOff>133350</xdr:rowOff>
    </xdr:to>
    <xdr:sp macro="" textlink="">
      <xdr:nvSpPr>
        <xdr:cNvPr id="860361" name="322"/>
        <xdr:cNvSpPr/>
      </xdr:nvSpPr>
      <xdr:spPr>
        <a:xfrm>
          <a:off x="13155386" y="49768125"/>
          <a:ext cx="31036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325</xdr:row>
      <xdr:rowOff>76200</xdr:rowOff>
    </xdr:from>
    <xdr:to>
      <xdr:col>58</xdr:col>
      <xdr:colOff>122464</xdr:colOff>
      <xdr:row>325</xdr:row>
      <xdr:rowOff>76200</xdr:rowOff>
    </xdr:to>
    <xdr:cxnSp macro="">
      <xdr:nvCxnSpPr>
        <xdr:cNvPr id="860362" name="직선 화살표 연결선 860361"/>
        <xdr:cNvCxnSpPr/>
      </xdr:nvCxnSpPr>
      <xdr:spPr>
        <a:xfrm>
          <a:off x="13155386" y="49825275"/>
          <a:ext cx="31024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20411</xdr:colOff>
      <xdr:row>324</xdr:row>
      <xdr:rowOff>19050</xdr:rowOff>
    </xdr:from>
    <xdr:to>
      <xdr:col>56</xdr:col>
      <xdr:colOff>123734</xdr:colOff>
      <xdr:row>324</xdr:row>
      <xdr:rowOff>133350</xdr:rowOff>
    </xdr:to>
    <xdr:sp macro="" textlink="">
      <xdr:nvSpPr>
        <xdr:cNvPr id="860363" name="321"/>
        <xdr:cNvSpPr/>
      </xdr:nvSpPr>
      <xdr:spPr>
        <a:xfrm>
          <a:off x="15870011" y="496157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20411</xdr:colOff>
      <xdr:row>324</xdr:row>
      <xdr:rowOff>76200</xdr:rowOff>
    </xdr:from>
    <xdr:to>
      <xdr:col>56</xdr:col>
      <xdr:colOff>122464</xdr:colOff>
      <xdr:row>324</xdr:row>
      <xdr:rowOff>76200</xdr:rowOff>
    </xdr:to>
    <xdr:cxnSp macro="">
      <xdr:nvCxnSpPr>
        <xdr:cNvPr id="860364" name="직선 화살표 연결선 860363"/>
        <xdr:cNvCxnSpPr/>
      </xdr:nvCxnSpPr>
      <xdr:spPr>
        <a:xfrm>
          <a:off x="15870011" y="496728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20411</xdr:colOff>
      <xdr:row>323</xdr:row>
      <xdr:rowOff>19050</xdr:rowOff>
    </xdr:from>
    <xdr:to>
      <xdr:col>55</xdr:col>
      <xdr:colOff>123734</xdr:colOff>
      <xdr:row>323</xdr:row>
      <xdr:rowOff>133350</xdr:rowOff>
    </xdr:to>
    <xdr:sp macro="" textlink="">
      <xdr:nvSpPr>
        <xdr:cNvPr id="860365" name="320"/>
        <xdr:cNvSpPr/>
      </xdr:nvSpPr>
      <xdr:spPr>
        <a:xfrm>
          <a:off x="15012761" y="49463325"/>
          <a:ext cx="8176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20411</xdr:colOff>
      <xdr:row>323</xdr:row>
      <xdr:rowOff>76200</xdr:rowOff>
    </xdr:from>
    <xdr:to>
      <xdr:col>55</xdr:col>
      <xdr:colOff>122464</xdr:colOff>
      <xdr:row>323</xdr:row>
      <xdr:rowOff>76200</xdr:rowOff>
    </xdr:to>
    <xdr:cxnSp macro="">
      <xdr:nvCxnSpPr>
        <xdr:cNvPr id="860366" name="직선 화살표 연결선 860365"/>
        <xdr:cNvCxnSpPr/>
      </xdr:nvCxnSpPr>
      <xdr:spPr>
        <a:xfrm>
          <a:off x="15012761" y="49520475"/>
          <a:ext cx="8164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20411</xdr:colOff>
      <xdr:row>322</xdr:row>
      <xdr:rowOff>19050</xdr:rowOff>
    </xdr:from>
    <xdr:to>
      <xdr:col>56</xdr:col>
      <xdr:colOff>123734</xdr:colOff>
      <xdr:row>322</xdr:row>
      <xdr:rowOff>133350</xdr:rowOff>
    </xdr:to>
    <xdr:sp macro="" textlink="">
      <xdr:nvSpPr>
        <xdr:cNvPr id="860367" name="319"/>
        <xdr:cNvSpPr/>
      </xdr:nvSpPr>
      <xdr:spPr>
        <a:xfrm>
          <a:off x="15012761" y="49310925"/>
          <a:ext cx="9605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20411</xdr:colOff>
      <xdr:row>322</xdr:row>
      <xdr:rowOff>76200</xdr:rowOff>
    </xdr:from>
    <xdr:to>
      <xdr:col>56</xdr:col>
      <xdr:colOff>122464</xdr:colOff>
      <xdr:row>322</xdr:row>
      <xdr:rowOff>76200</xdr:rowOff>
    </xdr:to>
    <xdr:cxnSp macro="">
      <xdr:nvCxnSpPr>
        <xdr:cNvPr id="860368" name="직선 화살표 연결선 860367"/>
        <xdr:cNvCxnSpPr/>
      </xdr:nvCxnSpPr>
      <xdr:spPr>
        <a:xfrm>
          <a:off x="15012761" y="49368075"/>
          <a:ext cx="9593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20411</xdr:colOff>
      <xdr:row>321</xdr:row>
      <xdr:rowOff>19050</xdr:rowOff>
    </xdr:from>
    <xdr:to>
      <xdr:col>52</xdr:col>
      <xdr:colOff>123734</xdr:colOff>
      <xdr:row>321</xdr:row>
      <xdr:rowOff>133350</xdr:rowOff>
    </xdr:to>
    <xdr:sp macro="" textlink="">
      <xdr:nvSpPr>
        <xdr:cNvPr id="860369" name="318"/>
        <xdr:cNvSpPr/>
      </xdr:nvSpPr>
      <xdr:spPr>
        <a:xfrm>
          <a:off x="14869886" y="491585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20411</xdr:colOff>
      <xdr:row>321</xdr:row>
      <xdr:rowOff>76200</xdr:rowOff>
    </xdr:from>
    <xdr:to>
      <xdr:col>52</xdr:col>
      <xdr:colOff>122464</xdr:colOff>
      <xdr:row>321</xdr:row>
      <xdr:rowOff>76200</xdr:rowOff>
    </xdr:to>
    <xdr:cxnSp macro="">
      <xdr:nvCxnSpPr>
        <xdr:cNvPr id="860370" name="직선 화살표 연결선 860369"/>
        <xdr:cNvCxnSpPr/>
      </xdr:nvCxnSpPr>
      <xdr:spPr>
        <a:xfrm>
          <a:off x="14869886" y="49215675"/>
          <a:ext cx="5306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20411</xdr:colOff>
      <xdr:row>320</xdr:row>
      <xdr:rowOff>19050</xdr:rowOff>
    </xdr:from>
    <xdr:to>
      <xdr:col>48</xdr:col>
      <xdr:colOff>123734</xdr:colOff>
      <xdr:row>320</xdr:row>
      <xdr:rowOff>133350</xdr:rowOff>
    </xdr:to>
    <xdr:sp macro="" textlink="">
      <xdr:nvSpPr>
        <xdr:cNvPr id="860371" name="317"/>
        <xdr:cNvSpPr/>
      </xdr:nvSpPr>
      <xdr:spPr>
        <a:xfrm>
          <a:off x="13726886" y="49006125"/>
          <a:ext cx="11034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20411</xdr:colOff>
      <xdr:row>320</xdr:row>
      <xdr:rowOff>76200</xdr:rowOff>
    </xdr:from>
    <xdr:to>
      <xdr:col>48</xdr:col>
      <xdr:colOff>122464</xdr:colOff>
      <xdr:row>320</xdr:row>
      <xdr:rowOff>76200</xdr:rowOff>
    </xdr:to>
    <xdr:cxnSp macro="">
      <xdr:nvCxnSpPr>
        <xdr:cNvPr id="860372" name="직선 화살표 연결선 860371"/>
        <xdr:cNvCxnSpPr/>
      </xdr:nvCxnSpPr>
      <xdr:spPr>
        <a:xfrm>
          <a:off x="13726886" y="49063275"/>
          <a:ext cx="11021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20411</xdr:colOff>
      <xdr:row>319</xdr:row>
      <xdr:rowOff>19050</xdr:rowOff>
    </xdr:from>
    <xdr:to>
      <xdr:col>51</xdr:col>
      <xdr:colOff>123734</xdr:colOff>
      <xdr:row>319</xdr:row>
      <xdr:rowOff>133350</xdr:rowOff>
    </xdr:to>
    <xdr:sp macro="" textlink="">
      <xdr:nvSpPr>
        <xdr:cNvPr id="860373" name="316"/>
        <xdr:cNvSpPr/>
      </xdr:nvSpPr>
      <xdr:spPr>
        <a:xfrm>
          <a:off x="14012636" y="48853725"/>
          <a:ext cx="1246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20411</xdr:colOff>
      <xdr:row>319</xdr:row>
      <xdr:rowOff>76200</xdr:rowOff>
    </xdr:from>
    <xdr:to>
      <xdr:col>51</xdr:col>
      <xdr:colOff>122464</xdr:colOff>
      <xdr:row>319</xdr:row>
      <xdr:rowOff>76200</xdr:rowOff>
    </xdr:to>
    <xdr:cxnSp macro="">
      <xdr:nvCxnSpPr>
        <xdr:cNvPr id="860374" name="직선 화살표 연결선 860373"/>
        <xdr:cNvCxnSpPr/>
      </xdr:nvCxnSpPr>
      <xdr:spPr>
        <a:xfrm>
          <a:off x="14012636" y="48910875"/>
          <a:ext cx="1245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20411</xdr:colOff>
      <xdr:row>318</xdr:row>
      <xdr:rowOff>19050</xdr:rowOff>
    </xdr:from>
    <xdr:to>
      <xdr:col>45</xdr:col>
      <xdr:colOff>123734</xdr:colOff>
      <xdr:row>318</xdr:row>
      <xdr:rowOff>133350</xdr:rowOff>
    </xdr:to>
    <xdr:sp macro="" textlink="">
      <xdr:nvSpPr>
        <xdr:cNvPr id="860375" name="315"/>
        <xdr:cNvSpPr/>
      </xdr:nvSpPr>
      <xdr:spPr>
        <a:xfrm>
          <a:off x="13584011" y="48701325"/>
          <a:ext cx="8176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20411</xdr:colOff>
      <xdr:row>318</xdr:row>
      <xdr:rowOff>76200</xdr:rowOff>
    </xdr:from>
    <xdr:to>
      <xdr:col>45</xdr:col>
      <xdr:colOff>122464</xdr:colOff>
      <xdr:row>318</xdr:row>
      <xdr:rowOff>76200</xdr:rowOff>
    </xdr:to>
    <xdr:cxnSp macro="">
      <xdr:nvCxnSpPr>
        <xdr:cNvPr id="860376" name="직선 화살표 연결선 860375"/>
        <xdr:cNvCxnSpPr/>
      </xdr:nvCxnSpPr>
      <xdr:spPr>
        <a:xfrm>
          <a:off x="13584011" y="48758475"/>
          <a:ext cx="8164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317</xdr:row>
      <xdr:rowOff>19050</xdr:rowOff>
    </xdr:from>
    <xdr:to>
      <xdr:col>44</xdr:col>
      <xdr:colOff>123734</xdr:colOff>
      <xdr:row>317</xdr:row>
      <xdr:rowOff>133350</xdr:rowOff>
    </xdr:to>
    <xdr:sp macro="" textlink="">
      <xdr:nvSpPr>
        <xdr:cNvPr id="860377" name="314"/>
        <xdr:cNvSpPr/>
      </xdr:nvSpPr>
      <xdr:spPr>
        <a:xfrm>
          <a:off x="12951278" y="48548925"/>
          <a:ext cx="1307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317</xdr:row>
      <xdr:rowOff>76200</xdr:rowOff>
    </xdr:from>
    <xdr:to>
      <xdr:col>44</xdr:col>
      <xdr:colOff>122464</xdr:colOff>
      <xdr:row>317</xdr:row>
      <xdr:rowOff>76200</xdr:rowOff>
    </xdr:to>
    <xdr:cxnSp macro="">
      <xdr:nvCxnSpPr>
        <xdr:cNvPr id="860378" name="직선 화살표 연결선 860377"/>
        <xdr:cNvCxnSpPr/>
      </xdr:nvCxnSpPr>
      <xdr:spPr>
        <a:xfrm>
          <a:off x="12951278" y="48606075"/>
          <a:ext cx="1306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316</xdr:row>
      <xdr:rowOff>19050</xdr:rowOff>
    </xdr:from>
    <xdr:to>
      <xdr:col>40</xdr:col>
      <xdr:colOff>123734</xdr:colOff>
      <xdr:row>316</xdr:row>
      <xdr:rowOff>133350</xdr:rowOff>
    </xdr:to>
    <xdr:sp macro="" textlink="">
      <xdr:nvSpPr>
        <xdr:cNvPr id="860379" name="313"/>
        <xdr:cNvSpPr/>
      </xdr:nvSpPr>
      <xdr:spPr>
        <a:xfrm>
          <a:off x="13298261" y="48396525"/>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316</xdr:row>
      <xdr:rowOff>76200</xdr:rowOff>
    </xdr:from>
    <xdr:to>
      <xdr:col>40</xdr:col>
      <xdr:colOff>122464</xdr:colOff>
      <xdr:row>316</xdr:row>
      <xdr:rowOff>76200</xdr:rowOff>
    </xdr:to>
    <xdr:cxnSp macro="">
      <xdr:nvCxnSpPr>
        <xdr:cNvPr id="860380" name="직선 화살표 연결선 860379"/>
        <xdr:cNvCxnSpPr/>
      </xdr:nvCxnSpPr>
      <xdr:spPr>
        <a:xfrm>
          <a:off x="13298261" y="48453675"/>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315</xdr:row>
      <xdr:rowOff>19050</xdr:rowOff>
    </xdr:from>
    <xdr:to>
      <xdr:col>51</xdr:col>
      <xdr:colOff>123734</xdr:colOff>
      <xdr:row>315</xdr:row>
      <xdr:rowOff>133350</xdr:rowOff>
    </xdr:to>
    <xdr:sp macro="" textlink="">
      <xdr:nvSpPr>
        <xdr:cNvPr id="860381" name="312"/>
        <xdr:cNvSpPr/>
      </xdr:nvSpPr>
      <xdr:spPr>
        <a:xfrm>
          <a:off x="13441136" y="48244125"/>
          <a:ext cx="18178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315</xdr:row>
      <xdr:rowOff>76200</xdr:rowOff>
    </xdr:from>
    <xdr:to>
      <xdr:col>51</xdr:col>
      <xdr:colOff>122464</xdr:colOff>
      <xdr:row>315</xdr:row>
      <xdr:rowOff>76200</xdr:rowOff>
    </xdr:to>
    <xdr:cxnSp macro="">
      <xdr:nvCxnSpPr>
        <xdr:cNvPr id="860382" name="직선 화살표 연결선 860381"/>
        <xdr:cNvCxnSpPr/>
      </xdr:nvCxnSpPr>
      <xdr:spPr>
        <a:xfrm>
          <a:off x="13441136" y="48301275"/>
          <a:ext cx="18165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314</xdr:row>
      <xdr:rowOff>19050</xdr:rowOff>
    </xdr:from>
    <xdr:to>
      <xdr:col>51</xdr:col>
      <xdr:colOff>123734</xdr:colOff>
      <xdr:row>314</xdr:row>
      <xdr:rowOff>133350</xdr:rowOff>
    </xdr:to>
    <xdr:sp macro="" textlink="">
      <xdr:nvSpPr>
        <xdr:cNvPr id="860383" name="311"/>
        <xdr:cNvSpPr/>
      </xdr:nvSpPr>
      <xdr:spPr>
        <a:xfrm>
          <a:off x="13441136" y="48091725"/>
          <a:ext cx="18178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314</xdr:row>
      <xdr:rowOff>76200</xdr:rowOff>
    </xdr:from>
    <xdr:to>
      <xdr:col>51</xdr:col>
      <xdr:colOff>122464</xdr:colOff>
      <xdr:row>314</xdr:row>
      <xdr:rowOff>76200</xdr:rowOff>
    </xdr:to>
    <xdr:cxnSp macro="">
      <xdr:nvCxnSpPr>
        <xdr:cNvPr id="860384" name="직선 화살표 연결선 860383"/>
        <xdr:cNvCxnSpPr/>
      </xdr:nvCxnSpPr>
      <xdr:spPr>
        <a:xfrm>
          <a:off x="13441136" y="48148875"/>
          <a:ext cx="18165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313</xdr:row>
      <xdr:rowOff>19050</xdr:rowOff>
    </xdr:from>
    <xdr:to>
      <xdr:col>51</xdr:col>
      <xdr:colOff>123734</xdr:colOff>
      <xdr:row>313</xdr:row>
      <xdr:rowOff>133350</xdr:rowOff>
    </xdr:to>
    <xdr:sp macro="" textlink="">
      <xdr:nvSpPr>
        <xdr:cNvPr id="860385" name="310"/>
        <xdr:cNvSpPr/>
      </xdr:nvSpPr>
      <xdr:spPr>
        <a:xfrm>
          <a:off x="13441136" y="47939325"/>
          <a:ext cx="18178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313</xdr:row>
      <xdr:rowOff>76200</xdr:rowOff>
    </xdr:from>
    <xdr:to>
      <xdr:col>51</xdr:col>
      <xdr:colOff>122464</xdr:colOff>
      <xdr:row>313</xdr:row>
      <xdr:rowOff>76200</xdr:rowOff>
    </xdr:to>
    <xdr:cxnSp macro="">
      <xdr:nvCxnSpPr>
        <xdr:cNvPr id="860386" name="직선 화살표 연결선 860385"/>
        <xdr:cNvCxnSpPr/>
      </xdr:nvCxnSpPr>
      <xdr:spPr>
        <a:xfrm>
          <a:off x="13441136" y="47996475"/>
          <a:ext cx="18165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312</xdr:row>
      <xdr:rowOff>19050</xdr:rowOff>
    </xdr:from>
    <xdr:to>
      <xdr:col>49</xdr:col>
      <xdr:colOff>123734</xdr:colOff>
      <xdr:row>312</xdr:row>
      <xdr:rowOff>133350</xdr:rowOff>
    </xdr:to>
    <xdr:sp macro="" textlink="">
      <xdr:nvSpPr>
        <xdr:cNvPr id="860387" name="309"/>
        <xdr:cNvSpPr/>
      </xdr:nvSpPr>
      <xdr:spPr>
        <a:xfrm>
          <a:off x="13441136" y="47786925"/>
          <a:ext cx="1532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312</xdr:row>
      <xdr:rowOff>76200</xdr:rowOff>
    </xdr:from>
    <xdr:to>
      <xdr:col>49</xdr:col>
      <xdr:colOff>122464</xdr:colOff>
      <xdr:row>312</xdr:row>
      <xdr:rowOff>76200</xdr:rowOff>
    </xdr:to>
    <xdr:cxnSp macro="">
      <xdr:nvCxnSpPr>
        <xdr:cNvPr id="860388" name="직선 화살표 연결선 860387"/>
        <xdr:cNvCxnSpPr/>
      </xdr:nvCxnSpPr>
      <xdr:spPr>
        <a:xfrm>
          <a:off x="13441136" y="47844075"/>
          <a:ext cx="1530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311</xdr:row>
      <xdr:rowOff>19050</xdr:rowOff>
    </xdr:from>
    <xdr:to>
      <xdr:col>38</xdr:col>
      <xdr:colOff>123734</xdr:colOff>
      <xdr:row>311</xdr:row>
      <xdr:rowOff>133350</xdr:rowOff>
    </xdr:to>
    <xdr:sp macro="" textlink="">
      <xdr:nvSpPr>
        <xdr:cNvPr id="860389" name="308"/>
        <xdr:cNvSpPr/>
      </xdr:nvSpPr>
      <xdr:spPr>
        <a:xfrm>
          <a:off x="13012511" y="47634525"/>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311</xdr:row>
      <xdr:rowOff>76200</xdr:rowOff>
    </xdr:from>
    <xdr:to>
      <xdr:col>38</xdr:col>
      <xdr:colOff>122464</xdr:colOff>
      <xdr:row>311</xdr:row>
      <xdr:rowOff>76200</xdr:rowOff>
    </xdr:to>
    <xdr:cxnSp macro="">
      <xdr:nvCxnSpPr>
        <xdr:cNvPr id="860390" name="직선 화살표 연결선 860389"/>
        <xdr:cNvCxnSpPr/>
      </xdr:nvCxnSpPr>
      <xdr:spPr>
        <a:xfrm>
          <a:off x="13012511" y="47691675"/>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310</xdr:row>
      <xdr:rowOff>19050</xdr:rowOff>
    </xdr:from>
    <xdr:to>
      <xdr:col>48</xdr:col>
      <xdr:colOff>123734</xdr:colOff>
      <xdr:row>310</xdr:row>
      <xdr:rowOff>133350</xdr:rowOff>
    </xdr:to>
    <xdr:sp macro="" textlink="">
      <xdr:nvSpPr>
        <xdr:cNvPr id="860391" name="307"/>
        <xdr:cNvSpPr/>
      </xdr:nvSpPr>
      <xdr:spPr>
        <a:xfrm>
          <a:off x="12951278" y="47482125"/>
          <a:ext cx="18790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310</xdr:row>
      <xdr:rowOff>76200</xdr:rowOff>
    </xdr:from>
    <xdr:to>
      <xdr:col>48</xdr:col>
      <xdr:colOff>122464</xdr:colOff>
      <xdr:row>310</xdr:row>
      <xdr:rowOff>76200</xdr:rowOff>
    </xdr:to>
    <xdr:cxnSp macro="">
      <xdr:nvCxnSpPr>
        <xdr:cNvPr id="860392" name="직선 화살표 연결선 860391"/>
        <xdr:cNvCxnSpPr/>
      </xdr:nvCxnSpPr>
      <xdr:spPr>
        <a:xfrm>
          <a:off x="12951278" y="47539275"/>
          <a:ext cx="18777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309</xdr:row>
      <xdr:rowOff>19050</xdr:rowOff>
    </xdr:from>
    <xdr:to>
      <xdr:col>39</xdr:col>
      <xdr:colOff>123734</xdr:colOff>
      <xdr:row>309</xdr:row>
      <xdr:rowOff>133350</xdr:rowOff>
    </xdr:to>
    <xdr:sp macro="" textlink="">
      <xdr:nvSpPr>
        <xdr:cNvPr id="860393" name="306"/>
        <xdr:cNvSpPr/>
      </xdr:nvSpPr>
      <xdr:spPr>
        <a:xfrm>
          <a:off x="12869635" y="47329725"/>
          <a:ext cx="6748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309</xdr:row>
      <xdr:rowOff>76200</xdr:rowOff>
    </xdr:from>
    <xdr:to>
      <xdr:col>39</xdr:col>
      <xdr:colOff>122464</xdr:colOff>
      <xdr:row>309</xdr:row>
      <xdr:rowOff>76200</xdr:rowOff>
    </xdr:to>
    <xdr:cxnSp macro="">
      <xdr:nvCxnSpPr>
        <xdr:cNvPr id="860394" name="직선 화살표 연결선 860393"/>
        <xdr:cNvCxnSpPr/>
      </xdr:nvCxnSpPr>
      <xdr:spPr>
        <a:xfrm>
          <a:off x="12869635" y="47386875"/>
          <a:ext cx="673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308</xdr:row>
      <xdr:rowOff>19050</xdr:rowOff>
    </xdr:from>
    <xdr:to>
      <xdr:col>52</xdr:col>
      <xdr:colOff>123734</xdr:colOff>
      <xdr:row>308</xdr:row>
      <xdr:rowOff>133350</xdr:rowOff>
    </xdr:to>
    <xdr:sp macro="" textlink="">
      <xdr:nvSpPr>
        <xdr:cNvPr id="860395" name="305"/>
        <xdr:cNvSpPr/>
      </xdr:nvSpPr>
      <xdr:spPr>
        <a:xfrm>
          <a:off x="12869635" y="47177325"/>
          <a:ext cx="25321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308</xdr:row>
      <xdr:rowOff>76200</xdr:rowOff>
    </xdr:from>
    <xdr:to>
      <xdr:col>52</xdr:col>
      <xdr:colOff>122464</xdr:colOff>
      <xdr:row>308</xdr:row>
      <xdr:rowOff>76200</xdr:rowOff>
    </xdr:to>
    <xdr:cxnSp macro="">
      <xdr:nvCxnSpPr>
        <xdr:cNvPr id="860396" name="직선 화살표 연결선 860395"/>
        <xdr:cNvCxnSpPr/>
      </xdr:nvCxnSpPr>
      <xdr:spPr>
        <a:xfrm>
          <a:off x="12869635" y="47234475"/>
          <a:ext cx="2530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307</xdr:row>
      <xdr:rowOff>19050</xdr:rowOff>
    </xdr:from>
    <xdr:to>
      <xdr:col>58</xdr:col>
      <xdr:colOff>123734</xdr:colOff>
      <xdr:row>307</xdr:row>
      <xdr:rowOff>133350</xdr:rowOff>
    </xdr:to>
    <xdr:sp macro="" textlink="">
      <xdr:nvSpPr>
        <xdr:cNvPr id="860397" name="304"/>
        <xdr:cNvSpPr/>
      </xdr:nvSpPr>
      <xdr:spPr>
        <a:xfrm>
          <a:off x="12869635" y="47024925"/>
          <a:ext cx="33894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307</xdr:row>
      <xdr:rowOff>76200</xdr:rowOff>
    </xdr:from>
    <xdr:to>
      <xdr:col>58</xdr:col>
      <xdr:colOff>122464</xdr:colOff>
      <xdr:row>307</xdr:row>
      <xdr:rowOff>76200</xdr:rowOff>
    </xdr:to>
    <xdr:cxnSp macro="">
      <xdr:nvCxnSpPr>
        <xdr:cNvPr id="860398" name="직선 화살표 연결선 860397"/>
        <xdr:cNvCxnSpPr/>
      </xdr:nvCxnSpPr>
      <xdr:spPr>
        <a:xfrm>
          <a:off x="12869635" y="47082075"/>
          <a:ext cx="33881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306</xdr:row>
      <xdr:rowOff>19050</xdr:rowOff>
    </xdr:from>
    <xdr:to>
      <xdr:col>41</xdr:col>
      <xdr:colOff>42090</xdr:colOff>
      <xdr:row>306</xdr:row>
      <xdr:rowOff>133350</xdr:rowOff>
    </xdr:to>
    <xdr:sp macro="" textlink="">
      <xdr:nvSpPr>
        <xdr:cNvPr id="860399" name="303"/>
        <xdr:cNvSpPr/>
      </xdr:nvSpPr>
      <xdr:spPr>
        <a:xfrm>
          <a:off x="12869635" y="46872525"/>
          <a:ext cx="8789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306</xdr:row>
      <xdr:rowOff>76200</xdr:rowOff>
    </xdr:from>
    <xdr:to>
      <xdr:col>41</xdr:col>
      <xdr:colOff>40821</xdr:colOff>
      <xdr:row>306</xdr:row>
      <xdr:rowOff>76200</xdr:rowOff>
    </xdr:to>
    <xdr:cxnSp macro="">
      <xdr:nvCxnSpPr>
        <xdr:cNvPr id="860400" name="직선 화살표 연결선 860399"/>
        <xdr:cNvCxnSpPr/>
      </xdr:nvCxnSpPr>
      <xdr:spPr>
        <a:xfrm>
          <a:off x="12869635" y="46929675"/>
          <a:ext cx="8776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305</xdr:row>
      <xdr:rowOff>19050</xdr:rowOff>
    </xdr:from>
    <xdr:to>
      <xdr:col>40</xdr:col>
      <xdr:colOff>123734</xdr:colOff>
      <xdr:row>305</xdr:row>
      <xdr:rowOff>133350</xdr:rowOff>
    </xdr:to>
    <xdr:sp macro="" textlink="">
      <xdr:nvSpPr>
        <xdr:cNvPr id="860401" name="302"/>
        <xdr:cNvSpPr/>
      </xdr:nvSpPr>
      <xdr:spPr>
        <a:xfrm>
          <a:off x="12869635" y="46720125"/>
          <a:ext cx="8176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305</xdr:row>
      <xdr:rowOff>76200</xdr:rowOff>
    </xdr:from>
    <xdr:to>
      <xdr:col>40</xdr:col>
      <xdr:colOff>122464</xdr:colOff>
      <xdr:row>305</xdr:row>
      <xdr:rowOff>76200</xdr:rowOff>
    </xdr:to>
    <xdr:cxnSp macro="">
      <xdr:nvCxnSpPr>
        <xdr:cNvPr id="860402" name="직선 화살표 연결선 860401"/>
        <xdr:cNvCxnSpPr/>
      </xdr:nvCxnSpPr>
      <xdr:spPr>
        <a:xfrm>
          <a:off x="12869635" y="46777275"/>
          <a:ext cx="8164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304</xdr:row>
      <xdr:rowOff>19050</xdr:rowOff>
    </xdr:from>
    <xdr:to>
      <xdr:col>39</xdr:col>
      <xdr:colOff>123734</xdr:colOff>
      <xdr:row>304</xdr:row>
      <xdr:rowOff>133350</xdr:rowOff>
    </xdr:to>
    <xdr:sp macro="" textlink="">
      <xdr:nvSpPr>
        <xdr:cNvPr id="860403" name="301"/>
        <xdr:cNvSpPr/>
      </xdr:nvSpPr>
      <xdr:spPr>
        <a:xfrm>
          <a:off x="12869635" y="46567725"/>
          <a:ext cx="6748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304</xdr:row>
      <xdr:rowOff>76200</xdr:rowOff>
    </xdr:from>
    <xdr:to>
      <xdr:col>39</xdr:col>
      <xdr:colOff>122464</xdr:colOff>
      <xdr:row>304</xdr:row>
      <xdr:rowOff>76200</xdr:rowOff>
    </xdr:to>
    <xdr:cxnSp macro="">
      <xdr:nvCxnSpPr>
        <xdr:cNvPr id="860404" name="직선 화살표 연결선 860403"/>
        <xdr:cNvCxnSpPr/>
      </xdr:nvCxnSpPr>
      <xdr:spPr>
        <a:xfrm>
          <a:off x="12869635" y="46624875"/>
          <a:ext cx="673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303</xdr:row>
      <xdr:rowOff>19050</xdr:rowOff>
    </xdr:from>
    <xdr:to>
      <xdr:col>38</xdr:col>
      <xdr:colOff>123734</xdr:colOff>
      <xdr:row>303</xdr:row>
      <xdr:rowOff>133350</xdr:rowOff>
    </xdr:to>
    <xdr:sp macro="" textlink="">
      <xdr:nvSpPr>
        <xdr:cNvPr id="860405" name="300"/>
        <xdr:cNvSpPr/>
      </xdr:nvSpPr>
      <xdr:spPr>
        <a:xfrm>
          <a:off x="13012511" y="46415325"/>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303</xdr:row>
      <xdr:rowOff>76200</xdr:rowOff>
    </xdr:from>
    <xdr:to>
      <xdr:col>38</xdr:col>
      <xdr:colOff>122464</xdr:colOff>
      <xdr:row>303</xdr:row>
      <xdr:rowOff>76200</xdr:rowOff>
    </xdr:to>
    <xdr:cxnSp macro="">
      <xdr:nvCxnSpPr>
        <xdr:cNvPr id="860406" name="직선 화살표 연결선 860405"/>
        <xdr:cNvCxnSpPr/>
      </xdr:nvCxnSpPr>
      <xdr:spPr>
        <a:xfrm>
          <a:off x="13012511" y="46472475"/>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302</xdr:row>
      <xdr:rowOff>19050</xdr:rowOff>
    </xdr:from>
    <xdr:to>
      <xdr:col>38</xdr:col>
      <xdr:colOff>123734</xdr:colOff>
      <xdr:row>302</xdr:row>
      <xdr:rowOff>133350</xdr:rowOff>
    </xdr:to>
    <xdr:sp macro="" textlink="">
      <xdr:nvSpPr>
        <xdr:cNvPr id="860407" name="299"/>
        <xdr:cNvSpPr/>
      </xdr:nvSpPr>
      <xdr:spPr>
        <a:xfrm>
          <a:off x="13012511" y="46262925"/>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302</xdr:row>
      <xdr:rowOff>76200</xdr:rowOff>
    </xdr:from>
    <xdr:to>
      <xdr:col>38</xdr:col>
      <xdr:colOff>122464</xdr:colOff>
      <xdr:row>302</xdr:row>
      <xdr:rowOff>76200</xdr:rowOff>
    </xdr:to>
    <xdr:cxnSp macro="">
      <xdr:nvCxnSpPr>
        <xdr:cNvPr id="860408" name="직선 화살표 연결선 860407"/>
        <xdr:cNvCxnSpPr/>
      </xdr:nvCxnSpPr>
      <xdr:spPr>
        <a:xfrm>
          <a:off x="13012511" y="46320075"/>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301</xdr:row>
      <xdr:rowOff>19050</xdr:rowOff>
    </xdr:from>
    <xdr:to>
      <xdr:col>38</xdr:col>
      <xdr:colOff>123734</xdr:colOff>
      <xdr:row>301</xdr:row>
      <xdr:rowOff>133350</xdr:rowOff>
    </xdr:to>
    <xdr:sp macro="" textlink="">
      <xdr:nvSpPr>
        <xdr:cNvPr id="860409" name="298"/>
        <xdr:cNvSpPr/>
      </xdr:nvSpPr>
      <xdr:spPr>
        <a:xfrm>
          <a:off x="12869635" y="46110525"/>
          <a:ext cx="5319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301</xdr:row>
      <xdr:rowOff>76200</xdr:rowOff>
    </xdr:from>
    <xdr:to>
      <xdr:col>38</xdr:col>
      <xdr:colOff>122464</xdr:colOff>
      <xdr:row>301</xdr:row>
      <xdr:rowOff>76200</xdr:rowOff>
    </xdr:to>
    <xdr:cxnSp macro="">
      <xdr:nvCxnSpPr>
        <xdr:cNvPr id="860410" name="직선 화살표 연결선 860409"/>
        <xdr:cNvCxnSpPr/>
      </xdr:nvCxnSpPr>
      <xdr:spPr>
        <a:xfrm>
          <a:off x="12869635" y="46167675"/>
          <a:ext cx="5306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300</xdr:row>
      <xdr:rowOff>19050</xdr:rowOff>
    </xdr:from>
    <xdr:to>
      <xdr:col>37</xdr:col>
      <xdr:colOff>123734</xdr:colOff>
      <xdr:row>300</xdr:row>
      <xdr:rowOff>133350</xdr:rowOff>
    </xdr:to>
    <xdr:sp macro="" textlink="">
      <xdr:nvSpPr>
        <xdr:cNvPr id="860411" name="297"/>
        <xdr:cNvSpPr/>
      </xdr:nvSpPr>
      <xdr:spPr>
        <a:xfrm>
          <a:off x="12869635" y="45958125"/>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300</xdr:row>
      <xdr:rowOff>76200</xdr:rowOff>
    </xdr:from>
    <xdr:to>
      <xdr:col>37</xdr:col>
      <xdr:colOff>122464</xdr:colOff>
      <xdr:row>300</xdr:row>
      <xdr:rowOff>76200</xdr:rowOff>
    </xdr:to>
    <xdr:cxnSp macro="">
      <xdr:nvCxnSpPr>
        <xdr:cNvPr id="860412" name="직선 화살표 연결선 860411"/>
        <xdr:cNvCxnSpPr/>
      </xdr:nvCxnSpPr>
      <xdr:spPr>
        <a:xfrm>
          <a:off x="12869635" y="46015275"/>
          <a:ext cx="3878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299</xdr:row>
      <xdr:rowOff>19050</xdr:rowOff>
    </xdr:from>
    <xdr:to>
      <xdr:col>39</xdr:col>
      <xdr:colOff>123734</xdr:colOff>
      <xdr:row>299</xdr:row>
      <xdr:rowOff>133350</xdr:rowOff>
    </xdr:to>
    <xdr:sp macro="" textlink="">
      <xdr:nvSpPr>
        <xdr:cNvPr id="860413" name="296"/>
        <xdr:cNvSpPr/>
      </xdr:nvSpPr>
      <xdr:spPr>
        <a:xfrm>
          <a:off x="12869635" y="45805725"/>
          <a:ext cx="6748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299</xdr:row>
      <xdr:rowOff>76200</xdr:rowOff>
    </xdr:from>
    <xdr:to>
      <xdr:col>39</xdr:col>
      <xdr:colOff>122464</xdr:colOff>
      <xdr:row>299</xdr:row>
      <xdr:rowOff>76200</xdr:rowOff>
    </xdr:to>
    <xdr:cxnSp macro="">
      <xdr:nvCxnSpPr>
        <xdr:cNvPr id="860414" name="직선 화살표 연결선 860413"/>
        <xdr:cNvCxnSpPr/>
      </xdr:nvCxnSpPr>
      <xdr:spPr>
        <a:xfrm>
          <a:off x="12869635" y="45862875"/>
          <a:ext cx="673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298</xdr:row>
      <xdr:rowOff>19050</xdr:rowOff>
    </xdr:from>
    <xdr:to>
      <xdr:col>39</xdr:col>
      <xdr:colOff>123734</xdr:colOff>
      <xdr:row>298</xdr:row>
      <xdr:rowOff>133350</xdr:rowOff>
    </xdr:to>
    <xdr:sp macro="" textlink="">
      <xdr:nvSpPr>
        <xdr:cNvPr id="860415" name="295"/>
        <xdr:cNvSpPr/>
      </xdr:nvSpPr>
      <xdr:spPr>
        <a:xfrm>
          <a:off x="13012511" y="456533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298</xdr:row>
      <xdr:rowOff>76200</xdr:rowOff>
    </xdr:from>
    <xdr:to>
      <xdr:col>39</xdr:col>
      <xdr:colOff>122464</xdr:colOff>
      <xdr:row>298</xdr:row>
      <xdr:rowOff>76200</xdr:rowOff>
    </xdr:to>
    <xdr:cxnSp macro="">
      <xdr:nvCxnSpPr>
        <xdr:cNvPr id="860416" name="직선 화살표 연결선 860415"/>
        <xdr:cNvCxnSpPr/>
      </xdr:nvCxnSpPr>
      <xdr:spPr>
        <a:xfrm>
          <a:off x="13012511" y="45710475"/>
          <a:ext cx="5306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297</xdr:row>
      <xdr:rowOff>19050</xdr:rowOff>
    </xdr:from>
    <xdr:to>
      <xdr:col>37</xdr:col>
      <xdr:colOff>123734</xdr:colOff>
      <xdr:row>297</xdr:row>
      <xdr:rowOff>133350</xdr:rowOff>
    </xdr:to>
    <xdr:sp macro="" textlink="">
      <xdr:nvSpPr>
        <xdr:cNvPr id="860417" name="294"/>
        <xdr:cNvSpPr/>
      </xdr:nvSpPr>
      <xdr:spPr>
        <a:xfrm>
          <a:off x="12869635" y="45500925"/>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297</xdr:row>
      <xdr:rowOff>76200</xdr:rowOff>
    </xdr:from>
    <xdr:to>
      <xdr:col>37</xdr:col>
      <xdr:colOff>122464</xdr:colOff>
      <xdr:row>297</xdr:row>
      <xdr:rowOff>76200</xdr:rowOff>
    </xdr:to>
    <xdr:cxnSp macro="">
      <xdr:nvCxnSpPr>
        <xdr:cNvPr id="860418" name="직선 화살표 연결선 860417"/>
        <xdr:cNvCxnSpPr/>
      </xdr:nvCxnSpPr>
      <xdr:spPr>
        <a:xfrm>
          <a:off x="12869635" y="45558075"/>
          <a:ext cx="3878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296</xdr:row>
      <xdr:rowOff>19050</xdr:rowOff>
    </xdr:from>
    <xdr:to>
      <xdr:col>39</xdr:col>
      <xdr:colOff>123734</xdr:colOff>
      <xdr:row>296</xdr:row>
      <xdr:rowOff>133350</xdr:rowOff>
    </xdr:to>
    <xdr:sp macro="" textlink="">
      <xdr:nvSpPr>
        <xdr:cNvPr id="860419" name="293"/>
        <xdr:cNvSpPr/>
      </xdr:nvSpPr>
      <xdr:spPr>
        <a:xfrm>
          <a:off x="12869635" y="45348525"/>
          <a:ext cx="6748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296</xdr:row>
      <xdr:rowOff>76200</xdr:rowOff>
    </xdr:from>
    <xdr:to>
      <xdr:col>39</xdr:col>
      <xdr:colOff>122464</xdr:colOff>
      <xdr:row>296</xdr:row>
      <xdr:rowOff>76200</xdr:rowOff>
    </xdr:to>
    <xdr:cxnSp macro="">
      <xdr:nvCxnSpPr>
        <xdr:cNvPr id="860420" name="직선 화살표 연결선 860419"/>
        <xdr:cNvCxnSpPr/>
      </xdr:nvCxnSpPr>
      <xdr:spPr>
        <a:xfrm>
          <a:off x="12869635" y="45405675"/>
          <a:ext cx="673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295</xdr:row>
      <xdr:rowOff>19050</xdr:rowOff>
    </xdr:from>
    <xdr:to>
      <xdr:col>38</xdr:col>
      <xdr:colOff>123734</xdr:colOff>
      <xdr:row>295</xdr:row>
      <xdr:rowOff>133350</xdr:rowOff>
    </xdr:to>
    <xdr:sp macro="" textlink="">
      <xdr:nvSpPr>
        <xdr:cNvPr id="860421" name="292"/>
        <xdr:cNvSpPr/>
      </xdr:nvSpPr>
      <xdr:spPr>
        <a:xfrm>
          <a:off x="12869635" y="45196125"/>
          <a:ext cx="5319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295</xdr:row>
      <xdr:rowOff>76200</xdr:rowOff>
    </xdr:from>
    <xdr:to>
      <xdr:col>38</xdr:col>
      <xdr:colOff>122464</xdr:colOff>
      <xdr:row>295</xdr:row>
      <xdr:rowOff>76200</xdr:rowOff>
    </xdr:to>
    <xdr:cxnSp macro="">
      <xdr:nvCxnSpPr>
        <xdr:cNvPr id="860422" name="직선 화살표 연결선 860421"/>
        <xdr:cNvCxnSpPr/>
      </xdr:nvCxnSpPr>
      <xdr:spPr>
        <a:xfrm>
          <a:off x="12869635" y="45253275"/>
          <a:ext cx="5306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294</xdr:row>
      <xdr:rowOff>19050</xdr:rowOff>
    </xdr:from>
    <xdr:to>
      <xdr:col>41</xdr:col>
      <xdr:colOff>42090</xdr:colOff>
      <xdr:row>294</xdr:row>
      <xdr:rowOff>133350</xdr:rowOff>
    </xdr:to>
    <xdr:sp macro="" textlink="">
      <xdr:nvSpPr>
        <xdr:cNvPr id="860423" name="291"/>
        <xdr:cNvSpPr/>
      </xdr:nvSpPr>
      <xdr:spPr>
        <a:xfrm>
          <a:off x="12869635" y="45043725"/>
          <a:ext cx="87893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294</xdr:row>
      <xdr:rowOff>76200</xdr:rowOff>
    </xdr:from>
    <xdr:to>
      <xdr:col>41</xdr:col>
      <xdr:colOff>40821</xdr:colOff>
      <xdr:row>294</xdr:row>
      <xdr:rowOff>76200</xdr:rowOff>
    </xdr:to>
    <xdr:cxnSp macro="">
      <xdr:nvCxnSpPr>
        <xdr:cNvPr id="860424" name="직선 화살표 연결선 860423"/>
        <xdr:cNvCxnSpPr/>
      </xdr:nvCxnSpPr>
      <xdr:spPr>
        <a:xfrm>
          <a:off x="12869635" y="45100875"/>
          <a:ext cx="8776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293</xdr:row>
      <xdr:rowOff>19050</xdr:rowOff>
    </xdr:from>
    <xdr:to>
      <xdr:col>39</xdr:col>
      <xdr:colOff>62502</xdr:colOff>
      <xdr:row>293</xdr:row>
      <xdr:rowOff>133350</xdr:rowOff>
    </xdr:to>
    <xdr:sp macro="" textlink="">
      <xdr:nvSpPr>
        <xdr:cNvPr id="860425" name="290"/>
        <xdr:cNvSpPr/>
      </xdr:nvSpPr>
      <xdr:spPr>
        <a:xfrm>
          <a:off x="12298135" y="44891325"/>
          <a:ext cx="1185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293</xdr:row>
      <xdr:rowOff>76200</xdr:rowOff>
    </xdr:from>
    <xdr:to>
      <xdr:col>39</xdr:col>
      <xdr:colOff>61232</xdr:colOff>
      <xdr:row>293</xdr:row>
      <xdr:rowOff>76200</xdr:rowOff>
    </xdr:to>
    <xdr:cxnSp macro="">
      <xdr:nvCxnSpPr>
        <xdr:cNvPr id="860426" name="직선 화살표 연결선 860425"/>
        <xdr:cNvCxnSpPr/>
      </xdr:nvCxnSpPr>
      <xdr:spPr>
        <a:xfrm>
          <a:off x="12298135" y="44948475"/>
          <a:ext cx="1183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292</xdr:row>
      <xdr:rowOff>19050</xdr:rowOff>
    </xdr:from>
    <xdr:to>
      <xdr:col>37</xdr:col>
      <xdr:colOff>42090</xdr:colOff>
      <xdr:row>292</xdr:row>
      <xdr:rowOff>133350</xdr:rowOff>
    </xdr:to>
    <xdr:sp macro="" textlink="">
      <xdr:nvSpPr>
        <xdr:cNvPr id="860427" name="289"/>
        <xdr:cNvSpPr/>
      </xdr:nvSpPr>
      <xdr:spPr>
        <a:xfrm>
          <a:off x="12298135" y="44738925"/>
          <a:ext cx="8789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292</xdr:row>
      <xdr:rowOff>76200</xdr:rowOff>
    </xdr:from>
    <xdr:to>
      <xdr:col>37</xdr:col>
      <xdr:colOff>40821</xdr:colOff>
      <xdr:row>292</xdr:row>
      <xdr:rowOff>76200</xdr:rowOff>
    </xdr:to>
    <xdr:cxnSp macro="">
      <xdr:nvCxnSpPr>
        <xdr:cNvPr id="860428" name="직선 화살표 연결선 860427"/>
        <xdr:cNvCxnSpPr/>
      </xdr:nvCxnSpPr>
      <xdr:spPr>
        <a:xfrm>
          <a:off x="12298135" y="44796075"/>
          <a:ext cx="8776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291</xdr:row>
      <xdr:rowOff>19050</xdr:rowOff>
    </xdr:from>
    <xdr:to>
      <xdr:col>39</xdr:col>
      <xdr:colOff>62502</xdr:colOff>
      <xdr:row>291</xdr:row>
      <xdr:rowOff>133350</xdr:rowOff>
    </xdr:to>
    <xdr:sp macro="" textlink="">
      <xdr:nvSpPr>
        <xdr:cNvPr id="860429" name="288"/>
        <xdr:cNvSpPr/>
      </xdr:nvSpPr>
      <xdr:spPr>
        <a:xfrm>
          <a:off x="12298135" y="44586525"/>
          <a:ext cx="11850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291</xdr:row>
      <xdr:rowOff>76200</xdr:rowOff>
    </xdr:from>
    <xdr:to>
      <xdr:col>39</xdr:col>
      <xdr:colOff>61232</xdr:colOff>
      <xdr:row>291</xdr:row>
      <xdr:rowOff>76200</xdr:rowOff>
    </xdr:to>
    <xdr:cxnSp macro="">
      <xdr:nvCxnSpPr>
        <xdr:cNvPr id="860430" name="직선 화살표 연결선 860429"/>
        <xdr:cNvCxnSpPr/>
      </xdr:nvCxnSpPr>
      <xdr:spPr>
        <a:xfrm>
          <a:off x="12298135" y="44643675"/>
          <a:ext cx="1183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290</xdr:row>
      <xdr:rowOff>19050</xdr:rowOff>
    </xdr:from>
    <xdr:to>
      <xdr:col>58</xdr:col>
      <xdr:colOff>123734</xdr:colOff>
      <xdr:row>290</xdr:row>
      <xdr:rowOff>133350</xdr:rowOff>
    </xdr:to>
    <xdr:sp macro="" textlink="">
      <xdr:nvSpPr>
        <xdr:cNvPr id="860431" name="287"/>
        <xdr:cNvSpPr/>
      </xdr:nvSpPr>
      <xdr:spPr>
        <a:xfrm>
          <a:off x="12298135" y="44434125"/>
          <a:ext cx="3960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290</xdr:row>
      <xdr:rowOff>76200</xdr:rowOff>
    </xdr:from>
    <xdr:to>
      <xdr:col>58</xdr:col>
      <xdr:colOff>122464</xdr:colOff>
      <xdr:row>290</xdr:row>
      <xdr:rowOff>76200</xdr:rowOff>
    </xdr:to>
    <xdr:cxnSp macro="">
      <xdr:nvCxnSpPr>
        <xdr:cNvPr id="860432" name="직선 화살표 연결선 860431"/>
        <xdr:cNvCxnSpPr/>
      </xdr:nvCxnSpPr>
      <xdr:spPr>
        <a:xfrm>
          <a:off x="12298135" y="44491275"/>
          <a:ext cx="39596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289</xdr:row>
      <xdr:rowOff>19050</xdr:rowOff>
    </xdr:from>
    <xdr:to>
      <xdr:col>58</xdr:col>
      <xdr:colOff>123734</xdr:colOff>
      <xdr:row>289</xdr:row>
      <xdr:rowOff>133350</xdr:rowOff>
    </xdr:to>
    <xdr:sp macro="" textlink="">
      <xdr:nvSpPr>
        <xdr:cNvPr id="860433" name="286"/>
        <xdr:cNvSpPr/>
      </xdr:nvSpPr>
      <xdr:spPr>
        <a:xfrm>
          <a:off x="12298135" y="44281725"/>
          <a:ext cx="3960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289</xdr:row>
      <xdr:rowOff>76200</xdr:rowOff>
    </xdr:from>
    <xdr:to>
      <xdr:col>58</xdr:col>
      <xdr:colOff>122464</xdr:colOff>
      <xdr:row>289</xdr:row>
      <xdr:rowOff>76200</xdr:rowOff>
    </xdr:to>
    <xdr:cxnSp macro="">
      <xdr:nvCxnSpPr>
        <xdr:cNvPr id="860434" name="직선 화살표 연결선 860433"/>
        <xdr:cNvCxnSpPr/>
      </xdr:nvCxnSpPr>
      <xdr:spPr>
        <a:xfrm>
          <a:off x="12298135" y="44338875"/>
          <a:ext cx="39596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102054</xdr:colOff>
      <xdr:row>288</xdr:row>
      <xdr:rowOff>19050</xdr:rowOff>
    </xdr:from>
    <xdr:to>
      <xdr:col>69</xdr:col>
      <xdr:colOff>123734</xdr:colOff>
      <xdr:row>288</xdr:row>
      <xdr:rowOff>133350</xdr:rowOff>
    </xdr:to>
    <xdr:sp macro="" textlink="">
      <xdr:nvSpPr>
        <xdr:cNvPr id="860435" name="285"/>
        <xdr:cNvSpPr/>
      </xdr:nvSpPr>
      <xdr:spPr>
        <a:xfrm>
          <a:off x="17666154" y="44129325"/>
          <a:ext cx="1645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102054</xdr:colOff>
      <xdr:row>288</xdr:row>
      <xdr:rowOff>76200</xdr:rowOff>
    </xdr:from>
    <xdr:to>
      <xdr:col>69</xdr:col>
      <xdr:colOff>122464</xdr:colOff>
      <xdr:row>288</xdr:row>
      <xdr:rowOff>76200</xdr:rowOff>
    </xdr:to>
    <xdr:cxnSp macro="">
      <xdr:nvCxnSpPr>
        <xdr:cNvPr id="860436" name="직선 화살표 연결선 860435"/>
        <xdr:cNvCxnSpPr/>
      </xdr:nvCxnSpPr>
      <xdr:spPr>
        <a:xfrm>
          <a:off x="17666154" y="44186475"/>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102054</xdr:colOff>
      <xdr:row>287</xdr:row>
      <xdr:rowOff>19050</xdr:rowOff>
    </xdr:from>
    <xdr:to>
      <xdr:col>69</xdr:col>
      <xdr:colOff>123734</xdr:colOff>
      <xdr:row>287</xdr:row>
      <xdr:rowOff>133350</xdr:rowOff>
    </xdr:to>
    <xdr:sp macro="" textlink="">
      <xdr:nvSpPr>
        <xdr:cNvPr id="860437" name="284"/>
        <xdr:cNvSpPr/>
      </xdr:nvSpPr>
      <xdr:spPr>
        <a:xfrm>
          <a:off x="17666154" y="43976925"/>
          <a:ext cx="1645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102054</xdr:colOff>
      <xdr:row>287</xdr:row>
      <xdr:rowOff>76200</xdr:rowOff>
    </xdr:from>
    <xdr:to>
      <xdr:col>69</xdr:col>
      <xdr:colOff>122464</xdr:colOff>
      <xdr:row>287</xdr:row>
      <xdr:rowOff>76200</xdr:rowOff>
    </xdr:to>
    <xdr:cxnSp macro="">
      <xdr:nvCxnSpPr>
        <xdr:cNvPr id="860438" name="직선 화살표 연결선 860437"/>
        <xdr:cNvCxnSpPr/>
      </xdr:nvCxnSpPr>
      <xdr:spPr>
        <a:xfrm>
          <a:off x="17666154" y="44034075"/>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102054</xdr:colOff>
      <xdr:row>286</xdr:row>
      <xdr:rowOff>19050</xdr:rowOff>
    </xdr:from>
    <xdr:to>
      <xdr:col>69</xdr:col>
      <xdr:colOff>123734</xdr:colOff>
      <xdr:row>286</xdr:row>
      <xdr:rowOff>133350</xdr:rowOff>
    </xdr:to>
    <xdr:sp macro="" textlink="">
      <xdr:nvSpPr>
        <xdr:cNvPr id="860439" name="283"/>
        <xdr:cNvSpPr/>
      </xdr:nvSpPr>
      <xdr:spPr>
        <a:xfrm>
          <a:off x="17666154" y="43824525"/>
          <a:ext cx="1645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102054</xdr:colOff>
      <xdr:row>286</xdr:row>
      <xdr:rowOff>76200</xdr:rowOff>
    </xdr:from>
    <xdr:to>
      <xdr:col>69</xdr:col>
      <xdr:colOff>122464</xdr:colOff>
      <xdr:row>286</xdr:row>
      <xdr:rowOff>76200</xdr:rowOff>
    </xdr:to>
    <xdr:cxnSp macro="">
      <xdr:nvCxnSpPr>
        <xdr:cNvPr id="860440" name="직선 화살표 연결선 860439"/>
        <xdr:cNvCxnSpPr/>
      </xdr:nvCxnSpPr>
      <xdr:spPr>
        <a:xfrm>
          <a:off x="17666154" y="43881675"/>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102054</xdr:colOff>
      <xdr:row>285</xdr:row>
      <xdr:rowOff>19050</xdr:rowOff>
    </xdr:from>
    <xdr:to>
      <xdr:col>69</xdr:col>
      <xdr:colOff>123734</xdr:colOff>
      <xdr:row>285</xdr:row>
      <xdr:rowOff>133350</xdr:rowOff>
    </xdr:to>
    <xdr:sp macro="" textlink="">
      <xdr:nvSpPr>
        <xdr:cNvPr id="860441" name="282"/>
        <xdr:cNvSpPr/>
      </xdr:nvSpPr>
      <xdr:spPr>
        <a:xfrm>
          <a:off x="17666154" y="43672125"/>
          <a:ext cx="1645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102054</xdr:colOff>
      <xdr:row>285</xdr:row>
      <xdr:rowOff>76200</xdr:rowOff>
    </xdr:from>
    <xdr:to>
      <xdr:col>69</xdr:col>
      <xdr:colOff>122464</xdr:colOff>
      <xdr:row>285</xdr:row>
      <xdr:rowOff>76200</xdr:rowOff>
    </xdr:to>
    <xdr:cxnSp macro="">
      <xdr:nvCxnSpPr>
        <xdr:cNvPr id="860442" name="직선 화살표 연결선 860441"/>
        <xdr:cNvCxnSpPr/>
      </xdr:nvCxnSpPr>
      <xdr:spPr>
        <a:xfrm>
          <a:off x="17666154" y="43729275"/>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20411</xdr:colOff>
      <xdr:row>284</xdr:row>
      <xdr:rowOff>19050</xdr:rowOff>
    </xdr:from>
    <xdr:to>
      <xdr:col>68</xdr:col>
      <xdr:colOff>42090</xdr:colOff>
      <xdr:row>284</xdr:row>
      <xdr:rowOff>133350</xdr:rowOff>
    </xdr:to>
    <xdr:sp macro="" textlink="">
      <xdr:nvSpPr>
        <xdr:cNvPr id="860443" name="281"/>
        <xdr:cNvSpPr/>
      </xdr:nvSpPr>
      <xdr:spPr>
        <a:xfrm>
          <a:off x="17584511" y="43519725"/>
          <a:ext cx="216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20411</xdr:colOff>
      <xdr:row>284</xdr:row>
      <xdr:rowOff>76200</xdr:rowOff>
    </xdr:from>
    <xdr:to>
      <xdr:col>68</xdr:col>
      <xdr:colOff>40821</xdr:colOff>
      <xdr:row>284</xdr:row>
      <xdr:rowOff>76200</xdr:rowOff>
    </xdr:to>
    <xdr:cxnSp macro="">
      <xdr:nvCxnSpPr>
        <xdr:cNvPr id="860444" name="직선 화살표 연결선 860443"/>
        <xdr:cNvCxnSpPr/>
      </xdr:nvCxnSpPr>
      <xdr:spPr>
        <a:xfrm>
          <a:off x="17584511" y="435768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20411</xdr:colOff>
      <xdr:row>283</xdr:row>
      <xdr:rowOff>19050</xdr:rowOff>
    </xdr:from>
    <xdr:to>
      <xdr:col>67</xdr:col>
      <xdr:colOff>123734</xdr:colOff>
      <xdr:row>283</xdr:row>
      <xdr:rowOff>133350</xdr:rowOff>
    </xdr:to>
    <xdr:sp macro="" textlink="">
      <xdr:nvSpPr>
        <xdr:cNvPr id="860445" name="280"/>
        <xdr:cNvSpPr/>
      </xdr:nvSpPr>
      <xdr:spPr>
        <a:xfrm>
          <a:off x="17441636" y="433673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20411</xdr:colOff>
      <xdr:row>283</xdr:row>
      <xdr:rowOff>76200</xdr:rowOff>
    </xdr:from>
    <xdr:to>
      <xdr:col>67</xdr:col>
      <xdr:colOff>122464</xdr:colOff>
      <xdr:row>283</xdr:row>
      <xdr:rowOff>76200</xdr:rowOff>
    </xdr:to>
    <xdr:cxnSp macro="">
      <xdr:nvCxnSpPr>
        <xdr:cNvPr id="860446" name="직선 화살표 연결선 860445"/>
        <xdr:cNvCxnSpPr/>
      </xdr:nvCxnSpPr>
      <xdr:spPr>
        <a:xfrm>
          <a:off x="17441636" y="434244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20411</xdr:colOff>
      <xdr:row>282</xdr:row>
      <xdr:rowOff>19050</xdr:rowOff>
    </xdr:from>
    <xdr:to>
      <xdr:col>67</xdr:col>
      <xdr:colOff>123734</xdr:colOff>
      <xdr:row>282</xdr:row>
      <xdr:rowOff>133350</xdr:rowOff>
    </xdr:to>
    <xdr:sp macro="" textlink="">
      <xdr:nvSpPr>
        <xdr:cNvPr id="860447" name="279"/>
        <xdr:cNvSpPr/>
      </xdr:nvSpPr>
      <xdr:spPr>
        <a:xfrm>
          <a:off x="17441636" y="432149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20411</xdr:colOff>
      <xdr:row>282</xdr:row>
      <xdr:rowOff>76200</xdr:rowOff>
    </xdr:from>
    <xdr:to>
      <xdr:col>67</xdr:col>
      <xdr:colOff>122464</xdr:colOff>
      <xdr:row>282</xdr:row>
      <xdr:rowOff>76200</xdr:rowOff>
    </xdr:to>
    <xdr:cxnSp macro="">
      <xdr:nvCxnSpPr>
        <xdr:cNvPr id="860448" name="직선 화살표 연결선 860447"/>
        <xdr:cNvCxnSpPr/>
      </xdr:nvCxnSpPr>
      <xdr:spPr>
        <a:xfrm>
          <a:off x="17441636" y="432720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20411</xdr:colOff>
      <xdr:row>281</xdr:row>
      <xdr:rowOff>19050</xdr:rowOff>
    </xdr:from>
    <xdr:to>
      <xdr:col>68</xdr:col>
      <xdr:colOff>42090</xdr:colOff>
      <xdr:row>281</xdr:row>
      <xdr:rowOff>133350</xdr:rowOff>
    </xdr:to>
    <xdr:sp macro="" textlink="">
      <xdr:nvSpPr>
        <xdr:cNvPr id="860449" name="278"/>
        <xdr:cNvSpPr/>
      </xdr:nvSpPr>
      <xdr:spPr>
        <a:xfrm>
          <a:off x="17441636" y="43062525"/>
          <a:ext cx="1645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20411</xdr:colOff>
      <xdr:row>281</xdr:row>
      <xdr:rowOff>76200</xdr:rowOff>
    </xdr:from>
    <xdr:to>
      <xdr:col>68</xdr:col>
      <xdr:colOff>40821</xdr:colOff>
      <xdr:row>281</xdr:row>
      <xdr:rowOff>76200</xdr:rowOff>
    </xdr:to>
    <xdr:cxnSp macro="">
      <xdr:nvCxnSpPr>
        <xdr:cNvPr id="860450" name="직선 화살표 연결선 860449"/>
        <xdr:cNvCxnSpPr/>
      </xdr:nvCxnSpPr>
      <xdr:spPr>
        <a:xfrm>
          <a:off x="17441636" y="43119675"/>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61232</xdr:colOff>
      <xdr:row>280</xdr:row>
      <xdr:rowOff>19050</xdr:rowOff>
    </xdr:from>
    <xdr:to>
      <xdr:col>65</xdr:col>
      <xdr:colOff>103324</xdr:colOff>
      <xdr:row>280</xdr:row>
      <xdr:rowOff>133350</xdr:rowOff>
    </xdr:to>
    <xdr:sp macro="" textlink="">
      <xdr:nvSpPr>
        <xdr:cNvPr id="860451" name="277"/>
        <xdr:cNvSpPr/>
      </xdr:nvSpPr>
      <xdr:spPr>
        <a:xfrm>
          <a:off x="17196707" y="42910125"/>
          <a:ext cx="42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61232</xdr:colOff>
      <xdr:row>280</xdr:row>
      <xdr:rowOff>76200</xdr:rowOff>
    </xdr:from>
    <xdr:to>
      <xdr:col>65</xdr:col>
      <xdr:colOff>102054</xdr:colOff>
      <xdr:row>280</xdr:row>
      <xdr:rowOff>76200</xdr:rowOff>
    </xdr:to>
    <xdr:cxnSp macro="">
      <xdr:nvCxnSpPr>
        <xdr:cNvPr id="860452" name="직선 화살표 연결선 860451"/>
        <xdr:cNvCxnSpPr/>
      </xdr:nvCxnSpPr>
      <xdr:spPr>
        <a:xfrm>
          <a:off x="17196707" y="429672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61232</xdr:colOff>
      <xdr:row>279</xdr:row>
      <xdr:rowOff>19050</xdr:rowOff>
    </xdr:from>
    <xdr:to>
      <xdr:col>65</xdr:col>
      <xdr:colOff>103324</xdr:colOff>
      <xdr:row>279</xdr:row>
      <xdr:rowOff>133350</xdr:rowOff>
    </xdr:to>
    <xdr:sp macro="" textlink="">
      <xdr:nvSpPr>
        <xdr:cNvPr id="860453" name="276"/>
        <xdr:cNvSpPr/>
      </xdr:nvSpPr>
      <xdr:spPr>
        <a:xfrm>
          <a:off x="17196707" y="42757725"/>
          <a:ext cx="42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61232</xdr:colOff>
      <xdr:row>279</xdr:row>
      <xdr:rowOff>76200</xdr:rowOff>
    </xdr:from>
    <xdr:to>
      <xdr:col>65</xdr:col>
      <xdr:colOff>102054</xdr:colOff>
      <xdr:row>279</xdr:row>
      <xdr:rowOff>76200</xdr:rowOff>
    </xdr:to>
    <xdr:cxnSp macro="">
      <xdr:nvCxnSpPr>
        <xdr:cNvPr id="860454" name="직선 화살표 연결선 860453"/>
        <xdr:cNvCxnSpPr/>
      </xdr:nvCxnSpPr>
      <xdr:spPr>
        <a:xfrm>
          <a:off x="17196707" y="428148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61232</xdr:colOff>
      <xdr:row>278</xdr:row>
      <xdr:rowOff>19050</xdr:rowOff>
    </xdr:from>
    <xdr:to>
      <xdr:col>65</xdr:col>
      <xdr:colOff>103324</xdr:colOff>
      <xdr:row>278</xdr:row>
      <xdr:rowOff>133350</xdr:rowOff>
    </xdr:to>
    <xdr:sp macro="" textlink="">
      <xdr:nvSpPr>
        <xdr:cNvPr id="860455" name="275"/>
        <xdr:cNvSpPr/>
      </xdr:nvSpPr>
      <xdr:spPr>
        <a:xfrm>
          <a:off x="17196707" y="42605325"/>
          <a:ext cx="420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61232</xdr:colOff>
      <xdr:row>278</xdr:row>
      <xdr:rowOff>76200</xdr:rowOff>
    </xdr:from>
    <xdr:to>
      <xdr:col>65</xdr:col>
      <xdr:colOff>102054</xdr:colOff>
      <xdr:row>278</xdr:row>
      <xdr:rowOff>76200</xdr:rowOff>
    </xdr:to>
    <xdr:cxnSp macro="">
      <xdr:nvCxnSpPr>
        <xdr:cNvPr id="860456" name="직선 화살표 연결선 860455"/>
        <xdr:cNvCxnSpPr/>
      </xdr:nvCxnSpPr>
      <xdr:spPr>
        <a:xfrm>
          <a:off x="17196707" y="426624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40821</xdr:colOff>
      <xdr:row>277</xdr:row>
      <xdr:rowOff>19050</xdr:rowOff>
    </xdr:from>
    <xdr:to>
      <xdr:col>61</xdr:col>
      <xdr:colOff>42090</xdr:colOff>
      <xdr:row>277</xdr:row>
      <xdr:rowOff>133350</xdr:rowOff>
    </xdr:to>
    <xdr:sp macro="" textlink="">
      <xdr:nvSpPr>
        <xdr:cNvPr id="860457" name="274"/>
        <xdr:cNvSpPr/>
      </xdr:nvSpPr>
      <xdr:spPr>
        <a:xfrm>
          <a:off x="16319046" y="42452925"/>
          <a:ext cx="2870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40821</xdr:colOff>
      <xdr:row>277</xdr:row>
      <xdr:rowOff>76200</xdr:rowOff>
    </xdr:from>
    <xdr:to>
      <xdr:col>61</xdr:col>
      <xdr:colOff>40821</xdr:colOff>
      <xdr:row>277</xdr:row>
      <xdr:rowOff>76200</xdr:rowOff>
    </xdr:to>
    <xdr:cxnSp macro="">
      <xdr:nvCxnSpPr>
        <xdr:cNvPr id="860458" name="직선 화살표 연결선 860457"/>
        <xdr:cNvCxnSpPr/>
      </xdr:nvCxnSpPr>
      <xdr:spPr>
        <a:xfrm>
          <a:off x="16319046" y="42510075"/>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40821</xdr:colOff>
      <xdr:row>276</xdr:row>
      <xdr:rowOff>19050</xdr:rowOff>
    </xdr:from>
    <xdr:to>
      <xdr:col>60</xdr:col>
      <xdr:colOff>103324</xdr:colOff>
      <xdr:row>276</xdr:row>
      <xdr:rowOff>133350</xdr:rowOff>
    </xdr:to>
    <xdr:sp macro="" textlink="">
      <xdr:nvSpPr>
        <xdr:cNvPr id="860459" name="273"/>
        <xdr:cNvSpPr/>
      </xdr:nvSpPr>
      <xdr:spPr>
        <a:xfrm>
          <a:off x="16319046" y="42300525"/>
          <a:ext cx="20537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40821</xdr:colOff>
      <xdr:row>276</xdr:row>
      <xdr:rowOff>76200</xdr:rowOff>
    </xdr:from>
    <xdr:to>
      <xdr:col>60</xdr:col>
      <xdr:colOff>102054</xdr:colOff>
      <xdr:row>276</xdr:row>
      <xdr:rowOff>76200</xdr:rowOff>
    </xdr:to>
    <xdr:cxnSp macro="">
      <xdr:nvCxnSpPr>
        <xdr:cNvPr id="860460" name="직선 화살표 연결선 860459"/>
        <xdr:cNvCxnSpPr/>
      </xdr:nvCxnSpPr>
      <xdr:spPr>
        <a:xfrm>
          <a:off x="16319046" y="42357675"/>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40821</xdr:colOff>
      <xdr:row>275</xdr:row>
      <xdr:rowOff>19050</xdr:rowOff>
    </xdr:from>
    <xdr:to>
      <xdr:col>60</xdr:col>
      <xdr:colOff>103324</xdr:colOff>
      <xdr:row>275</xdr:row>
      <xdr:rowOff>133350</xdr:rowOff>
    </xdr:to>
    <xdr:sp macro="" textlink="">
      <xdr:nvSpPr>
        <xdr:cNvPr id="860461" name="272"/>
        <xdr:cNvSpPr/>
      </xdr:nvSpPr>
      <xdr:spPr>
        <a:xfrm>
          <a:off x="16319046" y="42148125"/>
          <a:ext cx="20537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40821</xdr:colOff>
      <xdr:row>275</xdr:row>
      <xdr:rowOff>76200</xdr:rowOff>
    </xdr:from>
    <xdr:to>
      <xdr:col>60</xdr:col>
      <xdr:colOff>102054</xdr:colOff>
      <xdr:row>275</xdr:row>
      <xdr:rowOff>76200</xdr:rowOff>
    </xdr:to>
    <xdr:cxnSp macro="">
      <xdr:nvCxnSpPr>
        <xdr:cNvPr id="860462" name="직선 화살표 연결선 860461"/>
        <xdr:cNvCxnSpPr/>
      </xdr:nvCxnSpPr>
      <xdr:spPr>
        <a:xfrm>
          <a:off x="16319046" y="42205275"/>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40821</xdr:colOff>
      <xdr:row>274</xdr:row>
      <xdr:rowOff>19050</xdr:rowOff>
    </xdr:from>
    <xdr:to>
      <xdr:col>60</xdr:col>
      <xdr:colOff>103324</xdr:colOff>
      <xdr:row>274</xdr:row>
      <xdr:rowOff>133350</xdr:rowOff>
    </xdr:to>
    <xdr:sp macro="" textlink="">
      <xdr:nvSpPr>
        <xdr:cNvPr id="860463" name="271"/>
        <xdr:cNvSpPr/>
      </xdr:nvSpPr>
      <xdr:spPr>
        <a:xfrm>
          <a:off x="16319046" y="41995725"/>
          <a:ext cx="20537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40821</xdr:colOff>
      <xdr:row>274</xdr:row>
      <xdr:rowOff>76200</xdr:rowOff>
    </xdr:from>
    <xdr:to>
      <xdr:col>60</xdr:col>
      <xdr:colOff>102054</xdr:colOff>
      <xdr:row>274</xdr:row>
      <xdr:rowOff>76200</xdr:rowOff>
    </xdr:to>
    <xdr:cxnSp macro="">
      <xdr:nvCxnSpPr>
        <xdr:cNvPr id="860464" name="직선 화살표 연결선 860463"/>
        <xdr:cNvCxnSpPr/>
      </xdr:nvCxnSpPr>
      <xdr:spPr>
        <a:xfrm>
          <a:off x="16319046" y="42052875"/>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40821</xdr:colOff>
      <xdr:row>273</xdr:row>
      <xdr:rowOff>19050</xdr:rowOff>
    </xdr:from>
    <xdr:to>
      <xdr:col>61</xdr:col>
      <xdr:colOff>42090</xdr:colOff>
      <xdr:row>273</xdr:row>
      <xdr:rowOff>133350</xdr:rowOff>
    </xdr:to>
    <xdr:sp macro="" textlink="">
      <xdr:nvSpPr>
        <xdr:cNvPr id="860465" name="270"/>
        <xdr:cNvSpPr/>
      </xdr:nvSpPr>
      <xdr:spPr>
        <a:xfrm>
          <a:off x="16319046" y="41843325"/>
          <a:ext cx="2870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40821</xdr:colOff>
      <xdr:row>273</xdr:row>
      <xdr:rowOff>76200</xdr:rowOff>
    </xdr:from>
    <xdr:to>
      <xdr:col>61</xdr:col>
      <xdr:colOff>40821</xdr:colOff>
      <xdr:row>273</xdr:row>
      <xdr:rowOff>76200</xdr:rowOff>
    </xdr:to>
    <xdr:cxnSp macro="">
      <xdr:nvCxnSpPr>
        <xdr:cNvPr id="860466" name="직선 화살표 연결선 860465"/>
        <xdr:cNvCxnSpPr/>
      </xdr:nvCxnSpPr>
      <xdr:spPr>
        <a:xfrm>
          <a:off x="16319046" y="41900475"/>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81643</xdr:colOff>
      <xdr:row>272</xdr:row>
      <xdr:rowOff>19050</xdr:rowOff>
    </xdr:from>
    <xdr:to>
      <xdr:col>59</xdr:col>
      <xdr:colOff>42090</xdr:colOff>
      <xdr:row>272</xdr:row>
      <xdr:rowOff>133350</xdr:rowOff>
    </xdr:to>
    <xdr:sp macro="" textlink="">
      <xdr:nvSpPr>
        <xdr:cNvPr id="860467" name="269"/>
        <xdr:cNvSpPr/>
      </xdr:nvSpPr>
      <xdr:spPr>
        <a:xfrm>
          <a:off x="16216993" y="41690925"/>
          <a:ext cx="1033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81643</xdr:colOff>
      <xdr:row>272</xdr:row>
      <xdr:rowOff>76200</xdr:rowOff>
    </xdr:from>
    <xdr:to>
      <xdr:col>59</xdr:col>
      <xdr:colOff>40821</xdr:colOff>
      <xdr:row>272</xdr:row>
      <xdr:rowOff>76200</xdr:rowOff>
    </xdr:to>
    <xdr:cxnSp macro="">
      <xdr:nvCxnSpPr>
        <xdr:cNvPr id="860468" name="직선 화살표 연결선 860467"/>
        <xdr:cNvCxnSpPr/>
      </xdr:nvCxnSpPr>
      <xdr:spPr>
        <a:xfrm>
          <a:off x="16216993" y="417480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81643</xdr:colOff>
      <xdr:row>271</xdr:row>
      <xdr:rowOff>19050</xdr:rowOff>
    </xdr:from>
    <xdr:to>
      <xdr:col>59</xdr:col>
      <xdr:colOff>42090</xdr:colOff>
      <xdr:row>271</xdr:row>
      <xdr:rowOff>133350</xdr:rowOff>
    </xdr:to>
    <xdr:sp macro="" textlink="">
      <xdr:nvSpPr>
        <xdr:cNvPr id="860469" name="268"/>
        <xdr:cNvSpPr/>
      </xdr:nvSpPr>
      <xdr:spPr>
        <a:xfrm>
          <a:off x="16216993" y="41538525"/>
          <a:ext cx="1033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81643</xdr:colOff>
      <xdr:row>271</xdr:row>
      <xdr:rowOff>76200</xdr:rowOff>
    </xdr:from>
    <xdr:to>
      <xdr:col>59</xdr:col>
      <xdr:colOff>40821</xdr:colOff>
      <xdr:row>271</xdr:row>
      <xdr:rowOff>76200</xdr:rowOff>
    </xdr:to>
    <xdr:cxnSp macro="">
      <xdr:nvCxnSpPr>
        <xdr:cNvPr id="860470" name="직선 화살표 연결선 860469"/>
        <xdr:cNvCxnSpPr/>
      </xdr:nvCxnSpPr>
      <xdr:spPr>
        <a:xfrm>
          <a:off x="16216993" y="415956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81643</xdr:colOff>
      <xdr:row>270</xdr:row>
      <xdr:rowOff>19050</xdr:rowOff>
    </xdr:from>
    <xdr:to>
      <xdr:col>59</xdr:col>
      <xdr:colOff>42090</xdr:colOff>
      <xdr:row>270</xdr:row>
      <xdr:rowOff>133350</xdr:rowOff>
    </xdr:to>
    <xdr:sp macro="" textlink="">
      <xdr:nvSpPr>
        <xdr:cNvPr id="860471" name="267"/>
        <xdr:cNvSpPr/>
      </xdr:nvSpPr>
      <xdr:spPr>
        <a:xfrm>
          <a:off x="16216993" y="41386125"/>
          <a:ext cx="1033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81643</xdr:colOff>
      <xdr:row>270</xdr:row>
      <xdr:rowOff>76200</xdr:rowOff>
    </xdr:from>
    <xdr:to>
      <xdr:col>59</xdr:col>
      <xdr:colOff>40821</xdr:colOff>
      <xdr:row>270</xdr:row>
      <xdr:rowOff>76200</xdr:rowOff>
    </xdr:to>
    <xdr:cxnSp macro="">
      <xdr:nvCxnSpPr>
        <xdr:cNvPr id="860472" name="직선 화살표 연결선 860471"/>
        <xdr:cNvCxnSpPr/>
      </xdr:nvCxnSpPr>
      <xdr:spPr>
        <a:xfrm>
          <a:off x="16216993" y="414432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81643</xdr:colOff>
      <xdr:row>269</xdr:row>
      <xdr:rowOff>19050</xdr:rowOff>
    </xdr:from>
    <xdr:to>
      <xdr:col>59</xdr:col>
      <xdr:colOff>42090</xdr:colOff>
      <xdr:row>269</xdr:row>
      <xdr:rowOff>133350</xdr:rowOff>
    </xdr:to>
    <xdr:sp macro="" textlink="">
      <xdr:nvSpPr>
        <xdr:cNvPr id="860473" name="266"/>
        <xdr:cNvSpPr/>
      </xdr:nvSpPr>
      <xdr:spPr>
        <a:xfrm>
          <a:off x="16216993" y="41233725"/>
          <a:ext cx="1033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81643</xdr:colOff>
      <xdr:row>269</xdr:row>
      <xdr:rowOff>76200</xdr:rowOff>
    </xdr:from>
    <xdr:to>
      <xdr:col>59</xdr:col>
      <xdr:colOff>40821</xdr:colOff>
      <xdr:row>269</xdr:row>
      <xdr:rowOff>76200</xdr:rowOff>
    </xdr:to>
    <xdr:cxnSp macro="">
      <xdr:nvCxnSpPr>
        <xdr:cNvPr id="860474" name="직선 화살표 연결선 860473"/>
        <xdr:cNvCxnSpPr/>
      </xdr:nvCxnSpPr>
      <xdr:spPr>
        <a:xfrm>
          <a:off x="16216993" y="412908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40821</xdr:colOff>
      <xdr:row>268</xdr:row>
      <xdr:rowOff>19050</xdr:rowOff>
    </xdr:from>
    <xdr:to>
      <xdr:col>58</xdr:col>
      <xdr:colOff>82913</xdr:colOff>
      <xdr:row>268</xdr:row>
      <xdr:rowOff>133350</xdr:rowOff>
    </xdr:to>
    <xdr:sp macro="" textlink="">
      <xdr:nvSpPr>
        <xdr:cNvPr id="860475" name="265"/>
        <xdr:cNvSpPr/>
      </xdr:nvSpPr>
      <xdr:spPr>
        <a:xfrm>
          <a:off x="16176171" y="41081325"/>
          <a:ext cx="42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40821</xdr:colOff>
      <xdr:row>268</xdr:row>
      <xdr:rowOff>76200</xdr:rowOff>
    </xdr:from>
    <xdr:to>
      <xdr:col>58</xdr:col>
      <xdr:colOff>81643</xdr:colOff>
      <xdr:row>268</xdr:row>
      <xdr:rowOff>76200</xdr:rowOff>
    </xdr:to>
    <xdr:cxnSp macro="">
      <xdr:nvCxnSpPr>
        <xdr:cNvPr id="860476" name="직선 화살표 연결선 860475"/>
        <xdr:cNvCxnSpPr/>
      </xdr:nvCxnSpPr>
      <xdr:spPr>
        <a:xfrm>
          <a:off x="16176171" y="411384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40821</xdr:colOff>
      <xdr:row>267</xdr:row>
      <xdr:rowOff>19050</xdr:rowOff>
    </xdr:from>
    <xdr:to>
      <xdr:col>58</xdr:col>
      <xdr:colOff>82913</xdr:colOff>
      <xdr:row>267</xdr:row>
      <xdr:rowOff>133350</xdr:rowOff>
    </xdr:to>
    <xdr:sp macro="" textlink="">
      <xdr:nvSpPr>
        <xdr:cNvPr id="860477" name="264"/>
        <xdr:cNvSpPr/>
      </xdr:nvSpPr>
      <xdr:spPr>
        <a:xfrm>
          <a:off x="16176171" y="40928925"/>
          <a:ext cx="42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40821</xdr:colOff>
      <xdr:row>267</xdr:row>
      <xdr:rowOff>76200</xdr:rowOff>
    </xdr:from>
    <xdr:to>
      <xdr:col>58</xdr:col>
      <xdr:colOff>81643</xdr:colOff>
      <xdr:row>267</xdr:row>
      <xdr:rowOff>76200</xdr:rowOff>
    </xdr:to>
    <xdr:cxnSp macro="">
      <xdr:nvCxnSpPr>
        <xdr:cNvPr id="860478" name="직선 화살표 연결선 860477"/>
        <xdr:cNvCxnSpPr/>
      </xdr:nvCxnSpPr>
      <xdr:spPr>
        <a:xfrm>
          <a:off x="16176171" y="409860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40821</xdr:colOff>
      <xdr:row>266</xdr:row>
      <xdr:rowOff>19050</xdr:rowOff>
    </xdr:from>
    <xdr:to>
      <xdr:col>58</xdr:col>
      <xdr:colOff>82913</xdr:colOff>
      <xdr:row>266</xdr:row>
      <xdr:rowOff>133350</xdr:rowOff>
    </xdr:to>
    <xdr:sp macro="" textlink="">
      <xdr:nvSpPr>
        <xdr:cNvPr id="860479" name="263"/>
        <xdr:cNvSpPr/>
      </xdr:nvSpPr>
      <xdr:spPr>
        <a:xfrm>
          <a:off x="16176171" y="40776525"/>
          <a:ext cx="420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40821</xdr:colOff>
      <xdr:row>266</xdr:row>
      <xdr:rowOff>76200</xdr:rowOff>
    </xdr:from>
    <xdr:to>
      <xdr:col>58</xdr:col>
      <xdr:colOff>81643</xdr:colOff>
      <xdr:row>266</xdr:row>
      <xdr:rowOff>76200</xdr:rowOff>
    </xdr:to>
    <xdr:cxnSp macro="">
      <xdr:nvCxnSpPr>
        <xdr:cNvPr id="860480" name="직선 화살표 연결선 860479"/>
        <xdr:cNvCxnSpPr/>
      </xdr:nvCxnSpPr>
      <xdr:spPr>
        <a:xfrm>
          <a:off x="16176171" y="408336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81643</xdr:colOff>
      <xdr:row>265</xdr:row>
      <xdr:rowOff>19050</xdr:rowOff>
    </xdr:from>
    <xdr:to>
      <xdr:col>59</xdr:col>
      <xdr:colOff>42090</xdr:colOff>
      <xdr:row>265</xdr:row>
      <xdr:rowOff>133350</xdr:rowOff>
    </xdr:to>
    <xdr:sp macro="" textlink="">
      <xdr:nvSpPr>
        <xdr:cNvPr id="860481" name="262"/>
        <xdr:cNvSpPr/>
      </xdr:nvSpPr>
      <xdr:spPr>
        <a:xfrm>
          <a:off x="16216993" y="40624125"/>
          <a:ext cx="1033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81643</xdr:colOff>
      <xdr:row>265</xdr:row>
      <xdr:rowOff>76200</xdr:rowOff>
    </xdr:from>
    <xdr:to>
      <xdr:col>59</xdr:col>
      <xdr:colOff>40821</xdr:colOff>
      <xdr:row>265</xdr:row>
      <xdr:rowOff>76200</xdr:rowOff>
    </xdr:to>
    <xdr:cxnSp macro="">
      <xdr:nvCxnSpPr>
        <xdr:cNvPr id="860482" name="직선 화살표 연결선 860481"/>
        <xdr:cNvCxnSpPr/>
      </xdr:nvCxnSpPr>
      <xdr:spPr>
        <a:xfrm>
          <a:off x="16216993" y="406812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20411</xdr:colOff>
      <xdr:row>264</xdr:row>
      <xdr:rowOff>19050</xdr:rowOff>
    </xdr:from>
    <xdr:to>
      <xdr:col>58</xdr:col>
      <xdr:colOff>42090</xdr:colOff>
      <xdr:row>264</xdr:row>
      <xdr:rowOff>133350</xdr:rowOff>
    </xdr:to>
    <xdr:sp macro="" textlink="">
      <xdr:nvSpPr>
        <xdr:cNvPr id="860483" name="261"/>
        <xdr:cNvSpPr/>
      </xdr:nvSpPr>
      <xdr:spPr>
        <a:xfrm>
          <a:off x="15870011" y="40471725"/>
          <a:ext cx="3074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20411</xdr:colOff>
      <xdr:row>264</xdr:row>
      <xdr:rowOff>76200</xdr:rowOff>
    </xdr:from>
    <xdr:to>
      <xdr:col>58</xdr:col>
      <xdr:colOff>40821</xdr:colOff>
      <xdr:row>264</xdr:row>
      <xdr:rowOff>76200</xdr:rowOff>
    </xdr:to>
    <xdr:cxnSp macro="">
      <xdr:nvCxnSpPr>
        <xdr:cNvPr id="860484" name="직선 화살표 연결선 860483"/>
        <xdr:cNvCxnSpPr/>
      </xdr:nvCxnSpPr>
      <xdr:spPr>
        <a:xfrm>
          <a:off x="15870011" y="40528875"/>
          <a:ext cx="3061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20411</xdr:colOff>
      <xdr:row>263</xdr:row>
      <xdr:rowOff>19050</xdr:rowOff>
    </xdr:from>
    <xdr:to>
      <xdr:col>58</xdr:col>
      <xdr:colOff>42090</xdr:colOff>
      <xdr:row>263</xdr:row>
      <xdr:rowOff>133350</xdr:rowOff>
    </xdr:to>
    <xdr:sp macro="" textlink="">
      <xdr:nvSpPr>
        <xdr:cNvPr id="860485" name="260"/>
        <xdr:cNvSpPr/>
      </xdr:nvSpPr>
      <xdr:spPr>
        <a:xfrm>
          <a:off x="15870011" y="40319325"/>
          <a:ext cx="3074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20411</xdr:colOff>
      <xdr:row>263</xdr:row>
      <xdr:rowOff>76200</xdr:rowOff>
    </xdr:from>
    <xdr:to>
      <xdr:col>58</xdr:col>
      <xdr:colOff>40821</xdr:colOff>
      <xdr:row>263</xdr:row>
      <xdr:rowOff>76200</xdr:rowOff>
    </xdr:to>
    <xdr:cxnSp macro="">
      <xdr:nvCxnSpPr>
        <xdr:cNvPr id="860486" name="직선 화살표 연결선 860485"/>
        <xdr:cNvCxnSpPr/>
      </xdr:nvCxnSpPr>
      <xdr:spPr>
        <a:xfrm>
          <a:off x="15870011" y="40376475"/>
          <a:ext cx="3061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20411</xdr:colOff>
      <xdr:row>262</xdr:row>
      <xdr:rowOff>19050</xdr:rowOff>
    </xdr:from>
    <xdr:to>
      <xdr:col>58</xdr:col>
      <xdr:colOff>42090</xdr:colOff>
      <xdr:row>262</xdr:row>
      <xdr:rowOff>133350</xdr:rowOff>
    </xdr:to>
    <xdr:sp macro="" textlink="">
      <xdr:nvSpPr>
        <xdr:cNvPr id="860487" name="259"/>
        <xdr:cNvSpPr/>
      </xdr:nvSpPr>
      <xdr:spPr>
        <a:xfrm>
          <a:off x="15870011" y="40166925"/>
          <a:ext cx="3074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20411</xdr:colOff>
      <xdr:row>262</xdr:row>
      <xdr:rowOff>76200</xdr:rowOff>
    </xdr:from>
    <xdr:to>
      <xdr:col>58</xdr:col>
      <xdr:colOff>40821</xdr:colOff>
      <xdr:row>262</xdr:row>
      <xdr:rowOff>76200</xdr:rowOff>
    </xdr:to>
    <xdr:cxnSp macro="">
      <xdr:nvCxnSpPr>
        <xdr:cNvPr id="860488" name="직선 화살표 연결선 860487"/>
        <xdr:cNvCxnSpPr/>
      </xdr:nvCxnSpPr>
      <xdr:spPr>
        <a:xfrm>
          <a:off x="15870011" y="40224075"/>
          <a:ext cx="3061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20411</xdr:colOff>
      <xdr:row>261</xdr:row>
      <xdr:rowOff>19050</xdr:rowOff>
    </xdr:from>
    <xdr:to>
      <xdr:col>58</xdr:col>
      <xdr:colOff>42090</xdr:colOff>
      <xdr:row>261</xdr:row>
      <xdr:rowOff>133350</xdr:rowOff>
    </xdr:to>
    <xdr:sp macro="" textlink="">
      <xdr:nvSpPr>
        <xdr:cNvPr id="860489" name="258"/>
        <xdr:cNvSpPr/>
      </xdr:nvSpPr>
      <xdr:spPr>
        <a:xfrm>
          <a:off x="15870011" y="40014525"/>
          <a:ext cx="3074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20411</xdr:colOff>
      <xdr:row>261</xdr:row>
      <xdr:rowOff>76200</xdr:rowOff>
    </xdr:from>
    <xdr:to>
      <xdr:col>58</xdr:col>
      <xdr:colOff>40821</xdr:colOff>
      <xdr:row>261</xdr:row>
      <xdr:rowOff>76200</xdr:rowOff>
    </xdr:to>
    <xdr:cxnSp macro="">
      <xdr:nvCxnSpPr>
        <xdr:cNvPr id="860490" name="직선 화살표 연결선 860489"/>
        <xdr:cNvCxnSpPr/>
      </xdr:nvCxnSpPr>
      <xdr:spPr>
        <a:xfrm>
          <a:off x="15870011" y="40071675"/>
          <a:ext cx="3061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20411</xdr:colOff>
      <xdr:row>260</xdr:row>
      <xdr:rowOff>19050</xdr:rowOff>
    </xdr:from>
    <xdr:to>
      <xdr:col>59</xdr:col>
      <xdr:colOff>42090</xdr:colOff>
      <xdr:row>260</xdr:row>
      <xdr:rowOff>133350</xdr:rowOff>
    </xdr:to>
    <xdr:sp macro="" textlink="">
      <xdr:nvSpPr>
        <xdr:cNvPr id="860491" name="257"/>
        <xdr:cNvSpPr/>
      </xdr:nvSpPr>
      <xdr:spPr>
        <a:xfrm>
          <a:off x="15870011" y="39862125"/>
          <a:ext cx="4503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20411</xdr:colOff>
      <xdr:row>260</xdr:row>
      <xdr:rowOff>76200</xdr:rowOff>
    </xdr:from>
    <xdr:to>
      <xdr:col>59</xdr:col>
      <xdr:colOff>40821</xdr:colOff>
      <xdr:row>260</xdr:row>
      <xdr:rowOff>76200</xdr:rowOff>
    </xdr:to>
    <xdr:cxnSp macro="">
      <xdr:nvCxnSpPr>
        <xdr:cNvPr id="860492" name="직선 화살표 연결선 860491"/>
        <xdr:cNvCxnSpPr/>
      </xdr:nvCxnSpPr>
      <xdr:spPr>
        <a:xfrm>
          <a:off x="15870011" y="39919275"/>
          <a:ext cx="4490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20411</xdr:colOff>
      <xdr:row>259</xdr:row>
      <xdr:rowOff>19050</xdr:rowOff>
    </xdr:from>
    <xdr:to>
      <xdr:col>55</xdr:col>
      <xdr:colOff>123734</xdr:colOff>
      <xdr:row>259</xdr:row>
      <xdr:rowOff>133350</xdr:rowOff>
    </xdr:to>
    <xdr:sp macro="" textlink="">
      <xdr:nvSpPr>
        <xdr:cNvPr id="860493" name="256"/>
        <xdr:cNvSpPr/>
      </xdr:nvSpPr>
      <xdr:spPr>
        <a:xfrm>
          <a:off x="15727136" y="397097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20411</xdr:colOff>
      <xdr:row>259</xdr:row>
      <xdr:rowOff>76200</xdr:rowOff>
    </xdr:from>
    <xdr:to>
      <xdr:col>55</xdr:col>
      <xdr:colOff>122464</xdr:colOff>
      <xdr:row>259</xdr:row>
      <xdr:rowOff>76200</xdr:rowOff>
    </xdr:to>
    <xdr:cxnSp macro="">
      <xdr:nvCxnSpPr>
        <xdr:cNvPr id="860494" name="직선 화살표 연결선 860493"/>
        <xdr:cNvCxnSpPr/>
      </xdr:nvCxnSpPr>
      <xdr:spPr>
        <a:xfrm>
          <a:off x="15727136" y="397668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20411</xdr:colOff>
      <xdr:row>258</xdr:row>
      <xdr:rowOff>19050</xdr:rowOff>
    </xdr:from>
    <xdr:to>
      <xdr:col>55</xdr:col>
      <xdr:colOff>123734</xdr:colOff>
      <xdr:row>258</xdr:row>
      <xdr:rowOff>133350</xdr:rowOff>
    </xdr:to>
    <xdr:sp macro="" textlink="">
      <xdr:nvSpPr>
        <xdr:cNvPr id="860495" name="255"/>
        <xdr:cNvSpPr/>
      </xdr:nvSpPr>
      <xdr:spPr>
        <a:xfrm>
          <a:off x="15727136" y="395573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20411</xdr:colOff>
      <xdr:row>258</xdr:row>
      <xdr:rowOff>76200</xdr:rowOff>
    </xdr:from>
    <xdr:to>
      <xdr:col>55</xdr:col>
      <xdr:colOff>122464</xdr:colOff>
      <xdr:row>258</xdr:row>
      <xdr:rowOff>76200</xdr:rowOff>
    </xdr:to>
    <xdr:cxnSp macro="">
      <xdr:nvCxnSpPr>
        <xdr:cNvPr id="860496" name="직선 화살표 연결선 860495"/>
        <xdr:cNvCxnSpPr/>
      </xdr:nvCxnSpPr>
      <xdr:spPr>
        <a:xfrm>
          <a:off x="15727136" y="396144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20411</xdr:colOff>
      <xdr:row>257</xdr:row>
      <xdr:rowOff>19050</xdr:rowOff>
    </xdr:from>
    <xdr:to>
      <xdr:col>55</xdr:col>
      <xdr:colOff>123734</xdr:colOff>
      <xdr:row>257</xdr:row>
      <xdr:rowOff>133350</xdr:rowOff>
    </xdr:to>
    <xdr:sp macro="" textlink="">
      <xdr:nvSpPr>
        <xdr:cNvPr id="860497" name="254"/>
        <xdr:cNvSpPr/>
      </xdr:nvSpPr>
      <xdr:spPr>
        <a:xfrm>
          <a:off x="15727136" y="394049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20411</xdr:colOff>
      <xdr:row>257</xdr:row>
      <xdr:rowOff>76200</xdr:rowOff>
    </xdr:from>
    <xdr:to>
      <xdr:col>55</xdr:col>
      <xdr:colOff>122464</xdr:colOff>
      <xdr:row>257</xdr:row>
      <xdr:rowOff>76200</xdr:rowOff>
    </xdr:to>
    <xdr:cxnSp macro="">
      <xdr:nvCxnSpPr>
        <xdr:cNvPr id="860498" name="직선 화살표 연결선 860497"/>
        <xdr:cNvCxnSpPr/>
      </xdr:nvCxnSpPr>
      <xdr:spPr>
        <a:xfrm>
          <a:off x="15727136" y="394620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20411</xdr:colOff>
      <xdr:row>256</xdr:row>
      <xdr:rowOff>19050</xdr:rowOff>
    </xdr:from>
    <xdr:to>
      <xdr:col>55</xdr:col>
      <xdr:colOff>123734</xdr:colOff>
      <xdr:row>256</xdr:row>
      <xdr:rowOff>133350</xdr:rowOff>
    </xdr:to>
    <xdr:sp macro="" textlink="">
      <xdr:nvSpPr>
        <xdr:cNvPr id="860499" name="253"/>
        <xdr:cNvSpPr/>
      </xdr:nvSpPr>
      <xdr:spPr>
        <a:xfrm>
          <a:off x="15727136" y="392525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20411</xdr:colOff>
      <xdr:row>256</xdr:row>
      <xdr:rowOff>76200</xdr:rowOff>
    </xdr:from>
    <xdr:to>
      <xdr:col>55</xdr:col>
      <xdr:colOff>122464</xdr:colOff>
      <xdr:row>256</xdr:row>
      <xdr:rowOff>76200</xdr:rowOff>
    </xdr:to>
    <xdr:cxnSp macro="">
      <xdr:nvCxnSpPr>
        <xdr:cNvPr id="860500" name="직선 화살표 연결선 860499"/>
        <xdr:cNvCxnSpPr/>
      </xdr:nvCxnSpPr>
      <xdr:spPr>
        <a:xfrm>
          <a:off x="15727136" y="393096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20411</xdr:colOff>
      <xdr:row>255</xdr:row>
      <xdr:rowOff>19050</xdr:rowOff>
    </xdr:from>
    <xdr:to>
      <xdr:col>55</xdr:col>
      <xdr:colOff>123734</xdr:colOff>
      <xdr:row>255</xdr:row>
      <xdr:rowOff>133350</xdr:rowOff>
    </xdr:to>
    <xdr:sp macro="" textlink="">
      <xdr:nvSpPr>
        <xdr:cNvPr id="860501" name="252"/>
        <xdr:cNvSpPr/>
      </xdr:nvSpPr>
      <xdr:spPr>
        <a:xfrm>
          <a:off x="15727136" y="39100125"/>
          <a:ext cx="103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20411</xdr:colOff>
      <xdr:row>255</xdr:row>
      <xdr:rowOff>76200</xdr:rowOff>
    </xdr:from>
    <xdr:to>
      <xdr:col>55</xdr:col>
      <xdr:colOff>122464</xdr:colOff>
      <xdr:row>255</xdr:row>
      <xdr:rowOff>76200</xdr:rowOff>
    </xdr:to>
    <xdr:cxnSp macro="">
      <xdr:nvCxnSpPr>
        <xdr:cNvPr id="860502" name="직선 화살표 연결선 860501"/>
        <xdr:cNvCxnSpPr/>
      </xdr:nvCxnSpPr>
      <xdr:spPr>
        <a:xfrm>
          <a:off x="15727136" y="391572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102054</xdr:colOff>
      <xdr:row>254</xdr:row>
      <xdr:rowOff>19050</xdr:rowOff>
    </xdr:from>
    <xdr:to>
      <xdr:col>54</xdr:col>
      <xdr:colOff>123734</xdr:colOff>
      <xdr:row>254</xdr:row>
      <xdr:rowOff>133350</xdr:rowOff>
    </xdr:to>
    <xdr:sp macro="" textlink="">
      <xdr:nvSpPr>
        <xdr:cNvPr id="860503" name="251"/>
        <xdr:cNvSpPr/>
      </xdr:nvSpPr>
      <xdr:spPr>
        <a:xfrm>
          <a:off x="15665904" y="389477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102054</xdr:colOff>
      <xdr:row>254</xdr:row>
      <xdr:rowOff>76200</xdr:rowOff>
    </xdr:from>
    <xdr:to>
      <xdr:col>54</xdr:col>
      <xdr:colOff>122464</xdr:colOff>
      <xdr:row>254</xdr:row>
      <xdr:rowOff>76200</xdr:rowOff>
    </xdr:to>
    <xdr:cxnSp macro="">
      <xdr:nvCxnSpPr>
        <xdr:cNvPr id="860504" name="직선 화살표 연결선 860503"/>
        <xdr:cNvCxnSpPr/>
      </xdr:nvCxnSpPr>
      <xdr:spPr>
        <a:xfrm>
          <a:off x="15665904" y="390048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102054</xdr:colOff>
      <xdr:row>253</xdr:row>
      <xdr:rowOff>19050</xdr:rowOff>
    </xdr:from>
    <xdr:to>
      <xdr:col>54</xdr:col>
      <xdr:colOff>123734</xdr:colOff>
      <xdr:row>253</xdr:row>
      <xdr:rowOff>133350</xdr:rowOff>
    </xdr:to>
    <xdr:sp macro="" textlink="">
      <xdr:nvSpPr>
        <xdr:cNvPr id="860505" name="250"/>
        <xdr:cNvSpPr/>
      </xdr:nvSpPr>
      <xdr:spPr>
        <a:xfrm>
          <a:off x="15665904" y="38795325"/>
          <a:ext cx="216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102054</xdr:colOff>
      <xdr:row>253</xdr:row>
      <xdr:rowOff>76200</xdr:rowOff>
    </xdr:from>
    <xdr:to>
      <xdr:col>54</xdr:col>
      <xdr:colOff>122464</xdr:colOff>
      <xdr:row>253</xdr:row>
      <xdr:rowOff>76200</xdr:rowOff>
    </xdr:to>
    <xdr:cxnSp macro="">
      <xdr:nvCxnSpPr>
        <xdr:cNvPr id="860506" name="직선 화살표 연결선 860505"/>
        <xdr:cNvCxnSpPr/>
      </xdr:nvCxnSpPr>
      <xdr:spPr>
        <a:xfrm>
          <a:off x="15665904" y="388524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20411</xdr:colOff>
      <xdr:row>252</xdr:row>
      <xdr:rowOff>19050</xdr:rowOff>
    </xdr:from>
    <xdr:to>
      <xdr:col>54</xdr:col>
      <xdr:colOff>103324</xdr:colOff>
      <xdr:row>252</xdr:row>
      <xdr:rowOff>133350</xdr:rowOff>
    </xdr:to>
    <xdr:sp macro="" textlink="">
      <xdr:nvSpPr>
        <xdr:cNvPr id="860507" name="249"/>
        <xdr:cNvSpPr/>
      </xdr:nvSpPr>
      <xdr:spPr>
        <a:xfrm>
          <a:off x="15441386" y="386429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20411</xdr:colOff>
      <xdr:row>252</xdr:row>
      <xdr:rowOff>76200</xdr:rowOff>
    </xdr:from>
    <xdr:to>
      <xdr:col>54</xdr:col>
      <xdr:colOff>102054</xdr:colOff>
      <xdr:row>252</xdr:row>
      <xdr:rowOff>76200</xdr:rowOff>
    </xdr:to>
    <xdr:cxnSp macro="">
      <xdr:nvCxnSpPr>
        <xdr:cNvPr id="860508" name="직선 화살표 연결선 860507"/>
        <xdr:cNvCxnSpPr/>
      </xdr:nvCxnSpPr>
      <xdr:spPr>
        <a:xfrm>
          <a:off x="15441386" y="38700075"/>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20411</xdr:colOff>
      <xdr:row>251</xdr:row>
      <xdr:rowOff>19050</xdr:rowOff>
    </xdr:from>
    <xdr:to>
      <xdr:col>54</xdr:col>
      <xdr:colOff>103324</xdr:colOff>
      <xdr:row>251</xdr:row>
      <xdr:rowOff>133350</xdr:rowOff>
    </xdr:to>
    <xdr:sp macro="" textlink="">
      <xdr:nvSpPr>
        <xdr:cNvPr id="860509" name="248"/>
        <xdr:cNvSpPr/>
      </xdr:nvSpPr>
      <xdr:spPr>
        <a:xfrm>
          <a:off x="15441386" y="384905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20411</xdr:colOff>
      <xdr:row>251</xdr:row>
      <xdr:rowOff>76200</xdr:rowOff>
    </xdr:from>
    <xdr:to>
      <xdr:col>54</xdr:col>
      <xdr:colOff>102054</xdr:colOff>
      <xdr:row>251</xdr:row>
      <xdr:rowOff>76200</xdr:rowOff>
    </xdr:to>
    <xdr:cxnSp macro="">
      <xdr:nvCxnSpPr>
        <xdr:cNvPr id="860510" name="직선 화살표 연결선 860509"/>
        <xdr:cNvCxnSpPr/>
      </xdr:nvCxnSpPr>
      <xdr:spPr>
        <a:xfrm>
          <a:off x="15441386" y="38547675"/>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20411</xdr:colOff>
      <xdr:row>250</xdr:row>
      <xdr:rowOff>19050</xdr:rowOff>
    </xdr:from>
    <xdr:to>
      <xdr:col>54</xdr:col>
      <xdr:colOff>103324</xdr:colOff>
      <xdr:row>250</xdr:row>
      <xdr:rowOff>133350</xdr:rowOff>
    </xdr:to>
    <xdr:sp macro="" textlink="">
      <xdr:nvSpPr>
        <xdr:cNvPr id="860511" name="247"/>
        <xdr:cNvSpPr/>
      </xdr:nvSpPr>
      <xdr:spPr>
        <a:xfrm>
          <a:off x="15441386" y="383381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20411</xdr:colOff>
      <xdr:row>250</xdr:row>
      <xdr:rowOff>76200</xdr:rowOff>
    </xdr:from>
    <xdr:to>
      <xdr:col>54</xdr:col>
      <xdr:colOff>102054</xdr:colOff>
      <xdr:row>250</xdr:row>
      <xdr:rowOff>76200</xdr:rowOff>
    </xdr:to>
    <xdr:cxnSp macro="">
      <xdr:nvCxnSpPr>
        <xdr:cNvPr id="860512" name="직선 화살표 연결선 860511"/>
        <xdr:cNvCxnSpPr/>
      </xdr:nvCxnSpPr>
      <xdr:spPr>
        <a:xfrm>
          <a:off x="15441386" y="38395275"/>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20411</xdr:colOff>
      <xdr:row>249</xdr:row>
      <xdr:rowOff>19050</xdr:rowOff>
    </xdr:from>
    <xdr:to>
      <xdr:col>54</xdr:col>
      <xdr:colOff>103324</xdr:colOff>
      <xdr:row>249</xdr:row>
      <xdr:rowOff>133350</xdr:rowOff>
    </xdr:to>
    <xdr:sp macro="" textlink="">
      <xdr:nvSpPr>
        <xdr:cNvPr id="860513" name="246"/>
        <xdr:cNvSpPr/>
      </xdr:nvSpPr>
      <xdr:spPr>
        <a:xfrm>
          <a:off x="15441386" y="381857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20411</xdr:colOff>
      <xdr:row>249</xdr:row>
      <xdr:rowOff>76200</xdr:rowOff>
    </xdr:from>
    <xdr:to>
      <xdr:col>54</xdr:col>
      <xdr:colOff>102054</xdr:colOff>
      <xdr:row>249</xdr:row>
      <xdr:rowOff>76200</xdr:rowOff>
    </xdr:to>
    <xdr:cxnSp macro="">
      <xdr:nvCxnSpPr>
        <xdr:cNvPr id="860514" name="직선 화살표 연결선 860513"/>
        <xdr:cNvCxnSpPr/>
      </xdr:nvCxnSpPr>
      <xdr:spPr>
        <a:xfrm>
          <a:off x="15441386" y="38242875"/>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20411</xdr:colOff>
      <xdr:row>248</xdr:row>
      <xdr:rowOff>19050</xdr:rowOff>
    </xdr:from>
    <xdr:to>
      <xdr:col>54</xdr:col>
      <xdr:colOff>103324</xdr:colOff>
      <xdr:row>248</xdr:row>
      <xdr:rowOff>133350</xdr:rowOff>
    </xdr:to>
    <xdr:sp macro="" textlink="">
      <xdr:nvSpPr>
        <xdr:cNvPr id="860515" name="245"/>
        <xdr:cNvSpPr/>
      </xdr:nvSpPr>
      <xdr:spPr>
        <a:xfrm>
          <a:off x="15441386" y="380333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20411</xdr:colOff>
      <xdr:row>248</xdr:row>
      <xdr:rowOff>76200</xdr:rowOff>
    </xdr:from>
    <xdr:to>
      <xdr:col>54</xdr:col>
      <xdr:colOff>102054</xdr:colOff>
      <xdr:row>248</xdr:row>
      <xdr:rowOff>76200</xdr:rowOff>
    </xdr:to>
    <xdr:cxnSp macro="">
      <xdr:nvCxnSpPr>
        <xdr:cNvPr id="860516" name="직선 화살표 연결선 860515"/>
        <xdr:cNvCxnSpPr/>
      </xdr:nvCxnSpPr>
      <xdr:spPr>
        <a:xfrm>
          <a:off x="15441386" y="38090475"/>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20411</xdr:colOff>
      <xdr:row>247</xdr:row>
      <xdr:rowOff>19050</xdr:rowOff>
    </xdr:from>
    <xdr:to>
      <xdr:col>54</xdr:col>
      <xdr:colOff>103324</xdr:colOff>
      <xdr:row>247</xdr:row>
      <xdr:rowOff>133350</xdr:rowOff>
    </xdr:to>
    <xdr:sp macro="" textlink="">
      <xdr:nvSpPr>
        <xdr:cNvPr id="860517" name="244"/>
        <xdr:cNvSpPr/>
      </xdr:nvSpPr>
      <xdr:spPr>
        <a:xfrm>
          <a:off x="15441386" y="378809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20411</xdr:colOff>
      <xdr:row>247</xdr:row>
      <xdr:rowOff>76200</xdr:rowOff>
    </xdr:from>
    <xdr:to>
      <xdr:col>54</xdr:col>
      <xdr:colOff>102054</xdr:colOff>
      <xdr:row>247</xdr:row>
      <xdr:rowOff>76200</xdr:rowOff>
    </xdr:to>
    <xdr:cxnSp macro="">
      <xdr:nvCxnSpPr>
        <xdr:cNvPr id="860518" name="직선 화살표 연결선 860517"/>
        <xdr:cNvCxnSpPr/>
      </xdr:nvCxnSpPr>
      <xdr:spPr>
        <a:xfrm>
          <a:off x="15441386" y="37938075"/>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61232</xdr:colOff>
      <xdr:row>246</xdr:row>
      <xdr:rowOff>19050</xdr:rowOff>
    </xdr:from>
    <xdr:to>
      <xdr:col>52</xdr:col>
      <xdr:colOff>123734</xdr:colOff>
      <xdr:row>246</xdr:row>
      <xdr:rowOff>133350</xdr:rowOff>
    </xdr:to>
    <xdr:sp macro="" textlink="">
      <xdr:nvSpPr>
        <xdr:cNvPr id="860519" name="243"/>
        <xdr:cNvSpPr/>
      </xdr:nvSpPr>
      <xdr:spPr>
        <a:xfrm>
          <a:off x="15339332" y="37728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61232</xdr:colOff>
      <xdr:row>246</xdr:row>
      <xdr:rowOff>76200</xdr:rowOff>
    </xdr:from>
    <xdr:to>
      <xdr:col>52</xdr:col>
      <xdr:colOff>122464</xdr:colOff>
      <xdr:row>246</xdr:row>
      <xdr:rowOff>76200</xdr:rowOff>
    </xdr:to>
    <xdr:cxnSp macro="">
      <xdr:nvCxnSpPr>
        <xdr:cNvPr id="860520" name="직선 화살표 연결선 860519"/>
        <xdr:cNvCxnSpPr/>
      </xdr:nvCxnSpPr>
      <xdr:spPr>
        <a:xfrm>
          <a:off x="15339332" y="377856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61232</xdr:colOff>
      <xdr:row>245</xdr:row>
      <xdr:rowOff>19050</xdr:rowOff>
    </xdr:from>
    <xdr:to>
      <xdr:col>52</xdr:col>
      <xdr:colOff>123734</xdr:colOff>
      <xdr:row>245</xdr:row>
      <xdr:rowOff>133350</xdr:rowOff>
    </xdr:to>
    <xdr:sp macro="" textlink="">
      <xdr:nvSpPr>
        <xdr:cNvPr id="860521" name="242"/>
        <xdr:cNvSpPr/>
      </xdr:nvSpPr>
      <xdr:spPr>
        <a:xfrm>
          <a:off x="15339332" y="375761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61232</xdr:colOff>
      <xdr:row>245</xdr:row>
      <xdr:rowOff>76200</xdr:rowOff>
    </xdr:from>
    <xdr:to>
      <xdr:col>52</xdr:col>
      <xdr:colOff>122464</xdr:colOff>
      <xdr:row>245</xdr:row>
      <xdr:rowOff>76200</xdr:rowOff>
    </xdr:to>
    <xdr:cxnSp macro="">
      <xdr:nvCxnSpPr>
        <xdr:cNvPr id="860522" name="직선 화살표 연결선 860521"/>
        <xdr:cNvCxnSpPr/>
      </xdr:nvCxnSpPr>
      <xdr:spPr>
        <a:xfrm>
          <a:off x="15339332" y="376332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61232</xdr:colOff>
      <xdr:row>244</xdr:row>
      <xdr:rowOff>19050</xdr:rowOff>
    </xdr:from>
    <xdr:to>
      <xdr:col>52</xdr:col>
      <xdr:colOff>123734</xdr:colOff>
      <xdr:row>244</xdr:row>
      <xdr:rowOff>133350</xdr:rowOff>
    </xdr:to>
    <xdr:sp macro="" textlink="">
      <xdr:nvSpPr>
        <xdr:cNvPr id="860523" name="241"/>
        <xdr:cNvSpPr/>
      </xdr:nvSpPr>
      <xdr:spPr>
        <a:xfrm>
          <a:off x="15339332" y="37423725"/>
          <a:ext cx="625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61232</xdr:colOff>
      <xdr:row>244</xdr:row>
      <xdr:rowOff>76200</xdr:rowOff>
    </xdr:from>
    <xdr:to>
      <xdr:col>52</xdr:col>
      <xdr:colOff>122464</xdr:colOff>
      <xdr:row>244</xdr:row>
      <xdr:rowOff>76200</xdr:rowOff>
    </xdr:to>
    <xdr:cxnSp macro="">
      <xdr:nvCxnSpPr>
        <xdr:cNvPr id="860524" name="직선 화살표 연결선 860523"/>
        <xdr:cNvCxnSpPr/>
      </xdr:nvCxnSpPr>
      <xdr:spPr>
        <a:xfrm>
          <a:off x="15339332" y="374808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81643</xdr:colOff>
      <xdr:row>243</xdr:row>
      <xdr:rowOff>19050</xdr:rowOff>
    </xdr:from>
    <xdr:to>
      <xdr:col>52</xdr:col>
      <xdr:colOff>62502</xdr:colOff>
      <xdr:row>243</xdr:row>
      <xdr:rowOff>133350</xdr:rowOff>
    </xdr:to>
    <xdr:sp macro="" textlink="">
      <xdr:nvSpPr>
        <xdr:cNvPr id="860525" name="240"/>
        <xdr:cNvSpPr/>
      </xdr:nvSpPr>
      <xdr:spPr>
        <a:xfrm>
          <a:off x="15216868" y="372713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81643</xdr:colOff>
      <xdr:row>243</xdr:row>
      <xdr:rowOff>76200</xdr:rowOff>
    </xdr:from>
    <xdr:to>
      <xdr:col>52</xdr:col>
      <xdr:colOff>61232</xdr:colOff>
      <xdr:row>243</xdr:row>
      <xdr:rowOff>76200</xdr:rowOff>
    </xdr:to>
    <xdr:cxnSp macro="">
      <xdr:nvCxnSpPr>
        <xdr:cNvPr id="860526" name="직선 화살표 연결선 860525"/>
        <xdr:cNvCxnSpPr/>
      </xdr:nvCxnSpPr>
      <xdr:spPr>
        <a:xfrm>
          <a:off x="15216868" y="37328475"/>
          <a:ext cx="1224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81643</xdr:colOff>
      <xdr:row>242</xdr:row>
      <xdr:rowOff>19050</xdr:rowOff>
    </xdr:from>
    <xdr:to>
      <xdr:col>52</xdr:col>
      <xdr:colOff>62502</xdr:colOff>
      <xdr:row>242</xdr:row>
      <xdr:rowOff>133350</xdr:rowOff>
    </xdr:to>
    <xdr:sp macro="" textlink="">
      <xdr:nvSpPr>
        <xdr:cNvPr id="860527" name="239"/>
        <xdr:cNvSpPr/>
      </xdr:nvSpPr>
      <xdr:spPr>
        <a:xfrm>
          <a:off x="15216868" y="371189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81643</xdr:colOff>
      <xdr:row>242</xdr:row>
      <xdr:rowOff>76200</xdr:rowOff>
    </xdr:from>
    <xdr:to>
      <xdr:col>52</xdr:col>
      <xdr:colOff>61232</xdr:colOff>
      <xdr:row>242</xdr:row>
      <xdr:rowOff>76200</xdr:rowOff>
    </xdr:to>
    <xdr:cxnSp macro="">
      <xdr:nvCxnSpPr>
        <xdr:cNvPr id="860528" name="직선 화살표 연결선 860527"/>
        <xdr:cNvCxnSpPr/>
      </xdr:nvCxnSpPr>
      <xdr:spPr>
        <a:xfrm>
          <a:off x="15216868" y="37176075"/>
          <a:ext cx="1224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81643</xdr:colOff>
      <xdr:row>241</xdr:row>
      <xdr:rowOff>19050</xdr:rowOff>
    </xdr:from>
    <xdr:to>
      <xdr:col>52</xdr:col>
      <xdr:colOff>62502</xdr:colOff>
      <xdr:row>241</xdr:row>
      <xdr:rowOff>133350</xdr:rowOff>
    </xdr:to>
    <xdr:sp macro="" textlink="">
      <xdr:nvSpPr>
        <xdr:cNvPr id="860529" name="238"/>
        <xdr:cNvSpPr/>
      </xdr:nvSpPr>
      <xdr:spPr>
        <a:xfrm>
          <a:off x="15216868" y="369665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81643</xdr:colOff>
      <xdr:row>241</xdr:row>
      <xdr:rowOff>76200</xdr:rowOff>
    </xdr:from>
    <xdr:to>
      <xdr:col>52</xdr:col>
      <xdr:colOff>61232</xdr:colOff>
      <xdr:row>241</xdr:row>
      <xdr:rowOff>76200</xdr:rowOff>
    </xdr:to>
    <xdr:cxnSp macro="">
      <xdr:nvCxnSpPr>
        <xdr:cNvPr id="860530" name="직선 화살표 연결선 860529"/>
        <xdr:cNvCxnSpPr/>
      </xdr:nvCxnSpPr>
      <xdr:spPr>
        <a:xfrm>
          <a:off x="15216868" y="37023675"/>
          <a:ext cx="1224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81643</xdr:colOff>
      <xdr:row>240</xdr:row>
      <xdr:rowOff>19050</xdr:rowOff>
    </xdr:from>
    <xdr:to>
      <xdr:col>52</xdr:col>
      <xdr:colOff>62502</xdr:colOff>
      <xdr:row>240</xdr:row>
      <xdr:rowOff>133350</xdr:rowOff>
    </xdr:to>
    <xdr:sp macro="" textlink="">
      <xdr:nvSpPr>
        <xdr:cNvPr id="860531" name="237"/>
        <xdr:cNvSpPr/>
      </xdr:nvSpPr>
      <xdr:spPr>
        <a:xfrm>
          <a:off x="15216868" y="368141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81643</xdr:colOff>
      <xdr:row>240</xdr:row>
      <xdr:rowOff>76200</xdr:rowOff>
    </xdr:from>
    <xdr:to>
      <xdr:col>52</xdr:col>
      <xdr:colOff>61232</xdr:colOff>
      <xdr:row>240</xdr:row>
      <xdr:rowOff>76200</xdr:rowOff>
    </xdr:to>
    <xdr:cxnSp macro="">
      <xdr:nvCxnSpPr>
        <xdr:cNvPr id="860532" name="직선 화살표 연결선 860531"/>
        <xdr:cNvCxnSpPr/>
      </xdr:nvCxnSpPr>
      <xdr:spPr>
        <a:xfrm>
          <a:off x="15216868" y="36871275"/>
          <a:ext cx="1224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81643</xdr:colOff>
      <xdr:row>239</xdr:row>
      <xdr:rowOff>19050</xdr:rowOff>
    </xdr:from>
    <xdr:to>
      <xdr:col>52</xdr:col>
      <xdr:colOff>62502</xdr:colOff>
      <xdr:row>239</xdr:row>
      <xdr:rowOff>133350</xdr:rowOff>
    </xdr:to>
    <xdr:sp macro="" textlink="">
      <xdr:nvSpPr>
        <xdr:cNvPr id="860533" name="236"/>
        <xdr:cNvSpPr/>
      </xdr:nvSpPr>
      <xdr:spPr>
        <a:xfrm>
          <a:off x="15216868" y="366617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81643</xdr:colOff>
      <xdr:row>239</xdr:row>
      <xdr:rowOff>76200</xdr:rowOff>
    </xdr:from>
    <xdr:to>
      <xdr:col>52</xdr:col>
      <xdr:colOff>61232</xdr:colOff>
      <xdr:row>239</xdr:row>
      <xdr:rowOff>76200</xdr:rowOff>
    </xdr:to>
    <xdr:cxnSp macro="">
      <xdr:nvCxnSpPr>
        <xdr:cNvPr id="860534" name="직선 화살표 연결선 860533"/>
        <xdr:cNvCxnSpPr/>
      </xdr:nvCxnSpPr>
      <xdr:spPr>
        <a:xfrm>
          <a:off x="15216868" y="36718875"/>
          <a:ext cx="1224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81643</xdr:colOff>
      <xdr:row>238</xdr:row>
      <xdr:rowOff>19050</xdr:rowOff>
    </xdr:from>
    <xdr:to>
      <xdr:col>52</xdr:col>
      <xdr:colOff>62502</xdr:colOff>
      <xdr:row>238</xdr:row>
      <xdr:rowOff>133350</xdr:rowOff>
    </xdr:to>
    <xdr:sp macro="" textlink="">
      <xdr:nvSpPr>
        <xdr:cNvPr id="860535" name="235"/>
        <xdr:cNvSpPr/>
      </xdr:nvSpPr>
      <xdr:spPr>
        <a:xfrm>
          <a:off x="15216868" y="36509325"/>
          <a:ext cx="12373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81643</xdr:colOff>
      <xdr:row>238</xdr:row>
      <xdr:rowOff>76200</xdr:rowOff>
    </xdr:from>
    <xdr:to>
      <xdr:col>52</xdr:col>
      <xdr:colOff>61232</xdr:colOff>
      <xdr:row>238</xdr:row>
      <xdr:rowOff>76200</xdr:rowOff>
    </xdr:to>
    <xdr:cxnSp macro="">
      <xdr:nvCxnSpPr>
        <xdr:cNvPr id="860536" name="직선 화살표 연결선 860535"/>
        <xdr:cNvCxnSpPr/>
      </xdr:nvCxnSpPr>
      <xdr:spPr>
        <a:xfrm>
          <a:off x="15216868" y="36566475"/>
          <a:ext cx="1224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102054</xdr:colOff>
      <xdr:row>237</xdr:row>
      <xdr:rowOff>19050</xdr:rowOff>
    </xdr:from>
    <xdr:to>
      <xdr:col>51</xdr:col>
      <xdr:colOff>82913</xdr:colOff>
      <xdr:row>237</xdr:row>
      <xdr:rowOff>133350</xdr:rowOff>
    </xdr:to>
    <xdr:sp macro="" textlink="">
      <xdr:nvSpPr>
        <xdr:cNvPr id="860537" name="234"/>
        <xdr:cNvSpPr/>
      </xdr:nvSpPr>
      <xdr:spPr>
        <a:xfrm>
          <a:off x="15094404" y="363569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102054</xdr:colOff>
      <xdr:row>237</xdr:row>
      <xdr:rowOff>76200</xdr:rowOff>
    </xdr:from>
    <xdr:to>
      <xdr:col>51</xdr:col>
      <xdr:colOff>81643</xdr:colOff>
      <xdr:row>237</xdr:row>
      <xdr:rowOff>76200</xdr:rowOff>
    </xdr:to>
    <xdr:cxnSp macro="">
      <xdr:nvCxnSpPr>
        <xdr:cNvPr id="860538" name="직선 화살표 연결선 860537"/>
        <xdr:cNvCxnSpPr/>
      </xdr:nvCxnSpPr>
      <xdr:spPr>
        <a:xfrm>
          <a:off x="15094404" y="36414075"/>
          <a:ext cx="1224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102054</xdr:colOff>
      <xdr:row>236</xdr:row>
      <xdr:rowOff>19050</xdr:rowOff>
    </xdr:from>
    <xdr:to>
      <xdr:col>51</xdr:col>
      <xdr:colOff>82913</xdr:colOff>
      <xdr:row>236</xdr:row>
      <xdr:rowOff>133350</xdr:rowOff>
    </xdr:to>
    <xdr:sp macro="" textlink="">
      <xdr:nvSpPr>
        <xdr:cNvPr id="860539" name="233"/>
        <xdr:cNvSpPr/>
      </xdr:nvSpPr>
      <xdr:spPr>
        <a:xfrm>
          <a:off x="15094404" y="362045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102054</xdr:colOff>
      <xdr:row>236</xdr:row>
      <xdr:rowOff>76200</xdr:rowOff>
    </xdr:from>
    <xdr:to>
      <xdr:col>51</xdr:col>
      <xdr:colOff>81643</xdr:colOff>
      <xdr:row>236</xdr:row>
      <xdr:rowOff>76200</xdr:rowOff>
    </xdr:to>
    <xdr:cxnSp macro="">
      <xdr:nvCxnSpPr>
        <xdr:cNvPr id="860540" name="직선 화살표 연결선 860539"/>
        <xdr:cNvCxnSpPr/>
      </xdr:nvCxnSpPr>
      <xdr:spPr>
        <a:xfrm>
          <a:off x="15094404" y="36261675"/>
          <a:ext cx="1224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102054</xdr:colOff>
      <xdr:row>235</xdr:row>
      <xdr:rowOff>19050</xdr:rowOff>
    </xdr:from>
    <xdr:to>
      <xdr:col>51</xdr:col>
      <xdr:colOff>82913</xdr:colOff>
      <xdr:row>235</xdr:row>
      <xdr:rowOff>133350</xdr:rowOff>
    </xdr:to>
    <xdr:sp macro="" textlink="">
      <xdr:nvSpPr>
        <xdr:cNvPr id="860541" name="232"/>
        <xdr:cNvSpPr/>
      </xdr:nvSpPr>
      <xdr:spPr>
        <a:xfrm>
          <a:off x="15094404" y="360521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102054</xdr:colOff>
      <xdr:row>235</xdr:row>
      <xdr:rowOff>76200</xdr:rowOff>
    </xdr:from>
    <xdr:to>
      <xdr:col>51</xdr:col>
      <xdr:colOff>81643</xdr:colOff>
      <xdr:row>235</xdr:row>
      <xdr:rowOff>76200</xdr:rowOff>
    </xdr:to>
    <xdr:cxnSp macro="">
      <xdr:nvCxnSpPr>
        <xdr:cNvPr id="860542" name="직선 화살표 연결선 860541"/>
        <xdr:cNvCxnSpPr/>
      </xdr:nvCxnSpPr>
      <xdr:spPr>
        <a:xfrm>
          <a:off x="15094404" y="36109275"/>
          <a:ext cx="1224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102054</xdr:colOff>
      <xdr:row>234</xdr:row>
      <xdr:rowOff>19050</xdr:rowOff>
    </xdr:from>
    <xdr:to>
      <xdr:col>51</xdr:col>
      <xdr:colOff>82913</xdr:colOff>
      <xdr:row>234</xdr:row>
      <xdr:rowOff>133350</xdr:rowOff>
    </xdr:to>
    <xdr:sp macro="" textlink="">
      <xdr:nvSpPr>
        <xdr:cNvPr id="860543" name="231"/>
        <xdr:cNvSpPr/>
      </xdr:nvSpPr>
      <xdr:spPr>
        <a:xfrm>
          <a:off x="15094404" y="35899725"/>
          <a:ext cx="12373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102054</xdr:colOff>
      <xdr:row>234</xdr:row>
      <xdr:rowOff>76200</xdr:rowOff>
    </xdr:from>
    <xdr:to>
      <xdr:col>51</xdr:col>
      <xdr:colOff>81643</xdr:colOff>
      <xdr:row>234</xdr:row>
      <xdr:rowOff>76200</xdr:rowOff>
    </xdr:to>
    <xdr:cxnSp macro="">
      <xdr:nvCxnSpPr>
        <xdr:cNvPr id="860544" name="직선 화살표 연결선 860543"/>
        <xdr:cNvCxnSpPr/>
      </xdr:nvCxnSpPr>
      <xdr:spPr>
        <a:xfrm>
          <a:off x="15094404" y="35956875"/>
          <a:ext cx="1224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102054</xdr:colOff>
      <xdr:row>233</xdr:row>
      <xdr:rowOff>19050</xdr:rowOff>
    </xdr:from>
    <xdr:to>
      <xdr:col>51</xdr:col>
      <xdr:colOff>42090</xdr:colOff>
      <xdr:row>233</xdr:row>
      <xdr:rowOff>133350</xdr:rowOff>
    </xdr:to>
    <xdr:sp macro="" textlink="">
      <xdr:nvSpPr>
        <xdr:cNvPr id="860545" name="230"/>
        <xdr:cNvSpPr/>
      </xdr:nvSpPr>
      <xdr:spPr>
        <a:xfrm>
          <a:off x="15094404" y="35747325"/>
          <a:ext cx="829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102054</xdr:colOff>
      <xdr:row>233</xdr:row>
      <xdr:rowOff>76200</xdr:rowOff>
    </xdr:from>
    <xdr:to>
      <xdr:col>51</xdr:col>
      <xdr:colOff>40821</xdr:colOff>
      <xdr:row>233</xdr:row>
      <xdr:rowOff>76200</xdr:rowOff>
    </xdr:to>
    <xdr:cxnSp macro="">
      <xdr:nvCxnSpPr>
        <xdr:cNvPr id="860546" name="직선 화살표 연결선 860545"/>
        <xdr:cNvCxnSpPr/>
      </xdr:nvCxnSpPr>
      <xdr:spPr>
        <a:xfrm>
          <a:off x="15094404" y="35804475"/>
          <a:ext cx="816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102054</xdr:colOff>
      <xdr:row>232</xdr:row>
      <xdr:rowOff>19050</xdr:rowOff>
    </xdr:from>
    <xdr:to>
      <xdr:col>51</xdr:col>
      <xdr:colOff>42090</xdr:colOff>
      <xdr:row>232</xdr:row>
      <xdr:rowOff>133350</xdr:rowOff>
    </xdr:to>
    <xdr:sp macro="" textlink="">
      <xdr:nvSpPr>
        <xdr:cNvPr id="860547" name="229"/>
        <xdr:cNvSpPr/>
      </xdr:nvSpPr>
      <xdr:spPr>
        <a:xfrm>
          <a:off x="15094404" y="35594925"/>
          <a:ext cx="829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102054</xdr:colOff>
      <xdr:row>232</xdr:row>
      <xdr:rowOff>76200</xdr:rowOff>
    </xdr:from>
    <xdr:to>
      <xdr:col>51</xdr:col>
      <xdr:colOff>40821</xdr:colOff>
      <xdr:row>232</xdr:row>
      <xdr:rowOff>76200</xdr:rowOff>
    </xdr:to>
    <xdr:cxnSp macro="">
      <xdr:nvCxnSpPr>
        <xdr:cNvPr id="860548" name="직선 화살표 연결선 860547"/>
        <xdr:cNvCxnSpPr/>
      </xdr:nvCxnSpPr>
      <xdr:spPr>
        <a:xfrm>
          <a:off x="15094404" y="35652075"/>
          <a:ext cx="816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102054</xdr:colOff>
      <xdr:row>231</xdr:row>
      <xdr:rowOff>19050</xdr:rowOff>
    </xdr:from>
    <xdr:to>
      <xdr:col>51</xdr:col>
      <xdr:colOff>42090</xdr:colOff>
      <xdr:row>231</xdr:row>
      <xdr:rowOff>133350</xdr:rowOff>
    </xdr:to>
    <xdr:sp macro="" textlink="">
      <xdr:nvSpPr>
        <xdr:cNvPr id="860549" name="228"/>
        <xdr:cNvSpPr/>
      </xdr:nvSpPr>
      <xdr:spPr>
        <a:xfrm>
          <a:off x="15094404" y="35442525"/>
          <a:ext cx="829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102054</xdr:colOff>
      <xdr:row>231</xdr:row>
      <xdr:rowOff>76200</xdr:rowOff>
    </xdr:from>
    <xdr:to>
      <xdr:col>51</xdr:col>
      <xdr:colOff>40821</xdr:colOff>
      <xdr:row>231</xdr:row>
      <xdr:rowOff>76200</xdr:rowOff>
    </xdr:to>
    <xdr:cxnSp macro="">
      <xdr:nvCxnSpPr>
        <xdr:cNvPr id="860550" name="직선 화살표 연결선 860549"/>
        <xdr:cNvCxnSpPr/>
      </xdr:nvCxnSpPr>
      <xdr:spPr>
        <a:xfrm>
          <a:off x="15094404" y="35499675"/>
          <a:ext cx="816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102054</xdr:colOff>
      <xdr:row>230</xdr:row>
      <xdr:rowOff>19050</xdr:rowOff>
    </xdr:from>
    <xdr:to>
      <xdr:col>51</xdr:col>
      <xdr:colOff>42090</xdr:colOff>
      <xdr:row>230</xdr:row>
      <xdr:rowOff>133350</xdr:rowOff>
    </xdr:to>
    <xdr:sp macro="" textlink="">
      <xdr:nvSpPr>
        <xdr:cNvPr id="860551" name="227"/>
        <xdr:cNvSpPr/>
      </xdr:nvSpPr>
      <xdr:spPr>
        <a:xfrm>
          <a:off x="15094404" y="35290125"/>
          <a:ext cx="829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102054</xdr:colOff>
      <xdr:row>230</xdr:row>
      <xdr:rowOff>76200</xdr:rowOff>
    </xdr:from>
    <xdr:to>
      <xdr:col>51</xdr:col>
      <xdr:colOff>40821</xdr:colOff>
      <xdr:row>230</xdr:row>
      <xdr:rowOff>76200</xdr:rowOff>
    </xdr:to>
    <xdr:cxnSp macro="">
      <xdr:nvCxnSpPr>
        <xdr:cNvPr id="860552" name="직선 화살표 연결선 860551"/>
        <xdr:cNvCxnSpPr/>
      </xdr:nvCxnSpPr>
      <xdr:spPr>
        <a:xfrm>
          <a:off x="15094404" y="35347275"/>
          <a:ext cx="816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20411</xdr:colOff>
      <xdr:row>229</xdr:row>
      <xdr:rowOff>19050</xdr:rowOff>
    </xdr:from>
    <xdr:to>
      <xdr:col>50</xdr:col>
      <xdr:colOff>123734</xdr:colOff>
      <xdr:row>229</xdr:row>
      <xdr:rowOff>133350</xdr:rowOff>
    </xdr:to>
    <xdr:sp macro="" textlink="">
      <xdr:nvSpPr>
        <xdr:cNvPr id="860553" name="226"/>
        <xdr:cNvSpPr/>
      </xdr:nvSpPr>
      <xdr:spPr>
        <a:xfrm>
          <a:off x="14869886" y="351377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20411</xdr:colOff>
      <xdr:row>229</xdr:row>
      <xdr:rowOff>76200</xdr:rowOff>
    </xdr:from>
    <xdr:to>
      <xdr:col>50</xdr:col>
      <xdr:colOff>122464</xdr:colOff>
      <xdr:row>229</xdr:row>
      <xdr:rowOff>76200</xdr:rowOff>
    </xdr:to>
    <xdr:cxnSp macro="">
      <xdr:nvCxnSpPr>
        <xdr:cNvPr id="860554" name="직선 화살표 연결선 860553"/>
        <xdr:cNvCxnSpPr/>
      </xdr:nvCxnSpPr>
      <xdr:spPr>
        <a:xfrm>
          <a:off x="14869886" y="351948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20411</xdr:colOff>
      <xdr:row>228</xdr:row>
      <xdr:rowOff>19050</xdr:rowOff>
    </xdr:from>
    <xdr:to>
      <xdr:col>50</xdr:col>
      <xdr:colOff>123734</xdr:colOff>
      <xdr:row>228</xdr:row>
      <xdr:rowOff>133350</xdr:rowOff>
    </xdr:to>
    <xdr:sp macro="" textlink="">
      <xdr:nvSpPr>
        <xdr:cNvPr id="860555" name="225"/>
        <xdr:cNvSpPr/>
      </xdr:nvSpPr>
      <xdr:spPr>
        <a:xfrm>
          <a:off x="14869886" y="34985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20411</xdr:colOff>
      <xdr:row>228</xdr:row>
      <xdr:rowOff>76200</xdr:rowOff>
    </xdr:from>
    <xdr:to>
      <xdr:col>50</xdr:col>
      <xdr:colOff>122464</xdr:colOff>
      <xdr:row>228</xdr:row>
      <xdr:rowOff>76200</xdr:rowOff>
    </xdr:to>
    <xdr:cxnSp macro="">
      <xdr:nvCxnSpPr>
        <xdr:cNvPr id="860556" name="직선 화살표 연결선 860555"/>
        <xdr:cNvCxnSpPr/>
      </xdr:nvCxnSpPr>
      <xdr:spPr>
        <a:xfrm>
          <a:off x="14869886" y="350424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20411</xdr:colOff>
      <xdr:row>227</xdr:row>
      <xdr:rowOff>19050</xdr:rowOff>
    </xdr:from>
    <xdr:to>
      <xdr:col>50</xdr:col>
      <xdr:colOff>123734</xdr:colOff>
      <xdr:row>227</xdr:row>
      <xdr:rowOff>133350</xdr:rowOff>
    </xdr:to>
    <xdr:sp macro="" textlink="">
      <xdr:nvSpPr>
        <xdr:cNvPr id="860557" name="224"/>
        <xdr:cNvSpPr/>
      </xdr:nvSpPr>
      <xdr:spPr>
        <a:xfrm>
          <a:off x="14869886" y="348329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20411</xdr:colOff>
      <xdr:row>227</xdr:row>
      <xdr:rowOff>76200</xdr:rowOff>
    </xdr:from>
    <xdr:to>
      <xdr:col>50</xdr:col>
      <xdr:colOff>122464</xdr:colOff>
      <xdr:row>227</xdr:row>
      <xdr:rowOff>76200</xdr:rowOff>
    </xdr:to>
    <xdr:cxnSp macro="">
      <xdr:nvCxnSpPr>
        <xdr:cNvPr id="860558" name="직선 화살표 연결선 860557"/>
        <xdr:cNvCxnSpPr/>
      </xdr:nvCxnSpPr>
      <xdr:spPr>
        <a:xfrm>
          <a:off x="14869886" y="348900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20411</xdr:colOff>
      <xdr:row>226</xdr:row>
      <xdr:rowOff>19050</xdr:rowOff>
    </xdr:from>
    <xdr:to>
      <xdr:col>50</xdr:col>
      <xdr:colOff>123734</xdr:colOff>
      <xdr:row>226</xdr:row>
      <xdr:rowOff>133350</xdr:rowOff>
    </xdr:to>
    <xdr:sp macro="" textlink="">
      <xdr:nvSpPr>
        <xdr:cNvPr id="860559" name="223"/>
        <xdr:cNvSpPr/>
      </xdr:nvSpPr>
      <xdr:spPr>
        <a:xfrm>
          <a:off x="14869886" y="34680525"/>
          <a:ext cx="2461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20411</xdr:colOff>
      <xdr:row>226</xdr:row>
      <xdr:rowOff>76200</xdr:rowOff>
    </xdr:from>
    <xdr:to>
      <xdr:col>50</xdr:col>
      <xdr:colOff>122464</xdr:colOff>
      <xdr:row>226</xdr:row>
      <xdr:rowOff>76200</xdr:rowOff>
    </xdr:to>
    <xdr:cxnSp macro="">
      <xdr:nvCxnSpPr>
        <xdr:cNvPr id="860560" name="직선 화살표 연결선 860559"/>
        <xdr:cNvCxnSpPr/>
      </xdr:nvCxnSpPr>
      <xdr:spPr>
        <a:xfrm>
          <a:off x="14869886" y="347376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20411</xdr:colOff>
      <xdr:row>225</xdr:row>
      <xdr:rowOff>19050</xdr:rowOff>
    </xdr:from>
    <xdr:to>
      <xdr:col>69</xdr:col>
      <xdr:colOff>123734</xdr:colOff>
      <xdr:row>225</xdr:row>
      <xdr:rowOff>133350</xdr:rowOff>
    </xdr:to>
    <xdr:sp macro="" textlink="">
      <xdr:nvSpPr>
        <xdr:cNvPr id="860561" name="222"/>
        <xdr:cNvSpPr/>
      </xdr:nvSpPr>
      <xdr:spPr>
        <a:xfrm>
          <a:off x="14869886" y="34528125"/>
          <a:ext cx="29608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20411</xdr:colOff>
      <xdr:row>225</xdr:row>
      <xdr:rowOff>76200</xdr:rowOff>
    </xdr:from>
    <xdr:to>
      <xdr:col>69</xdr:col>
      <xdr:colOff>122464</xdr:colOff>
      <xdr:row>225</xdr:row>
      <xdr:rowOff>76200</xdr:rowOff>
    </xdr:to>
    <xdr:cxnSp macro="">
      <xdr:nvCxnSpPr>
        <xdr:cNvPr id="860562" name="직선 화살표 연결선 860561"/>
        <xdr:cNvCxnSpPr/>
      </xdr:nvCxnSpPr>
      <xdr:spPr>
        <a:xfrm>
          <a:off x="14869886" y="34585275"/>
          <a:ext cx="29595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20411</xdr:colOff>
      <xdr:row>224</xdr:row>
      <xdr:rowOff>19050</xdr:rowOff>
    </xdr:from>
    <xdr:to>
      <xdr:col>41</xdr:col>
      <xdr:colOff>82913</xdr:colOff>
      <xdr:row>224</xdr:row>
      <xdr:rowOff>133350</xdr:rowOff>
    </xdr:to>
    <xdr:sp macro="" textlink="">
      <xdr:nvSpPr>
        <xdr:cNvPr id="860563" name="221"/>
        <xdr:cNvSpPr/>
      </xdr:nvSpPr>
      <xdr:spPr>
        <a:xfrm>
          <a:off x="13726886" y="343757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20411</xdr:colOff>
      <xdr:row>224</xdr:row>
      <xdr:rowOff>76200</xdr:rowOff>
    </xdr:from>
    <xdr:to>
      <xdr:col>41</xdr:col>
      <xdr:colOff>81643</xdr:colOff>
      <xdr:row>224</xdr:row>
      <xdr:rowOff>76200</xdr:rowOff>
    </xdr:to>
    <xdr:cxnSp macro="">
      <xdr:nvCxnSpPr>
        <xdr:cNvPr id="860564" name="직선 화살표 연결선 860563"/>
        <xdr:cNvCxnSpPr/>
      </xdr:nvCxnSpPr>
      <xdr:spPr>
        <a:xfrm>
          <a:off x="13726886" y="344328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20411</xdr:colOff>
      <xdr:row>223</xdr:row>
      <xdr:rowOff>19050</xdr:rowOff>
    </xdr:from>
    <xdr:to>
      <xdr:col>41</xdr:col>
      <xdr:colOff>82913</xdr:colOff>
      <xdr:row>223</xdr:row>
      <xdr:rowOff>133350</xdr:rowOff>
    </xdr:to>
    <xdr:sp macro="" textlink="">
      <xdr:nvSpPr>
        <xdr:cNvPr id="860565" name="220"/>
        <xdr:cNvSpPr/>
      </xdr:nvSpPr>
      <xdr:spPr>
        <a:xfrm>
          <a:off x="13726886" y="34223325"/>
          <a:ext cx="625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20411</xdr:colOff>
      <xdr:row>223</xdr:row>
      <xdr:rowOff>76200</xdr:rowOff>
    </xdr:from>
    <xdr:to>
      <xdr:col>41</xdr:col>
      <xdr:colOff>81643</xdr:colOff>
      <xdr:row>223</xdr:row>
      <xdr:rowOff>76200</xdr:rowOff>
    </xdr:to>
    <xdr:cxnSp macro="">
      <xdr:nvCxnSpPr>
        <xdr:cNvPr id="860566" name="직선 화살표 연결선 860565"/>
        <xdr:cNvCxnSpPr/>
      </xdr:nvCxnSpPr>
      <xdr:spPr>
        <a:xfrm>
          <a:off x="13726886" y="342804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20411</xdr:colOff>
      <xdr:row>222</xdr:row>
      <xdr:rowOff>19050</xdr:rowOff>
    </xdr:from>
    <xdr:to>
      <xdr:col>40</xdr:col>
      <xdr:colOff>123734</xdr:colOff>
      <xdr:row>222</xdr:row>
      <xdr:rowOff>133350</xdr:rowOff>
    </xdr:to>
    <xdr:sp macro="" textlink="">
      <xdr:nvSpPr>
        <xdr:cNvPr id="860567" name="219"/>
        <xdr:cNvSpPr/>
      </xdr:nvSpPr>
      <xdr:spPr>
        <a:xfrm>
          <a:off x="13584011" y="340709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20411</xdr:colOff>
      <xdr:row>222</xdr:row>
      <xdr:rowOff>76200</xdr:rowOff>
    </xdr:from>
    <xdr:to>
      <xdr:col>40</xdr:col>
      <xdr:colOff>122464</xdr:colOff>
      <xdr:row>222</xdr:row>
      <xdr:rowOff>76200</xdr:rowOff>
    </xdr:to>
    <xdr:cxnSp macro="">
      <xdr:nvCxnSpPr>
        <xdr:cNvPr id="860568" name="직선 화살표 연결선 860567"/>
        <xdr:cNvCxnSpPr/>
      </xdr:nvCxnSpPr>
      <xdr:spPr>
        <a:xfrm>
          <a:off x="13584011" y="341280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20411</xdr:colOff>
      <xdr:row>221</xdr:row>
      <xdr:rowOff>19050</xdr:rowOff>
    </xdr:from>
    <xdr:to>
      <xdr:col>40</xdr:col>
      <xdr:colOff>123734</xdr:colOff>
      <xdr:row>221</xdr:row>
      <xdr:rowOff>133350</xdr:rowOff>
    </xdr:to>
    <xdr:sp macro="" textlink="">
      <xdr:nvSpPr>
        <xdr:cNvPr id="860569" name="218"/>
        <xdr:cNvSpPr/>
      </xdr:nvSpPr>
      <xdr:spPr>
        <a:xfrm>
          <a:off x="13584011" y="339185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20411</xdr:colOff>
      <xdr:row>221</xdr:row>
      <xdr:rowOff>76200</xdr:rowOff>
    </xdr:from>
    <xdr:to>
      <xdr:col>40</xdr:col>
      <xdr:colOff>122464</xdr:colOff>
      <xdr:row>221</xdr:row>
      <xdr:rowOff>76200</xdr:rowOff>
    </xdr:to>
    <xdr:cxnSp macro="">
      <xdr:nvCxnSpPr>
        <xdr:cNvPr id="860570" name="직선 화살표 연결선 860569"/>
        <xdr:cNvCxnSpPr/>
      </xdr:nvCxnSpPr>
      <xdr:spPr>
        <a:xfrm>
          <a:off x="13584011" y="339756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20411</xdr:colOff>
      <xdr:row>220</xdr:row>
      <xdr:rowOff>19050</xdr:rowOff>
    </xdr:from>
    <xdr:to>
      <xdr:col>40</xdr:col>
      <xdr:colOff>123734</xdr:colOff>
      <xdr:row>220</xdr:row>
      <xdr:rowOff>133350</xdr:rowOff>
    </xdr:to>
    <xdr:sp macro="" textlink="">
      <xdr:nvSpPr>
        <xdr:cNvPr id="860571" name="217"/>
        <xdr:cNvSpPr/>
      </xdr:nvSpPr>
      <xdr:spPr>
        <a:xfrm>
          <a:off x="13584011" y="337661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20411</xdr:colOff>
      <xdr:row>220</xdr:row>
      <xdr:rowOff>76200</xdr:rowOff>
    </xdr:from>
    <xdr:to>
      <xdr:col>40</xdr:col>
      <xdr:colOff>122464</xdr:colOff>
      <xdr:row>220</xdr:row>
      <xdr:rowOff>76200</xdr:rowOff>
    </xdr:to>
    <xdr:cxnSp macro="">
      <xdr:nvCxnSpPr>
        <xdr:cNvPr id="860572" name="직선 화살표 연결선 860571"/>
        <xdr:cNvCxnSpPr/>
      </xdr:nvCxnSpPr>
      <xdr:spPr>
        <a:xfrm>
          <a:off x="13584011" y="338232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20411</xdr:colOff>
      <xdr:row>219</xdr:row>
      <xdr:rowOff>19050</xdr:rowOff>
    </xdr:from>
    <xdr:to>
      <xdr:col>40</xdr:col>
      <xdr:colOff>123734</xdr:colOff>
      <xdr:row>219</xdr:row>
      <xdr:rowOff>133350</xdr:rowOff>
    </xdr:to>
    <xdr:sp macro="" textlink="">
      <xdr:nvSpPr>
        <xdr:cNvPr id="860573" name="216"/>
        <xdr:cNvSpPr/>
      </xdr:nvSpPr>
      <xdr:spPr>
        <a:xfrm>
          <a:off x="13584011" y="336137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20411</xdr:colOff>
      <xdr:row>219</xdr:row>
      <xdr:rowOff>76200</xdr:rowOff>
    </xdr:from>
    <xdr:to>
      <xdr:col>40</xdr:col>
      <xdr:colOff>122464</xdr:colOff>
      <xdr:row>219</xdr:row>
      <xdr:rowOff>76200</xdr:rowOff>
    </xdr:to>
    <xdr:cxnSp macro="">
      <xdr:nvCxnSpPr>
        <xdr:cNvPr id="860574" name="직선 화살표 연결선 860573"/>
        <xdr:cNvCxnSpPr/>
      </xdr:nvCxnSpPr>
      <xdr:spPr>
        <a:xfrm>
          <a:off x="13584011" y="336708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20411</xdr:colOff>
      <xdr:row>218</xdr:row>
      <xdr:rowOff>19050</xdr:rowOff>
    </xdr:from>
    <xdr:to>
      <xdr:col>40</xdr:col>
      <xdr:colOff>123734</xdr:colOff>
      <xdr:row>218</xdr:row>
      <xdr:rowOff>133350</xdr:rowOff>
    </xdr:to>
    <xdr:sp macro="" textlink="">
      <xdr:nvSpPr>
        <xdr:cNvPr id="860575" name="215"/>
        <xdr:cNvSpPr/>
      </xdr:nvSpPr>
      <xdr:spPr>
        <a:xfrm>
          <a:off x="13584011" y="33461325"/>
          <a:ext cx="103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20411</xdr:colOff>
      <xdr:row>218</xdr:row>
      <xdr:rowOff>76200</xdr:rowOff>
    </xdr:from>
    <xdr:to>
      <xdr:col>40</xdr:col>
      <xdr:colOff>122464</xdr:colOff>
      <xdr:row>218</xdr:row>
      <xdr:rowOff>76200</xdr:rowOff>
    </xdr:to>
    <xdr:cxnSp macro="">
      <xdr:nvCxnSpPr>
        <xdr:cNvPr id="860576" name="직선 화살표 연결선 860575"/>
        <xdr:cNvCxnSpPr/>
      </xdr:nvCxnSpPr>
      <xdr:spPr>
        <a:xfrm>
          <a:off x="13584011" y="335184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217</xdr:row>
      <xdr:rowOff>19050</xdr:rowOff>
    </xdr:from>
    <xdr:to>
      <xdr:col>39</xdr:col>
      <xdr:colOff>123734</xdr:colOff>
      <xdr:row>217</xdr:row>
      <xdr:rowOff>133350</xdr:rowOff>
    </xdr:to>
    <xdr:sp macro="" textlink="">
      <xdr:nvSpPr>
        <xdr:cNvPr id="860577" name="214"/>
        <xdr:cNvSpPr/>
      </xdr:nvSpPr>
      <xdr:spPr>
        <a:xfrm>
          <a:off x="13441136" y="333089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217</xdr:row>
      <xdr:rowOff>76200</xdr:rowOff>
    </xdr:from>
    <xdr:to>
      <xdr:col>39</xdr:col>
      <xdr:colOff>122464</xdr:colOff>
      <xdr:row>217</xdr:row>
      <xdr:rowOff>76200</xdr:rowOff>
    </xdr:to>
    <xdr:cxnSp macro="">
      <xdr:nvCxnSpPr>
        <xdr:cNvPr id="860578" name="직선 화살표 연결선 860577"/>
        <xdr:cNvCxnSpPr/>
      </xdr:nvCxnSpPr>
      <xdr:spPr>
        <a:xfrm>
          <a:off x="13441136" y="333660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216</xdr:row>
      <xdr:rowOff>19050</xdr:rowOff>
    </xdr:from>
    <xdr:to>
      <xdr:col>39</xdr:col>
      <xdr:colOff>123734</xdr:colOff>
      <xdr:row>216</xdr:row>
      <xdr:rowOff>133350</xdr:rowOff>
    </xdr:to>
    <xdr:sp macro="" textlink="">
      <xdr:nvSpPr>
        <xdr:cNvPr id="860579" name="213"/>
        <xdr:cNvSpPr/>
      </xdr:nvSpPr>
      <xdr:spPr>
        <a:xfrm>
          <a:off x="13441136" y="331565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216</xdr:row>
      <xdr:rowOff>76200</xdr:rowOff>
    </xdr:from>
    <xdr:to>
      <xdr:col>39</xdr:col>
      <xdr:colOff>122464</xdr:colOff>
      <xdr:row>216</xdr:row>
      <xdr:rowOff>76200</xdr:rowOff>
    </xdr:to>
    <xdr:cxnSp macro="">
      <xdr:nvCxnSpPr>
        <xdr:cNvPr id="860580" name="직선 화살표 연결선 860579"/>
        <xdr:cNvCxnSpPr/>
      </xdr:nvCxnSpPr>
      <xdr:spPr>
        <a:xfrm>
          <a:off x="13441136" y="332136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215</xdr:row>
      <xdr:rowOff>19050</xdr:rowOff>
    </xdr:from>
    <xdr:to>
      <xdr:col>39</xdr:col>
      <xdr:colOff>123734</xdr:colOff>
      <xdr:row>215</xdr:row>
      <xdr:rowOff>133350</xdr:rowOff>
    </xdr:to>
    <xdr:sp macro="" textlink="">
      <xdr:nvSpPr>
        <xdr:cNvPr id="860581" name="212"/>
        <xdr:cNvSpPr/>
      </xdr:nvSpPr>
      <xdr:spPr>
        <a:xfrm>
          <a:off x="13441136" y="33004125"/>
          <a:ext cx="103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215</xdr:row>
      <xdr:rowOff>76200</xdr:rowOff>
    </xdr:from>
    <xdr:to>
      <xdr:col>39</xdr:col>
      <xdr:colOff>122464</xdr:colOff>
      <xdr:row>215</xdr:row>
      <xdr:rowOff>76200</xdr:rowOff>
    </xdr:to>
    <xdr:cxnSp macro="">
      <xdr:nvCxnSpPr>
        <xdr:cNvPr id="860582" name="직선 화살표 연결선 860581"/>
        <xdr:cNvCxnSpPr/>
      </xdr:nvCxnSpPr>
      <xdr:spPr>
        <a:xfrm>
          <a:off x="13441136" y="330612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214</xdr:row>
      <xdr:rowOff>19050</xdr:rowOff>
    </xdr:from>
    <xdr:to>
      <xdr:col>38</xdr:col>
      <xdr:colOff>123734</xdr:colOff>
      <xdr:row>214</xdr:row>
      <xdr:rowOff>133350</xdr:rowOff>
    </xdr:to>
    <xdr:sp macro="" textlink="">
      <xdr:nvSpPr>
        <xdr:cNvPr id="860583" name="211"/>
        <xdr:cNvSpPr/>
      </xdr:nvSpPr>
      <xdr:spPr>
        <a:xfrm>
          <a:off x="13298261" y="328517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214</xdr:row>
      <xdr:rowOff>76200</xdr:rowOff>
    </xdr:from>
    <xdr:to>
      <xdr:col>38</xdr:col>
      <xdr:colOff>122464</xdr:colOff>
      <xdr:row>214</xdr:row>
      <xdr:rowOff>76200</xdr:rowOff>
    </xdr:to>
    <xdr:cxnSp macro="">
      <xdr:nvCxnSpPr>
        <xdr:cNvPr id="860584" name="직선 화살표 연결선 860583"/>
        <xdr:cNvCxnSpPr/>
      </xdr:nvCxnSpPr>
      <xdr:spPr>
        <a:xfrm>
          <a:off x="13298261" y="329088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213</xdr:row>
      <xdr:rowOff>19050</xdr:rowOff>
    </xdr:from>
    <xdr:to>
      <xdr:col>38</xdr:col>
      <xdr:colOff>123734</xdr:colOff>
      <xdr:row>213</xdr:row>
      <xdr:rowOff>133350</xdr:rowOff>
    </xdr:to>
    <xdr:sp macro="" textlink="">
      <xdr:nvSpPr>
        <xdr:cNvPr id="860585" name="210"/>
        <xdr:cNvSpPr/>
      </xdr:nvSpPr>
      <xdr:spPr>
        <a:xfrm>
          <a:off x="13298261" y="326993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213</xdr:row>
      <xdr:rowOff>76200</xdr:rowOff>
    </xdr:from>
    <xdr:to>
      <xdr:col>38</xdr:col>
      <xdr:colOff>122464</xdr:colOff>
      <xdr:row>213</xdr:row>
      <xdr:rowOff>76200</xdr:rowOff>
    </xdr:to>
    <xdr:cxnSp macro="">
      <xdr:nvCxnSpPr>
        <xdr:cNvPr id="860586" name="직선 화살표 연결선 860585"/>
        <xdr:cNvCxnSpPr/>
      </xdr:nvCxnSpPr>
      <xdr:spPr>
        <a:xfrm>
          <a:off x="13298261" y="327564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212</xdr:row>
      <xdr:rowOff>19050</xdr:rowOff>
    </xdr:from>
    <xdr:to>
      <xdr:col>38</xdr:col>
      <xdr:colOff>123734</xdr:colOff>
      <xdr:row>212</xdr:row>
      <xdr:rowOff>133350</xdr:rowOff>
    </xdr:to>
    <xdr:sp macro="" textlink="">
      <xdr:nvSpPr>
        <xdr:cNvPr id="860587" name="209"/>
        <xdr:cNvSpPr/>
      </xdr:nvSpPr>
      <xdr:spPr>
        <a:xfrm>
          <a:off x="13298261" y="325469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212</xdr:row>
      <xdr:rowOff>76200</xdr:rowOff>
    </xdr:from>
    <xdr:to>
      <xdr:col>38</xdr:col>
      <xdr:colOff>122464</xdr:colOff>
      <xdr:row>212</xdr:row>
      <xdr:rowOff>76200</xdr:rowOff>
    </xdr:to>
    <xdr:cxnSp macro="">
      <xdr:nvCxnSpPr>
        <xdr:cNvPr id="860588" name="직선 화살표 연결선 860587"/>
        <xdr:cNvCxnSpPr/>
      </xdr:nvCxnSpPr>
      <xdr:spPr>
        <a:xfrm>
          <a:off x="13298261" y="326040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211</xdr:row>
      <xdr:rowOff>19050</xdr:rowOff>
    </xdr:from>
    <xdr:to>
      <xdr:col>38</xdr:col>
      <xdr:colOff>123734</xdr:colOff>
      <xdr:row>211</xdr:row>
      <xdr:rowOff>133350</xdr:rowOff>
    </xdr:to>
    <xdr:sp macro="" textlink="">
      <xdr:nvSpPr>
        <xdr:cNvPr id="860589" name="208"/>
        <xdr:cNvSpPr/>
      </xdr:nvSpPr>
      <xdr:spPr>
        <a:xfrm>
          <a:off x="13298261" y="323945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211</xdr:row>
      <xdr:rowOff>76200</xdr:rowOff>
    </xdr:from>
    <xdr:to>
      <xdr:col>38</xdr:col>
      <xdr:colOff>122464</xdr:colOff>
      <xdr:row>211</xdr:row>
      <xdr:rowOff>76200</xdr:rowOff>
    </xdr:to>
    <xdr:cxnSp macro="">
      <xdr:nvCxnSpPr>
        <xdr:cNvPr id="860590" name="직선 화살표 연결선 860589"/>
        <xdr:cNvCxnSpPr/>
      </xdr:nvCxnSpPr>
      <xdr:spPr>
        <a:xfrm>
          <a:off x="13298261" y="324516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210</xdr:row>
      <xdr:rowOff>19050</xdr:rowOff>
    </xdr:from>
    <xdr:to>
      <xdr:col>38</xdr:col>
      <xdr:colOff>123734</xdr:colOff>
      <xdr:row>210</xdr:row>
      <xdr:rowOff>133350</xdr:rowOff>
    </xdr:to>
    <xdr:sp macro="" textlink="">
      <xdr:nvSpPr>
        <xdr:cNvPr id="860591" name="207"/>
        <xdr:cNvSpPr/>
      </xdr:nvSpPr>
      <xdr:spPr>
        <a:xfrm>
          <a:off x="13298261" y="322421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210</xdr:row>
      <xdr:rowOff>76200</xdr:rowOff>
    </xdr:from>
    <xdr:to>
      <xdr:col>38</xdr:col>
      <xdr:colOff>122464</xdr:colOff>
      <xdr:row>210</xdr:row>
      <xdr:rowOff>76200</xdr:rowOff>
    </xdr:to>
    <xdr:cxnSp macro="">
      <xdr:nvCxnSpPr>
        <xdr:cNvPr id="860592" name="직선 화살표 연결선 860591"/>
        <xdr:cNvCxnSpPr/>
      </xdr:nvCxnSpPr>
      <xdr:spPr>
        <a:xfrm>
          <a:off x="13298261" y="322992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209</xdr:row>
      <xdr:rowOff>19050</xdr:rowOff>
    </xdr:from>
    <xdr:to>
      <xdr:col>38</xdr:col>
      <xdr:colOff>123734</xdr:colOff>
      <xdr:row>209</xdr:row>
      <xdr:rowOff>133350</xdr:rowOff>
    </xdr:to>
    <xdr:sp macro="" textlink="">
      <xdr:nvSpPr>
        <xdr:cNvPr id="860593" name="206"/>
        <xdr:cNvSpPr/>
      </xdr:nvSpPr>
      <xdr:spPr>
        <a:xfrm>
          <a:off x="13298261" y="320897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209</xdr:row>
      <xdr:rowOff>76200</xdr:rowOff>
    </xdr:from>
    <xdr:to>
      <xdr:col>38</xdr:col>
      <xdr:colOff>122464</xdr:colOff>
      <xdr:row>209</xdr:row>
      <xdr:rowOff>76200</xdr:rowOff>
    </xdr:to>
    <xdr:cxnSp macro="">
      <xdr:nvCxnSpPr>
        <xdr:cNvPr id="860594" name="직선 화살표 연결선 860593"/>
        <xdr:cNvCxnSpPr/>
      </xdr:nvCxnSpPr>
      <xdr:spPr>
        <a:xfrm>
          <a:off x="13298261" y="321468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208</xdr:row>
      <xdr:rowOff>19050</xdr:rowOff>
    </xdr:from>
    <xdr:to>
      <xdr:col>38</xdr:col>
      <xdr:colOff>123734</xdr:colOff>
      <xdr:row>208</xdr:row>
      <xdr:rowOff>133350</xdr:rowOff>
    </xdr:to>
    <xdr:sp macro="" textlink="">
      <xdr:nvSpPr>
        <xdr:cNvPr id="860595" name="205"/>
        <xdr:cNvSpPr/>
      </xdr:nvSpPr>
      <xdr:spPr>
        <a:xfrm>
          <a:off x="13298261" y="31937325"/>
          <a:ext cx="103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208</xdr:row>
      <xdr:rowOff>76200</xdr:rowOff>
    </xdr:from>
    <xdr:to>
      <xdr:col>38</xdr:col>
      <xdr:colOff>122464</xdr:colOff>
      <xdr:row>208</xdr:row>
      <xdr:rowOff>76200</xdr:rowOff>
    </xdr:to>
    <xdr:cxnSp macro="">
      <xdr:nvCxnSpPr>
        <xdr:cNvPr id="860596" name="직선 화살표 연결선 860595"/>
        <xdr:cNvCxnSpPr/>
      </xdr:nvCxnSpPr>
      <xdr:spPr>
        <a:xfrm>
          <a:off x="13298261" y="319944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61232</xdr:colOff>
      <xdr:row>207</xdr:row>
      <xdr:rowOff>19050</xdr:rowOff>
    </xdr:from>
    <xdr:to>
      <xdr:col>41</xdr:col>
      <xdr:colOff>82913</xdr:colOff>
      <xdr:row>207</xdr:row>
      <xdr:rowOff>133350</xdr:rowOff>
    </xdr:to>
    <xdr:sp macro="" textlink="">
      <xdr:nvSpPr>
        <xdr:cNvPr id="860597" name="204"/>
        <xdr:cNvSpPr/>
      </xdr:nvSpPr>
      <xdr:spPr>
        <a:xfrm>
          <a:off x="13196207" y="31784925"/>
          <a:ext cx="5931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61232</xdr:colOff>
      <xdr:row>207</xdr:row>
      <xdr:rowOff>76200</xdr:rowOff>
    </xdr:from>
    <xdr:to>
      <xdr:col>41</xdr:col>
      <xdr:colOff>81643</xdr:colOff>
      <xdr:row>207</xdr:row>
      <xdr:rowOff>76200</xdr:rowOff>
    </xdr:to>
    <xdr:cxnSp macro="">
      <xdr:nvCxnSpPr>
        <xdr:cNvPr id="860598" name="직선 화살표 연결선 860597"/>
        <xdr:cNvCxnSpPr/>
      </xdr:nvCxnSpPr>
      <xdr:spPr>
        <a:xfrm>
          <a:off x="13196207" y="31842075"/>
          <a:ext cx="5919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61232</xdr:colOff>
      <xdr:row>206</xdr:row>
      <xdr:rowOff>19050</xdr:rowOff>
    </xdr:from>
    <xdr:to>
      <xdr:col>37</xdr:col>
      <xdr:colOff>123734</xdr:colOff>
      <xdr:row>206</xdr:row>
      <xdr:rowOff>133350</xdr:rowOff>
    </xdr:to>
    <xdr:sp macro="" textlink="">
      <xdr:nvSpPr>
        <xdr:cNvPr id="860599" name="203"/>
        <xdr:cNvSpPr/>
      </xdr:nvSpPr>
      <xdr:spPr>
        <a:xfrm>
          <a:off x="13196207" y="31632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61232</xdr:colOff>
      <xdr:row>206</xdr:row>
      <xdr:rowOff>76200</xdr:rowOff>
    </xdr:from>
    <xdr:to>
      <xdr:col>37</xdr:col>
      <xdr:colOff>122464</xdr:colOff>
      <xdr:row>206</xdr:row>
      <xdr:rowOff>76200</xdr:rowOff>
    </xdr:to>
    <xdr:cxnSp macro="">
      <xdr:nvCxnSpPr>
        <xdr:cNvPr id="860600" name="직선 화살표 연결선 860599"/>
        <xdr:cNvCxnSpPr/>
      </xdr:nvCxnSpPr>
      <xdr:spPr>
        <a:xfrm>
          <a:off x="13196207" y="316896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205</xdr:row>
      <xdr:rowOff>19050</xdr:rowOff>
    </xdr:from>
    <xdr:to>
      <xdr:col>37</xdr:col>
      <xdr:colOff>62502</xdr:colOff>
      <xdr:row>205</xdr:row>
      <xdr:rowOff>133350</xdr:rowOff>
    </xdr:to>
    <xdr:sp macro="" textlink="">
      <xdr:nvSpPr>
        <xdr:cNvPr id="860601" name="202"/>
        <xdr:cNvSpPr/>
      </xdr:nvSpPr>
      <xdr:spPr>
        <a:xfrm>
          <a:off x="13155386" y="314801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205</xdr:row>
      <xdr:rowOff>76200</xdr:rowOff>
    </xdr:from>
    <xdr:to>
      <xdr:col>37</xdr:col>
      <xdr:colOff>61232</xdr:colOff>
      <xdr:row>205</xdr:row>
      <xdr:rowOff>76200</xdr:rowOff>
    </xdr:to>
    <xdr:cxnSp macro="">
      <xdr:nvCxnSpPr>
        <xdr:cNvPr id="860602" name="직선 화살표 연결선 860601"/>
        <xdr:cNvCxnSpPr/>
      </xdr:nvCxnSpPr>
      <xdr:spPr>
        <a:xfrm>
          <a:off x="13155386" y="315372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204</xdr:row>
      <xdr:rowOff>19050</xdr:rowOff>
    </xdr:from>
    <xdr:to>
      <xdr:col>37</xdr:col>
      <xdr:colOff>62502</xdr:colOff>
      <xdr:row>204</xdr:row>
      <xdr:rowOff>133350</xdr:rowOff>
    </xdr:to>
    <xdr:sp macro="" textlink="">
      <xdr:nvSpPr>
        <xdr:cNvPr id="860603" name="201"/>
        <xdr:cNvSpPr/>
      </xdr:nvSpPr>
      <xdr:spPr>
        <a:xfrm>
          <a:off x="13155386" y="313277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204</xdr:row>
      <xdr:rowOff>76200</xdr:rowOff>
    </xdr:from>
    <xdr:to>
      <xdr:col>37</xdr:col>
      <xdr:colOff>61232</xdr:colOff>
      <xdr:row>204</xdr:row>
      <xdr:rowOff>76200</xdr:rowOff>
    </xdr:to>
    <xdr:cxnSp macro="">
      <xdr:nvCxnSpPr>
        <xdr:cNvPr id="860604" name="직선 화살표 연결선 860603"/>
        <xdr:cNvCxnSpPr/>
      </xdr:nvCxnSpPr>
      <xdr:spPr>
        <a:xfrm>
          <a:off x="13155386" y="313848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203</xdr:row>
      <xdr:rowOff>19050</xdr:rowOff>
    </xdr:from>
    <xdr:to>
      <xdr:col>41</xdr:col>
      <xdr:colOff>82913</xdr:colOff>
      <xdr:row>203</xdr:row>
      <xdr:rowOff>133350</xdr:rowOff>
    </xdr:to>
    <xdr:sp macro="" textlink="">
      <xdr:nvSpPr>
        <xdr:cNvPr id="860605" name="200"/>
        <xdr:cNvSpPr/>
      </xdr:nvSpPr>
      <xdr:spPr>
        <a:xfrm>
          <a:off x="13155386" y="31175325"/>
          <a:ext cx="63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203</xdr:row>
      <xdr:rowOff>76200</xdr:rowOff>
    </xdr:from>
    <xdr:to>
      <xdr:col>41</xdr:col>
      <xdr:colOff>81643</xdr:colOff>
      <xdr:row>203</xdr:row>
      <xdr:rowOff>76200</xdr:rowOff>
    </xdr:to>
    <xdr:cxnSp macro="">
      <xdr:nvCxnSpPr>
        <xdr:cNvPr id="860606" name="직선 화살표 연결선 860605"/>
        <xdr:cNvCxnSpPr/>
      </xdr:nvCxnSpPr>
      <xdr:spPr>
        <a:xfrm>
          <a:off x="13155386" y="31232475"/>
          <a:ext cx="63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202</xdr:row>
      <xdr:rowOff>19050</xdr:rowOff>
    </xdr:from>
    <xdr:to>
      <xdr:col>36</xdr:col>
      <xdr:colOff>123734</xdr:colOff>
      <xdr:row>202</xdr:row>
      <xdr:rowOff>133350</xdr:rowOff>
    </xdr:to>
    <xdr:sp macro="" textlink="">
      <xdr:nvSpPr>
        <xdr:cNvPr id="860607" name="199"/>
        <xdr:cNvSpPr/>
      </xdr:nvSpPr>
      <xdr:spPr>
        <a:xfrm>
          <a:off x="13012511" y="310229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202</xdr:row>
      <xdr:rowOff>76200</xdr:rowOff>
    </xdr:from>
    <xdr:to>
      <xdr:col>36</xdr:col>
      <xdr:colOff>122464</xdr:colOff>
      <xdr:row>202</xdr:row>
      <xdr:rowOff>76200</xdr:rowOff>
    </xdr:to>
    <xdr:cxnSp macro="">
      <xdr:nvCxnSpPr>
        <xdr:cNvPr id="860608" name="직선 화살표 연결선 860607"/>
        <xdr:cNvCxnSpPr/>
      </xdr:nvCxnSpPr>
      <xdr:spPr>
        <a:xfrm>
          <a:off x="13012511" y="310800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201</xdr:row>
      <xdr:rowOff>19050</xdr:rowOff>
    </xdr:from>
    <xdr:to>
      <xdr:col>36</xdr:col>
      <xdr:colOff>123734</xdr:colOff>
      <xdr:row>201</xdr:row>
      <xdr:rowOff>133350</xdr:rowOff>
    </xdr:to>
    <xdr:sp macro="" textlink="">
      <xdr:nvSpPr>
        <xdr:cNvPr id="860609" name="198"/>
        <xdr:cNvSpPr/>
      </xdr:nvSpPr>
      <xdr:spPr>
        <a:xfrm>
          <a:off x="13012511" y="308705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201</xdr:row>
      <xdr:rowOff>76200</xdr:rowOff>
    </xdr:from>
    <xdr:to>
      <xdr:col>36</xdr:col>
      <xdr:colOff>122464</xdr:colOff>
      <xdr:row>201</xdr:row>
      <xdr:rowOff>76200</xdr:rowOff>
    </xdr:to>
    <xdr:cxnSp macro="">
      <xdr:nvCxnSpPr>
        <xdr:cNvPr id="860610" name="직선 화살표 연결선 860609"/>
        <xdr:cNvCxnSpPr/>
      </xdr:nvCxnSpPr>
      <xdr:spPr>
        <a:xfrm>
          <a:off x="13012511" y="309276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200</xdr:row>
      <xdr:rowOff>19050</xdr:rowOff>
    </xdr:from>
    <xdr:to>
      <xdr:col>36</xdr:col>
      <xdr:colOff>123734</xdr:colOff>
      <xdr:row>200</xdr:row>
      <xdr:rowOff>133350</xdr:rowOff>
    </xdr:to>
    <xdr:sp macro="" textlink="">
      <xdr:nvSpPr>
        <xdr:cNvPr id="860611" name="197"/>
        <xdr:cNvSpPr/>
      </xdr:nvSpPr>
      <xdr:spPr>
        <a:xfrm>
          <a:off x="13012511" y="307181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200</xdr:row>
      <xdr:rowOff>76200</xdr:rowOff>
    </xdr:from>
    <xdr:to>
      <xdr:col>36</xdr:col>
      <xdr:colOff>122464</xdr:colOff>
      <xdr:row>200</xdr:row>
      <xdr:rowOff>76200</xdr:rowOff>
    </xdr:to>
    <xdr:cxnSp macro="">
      <xdr:nvCxnSpPr>
        <xdr:cNvPr id="860612" name="직선 화살표 연결선 860611"/>
        <xdr:cNvCxnSpPr/>
      </xdr:nvCxnSpPr>
      <xdr:spPr>
        <a:xfrm>
          <a:off x="13012511" y="307752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199</xdr:row>
      <xdr:rowOff>19050</xdr:rowOff>
    </xdr:from>
    <xdr:to>
      <xdr:col>36</xdr:col>
      <xdr:colOff>123734</xdr:colOff>
      <xdr:row>199</xdr:row>
      <xdr:rowOff>133350</xdr:rowOff>
    </xdr:to>
    <xdr:sp macro="" textlink="">
      <xdr:nvSpPr>
        <xdr:cNvPr id="860613" name="196"/>
        <xdr:cNvSpPr/>
      </xdr:nvSpPr>
      <xdr:spPr>
        <a:xfrm>
          <a:off x="13012511" y="30565725"/>
          <a:ext cx="103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199</xdr:row>
      <xdr:rowOff>76200</xdr:rowOff>
    </xdr:from>
    <xdr:to>
      <xdr:col>36</xdr:col>
      <xdr:colOff>122464</xdr:colOff>
      <xdr:row>199</xdr:row>
      <xdr:rowOff>76200</xdr:rowOff>
    </xdr:to>
    <xdr:cxnSp macro="">
      <xdr:nvCxnSpPr>
        <xdr:cNvPr id="860614" name="직선 화살표 연결선 860613"/>
        <xdr:cNvCxnSpPr/>
      </xdr:nvCxnSpPr>
      <xdr:spPr>
        <a:xfrm>
          <a:off x="13012511" y="306228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198</xdr:row>
      <xdr:rowOff>19050</xdr:rowOff>
    </xdr:from>
    <xdr:to>
      <xdr:col>35</xdr:col>
      <xdr:colOff>123734</xdr:colOff>
      <xdr:row>198</xdr:row>
      <xdr:rowOff>133350</xdr:rowOff>
    </xdr:to>
    <xdr:sp macro="" textlink="">
      <xdr:nvSpPr>
        <xdr:cNvPr id="860615" name="195"/>
        <xdr:cNvSpPr/>
      </xdr:nvSpPr>
      <xdr:spPr>
        <a:xfrm>
          <a:off x="12951278" y="304133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198</xdr:row>
      <xdr:rowOff>76200</xdr:rowOff>
    </xdr:from>
    <xdr:to>
      <xdr:col>35</xdr:col>
      <xdr:colOff>122465</xdr:colOff>
      <xdr:row>198</xdr:row>
      <xdr:rowOff>76200</xdr:rowOff>
    </xdr:to>
    <xdr:cxnSp macro="">
      <xdr:nvCxnSpPr>
        <xdr:cNvPr id="860616" name="직선 화살표 연결선 860615"/>
        <xdr:cNvCxnSpPr/>
      </xdr:nvCxnSpPr>
      <xdr:spPr>
        <a:xfrm>
          <a:off x="12951278" y="304704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197</xdr:row>
      <xdr:rowOff>19050</xdr:rowOff>
    </xdr:from>
    <xdr:to>
      <xdr:col>35</xdr:col>
      <xdr:colOff>103323</xdr:colOff>
      <xdr:row>197</xdr:row>
      <xdr:rowOff>133350</xdr:rowOff>
    </xdr:to>
    <xdr:sp macro="" textlink="">
      <xdr:nvSpPr>
        <xdr:cNvPr id="860617" name="194"/>
        <xdr:cNvSpPr/>
      </xdr:nvSpPr>
      <xdr:spPr>
        <a:xfrm>
          <a:off x="12869635" y="302609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197</xdr:row>
      <xdr:rowOff>76200</xdr:rowOff>
    </xdr:from>
    <xdr:to>
      <xdr:col>35</xdr:col>
      <xdr:colOff>102053</xdr:colOff>
      <xdr:row>197</xdr:row>
      <xdr:rowOff>76200</xdr:rowOff>
    </xdr:to>
    <xdr:cxnSp macro="">
      <xdr:nvCxnSpPr>
        <xdr:cNvPr id="860618" name="직선 화살표 연결선 860617"/>
        <xdr:cNvCxnSpPr/>
      </xdr:nvCxnSpPr>
      <xdr:spPr>
        <a:xfrm>
          <a:off x="12869635" y="303180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196</xdr:row>
      <xdr:rowOff>19050</xdr:rowOff>
    </xdr:from>
    <xdr:to>
      <xdr:col>35</xdr:col>
      <xdr:colOff>103323</xdr:colOff>
      <xdr:row>196</xdr:row>
      <xdr:rowOff>133350</xdr:rowOff>
    </xdr:to>
    <xdr:sp macro="" textlink="">
      <xdr:nvSpPr>
        <xdr:cNvPr id="860619" name="193"/>
        <xdr:cNvSpPr/>
      </xdr:nvSpPr>
      <xdr:spPr>
        <a:xfrm>
          <a:off x="12869635" y="301085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196</xdr:row>
      <xdr:rowOff>76200</xdr:rowOff>
    </xdr:from>
    <xdr:to>
      <xdr:col>35</xdr:col>
      <xdr:colOff>102053</xdr:colOff>
      <xdr:row>196</xdr:row>
      <xdr:rowOff>76200</xdr:rowOff>
    </xdr:to>
    <xdr:cxnSp macro="">
      <xdr:nvCxnSpPr>
        <xdr:cNvPr id="860620" name="직선 화살표 연결선 860619"/>
        <xdr:cNvCxnSpPr/>
      </xdr:nvCxnSpPr>
      <xdr:spPr>
        <a:xfrm>
          <a:off x="12869635" y="301656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195</xdr:row>
      <xdr:rowOff>19050</xdr:rowOff>
    </xdr:from>
    <xdr:to>
      <xdr:col>35</xdr:col>
      <xdr:colOff>103323</xdr:colOff>
      <xdr:row>195</xdr:row>
      <xdr:rowOff>133350</xdr:rowOff>
    </xdr:to>
    <xdr:sp macro="" textlink="">
      <xdr:nvSpPr>
        <xdr:cNvPr id="860621" name="192"/>
        <xdr:cNvSpPr/>
      </xdr:nvSpPr>
      <xdr:spPr>
        <a:xfrm>
          <a:off x="12869635" y="299561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195</xdr:row>
      <xdr:rowOff>76200</xdr:rowOff>
    </xdr:from>
    <xdr:to>
      <xdr:col>35</xdr:col>
      <xdr:colOff>102053</xdr:colOff>
      <xdr:row>195</xdr:row>
      <xdr:rowOff>76200</xdr:rowOff>
    </xdr:to>
    <xdr:cxnSp macro="">
      <xdr:nvCxnSpPr>
        <xdr:cNvPr id="860622" name="직선 화살표 연결선 860621"/>
        <xdr:cNvCxnSpPr/>
      </xdr:nvCxnSpPr>
      <xdr:spPr>
        <a:xfrm>
          <a:off x="12869635" y="300132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194</xdr:row>
      <xdr:rowOff>19050</xdr:rowOff>
    </xdr:from>
    <xdr:to>
      <xdr:col>35</xdr:col>
      <xdr:colOff>123734</xdr:colOff>
      <xdr:row>194</xdr:row>
      <xdr:rowOff>133350</xdr:rowOff>
    </xdr:to>
    <xdr:sp macro="" textlink="">
      <xdr:nvSpPr>
        <xdr:cNvPr id="860623" name="191"/>
        <xdr:cNvSpPr/>
      </xdr:nvSpPr>
      <xdr:spPr>
        <a:xfrm>
          <a:off x="12869635" y="29803725"/>
          <a:ext cx="1033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194</xdr:row>
      <xdr:rowOff>76200</xdr:rowOff>
    </xdr:from>
    <xdr:to>
      <xdr:col>35</xdr:col>
      <xdr:colOff>122465</xdr:colOff>
      <xdr:row>194</xdr:row>
      <xdr:rowOff>76200</xdr:rowOff>
    </xdr:to>
    <xdr:cxnSp macro="">
      <xdr:nvCxnSpPr>
        <xdr:cNvPr id="860624" name="직선 화살표 연결선 860623"/>
        <xdr:cNvCxnSpPr/>
      </xdr:nvCxnSpPr>
      <xdr:spPr>
        <a:xfrm>
          <a:off x="12869635" y="29860875"/>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193</xdr:row>
      <xdr:rowOff>19050</xdr:rowOff>
    </xdr:from>
    <xdr:to>
      <xdr:col>41</xdr:col>
      <xdr:colOff>82913</xdr:colOff>
      <xdr:row>193</xdr:row>
      <xdr:rowOff>133350</xdr:rowOff>
    </xdr:to>
    <xdr:sp macro="" textlink="">
      <xdr:nvSpPr>
        <xdr:cNvPr id="860625" name="190"/>
        <xdr:cNvSpPr/>
      </xdr:nvSpPr>
      <xdr:spPr>
        <a:xfrm>
          <a:off x="12869635" y="29651325"/>
          <a:ext cx="9197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193</xdr:row>
      <xdr:rowOff>76200</xdr:rowOff>
    </xdr:from>
    <xdr:to>
      <xdr:col>41</xdr:col>
      <xdr:colOff>81643</xdr:colOff>
      <xdr:row>193</xdr:row>
      <xdr:rowOff>76200</xdr:rowOff>
    </xdr:to>
    <xdr:cxnSp macro="">
      <xdr:nvCxnSpPr>
        <xdr:cNvPr id="860626" name="직선 화살표 연결선 860625"/>
        <xdr:cNvCxnSpPr/>
      </xdr:nvCxnSpPr>
      <xdr:spPr>
        <a:xfrm>
          <a:off x="12869635" y="29708475"/>
          <a:ext cx="9184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192</xdr:row>
      <xdr:rowOff>19050</xdr:rowOff>
    </xdr:from>
    <xdr:to>
      <xdr:col>69</xdr:col>
      <xdr:colOff>123734</xdr:colOff>
      <xdr:row>192</xdr:row>
      <xdr:rowOff>133350</xdr:rowOff>
    </xdr:to>
    <xdr:sp macro="" textlink="">
      <xdr:nvSpPr>
        <xdr:cNvPr id="860627" name="189"/>
        <xdr:cNvSpPr/>
      </xdr:nvSpPr>
      <xdr:spPr>
        <a:xfrm>
          <a:off x="12869635" y="29498925"/>
          <a:ext cx="49610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192</xdr:row>
      <xdr:rowOff>76200</xdr:rowOff>
    </xdr:from>
    <xdr:to>
      <xdr:col>69</xdr:col>
      <xdr:colOff>122464</xdr:colOff>
      <xdr:row>192</xdr:row>
      <xdr:rowOff>76200</xdr:rowOff>
    </xdr:to>
    <xdr:cxnSp macro="">
      <xdr:nvCxnSpPr>
        <xdr:cNvPr id="860628" name="직선 화살표 연결선 860627"/>
        <xdr:cNvCxnSpPr/>
      </xdr:nvCxnSpPr>
      <xdr:spPr>
        <a:xfrm>
          <a:off x="12869635" y="29556075"/>
          <a:ext cx="49598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20411</xdr:colOff>
      <xdr:row>191</xdr:row>
      <xdr:rowOff>19050</xdr:rowOff>
    </xdr:from>
    <xdr:to>
      <xdr:col>53</xdr:col>
      <xdr:colOff>123734</xdr:colOff>
      <xdr:row>191</xdr:row>
      <xdr:rowOff>133350</xdr:rowOff>
    </xdr:to>
    <xdr:sp macro="" textlink="">
      <xdr:nvSpPr>
        <xdr:cNvPr id="860629" name="188"/>
        <xdr:cNvSpPr/>
      </xdr:nvSpPr>
      <xdr:spPr>
        <a:xfrm>
          <a:off x="15298511" y="293465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20411</xdr:colOff>
      <xdr:row>191</xdr:row>
      <xdr:rowOff>76200</xdr:rowOff>
    </xdr:from>
    <xdr:to>
      <xdr:col>53</xdr:col>
      <xdr:colOff>122464</xdr:colOff>
      <xdr:row>191</xdr:row>
      <xdr:rowOff>76200</xdr:rowOff>
    </xdr:to>
    <xdr:cxnSp macro="">
      <xdr:nvCxnSpPr>
        <xdr:cNvPr id="860630" name="직선 화살표 연결선 860629"/>
        <xdr:cNvCxnSpPr/>
      </xdr:nvCxnSpPr>
      <xdr:spPr>
        <a:xfrm>
          <a:off x="15298511" y="294036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20411</xdr:colOff>
      <xdr:row>190</xdr:row>
      <xdr:rowOff>19050</xdr:rowOff>
    </xdr:from>
    <xdr:to>
      <xdr:col>53</xdr:col>
      <xdr:colOff>123734</xdr:colOff>
      <xdr:row>190</xdr:row>
      <xdr:rowOff>133350</xdr:rowOff>
    </xdr:to>
    <xdr:sp macro="" textlink="">
      <xdr:nvSpPr>
        <xdr:cNvPr id="860631" name="187"/>
        <xdr:cNvSpPr/>
      </xdr:nvSpPr>
      <xdr:spPr>
        <a:xfrm>
          <a:off x="15298511" y="29194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20411</xdr:colOff>
      <xdr:row>190</xdr:row>
      <xdr:rowOff>76200</xdr:rowOff>
    </xdr:from>
    <xdr:to>
      <xdr:col>53</xdr:col>
      <xdr:colOff>122464</xdr:colOff>
      <xdr:row>190</xdr:row>
      <xdr:rowOff>76200</xdr:rowOff>
    </xdr:to>
    <xdr:cxnSp macro="">
      <xdr:nvCxnSpPr>
        <xdr:cNvPr id="860632" name="직선 화살표 연결선 860631"/>
        <xdr:cNvCxnSpPr/>
      </xdr:nvCxnSpPr>
      <xdr:spPr>
        <a:xfrm>
          <a:off x="15298511" y="292512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20411</xdr:colOff>
      <xdr:row>189</xdr:row>
      <xdr:rowOff>19050</xdr:rowOff>
    </xdr:from>
    <xdr:to>
      <xdr:col>53</xdr:col>
      <xdr:colOff>123734</xdr:colOff>
      <xdr:row>189</xdr:row>
      <xdr:rowOff>133350</xdr:rowOff>
    </xdr:to>
    <xdr:sp macro="" textlink="">
      <xdr:nvSpPr>
        <xdr:cNvPr id="860633" name="186"/>
        <xdr:cNvSpPr/>
      </xdr:nvSpPr>
      <xdr:spPr>
        <a:xfrm>
          <a:off x="15298511" y="290417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20411</xdr:colOff>
      <xdr:row>189</xdr:row>
      <xdr:rowOff>76200</xdr:rowOff>
    </xdr:from>
    <xdr:to>
      <xdr:col>53</xdr:col>
      <xdr:colOff>122464</xdr:colOff>
      <xdr:row>189</xdr:row>
      <xdr:rowOff>76200</xdr:rowOff>
    </xdr:to>
    <xdr:cxnSp macro="">
      <xdr:nvCxnSpPr>
        <xdr:cNvPr id="860634" name="직선 화살표 연결선 860633"/>
        <xdr:cNvCxnSpPr/>
      </xdr:nvCxnSpPr>
      <xdr:spPr>
        <a:xfrm>
          <a:off x="15298511" y="290988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20411</xdr:colOff>
      <xdr:row>188</xdr:row>
      <xdr:rowOff>19050</xdr:rowOff>
    </xdr:from>
    <xdr:to>
      <xdr:col>53</xdr:col>
      <xdr:colOff>123734</xdr:colOff>
      <xdr:row>188</xdr:row>
      <xdr:rowOff>133350</xdr:rowOff>
    </xdr:to>
    <xdr:sp macro="" textlink="">
      <xdr:nvSpPr>
        <xdr:cNvPr id="860635" name="185"/>
        <xdr:cNvSpPr/>
      </xdr:nvSpPr>
      <xdr:spPr>
        <a:xfrm>
          <a:off x="15298511" y="28889325"/>
          <a:ext cx="2461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20411</xdr:colOff>
      <xdr:row>188</xdr:row>
      <xdr:rowOff>76200</xdr:rowOff>
    </xdr:from>
    <xdr:to>
      <xdr:col>53</xdr:col>
      <xdr:colOff>122464</xdr:colOff>
      <xdr:row>188</xdr:row>
      <xdr:rowOff>76200</xdr:rowOff>
    </xdr:to>
    <xdr:cxnSp macro="">
      <xdr:nvCxnSpPr>
        <xdr:cNvPr id="860636" name="직선 화살표 연결선 860635"/>
        <xdr:cNvCxnSpPr/>
      </xdr:nvCxnSpPr>
      <xdr:spPr>
        <a:xfrm>
          <a:off x="15298511" y="289464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20411</xdr:colOff>
      <xdr:row>187</xdr:row>
      <xdr:rowOff>19050</xdr:rowOff>
    </xdr:from>
    <xdr:to>
      <xdr:col>52</xdr:col>
      <xdr:colOff>123734</xdr:colOff>
      <xdr:row>187</xdr:row>
      <xdr:rowOff>133350</xdr:rowOff>
    </xdr:to>
    <xdr:sp macro="" textlink="">
      <xdr:nvSpPr>
        <xdr:cNvPr id="860637" name="184"/>
        <xdr:cNvSpPr/>
      </xdr:nvSpPr>
      <xdr:spPr>
        <a:xfrm>
          <a:off x="15155636" y="287369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20411</xdr:colOff>
      <xdr:row>187</xdr:row>
      <xdr:rowOff>76200</xdr:rowOff>
    </xdr:from>
    <xdr:to>
      <xdr:col>52</xdr:col>
      <xdr:colOff>122464</xdr:colOff>
      <xdr:row>187</xdr:row>
      <xdr:rowOff>76200</xdr:rowOff>
    </xdr:to>
    <xdr:cxnSp macro="">
      <xdr:nvCxnSpPr>
        <xdr:cNvPr id="860638" name="직선 화살표 연결선 860637"/>
        <xdr:cNvCxnSpPr/>
      </xdr:nvCxnSpPr>
      <xdr:spPr>
        <a:xfrm>
          <a:off x="15155636" y="287940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20411</xdr:colOff>
      <xdr:row>186</xdr:row>
      <xdr:rowOff>19050</xdr:rowOff>
    </xdr:from>
    <xdr:to>
      <xdr:col>52</xdr:col>
      <xdr:colOff>123734</xdr:colOff>
      <xdr:row>186</xdr:row>
      <xdr:rowOff>133350</xdr:rowOff>
    </xdr:to>
    <xdr:sp macro="" textlink="">
      <xdr:nvSpPr>
        <xdr:cNvPr id="860639" name="183"/>
        <xdr:cNvSpPr/>
      </xdr:nvSpPr>
      <xdr:spPr>
        <a:xfrm>
          <a:off x="15155636" y="285845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20411</xdr:colOff>
      <xdr:row>186</xdr:row>
      <xdr:rowOff>76200</xdr:rowOff>
    </xdr:from>
    <xdr:to>
      <xdr:col>52</xdr:col>
      <xdr:colOff>122464</xdr:colOff>
      <xdr:row>186</xdr:row>
      <xdr:rowOff>76200</xdr:rowOff>
    </xdr:to>
    <xdr:cxnSp macro="">
      <xdr:nvCxnSpPr>
        <xdr:cNvPr id="860640" name="직선 화살표 연결선 860639"/>
        <xdr:cNvCxnSpPr/>
      </xdr:nvCxnSpPr>
      <xdr:spPr>
        <a:xfrm>
          <a:off x="15155636" y="286416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20411</xdr:colOff>
      <xdr:row>185</xdr:row>
      <xdr:rowOff>19050</xdr:rowOff>
    </xdr:from>
    <xdr:to>
      <xdr:col>52</xdr:col>
      <xdr:colOff>123734</xdr:colOff>
      <xdr:row>185</xdr:row>
      <xdr:rowOff>133350</xdr:rowOff>
    </xdr:to>
    <xdr:sp macro="" textlink="">
      <xdr:nvSpPr>
        <xdr:cNvPr id="860641" name="182"/>
        <xdr:cNvSpPr/>
      </xdr:nvSpPr>
      <xdr:spPr>
        <a:xfrm>
          <a:off x="15155636" y="28432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20411</xdr:colOff>
      <xdr:row>185</xdr:row>
      <xdr:rowOff>76200</xdr:rowOff>
    </xdr:from>
    <xdr:to>
      <xdr:col>52</xdr:col>
      <xdr:colOff>122464</xdr:colOff>
      <xdr:row>185</xdr:row>
      <xdr:rowOff>76200</xdr:rowOff>
    </xdr:to>
    <xdr:cxnSp macro="">
      <xdr:nvCxnSpPr>
        <xdr:cNvPr id="860642" name="직선 화살표 연결선 860641"/>
        <xdr:cNvCxnSpPr/>
      </xdr:nvCxnSpPr>
      <xdr:spPr>
        <a:xfrm>
          <a:off x="15155636" y="284892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20411</xdr:colOff>
      <xdr:row>184</xdr:row>
      <xdr:rowOff>19050</xdr:rowOff>
    </xdr:from>
    <xdr:to>
      <xdr:col>52</xdr:col>
      <xdr:colOff>123734</xdr:colOff>
      <xdr:row>184</xdr:row>
      <xdr:rowOff>133350</xdr:rowOff>
    </xdr:to>
    <xdr:sp macro="" textlink="">
      <xdr:nvSpPr>
        <xdr:cNvPr id="860643" name="181"/>
        <xdr:cNvSpPr/>
      </xdr:nvSpPr>
      <xdr:spPr>
        <a:xfrm>
          <a:off x="15155636" y="282797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20411</xdr:colOff>
      <xdr:row>184</xdr:row>
      <xdr:rowOff>76200</xdr:rowOff>
    </xdr:from>
    <xdr:to>
      <xdr:col>52</xdr:col>
      <xdr:colOff>122464</xdr:colOff>
      <xdr:row>184</xdr:row>
      <xdr:rowOff>76200</xdr:rowOff>
    </xdr:to>
    <xdr:cxnSp macro="">
      <xdr:nvCxnSpPr>
        <xdr:cNvPr id="860644" name="직선 화살표 연결선 860643"/>
        <xdr:cNvCxnSpPr/>
      </xdr:nvCxnSpPr>
      <xdr:spPr>
        <a:xfrm>
          <a:off x="15155636" y="283368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20411</xdr:colOff>
      <xdr:row>183</xdr:row>
      <xdr:rowOff>19050</xdr:rowOff>
    </xdr:from>
    <xdr:to>
      <xdr:col>52</xdr:col>
      <xdr:colOff>123734</xdr:colOff>
      <xdr:row>183</xdr:row>
      <xdr:rowOff>133350</xdr:rowOff>
    </xdr:to>
    <xdr:sp macro="" textlink="">
      <xdr:nvSpPr>
        <xdr:cNvPr id="860645" name="180"/>
        <xdr:cNvSpPr/>
      </xdr:nvSpPr>
      <xdr:spPr>
        <a:xfrm>
          <a:off x="15155636" y="28127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20411</xdr:colOff>
      <xdr:row>183</xdr:row>
      <xdr:rowOff>76200</xdr:rowOff>
    </xdr:from>
    <xdr:to>
      <xdr:col>52</xdr:col>
      <xdr:colOff>122464</xdr:colOff>
      <xdr:row>183</xdr:row>
      <xdr:rowOff>76200</xdr:rowOff>
    </xdr:to>
    <xdr:cxnSp macro="">
      <xdr:nvCxnSpPr>
        <xdr:cNvPr id="860646" name="직선 화살표 연결선 860645"/>
        <xdr:cNvCxnSpPr/>
      </xdr:nvCxnSpPr>
      <xdr:spPr>
        <a:xfrm>
          <a:off x="15155636" y="281844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20411</xdr:colOff>
      <xdr:row>182</xdr:row>
      <xdr:rowOff>19050</xdr:rowOff>
    </xdr:from>
    <xdr:to>
      <xdr:col>52</xdr:col>
      <xdr:colOff>123734</xdr:colOff>
      <xdr:row>182</xdr:row>
      <xdr:rowOff>133350</xdr:rowOff>
    </xdr:to>
    <xdr:sp macro="" textlink="">
      <xdr:nvSpPr>
        <xdr:cNvPr id="860647" name="179"/>
        <xdr:cNvSpPr/>
      </xdr:nvSpPr>
      <xdr:spPr>
        <a:xfrm>
          <a:off x="15155636" y="279749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20411</xdr:colOff>
      <xdr:row>182</xdr:row>
      <xdr:rowOff>76200</xdr:rowOff>
    </xdr:from>
    <xdr:to>
      <xdr:col>52</xdr:col>
      <xdr:colOff>122464</xdr:colOff>
      <xdr:row>182</xdr:row>
      <xdr:rowOff>76200</xdr:rowOff>
    </xdr:to>
    <xdr:cxnSp macro="">
      <xdr:nvCxnSpPr>
        <xdr:cNvPr id="860648" name="직선 화살표 연결선 860647"/>
        <xdr:cNvCxnSpPr/>
      </xdr:nvCxnSpPr>
      <xdr:spPr>
        <a:xfrm>
          <a:off x="15155636" y="280320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20411</xdr:colOff>
      <xdr:row>181</xdr:row>
      <xdr:rowOff>19050</xdr:rowOff>
    </xdr:from>
    <xdr:to>
      <xdr:col>52</xdr:col>
      <xdr:colOff>123734</xdr:colOff>
      <xdr:row>181</xdr:row>
      <xdr:rowOff>133350</xdr:rowOff>
    </xdr:to>
    <xdr:sp macro="" textlink="">
      <xdr:nvSpPr>
        <xdr:cNvPr id="860649" name="178"/>
        <xdr:cNvSpPr/>
      </xdr:nvSpPr>
      <xdr:spPr>
        <a:xfrm>
          <a:off x="15155636" y="278225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20411</xdr:colOff>
      <xdr:row>181</xdr:row>
      <xdr:rowOff>76200</xdr:rowOff>
    </xdr:from>
    <xdr:to>
      <xdr:col>52</xdr:col>
      <xdr:colOff>122464</xdr:colOff>
      <xdr:row>181</xdr:row>
      <xdr:rowOff>76200</xdr:rowOff>
    </xdr:to>
    <xdr:cxnSp macro="">
      <xdr:nvCxnSpPr>
        <xdr:cNvPr id="860650" name="직선 화살표 연결선 860649"/>
        <xdr:cNvCxnSpPr/>
      </xdr:nvCxnSpPr>
      <xdr:spPr>
        <a:xfrm>
          <a:off x="15155636" y="278796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20411</xdr:colOff>
      <xdr:row>180</xdr:row>
      <xdr:rowOff>19050</xdr:rowOff>
    </xdr:from>
    <xdr:to>
      <xdr:col>52</xdr:col>
      <xdr:colOff>123734</xdr:colOff>
      <xdr:row>180</xdr:row>
      <xdr:rowOff>133350</xdr:rowOff>
    </xdr:to>
    <xdr:sp macro="" textlink="">
      <xdr:nvSpPr>
        <xdr:cNvPr id="860651" name="177"/>
        <xdr:cNvSpPr/>
      </xdr:nvSpPr>
      <xdr:spPr>
        <a:xfrm>
          <a:off x="15155636" y="27670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20411</xdr:colOff>
      <xdr:row>180</xdr:row>
      <xdr:rowOff>76200</xdr:rowOff>
    </xdr:from>
    <xdr:to>
      <xdr:col>52</xdr:col>
      <xdr:colOff>122464</xdr:colOff>
      <xdr:row>180</xdr:row>
      <xdr:rowOff>76200</xdr:rowOff>
    </xdr:to>
    <xdr:cxnSp macro="">
      <xdr:nvCxnSpPr>
        <xdr:cNvPr id="860652" name="직선 화살표 연결선 860651"/>
        <xdr:cNvCxnSpPr/>
      </xdr:nvCxnSpPr>
      <xdr:spPr>
        <a:xfrm>
          <a:off x="15155636" y="277272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20411</xdr:colOff>
      <xdr:row>179</xdr:row>
      <xdr:rowOff>19050</xdr:rowOff>
    </xdr:from>
    <xdr:to>
      <xdr:col>52</xdr:col>
      <xdr:colOff>123734</xdr:colOff>
      <xdr:row>179</xdr:row>
      <xdr:rowOff>133350</xdr:rowOff>
    </xdr:to>
    <xdr:sp macro="" textlink="">
      <xdr:nvSpPr>
        <xdr:cNvPr id="860653" name="176"/>
        <xdr:cNvSpPr/>
      </xdr:nvSpPr>
      <xdr:spPr>
        <a:xfrm>
          <a:off x="15155636" y="27517725"/>
          <a:ext cx="2461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20411</xdr:colOff>
      <xdr:row>179</xdr:row>
      <xdr:rowOff>76200</xdr:rowOff>
    </xdr:from>
    <xdr:to>
      <xdr:col>52</xdr:col>
      <xdr:colOff>122464</xdr:colOff>
      <xdr:row>179</xdr:row>
      <xdr:rowOff>76200</xdr:rowOff>
    </xdr:to>
    <xdr:cxnSp macro="">
      <xdr:nvCxnSpPr>
        <xdr:cNvPr id="860654" name="직선 화살표 연결선 860653"/>
        <xdr:cNvCxnSpPr/>
      </xdr:nvCxnSpPr>
      <xdr:spPr>
        <a:xfrm>
          <a:off x="15155636" y="275748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20411</xdr:colOff>
      <xdr:row>178</xdr:row>
      <xdr:rowOff>19050</xdr:rowOff>
    </xdr:from>
    <xdr:to>
      <xdr:col>53</xdr:col>
      <xdr:colOff>123734</xdr:colOff>
      <xdr:row>178</xdr:row>
      <xdr:rowOff>133350</xdr:rowOff>
    </xdr:to>
    <xdr:sp macro="" textlink="">
      <xdr:nvSpPr>
        <xdr:cNvPr id="860655" name="175"/>
        <xdr:cNvSpPr/>
      </xdr:nvSpPr>
      <xdr:spPr>
        <a:xfrm>
          <a:off x="15298511" y="27365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20411</xdr:colOff>
      <xdr:row>178</xdr:row>
      <xdr:rowOff>76200</xdr:rowOff>
    </xdr:from>
    <xdr:to>
      <xdr:col>53</xdr:col>
      <xdr:colOff>122464</xdr:colOff>
      <xdr:row>178</xdr:row>
      <xdr:rowOff>76200</xdr:rowOff>
    </xdr:to>
    <xdr:cxnSp macro="">
      <xdr:nvCxnSpPr>
        <xdr:cNvPr id="860656" name="직선 화살표 연결선 860655"/>
        <xdr:cNvCxnSpPr/>
      </xdr:nvCxnSpPr>
      <xdr:spPr>
        <a:xfrm>
          <a:off x="15298511" y="274224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20411</xdr:colOff>
      <xdr:row>177</xdr:row>
      <xdr:rowOff>19050</xdr:rowOff>
    </xdr:from>
    <xdr:to>
      <xdr:col>51</xdr:col>
      <xdr:colOff>123734</xdr:colOff>
      <xdr:row>177</xdr:row>
      <xdr:rowOff>133350</xdr:rowOff>
    </xdr:to>
    <xdr:sp macro="" textlink="">
      <xdr:nvSpPr>
        <xdr:cNvPr id="860657" name="174"/>
        <xdr:cNvSpPr/>
      </xdr:nvSpPr>
      <xdr:spPr>
        <a:xfrm>
          <a:off x="14869886" y="27212925"/>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20411</xdr:colOff>
      <xdr:row>177</xdr:row>
      <xdr:rowOff>76200</xdr:rowOff>
    </xdr:from>
    <xdr:to>
      <xdr:col>51</xdr:col>
      <xdr:colOff>122464</xdr:colOff>
      <xdr:row>177</xdr:row>
      <xdr:rowOff>76200</xdr:rowOff>
    </xdr:to>
    <xdr:cxnSp macro="">
      <xdr:nvCxnSpPr>
        <xdr:cNvPr id="860658" name="직선 화살표 연결선 860657"/>
        <xdr:cNvCxnSpPr/>
      </xdr:nvCxnSpPr>
      <xdr:spPr>
        <a:xfrm>
          <a:off x="14869886" y="27270075"/>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20411</xdr:colOff>
      <xdr:row>176</xdr:row>
      <xdr:rowOff>19050</xdr:rowOff>
    </xdr:from>
    <xdr:to>
      <xdr:col>51</xdr:col>
      <xdr:colOff>123734</xdr:colOff>
      <xdr:row>176</xdr:row>
      <xdr:rowOff>133350</xdr:rowOff>
    </xdr:to>
    <xdr:sp macro="" textlink="">
      <xdr:nvSpPr>
        <xdr:cNvPr id="860659" name="173"/>
        <xdr:cNvSpPr/>
      </xdr:nvSpPr>
      <xdr:spPr>
        <a:xfrm>
          <a:off x="14869886" y="27060525"/>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20411</xdr:colOff>
      <xdr:row>176</xdr:row>
      <xdr:rowOff>76200</xdr:rowOff>
    </xdr:from>
    <xdr:to>
      <xdr:col>51</xdr:col>
      <xdr:colOff>122464</xdr:colOff>
      <xdr:row>176</xdr:row>
      <xdr:rowOff>76200</xdr:rowOff>
    </xdr:to>
    <xdr:cxnSp macro="">
      <xdr:nvCxnSpPr>
        <xdr:cNvPr id="860660" name="직선 화살표 연결선 860659"/>
        <xdr:cNvCxnSpPr/>
      </xdr:nvCxnSpPr>
      <xdr:spPr>
        <a:xfrm>
          <a:off x="14869886" y="27117675"/>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20411</xdr:colOff>
      <xdr:row>175</xdr:row>
      <xdr:rowOff>19050</xdr:rowOff>
    </xdr:from>
    <xdr:to>
      <xdr:col>50</xdr:col>
      <xdr:colOff>123734</xdr:colOff>
      <xdr:row>175</xdr:row>
      <xdr:rowOff>133350</xdr:rowOff>
    </xdr:to>
    <xdr:sp macro="" textlink="">
      <xdr:nvSpPr>
        <xdr:cNvPr id="860661" name="172"/>
        <xdr:cNvSpPr/>
      </xdr:nvSpPr>
      <xdr:spPr>
        <a:xfrm>
          <a:off x="14869886" y="26908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20411</xdr:colOff>
      <xdr:row>175</xdr:row>
      <xdr:rowOff>76200</xdr:rowOff>
    </xdr:from>
    <xdr:to>
      <xdr:col>50</xdr:col>
      <xdr:colOff>122464</xdr:colOff>
      <xdr:row>175</xdr:row>
      <xdr:rowOff>76200</xdr:rowOff>
    </xdr:to>
    <xdr:cxnSp macro="">
      <xdr:nvCxnSpPr>
        <xdr:cNvPr id="860662" name="직선 화살표 연결선 860661"/>
        <xdr:cNvCxnSpPr/>
      </xdr:nvCxnSpPr>
      <xdr:spPr>
        <a:xfrm>
          <a:off x="14869886" y="269652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20411</xdr:colOff>
      <xdr:row>174</xdr:row>
      <xdr:rowOff>19050</xdr:rowOff>
    </xdr:from>
    <xdr:to>
      <xdr:col>53</xdr:col>
      <xdr:colOff>123734</xdr:colOff>
      <xdr:row>174</xdr:row>
      <xdr:rowOff>133350</xdr:rowOff>
    </xdr:to>
    <xdr:sp macro="" textlink="">
      <xdr:nvSpPr>
        <xdr:cNvPr id="860663" name="171"/>
        <xdr:cNvSpPr/>
      </xdr:nvSpPr>
      <xdr:spPr>
        <a:xfrm>
          <a:off x="14869886" y="26755725"/>
          <a:ext cx="6748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20411</xdr:colOff>
      <xdr:row>174</xdr:row>
      <xdr:rowOff>76200</xdr:rowOff>
    </xdr:from>
    <xdr:to>
      <xdr:col>53</xdr:col>
      <xdr:colOff>122464</xdr:colOff>
      <xdr:row>174</xdr:row>
      <xdr:rowOff>76200</xdr:rowOff>
    </xdr:to>
    <xdr:cxnSp macro="">
      <xdr:nvCxnSpPr>
        <xdr:cNvPr id="860664" name="직선 화살표 연결선 860663"/>
        <xdr:cNvCxnSpPr/>
      </xdr:nvCxnSpPr>
      <xdr:spPr>
        <a:xfrm>
          <a:off x="14869886" y="26812875"/>
          <a:ext cx="6735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20411</xdr:colOff>
      <xdr:row>173</xdr:row>
      <xdr:rowOff>19050</xdr:rowOff>
    </xdr:from>
    <xdr:to>
      <xdr:col>53</xdr:col>
      <xdr:colOff>123734</xdr:colOff>
      <xdr:row>173</xdr:row>
      <xdr:rowOff>133350</xdr:rowOff>
    </xdr:to>
    <xdr:sp macro="" textlink="">
      <xdr:nvSpPr>
        <xdr:cNvPr id="860665" name="170"/>
        <xdr:cNvSpPr/>
      </xdr:nvSpPr>
      <xdr:spPr>
        <a:xfrm>
          <a:off x="14869886" y="26603325"/>
          <a:ext cx="6748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20411</xdr:colOff>
      <xdr:row>173</xdr:row>
      <xdr:rowOff>76200</xdr:rowOff>
    </xdr:from>
    <xdr:to>
      <xdr:col>53</xdr:col>
      <xdr:colOff>122464</xdr:colOff>
      <xdr:row>173</xdr:row>
      <xdr:rowOff>76200</xdr:rowOff>
    </xdr:to>
    <xdr:cxnSp macro="">
      <xdr:nvCxnSpPr>
        <xdr:cNvPr id="860666" name="직선 화살표 연결선 860665"/>
        <xdr:cNvCxnSpPr/>
      </xdr:nvCxnSpPr>
      <xdr:spPr>
        <a:xfrm>
          <a:off x="14869886" y="26660475"/>
          <a:ext cx="6735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20411</xdr:colOff>
      <xdr:row>172</xdr:row>
      <xdr:rowOff>19050</xdr:rowOff>
    </xdr:from>
    <xdr:to>
      <xdr:col>45</xdr:col>
      <xdr:colOff>123734</xdr:colOff>
      <xdr:row>172</xdr:row>
      <xdr:rowOff>133350</xdr:rowOff>
    </xdr:to>
    <xdr:sp macro="" textlink="">
      <xdr:nvSpPr>
        <xdr:cNvPr id="860667" name="169"/>
        <xdr:cNvSpPr/>
      </xdr:nvSpPr>
      <xdr:spPr>
        <a:xfrm>
          <a:off x="14155511" y="264509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20411</xdr:colOff>
      <xdr:row>172</xdr:row>
      <xdr:rowOff>76200</xdr:rowOff>
    </xdr:from>
    <xdr:to>
      <xdr:col>45</xdr:col>
      <xdr:colOff>122464</xdr:colOff>
      <xdr:row>172</xdr:row>
      <xdr:rowOff>76200</xdr:rowOff>
    </xdr:to>
    <xdr:cxnSp macro="">
      <xdr:nvCxnSpPr>
        <xdr:cNvPr id="860668" name="직선 화살표 연결선 860667"/>
        <xdr:cNvCxnSpPr/>
      </xdr:nvCxnSpPr>
      <xdr:spPr>
        <a:xfrm>
          <a:off x="14155511" y="265080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20411</xdr:colOff>
      <xdr:row>171</xdr:row>
      <xdr:rowOff>19050</xdr:rowOff>
    </xdr:from>
    <xdr:to>
      <xdr:col>43</xdr:col>
      <xdr:colOff>123734</xdr:colOff>
      <xdr:row>171</xdr:row>
      <xdr:rowOff>133350</xdr:rowOff>
    </xdr:to>
    <xdr:sp macro="" textlink="">
      <xdr:nvSpPr>
        <xdr:cNvPr id="860669" name="168"/>
        <xdr:cNvSpPr/>
      </xdr:nvSpPr>
      <xdr:spPr>
        <a:xfrm>
          <a:off x="14012636" y="262985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20411</xdr:colOff>
      <xdr:row>171</xdr:row>
      <xdr:rowOff>76200</xdr:rowOff>
    </xdr:from>
    <xdr:to>
      <xdr:col>43</xdr:col>
      <xdr:colOff>122464</xdr:colOff>
      <xdr:row>171</xdr:row>
      <xdr:rowOff>76200</xdr:rowOff>
    </xdr:to>
    <xdr:cxnSp macro="">
      <xdr:nvCxnSpPr>
        <xdr:cNvPr id="860670" name="직선 화살표 연결선 860669"/>
        <xdr:cNvCxnSpPr/>
      </xdr:nvCxnSpPr>
      <xdr:spPr>
        <a:xfrm>
          <a:off x="14012636" y="263556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20411</xdr:colOff>
      <xdr:row>170</xdr:row>
      <xdr:rowOff>19050</xdr:rowOff>
    </xdr:from>
    <xdr:to>
      <xdr:col>45</xdr:col>
      <xdr:colOff>123734</xdr:colOff>
      <xdr:row>170</xdr:row>
      <xdr:rowOff>133350</xdr:rowOff>
    </xdr:to>
    <xdr:sp macro="" textlink="">
      <xdr:nvSpPr>
        <xdr:cNvPr id="860671" name="167"/>
        <xdr:cNvSpPr/>
      </xdr:nvSpPr>
      <xdr:spPr>
        <a:xfrm>
          <a:off x="14012636" y="26146125"/>
          <a:ext cx="3890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20411</xdr:colOff>
      <xdr:row>170</xdr:row>
      <xdr:rowOff>76200</xdr:rowOff>
    </xdr:from>
    <xdr:to>
      <xdr:col>45</xdr:col>
      <xdr:colOff>122464</xdr:colOff>
      <xdr:row>170</xdr:row>
      <xdr:rowOff>76200</xdr:rowOff>
    </xdr:to>
    <xdr:cxnSp macro="">
      <xdr:nvCxnSpPr>
        <xdr:cNvPr id="860672" name="직선 화살표 연결선 860671"/>
        <xdr:cNvCxnSpPr/>
      </xdr:nvCxnSpPr>
      <xdr:spPr>
        <a:xfrm>
          <a:off x="14012636" y="26203275"/>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20411</xdr:colOff>
      <xdr:row>169</xdr:row>
      <xdr:rowOff>19050</xdr:rowOff>
    </xdr:from>
    <xdr:to>
      <xdr:col>42</xdr:col>
      <xdr:colOff>123734</xdr:colOff>
      <xdr:row>169</xdr:row>
      <xdr:rowOff>133350</xdr:rowOff>
    </xdr:to>
    <xdr:sp macro="" textlink="">
      <xdr:nvSpPr>
        <xdr:cNvPr id="860673" name="166"/>
        <xdr:cNvSpPr/>
      </xdr:nvSpPr>
      <xdr:spPr>
        <a:xfrm>
          <a:off x="13726886" y="259937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20411</xdr:colOff>
      <xdr:row>169</xdr:row>
      <xdr:rowOff>76200</xdr:rowOff>
    </xdr:from>
    <xdr:to>
      <xdr:col>42</xdr:col>
      <xdr:colOff>122464</xdr:colOff>
      <xdr:row>169</xdr:row>
      <xdr:rowOff>76200</xdr:rowOff>
    </xdr:to>
    <xdr:cxnSp macro="">
      <xdr:nvCxnSpPr>
        <xdr:cNvPr id="860674" name="직선 화살표 연결선 860673"/>
        <xdr:cNvCxnSpPr/>
      </xdr:nvCxnSpPr>
      <xdr:spPr>
        <a:xfrm>
          <a:off x="13726886" y="260508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20411</xdr:colOff>
      <xdr:row>168</xdr:row>
      <xdr:rowOff>19050</xdr:rowOff>
    </xdr:from>
    <xdr:to>
      <xdr:col>42</xdr:col>
      <xdr:colOff>123734</xdr:colOff>
      <xdr:row>168</xdr:row>
      <xdr:rowOff>133350</xdr:rowOff>
    </xdr:to>
    <xdr:sp macro="" textlink="">
      <xdr:nvSpPr>
        <xdr:cNvPr id="860675" name="165"/>
        <xdr:cNvSpPr/>
      </xdr:nvSpPr>
      <xdr:spPr>
        <a:xfrm>
          <a:off x="13726886" y="25841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20411</xdr:colOff>
      <xdr:row>168</xdr:row>
      <xdr:rowOff>76200</xdr:rowOff>
    </xdr:from>
    <xdr:to>
      <xdr:col>42</xdr:col>
      <xdr:colOff>122464</xdr:colOff>
      <xdr:row>168</xdr:row>
      <xdr:rowOff>76200</xdr:rowOff>
    </xdr:to>
    <xdr:cxnSp macro="">
      <xdr:nvCxnSpPr>
        <xdr:cNvPr id="860676" name="직선 화살표 연결선 860675"/>
        <xdr:cNvCxnSpPr/>
      </xdr:nvCxnSpPr>
      <xdr:spPr>
        <a:xfrm>
          <a:off x="13726886" y="258984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20411</xdr:colOff>
      <xdr:row>167</xdr:row>
      <xdr:rowOff>19050</xdr:rowOff>
    </xdr:from>
    <xdr:to>
      <xdr:col>42</xdr:col>
      <xdr:colOff>123734</xdr:colOff>
      <xdr:row>167</xdr:row>
      <xdr:rowOff>133350</xdr:rowOff>
    </xdr:to>
    <xdr:sp macro="" textlink="">
      <xdr:nvSpPr>
        <xdr:cNvPr id="860677" name="164"/>
        <xdr:cNvSpPr/>
      </xdr:nvSpPr>
      <xdr:spPr>
        <a:xfrm>
          <a:off x="13726886" y="25688925"/>
          <a:ext cx="2461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20411</xdr:colOff>
      <xdr:row>167</xdr:row>
      <xdr:rowOff>76200</xdr:rowOff>
    </xdr:from>
    <xdr:to>
      <xdr:col>42</xdr:col>
      <xdr:colOff>122464</xdr:colOff>
      <xdr:row>167</xdr:row>
      <xdr:rowOff>76200</xdr:rowOff>
    </xdr:to>
    <xdr:cxnSp macro="">
      <xdr:nvCxnSpPr>
        <xdr:cNvPr id="860678" name="직선 화살표 연결선 860677"/>
        <xdr:cNvCxnSpPr/>
      </xdr:nvCxnSpPr>
      <xdr:spPr>
        <a:xfrm>
          <a:off x="13726886" y="257460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20411</xdr:colOff>
      <xdr:row>166</xdr:row>
      <xdr:rowOff>19050</xdr:rowOff>
    </xdr:from>
    <xdr:to>
      <xdr:col>42</xdr:col>
      <xdr:colOff>123734</xdr:colOff>
      <xdr:row>166</xdr:row>
      <xdr:rowOff>133350</xdr:rowOff>
    </xdr:to>
    <xdr:sp macro="" textlink="">
      <xdr:nvSpPr>
        <xdr:cNvPr id="860679" name="163"/>
        <xdr:cNvSpPr/>
      </xdr:nvSpPr>
      <xdr:spPr>
        <a:xfrm>
          <a:off x="13726886" y="255365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20411</xdr:colOff>
      <xdr:row>166</xdr:row>
      <xdr:rowOff>76200</xdr:rowOff>
    </xdr:from>
    <xdr:to>
      <xdr:col>42</xdr:col>
      <xdr:colOff>122464</xdr:colOff>
      <xdr:row>166</xdr:row>
      <xdr:rowOff>76200</xdr:rowOff>
    </xdr:to>
    <xdr:cxnSp macro="">
      <xdr:nvCxnSpPr>
        <xdr:cNvPr id="860680" name="직선 화살표 연결선 860679"/>
        <xdr:cNvCxnSpPr/>
      </xdr:nvCxnSpPr>
      <xdr:spPr>
        <a:xfrm>
          <a:off x="13726886" y="255936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20411</xdr:colOff>
      <xdr:row>165</xdr:row>
      <xdr:rowOff>19050</xdr:rowOff>
    </xdr:from>
    <xdr:to>
      <xdr:col>42</xdr:col>
      <xdr:colOff>123734</xdr:colOff>
      <xdr:row>165</xdr:row>
      <xdr:rowOff>133350</xdr:rowOff>
    </xdr:to>
    <xdr:sp macro="" textlink="">
      <xdr:nvSpPr>
        <xdr:cNvPr id="860681" name="162"/>
        <xdr:cNvSpPr/>
      </xdr:nvSpPr>
      <xdr:spPr>
        <a:xfrm>
          <a:off x="13726886" y="25384125"/>
          <a:ext cx="2461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20411</xdr:colOff>
      <xdr:row>165</xdr:row>
      <xdr:rowOff>76200</xdr:rowOff>
    </xdr:from>
    <xdr:to>
      <xdr:col>42</xdr:col>
      <xdr:colOff>122464</xdr:colOff>
      <xdr:row>165</xdr:row>
      <xdr:rowOff>76200</xdr:rowOff>
    </xdr:to>
    <xdr:cxnSp macro="">
      <xdr:nvCxnSpPr>
        <xdr:cNvPr id="860682" name="직선 화살표 연결선 860681"/>
        <xdr:cNvCxnSpPr/>
      </xdr:nvCxnSpPr>
      <xdr:spPr>
        <a:xfrm>
          <a:off x="13726886" y="254412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20411</xdr:colOff>
      <xdr:row>164</xdr:row>
      <xdr:rowOff>19050</xdr:rowOff>
    </xdr:from>
    <xdr:to>
      <xdr:col>42</xdr:col>
      <xdr:colOff>123734</xdr:colOff>
      <xdr:row>164</xdr:row>
      <xdr:rowOff>133350</xdr:rowOff>
    </xdr:to>
    <xdr:sp macro="" textlink="">
      <xdr:nvSpPr>
        <xdr:cNvPr id="860683" name="161"/>
        <xdr:cNvSpPr/>
      </xdr:nvSpPr>
      <xdr:spPr>
        <a:xfrm>
          <a:off x="13726886" y="25231725"/>
          <a:ext cx="2461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20411</xdr:colOff>
      <xdr:row>164</xdr:row>
      <xdr:rowOff>76200</xdr:rowOff>
    </xdr:from>
    <xdr:to>
      <xdr:col>42</xdr:col>
      <xdr:colOff>122464</xdr:colOff>
      <xdr:row>164</xdr:row>
      <xdr:rowOff>76200</xdr:rowOff>
    </xdr:to>
    <xdr:cxnSp macro="">
      <xdr:nvCxnSpPr>
        <xdr:cNvPr id="860684" name="직선 화살표 연결선 860683"/>
        <xdr:cNvCxnSpPr/>
      </xdr:nvCxnSpPr>
      <xdr:spPr>
        <a:xfrm>
          <a:off x="13726886" y="252888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163</xdr:row>
      <xdr:rowOff>19050</xdr:rowOff>
    </xdr:from>
    <xdr:to>
      <xdr:col>45</xdr:col>
      <xdr:colOff>123734</xdr:colOff>
      <xdr:row>163</xdr:row>
      <xdr:rowOff>133350</xdr:rowOff>
    </xdr:to>
    <xdr:sp macro="" textlink="">
      <xdr:nvSpPr>
        <xdr:cNvPr id="860685" name="160"/>
        <xdr:cNvSpPr/>
      </xdr:nvSpPr>
      <xdr:spPr>
        <a:xfrm>
          <a:off x="14298386" y="250793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163</xdr:row>
      <xdr:rowOff>76200</xdr:rowOff>
    </xdr:from>
    <xdr:to>
      <xdr:col>45</xdr:col>
      <xdr:colOff>122464</xdr:colOff>
      <xdr:row>163</xdr:row>
      <xdr:rowOff>76200</xdr:rowOff>
    </xdr:to>
    <xdr:cxnSp macro="">
      <xdr:nvCxnSpPr>
        <xdr:cNvPr id="860686" name="직선 화살표 연결선 860685"/>
        <xdr:cNvCxnSpPr/>
      </xdr:nvCxnSpPr>
      <xdr:spPr>
        <a:xfrm>
          <a:off x="14298386" y="251364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20411</xdr:colOff>
      <xdr:row>162</xdr:row>
      <xdr:rowOff>19050</xdr:rowOff>
    </xdr:from>
    <xdr:to>
      <xdr:col>44</xdr:col>
      <xdr:colOff>123734</xdr:colOff>
      <xdr:row>162</xdr:row>
      <xdr:rowOff>133350</xdr:rowOff>
    </xdr:to>
    <xdr:sp macro="" textlink="">
      <xdr:nvSpPr>
        <xdr:cNvPr id="860687" name="159"/>
        <xdr:cNvSpPr/>
      </xdr:nvSpPr>
      <xdr:spPr>
        <a:xfrm>
          <a:off x="14155511" y="249269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20411</xdr:colOff>
      <xdr:row>162</xdr:row>
      <xdr:rowOff>76200</xdr:rowOff>
    </xdr:from>
    <xdr:to>
      <xdr:col>44</xdr:col>
      <xdr:colOff>122464</xdr:colOff>
      <xdr:row>162</xdr:row>
      <xdr:rowOff>76200</xdr:rowOff>
    </xdr:to>
    <xdr:cxnSp macro="">
      <xdr:nvCxnSpPr>
        <xdr:cNvPr id="860688" name="직선 화살표 연결선 860687"/>
        <xdr:cNvCxnSpPr/>
      </xdr:nvCxnSpPr>
      <xdr:spPr>
        <a:xfrm>
          <a:off x="14155511" y="249840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20411</xdr:colOff>
      <xdr:row>161</xdr:row>
      <xdr:rowOff>19050</xdr:rowOff>
    </xdr:from>
    <xdr:to>
      <xdr:col>45</xdr:col>
      <xdr:colOff>123734</xdr:colOff>
      <xdr:row>161</xdr:row>
      <xdr:rowOff>133350</xdr:rowOff>
    </xdr:to>
    <xdr:sp macro="" textlink="">
      <xdr:nvSpPr>
        <xdr:cNvPr id="860689" name="158"/>
        <xdr:cNvSpPr/>
      </xdr:nvSpPr>
      <xdr:spPr>
        <a:xfrm>
          <a:off x="14155511" y="24774525"/>
          <a:ext cx="2461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20411</xdr:colOff>
      <xdr:row>161</xdr:row>
      <xdr:rowOff>76200</xdr:rowOff>
    </xdr:from>
    <xdr:to>
      <xdr:col>45</xdr:col>
      <xdr:colOff>122464</xdr:colOff>
      <xdr:row>161</xdr:row>
      <xdr:rowOff>76200</xdr:rowOff>
    </xdr:to>
    <xdr:cxnSp macro="">
      <xdr:nvCxnSpPr>
        <xdr:cNvPr id="860690" name="직선 화살표 연결선 860689"/>
        <xdr:cNvCxnSpPr/>
      </xdr:nvCxnSpPr>
      <xdr:spPr>
        <a:xfrm>
          <a:off x="14155511" y="248316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160</xdr:row>
      <xdr:rowOff>19050</xdr:rowOff>
    </xdr:from>
    <xdr:to>
      <xdr:col>41</xdr:col>
      <xdr:colOff>123734</xdr:colOff>
      <xdr:row>160</xdr:row>
      <xdr:rowOff>133350</xdr:rowOff>
    </xdr:to>
    <xdr:sp macro="" textlink="">
      <xdr:nvSpPr>
        <xdr:cNvPr id="860691" name="157"/>
        <xdr:cNvSpPr/>
      </xdr:nvSpPr>
      <xdr:spPr>
        <a:xfrm>
          <a:off x="13441136" y="24622125"/>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160</xdr:row>
      <xdr:rowOff>76200</xdr:rowOff>
    </xdr:from>
    <xdr:to>
      <xdr:col>41</xdr:col>
      <xdr:colOff>122464</xdr:colOff>
      <xdr:row>160</xdr:row>
      <xdr:rowOff>76200</xdr:rowOff>
    </xdr:to>
    <xdr:cxnSp macro="">
      <xdr:nvCxnSpPr>
        <xdr:cNvPr id="860692" name="직선 화살표 연결선 860691"/>
        <xdr:cNvCxnSpPr/>
      </xdr:nvCxnSpPr>
      <xdr:spPr>
        <a:xfrm>
          <a:off x="13441136" y="24679275"/>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159</xdr:row>
      <xdr:rowOff>19050</xdr:rowOff>
    </xdr:from>
    <xdr:to>
      <xdr:col>46</xdr:col>
      <xdr:colOff>103324</xdr:colOff>
      <xdr:row>159</xdr:row>
      <xdr:rowOff>133350</xdr:rowOff>
    </xdr:to>
    <xdr:sp macro="" textlink="">
      <xdr:nvSpPr>
        <xdr:cNvPr id="860693" name="156"/>
        <xdr:cNvSpPr/>
      </xdr:nvSpPr>
      <xdr:spPr>
        <a:xfrm>
          <a:off x="14298386" y="244697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159</xdr:row>
      <xdr:rowOff>76200</xdr:rowOff>
    </xdr:from>
    <xdr:to>
      <xdr:col>46</xdr:col>
      <xdr:colOff>102054</xdr:colOff>
      <xdr:row>159</xdr:row>
      <xdr:rowOff>76200</xdr:rowOff>
    </xdr:to>
    <xdr:cxnSp macro="">
      <xdr:nvCxnSpPr>
        <xdr:cNvPr id="860694" name="직선 화살표 연결선 860693"/>
        <xdr:cNvCxnSpPr/>
      </xdr:nvCxnSpPr>
      <xdr:spPr>
        <a:xfrm>
          <a:off x="14298386" y="24526875"/>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158</xdr:row>
      <xdr:rowOff>19050</xdr:rowOff>
    </xdr:from>
    <xdr:to>
      <xdr:col>41</xdr:col>
      <xdr:colOff>123734</xdr:colOff>
      <xdr:row>158</xdr:row>
      <xdr:rowOff>133350</xdr:rowOff>
    </xdr:to>
    <xdr:sp macro="" textlink="">
      <xdr:nvSpPr>
        <xdr:cNvPr id="860695" name="155"/>
        <xdr:cNvSpPr/>
      </xdr:nvSpPr>
      <xdr:spPr>
        <a:xfrm>
          <a:off x="13441136" y="24317325"/>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158</xdr:row>
      <xdr:rowOff>76200</xdr:rowOff>
    </xdr:from>
    <xdr:to>
      <xdr:col>41</xdr:col>
      <xdr:colOff>122464</xdr:colOff>
      <xdr:row>158</xdr:row>
      <xdr:rowOff>76200</xdr:rowOff>
    </xdr:to>
    <xdr:cxnSp macro="">
      <xdr:nvCxnSpPr>
        <xdr:cNvPr id="860696" name="직선 화살표 연결선 860695"/>
        <xdr:cNvCxnSpPr/>
      </xdr:nvCxnSpPr>
      <xdr:spPr>
        <a:xfrm>
          <a:off x="13441136" y="24374475"/>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157</xdr:row>
      <xdr:rowOff>19050</xdr:rowOff>
    </xdr:from>
    <xdr:to>
      <xdr:col>41</xdr:col>
      <xdr:colOff>123734</xdr:colOff>
      <xdr:row>157</xdr:row>
      <xdr:rowOff>133350</xdr:rowOff>
    </xdr:to>
    <xdr:sp macro="" textlink="">
      <xdr:nvSpPr>
        <xdr:cNvPr id="860697" name="154"/>
        <xdr:cNvSpPr/>
      </xdr:nvSpPr>
      <xdr:spPr>
        <a:xfrm>
          <a:off x="13441136" y="24164925"/>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157</xdr:row>
      <xdr:rowOff>76200</xdr:rowOff>
    </xdr:from>
    <xdr:to>
      <xdr:col>41</xdr:col>
      <xdr:colOff>122464</xdr:colOff>
      <xdr:row>157</xdr:row>
      <xdr:rowOff>76200</xdr:rowOff>
    </xdr:to>
    <xdr:cxnSp macro="">
      <xdr:nvCxnSpPr>
        <xdr:cNvPr id="860698" name="직선 화살표 연결선 860697"/>
        <xdr:cNvCxnSpPr/>
      </xdr:nvCxnSpPr>
      <xdr:spPr>
        <a:xfrm>
          <a:off x="13441136" y="24222075"/>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156</xdr:row>
      <xdr:rowOff>19050</xdr:rowOff>
    </xdr:from>
    <xdr:to>
      <xdr:col>46</xdr:col>
      <xdr:colOff>103324</xdr:colOff>
      <xdr:row>156</xdr:row>
      <xdr:rowOff>133350</xdr:rowOff>
    </xdr:to>
    <xdr:sp macro="" textlink="">
      <xdr:nvSpPr>
        <xdr:cNvPr id="860699" name="153"/>
        <xdr:cNvSpPr/>
      </xdr:nvSpPr>
      <xdr:spPr>
        <a:xfrm>
          <a:off x="13441136" y="24012525"/>
          <a:ext cx="108303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156</xdr:row>
      <xdr:rowOff>76200</xdr:rowOff>
    </xdr:from>
    <xdr:to>
      <xdr:col>46</xdr:col>
      <xdr:colOff>102054</xdr:colOff>
      <xdr:row>156</xdr:row>
      <xdr:rowOff>76200</xdr:rowOff>
    </xdr:to>
    <xdr:cxnSp macro="">
      <xdr:nvCxnSpPr>
        <xdr:cNvPr id="860700" name="직선 화살표 연결선 860699"/>
        <xdr:cNvCxnSpPr/>
      </xdr:nvCxnSpPr>
      <xdr:spPr>
        <a:xfrm>
          <a:off x="13441136" y="24069675"/>
          <a:ext cx="108176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20411</xdr:colOff>
      <xdr:row>155</xdr:row>
      <xdr:rowOff>19050</xdr:rowOff>
    </xdr:from>
    <xdr:to>
      <xdr:col>41</xdr:col>
      <xdr:colOff>123734</xdr:colOff>
      <xdr:row>155</xdr:row>
      <xdr:rowOff>133350</xdr:rowOff>
    </xdr:to>
    <xdr:sp macro="" textlink="">
      <xdr:nvSpPr>
        <xdr:cNvPr id="860701" name="152"/>
        <xdr:cNvSpPr/>
      </xdr:nvSpPr>
      <xdr:spPr>
        <a:xfrm>
          <a:off x="13584011" y="23860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20411</xdr:colOff>
      <xdr:row>155</xdr:row>
      <xdr:rowOff>76200</xdr:rowOff>
    </xdr:from>
    <xdr:to>
      <xdr:col>41</xdr:col>
      <xdr:colOff>122464</xdr:colOff>
      <xdr:row>155</xdr:row>
      <xdr:rowOff>76200</xdr:rowOff>
    </xdr:to>
    <xdr:cxnSp macro="">
      <xdr:nvCxnSpPr>
        <xdr:cNvPr id="860702" name="직선 화살표 연결선 860701"/>
        <xdr:cNvCxnSpPr/>
      </xdr:nvCxnSpPr>
      <xdr:spPr>
        <a:xfrm>
          <a:off x="13584011" y="239172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154</xdr:row>
      <xdr:rowOff>19050</xdr:rowOff>
    </xdr:from>
    <xdr:to>
      <xdr:col>39</xdr:col>
      <xdr:colOff>123734</xdr:colOff>
      <xdr:row>154</xdr:row>
      <xdr:rowOff>133350</xdr:rowOff>
    </xdr:to>
    <xdr:sp macro="" textlink="">
      <xdr:nvSpPr>
        <xdr:cNvPr id="860703" name="151"/>
        <xdr:cNvSpPr/>
      </xdr:nvSpPr>
      <xdr:spPr>
        <a:xfrm>
          <a:off x="13298261" y="237077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154</xdr:row>
      <xdr:rowOff>76200</xdr:rowOff>
    </xdr:from>
    <xdr:to>
      <xdr:col>39</xdr:col>
      <xdr:colOff>122464</xdr:colOff>
      <xdr:row>154</xdr:row>
      <xdr:rowOff>76200</xdr:rowOff>
    </xdr:to>
    <xdr:cxnSp macro="">
      <xdr:nvCxnSpPr>
        <xdr:cNvPr id="860704" name="직선 화살표 연결선 860703"/>
        <xdr:cNvCxnSpPr/>
      </xdr:nvCxnSpPr>
      <xdr:spPr>
        <a:xfrm>
          <a:off x="13298261" y="237648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153</xdr:row>
      <xdr:rowOff>19050</xdr:rowOff>
    </xdr:from>
    <xdr:to>
      <xdr:col>39</xdr:col>
      <xdr:colOff>123734</xdr:colOff>
      <xdr:row>153</xdr:row>
      <xdr:rowOff>133350</xdr:rowOff>
    </xdr:to>
    <xdr:sp macro="" textlink="">
      <xdr:nvSpPr>
        <xdr:cNvPr id="860705" name="150"/>
        <xdr:cNvSpPr/>
      </xdr:nvSpPr>
      <xdr:spPr>
        <a:xfrm>
          <a:off x="13298261" y="23555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153</xdr:row>
      <xdr:rowOff>76200</xdr:rowOff>
    </xdr:from>
    <xdr:to>
      <xdr:col>39</xdr:col>
      <xdr:colOff>122464</xdr:colOff>
      <xdr:row>153</xdr:row>
      <xdr:rowOff>76200</xdr:rowOff>
    </xdr:to>
    <xdr:cxnSp macro="">
      <xdr:nvCxnSpPr>
        <xdr:cNvPr id="860706" name="직선 화살표 연결선 860705"/>
        <xdr:cNvCxnSpPr/>
      </xdr:nvCxnSpPr>
      <xdr:spPr>
        <a:xfrm>
          <a:off x="13298261" y="236124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152</xdr:row>
      <xdr:rowOff>19050</xdr:rowOff>
    </xdr:from>
    <xdr:to>
      <xdr:col>39</xdr:col>
      <xdr:colOff>123734</xdr:colOff>
      <xdr:row>152</xdr:row>
      <xdr:rowOff>133350</xdr:rowOff>
    </xdr:to>
    <xdr:sp macro="" textlink="">
      <xdr:nvSpPr>
        <xdr:cNvPr id="860707" name="149"/>
        <xdr:cNvSpPr/>
      </xdr:nvSpPr>
      <xdr:spPr>
        <a:xfrm>
          <a:off x="13298261" y="234029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152</xdr:row>
      <xdr:rowOff>76200</xdr:rowOff>
    </xdr:from>
    <xdr:to>
      <xdr:col>39</xdr:col>
      <xdr:colOff>122464</xdr:colOff>
      <xdr:row>152</xdr:row>
      <xdr:rowOff>76200</xdr:rowOff>
    </xdr:to>
    <xdr:cxnSp macro="">
      <xdr:nvCxnSpPr>
        <xdr:cNvPr id="860708" name="직선 화살표 연결선 860707"/>
        <xdr:cNvCxnSpPr/>
      </xdr:nvCxnSpPr>
      <xdr:spPr>
        <a:xfrm>
          <a:off x="13298261" y="234600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151</xdr:row>
      <xdr:rowOff>19050</xdr:rowOff>
    </xdr:from>
    <xdr:to>
      <xdr:col>39</xdr:col>
      <xdr:colOff>123734</xdr:colOff>
      <xdr:row>151</xdr:row>
      <xdr:rowOff>133350</xdr:rowOff>
    </xdr:to>
    <xdr:sp macro="" textlink="">
      <xdr:nvSpPr>
        <xdr:cNvPr id="860709" name="148"/>
        <xdr:cNvSpPr/>
      </xdr:nvSpPr>
      <xdr:spPr>
        <a:xfrm>
          <a:off x="13155386" y="23250525"/>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151</xdr:row>
      <xdr:rowOff>76200</xdr:rowOff>
    </xdr:from>
    <xdr:to>
      <xdr:col>39</xdr:col>
      <xdr:colOff>122464</xdr:colOff>
      <xdr:row>151</xdr:row>
      <xdr:rowOff>76200</xdr:rowOff>
    </xdr:to>
    <xdr:cxnSp macro="">
      <xdr:nvCxnSpPr>
        <xdr:cNvPr id="860710" name="직선 화살표 연결선 860709"/>
        <xdr:cNvCxnSpPr/>
      </xdr:nvCxnSpPr>
      <xdr:spPr>
        <a:xfrm>
          <a:off x="13155386" y="23307675"/>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150</xdr:row>
      <xdr:rowOff>19050</xdr:rowOff>
    </xdr:from>
    <xdr:to>
      <xdr:col>39</xdr:col>
      <xdr:colOff>123734</xdr:colOff>
      <xdr:row>150</xdr:row>
      <xdr:rowOff>133350</xdr:rowOff>
    </xdr:to>
    <xdr:sp macro="" textlink="">
      <xdr:nvSpPr>
        <xdr:cNvPr id="860711" name="147"/>
        <xdr:cNvSpPr/>
      </xdr:nvSpPr>
      <xdr:spPr>
        <a:xfrm>
          <a:off x="13155386" y="23098125"/>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150</xdr:row>
      <xdr:rowOff>76200</xdr:rowOff>
    </xdr:from>
    <xdr:to>
      <xdr:col>39</xdr:col>
      <xdr:colOff>122464</xdr:colOff>
      <xdr:row>150</xdr:row>
      <xdr:rowOff>76200</xdr:rowOff>
    </xdr:to>
    <xdr:cxnSp macro="">
      <xdr:nvCxnSpPr>
        <xdr:cNvPr id="860712" name="직선 화살표 연결선 860711"/>
        <xdr:cNvCxnSpPr/>
      </xdr:nvCxnSpPr>
      <xdr:spPr>
        <a:xfrm>
          <a:off x="13155386" y="23155275"/>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149</xdr:row>
      <xdr:rowOff>19050</xdr:rowOff>
    </xdr:from>
    <xdr:to>
      <xdr:col>39</xdr:col>
      <xdr:colOff>123734</xdr:colOff>
      <xdr:row>149</xdr:row>
      <xdr:rowOff>133350</xdr:rowOff>
    </xdr:to>
    <xdr:sp macro="" textlink="">
      <xdr:nvSpPr>
        <xdr:cNvPr id="860713" name="146"/>
        <xdr:cNvSpPr/>
      </xdr:nvSpPr>
      <xdr:spPr>
        <a:xfrm>
          <a:off x="13155386" y="22945725"/>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149</xdr:row>
      <xdr:rowOff>76200</xdr:rowOff>
    </xdr:from>
    <xdr:to>
      <xdr:col>39</xdr:col>
      <xdr:colOff>122464</xdr:colOff>
      <xdr:row>149</xdr:row>
      <xdr:rowOff>76200</xdr:rowOff>
    </xdr:to>
    <xdr:cxnSp macro="">
      <xdr:nvCxnSpPr>
        <xdr:cNvPr id="860714" name="직선 화살표 연결선 860713"/>
        <xdr:cNvCxnSpPr/>
      </xdr:nvCxnSpPr>
      <xdr:spPr>
        <a:xfrm>
          <a:off x="13155386" y="23002875"/>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148</xdr:row>
      <xdr:rowOff>19050</xdr:rowOff>
    </xdr:from>
    <xdr:to>
      <xdr:col>39</xdr:col>
      <xdr:colOff>123734</xdr:colOff>
      <xdr:row>148</xdr:row>
      <xdr:rowOff>133350</xdr:rowOff>
    </xdr:to>
    <xdr:sp macro="" textlink="">
      <xdr:nvSpPr>
        <xdr:cNvPr id="860715" name="145"/>
        <xdr:cNvSpPr/>
      </xdr:nvSpPr>
      <xdr:spPr>
        <a:xfrm>
          <a:off x="13155386" y="22793325"/>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148</xdr:row>
      <xdr:rowOff>76200</xdr:rowOff>
    </xdr:from>
    <xdr:to>
      <xdr:col>39</xdr:col>
      <xdr:colOff>122464</xdr:colOff>
      <xdr:row>148</xdr:row>
      <xdr:rowOff>76200</xdr:rowOff>
    </xdr:to>
    <xdr:cxnSp macro="">
      <xdr:nvCxnSpPr>
        <xdr:cNvPr id="860716" name="직선 화살표 연결선 860715"/>
        <xdr:cNvCxnSpPr/>
      </xdr:nvCxnSpPr>
      <xdr:spPr>
        <a:xfrm>
          <a:off x="13155386" y="22850475"/>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147</xdr:row>
      <xdr:rowOff>19050</xdr:rowOff>
    </xdr:from>
    <xdr:to>
      <xdr:col>41</xdr:col>
      <xdr:colOff>123734</xdr:colOff>
      <xdr:row>147</xdr:row>
      <xdr:rowOff>133350</xdr:rowOff>
    </xdr:to>
    <xdr:sp macro="" textlink="">
      <xdr:nvSpPr>
        <xdr:cNvPr id="860717" name="144"/>
        <xdr:cNvSpPr/>
      </xdr:nvSpPr>
      <xdr:spPr>
        <a:xfrm>
          <a:off x="13155386" y="22640925"/>
          <a:ext cx="6748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147</xdr:row>
      <xdr:rowOff>76200</xdr:rowOff>
    </xdr:from>
    <xdr:to>
      <xdr:col>41</xdr:col>
      <xdr:colOff>122464</xdr:colOff>
      <xdr:row>147</xdr:row>
      <xdr:rowOff>76200</xdr:rowOff>
    </xdr:to>
    <xdr:cxnSp macro="">
      <xdr:nvCxnSpPr>
        <xdr:cNvPr id="860718" name="직선 화살표 연결선 860717"/>
        <xdr:cNvCxnSpPr/>
      </xdr:nvCxnSpPr>
      <xdr:spPr>
        <a:xfrm>
          <a:off x="13155386" y="22698075"/>
          <a:ext cx="6735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146</xdr:row>
      <xdr:rowOff>19050</xdr:rowOff>
    </xdr:from>
    <xdr:to>
      <xdr:col>39</xdr:col>
      <xdr:colOff>123734</xdr:colOff>
      <xdr:row>146</xdr:row>
      <xdr:rowOff>133350</xdr:rowOff>
    </xdr:to>
    <xdr:sp macro="" textlink="">
      <xdr:nvSpPr>
        <xdr:cNvPr id="860719" name="143"/>
        <xdr:cNvSpPr/>
      </xdr:nvSpPr>
      <xdr:spPr>
        <a:xfrm>
          <a:off x="13298261" y="224885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146</xdr:row>
      <xdr:rowOff>76200</xdr:rowOff>
    </xdr:from>
    <xdr:to>
      <xdr:col>39</xdr:col>
      <xdr:colOff>122464</xdr:colOff>
      <xdr:row>146</xdr:row>
      <xdr:rowOff>76200</xdr:rowOff>
    </xdr:to>
    <xdr:cxnSp macro="">
      <xdr:nvCxnSpPr>
        <xdr:cNvPr id="860720" name="직선 화살표 연결선 860719"/>
        <xdr:cNvCxnSpPr/>
      </xdr:nvCxnSpPr>
      <xdr:spPr>
        <a:xfrm>
          <a:off x="13298261" y="225456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145</xdr:row>
      <xdr:rowOff>19050</xdr:rowOff>
    </xdr:from>
    <xdr:to>
      <xdr:col>39</xdr:col>
      <xdr:colOff>123734</xdr:colOff>
      <xdr:row>145</xdr:row>
      <xdr:rowOff>133350</xdr:rowOff>
    </xdr:to>
    <xdr:sp macro="" textlink="">
      <xdr:nvSpPr>
        <xdr:cNvPr id="860721" name="142"/>
        <xdr:cNvSpPr/>
      </xdr:nvSpPr>
      <xdr:spPr>
        <a:xfrm>
          <a:off x="13298261" y="22336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145</xdr:row>
      <xdr:rowOff>76200</xdr:rowOff>
    </xdr:from>
    <xdr:to>
      <xdr:col>39</xdr:col>
      <xdr:colOff>122464</xdr:colOff>
      <xdr:row>145</xdr:row>
      <xdr:rowOff>76200</xdr:rowOff>
    </xdr:to>
    <xdr:cxnSp macro="">
      <xdr:nvCxnSpPr>
        <xdr:cNvPr id="860722" name="직선 화살표 연결선 860721"/>
        <xdr:cNvCxnSpPr/>
      </xdr:nvCxnSpPr>
      <xdr:spPr>
        <a:xfrm>
          <a:off x="13298261" y="223932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144</xdr:row>
      <xdr:rowOff>19050</xdr:rowOff>
    </xdr:from>
    <xdr:to>
      <xdr:col>37</xdr:col>
      <xdr:colOff>123734</xdr:colOff>
      <xdr:row>144</xdr:row>
      <xdr:rowOff>133350</xdr:rowOff>
    </xdr:to>
    <xdr:sp macro="" textlink="">
      <xdr:nvSpPr>
        <xdr:cNvPr id="860723" name="141"/>
        <xdr:cNvSpPr/>
      </xdr:nvSpPr>
      <xdr:spPr>
        <a:xfrm>
          <a:off x="13012511" y="221837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144</xdr:row>
      <xdr:rowOff>76200</xdr:rowOff>
    </xdr:from>
    <xdr:to>
      <xdr:col>37</xdr:col>
      <xdr:colOff>122464</xdr:colOff>
      <xdr:row>144</xdr:row>
      <xdr:rowOff>76200</xdr:rowOff>
    </xdr:to>
    <xdr:cxnSp macro="">
      <xdr:nvCxnSpPr>
        <xdr:cNvPr id="860724" name="직선 화살표 연결선 860723"/>
        <xdr:cNvCxnSpPr/>
      </xdr:nvCxnSpPr>
      <xdr:spPr>
        <a:xfrm>
          <a:off x="13012511" y="222408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143</xdr:row>
      <xdr:rowOff>19050</xdr:rowOff>
    </xdr:from>
    <xdr:to>
      <xdr:col>37</xdr:col>
      <xdr:colOff>123734</xdr:colOff>
      <xdr:row>143</xdr:row>
      <xdr:rowOff>133350</xdr:rowOff>
    </xdr:to>
    <xdr:sp macro="" textlink="">
      <xdr:nvSpPr>
        <xdr:cNvPr id="860725" name="140"/>
        <xdr:cNvSpPr/>
      </xdr:nvSpPr>
      <xdr:spPr>
        <a:xfrm>
          <a:off x="13012511" y="22031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143</xdr:row>
      <xdr:rowOff>76200</xdr:rowOff>
    </xdr:from>
    <xdr:to>
      <xdr:col>37</xdr:col>
      <xdr:colOff>122464</xdr:colOff>
      <xdr:row>143</xdr:row>
      <xdr:rowOff>76200</xdr:rowOff>
    </xdr:to>
    <xdr:cxnSp macro="">
      <xdr:nvCxnSpPr>
        <xdr:cNvPr id="860726" name="직선 화살표 연결선 860725"/>
        <xdr:cNvCxnSpPr/>
      </xdr:nvCxnSpPr>
      <xdr:spPr>
        <a:xfrm>
          <a:off x="13012511" y="220884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142</xdr:row>
      <xdr:rowOff>19050</xdr:rowOff>
    </xdr:from>
    <xdr:to>
      <xdr:col>36</xdr:col>
      <xdr:colOff>123734</xdr:colOff>
      <xdr:row>142</xdr:row>
      <xdr:rowOff>133350</xdr:rowOff>
    </xdr:to>
    <xdr:sp macro="" textlink="">
      <xdr:nvSpPr>
        <xdr:cNvPr id="860727" name="139"/>
        <xdr:cNvSpPr/>
      </xdr:nvSpPr>
      <xdr:spPr>
        <a:xfrm>
          <a:off x="12869635" y="218789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142</xdr:row>
      <xdr:rowOff>76200</xdr:rowOff>
    </xdr:from>
    <xdr:to>
      <xdr:col>36</xdr:col>
      <xdr:colOff>122464</xdr:colOff>
      <xdr:row>142</xdr:row>
      <xdr:rowOff>76200</xdr:rowOff>
    </xdr:to>
    <xdr:cxnSp macro="">
      <xdr:nvCxnSpPr>
        <xdr:cNvPr id="860728" name="직선 화살표 연결선 860727"/>
        <xdr:cNvCxnSpPr/>
      </xdr:nvCxnSpPr>
      <xdr:spPr>
        <a:xfrm>
          <a:off x="12869635" y="21936075"/>
          <a:ext cx="244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141</xdr:row>
      <xdr:rowOff>19050</xdr:rowOff>
    </xdr:from>
    <xdr:to>
      <xdr:col>39</xdr:col>
      <xdr:colOff>123734</xdr:colOff>
      <xdr:row>141</xdr:row>
      <xdr:rowOff>133350</xdr:rowOff>
    </xdr:to>
    <xdr:sp macro="" textlink="">
      <xdr:nvSpPr>
        <xdr:cNvPr id="860729" name="138"/>
        <xdr:cNvSpPr/>
      </xdr:nvSpPr>
      <xdr:spPr>
        <a:xfrm>
          <a:off x="12869635" y="21726525"/>
          <a:ext cx="6748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141</xdr:row>
      <xdr:rowOff>76200</xdr:rowOff>
    </xdr:from>
    <xdr:to>
      <xdr:col>39</xdr:col>
      <xdr:colOff>122464</xdr:colOff>
      <xdr:row>141</xdr:row>
      <xdr:rowOff>76200</xdr:rowOff>
    </xdr:to>
    <xdr:cxnSp macro="">
      <xdr:nvCxnSpPr>
        <xdr:cNvPr id="860730" name="직선 화살표 연결선 860729"/>
        <xdr:cNvCxnSpPr/>
      </xdr:nvCxnSpPr>
      <xdr:spPr>
        <a:xfrm>
          <a:off x="12869635" y="21783675"/>
          <a:ext cx="673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140</xdr:row>
      <xdr:rowOff>19050</xdr:rowOff>
    </xdr:from>
    <xdr:to>
      <xdr:col>39</xdr:col>
      <xdr:colOff>123734</xdr:colOff>
      <xdr:row>140</xdr:row>
      <xdr:rowOff>133350</xdr:rowOff>
    </xdr:to>
    <xdr:sp macro="" textlink="">
      <xdr:nvSpPr>
        <xdr:cNvPr id="860731" name="137"/>
        <xdr:cNvSpPr/>
      </xdr:nvSpPr>
      <xdr:spPr>
        <a:xfrm>
          <a:off x="13298261" y="21574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140</xdr:row>
      <xdr:rowOff>76200</xdr:rowOff>
    </xdr:from>
    <xdr:to>
      <xdr:col>39</xdr:col>
      <xdr:colOff>122464</xdr:colOff>
      <xdr:row>140</xdr:row>
      <xdr:rowOff>76200</xdr:rowOff>
    </xdr:to>
    <xdr:cxnSp macro="">
      <xdr:nvCxnSpPr>
        <xdr:cNvPr id="860732" name="직선 화살표 연결선 860731"/>
        <xdr:cNvCxnSpPr/>
      </xdr:nvCxnSpPr>
      <xdr:spPr>
        <a:xfrm>
          <a:off x="13298261" y="216312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139</xdr:row>
      <xdr:rowOff>19050</xdr:rowOff>
    </xdr:from>
    <xdr:to>
      <xdr:col>39</xdr:col>
      <xdr:colOff>123734</xdr:colOff>
      <xdr:row>139</xdr:row>
      <xdr:rowOff>133350</xdr:rowOff>
    </xdr:to>
    <xdr:sp macro="" textlink="">
      <xdr:nvSpPr>
        <xdr:cNvPr id="860733" name="136"/>
        <xdr:cNvSpPr/>
      </xdr:nvSpPr>
      <xdr:spPr>
        <a:xfrm>
          <a:off x="13155386" y="21421725"/>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139</xdr:row>
      <xdr:rowOff>76200</xdr:rowOff>
    </xdr:from>
    <xdr:to>
      <xdr:col>39</xdr:col>
      <xdr:colOff>122464</xdr:colOff>
      <xdr:row>139</xdr:row>
      <xdr:rowOff>76200</xdr:rowOff>
    </xdr:to>
    <xdr:cxnSp macro="">
      <xdr:nvCxnSpPr>
        <xdr:cNvPr id="860734" name="직선 화살표 연결선 860733"/>
        <xdr:cNvCxnSpPr/>
      </xdr:nvCxnSpPr>
      <xdr:spPr>
        <a:xfrm>
          <a:off x="13155386" y="21478875"/>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138</xdr:row>
      <xdr:rowOff>19050</xdr:rowOff>
    </xdr:from>
    <xdr:to>
      <xdr:col>36</xdr:col>
      <xdr:colOff>123734</xdr:colOff>
      <xdr:row>138</xdr:row>
      <xdr:rowOff>133350</xdr:rowOff>
    </xdr:to>
    <xdr:sp macro="" textlink="">
      <xdr:nvSpPr>
        <xdr:cNvPr id="860735" name="135"/>
        <xdr:cNvSpPr/>
      </xdr:nvSpPr>
      <xdr:spPr>
        <a:xfrm>
          <a:off x="12869635" y="212693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138</xdr:row>
      <xdr:rowOff>76200</xdr:rowOff>
    </xdr:from>
    <xdr:to>
      <xdr:col>36</xdr:col>
      <xdr:colOff>122464</xdr:colOff>
      <xdr:row>138</xdr:row>
      <xdr:rowOff>76200</xdr:rowOff>
    </xdr:to>
    <xdr:cxnSp macro="">
      <xdr:nvCxnSpPr>
        <xdr:cNvPr id="860736" name="직선 화살표 연결선 860735"/>
        <xdr:cNvCxnSpPr/>
      </xdr:nvCxnSpPr>
      <xdr:spPr>
        <a:xfrm>
          <a:off x="12869635" y="21326475"/>
          <a:ext cx="244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137</xdr:row>
      <xdr:rowOff>19050</xdr:rowOff>
    </xdr:from>
    <xdr:to>
      <xdr:col>37</xdr:col>
      <xdr:colOff>123734</xdr:colOff>
      <xdr:row>137</xdr:row>
      <xdr:rowOff>133350</xdr:rowOff>
    </xdr:to>
    <xdr:sp macro="" textlink="">
      <xdr:nvSpPr>
        <xdr:cNvPr id="860737" name="134"/>
        <xdr:cNvSpPr/>
      </xdr:nvSpPr>
      <xdr:spPr>
        <a:xfrm>
          <a:off x="12869635" y="21116925"/>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137</xdr:row>
      <xdr:rowOff>76200</xdr:rowOff>
    </xdr:from>
    <xdr:to>
      <xdr:col>37</xdr:col>
      <xdr:colOff>122464</xdr:colOff>
      <xdr:row>137</xdr:row>
      <xdr:rowOff>76200</xdr:rowOff>
    </xdr:to>
    <xdr:cxnSp macro="">
      <xdr:nvCxnSpPr>
        <xdr:cNvPr id="860738" name="직선 화살표 연결선 860737"/>
        <xdr:cNvCxnSpPr/>
      </xdr:nvCxnSpPr>
      <xdr:spPr>
        <a:xfrm>
          <a:off x="12869635" y="21174075"/>
          <a:ext cx="3878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136</xdr:row>
      <xdr:rowOff>19050</xdr:rowOff>
    </xdr:from>
    <xdr:to>
      <xdr:col>35</xdr:col>
      <xdr:colOff>123734</xdr:colOff>
      <xdr:row>136</xdr:row>
      <xdr:rowOff>133350</xdr:rowOff>
    </xdr:to>
    <xdr:sp macro="" textlink="">
      <xdr:nvSpPr>
        <xdr:cNvPr id="860739" name="133"/>
        <xdr:cNvSpPr/>
      </xdr:nvSpPr>
      <xdr:spPr>
        <a:xfrm>
          <a:off x="12726760" y="209645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136</xdr:row>
      <xdr:rowOff>76200</xdr:rowOff>
    </xdr:from>
    <xdr:to>
      <xdr:col>35</xdr:col>
      <xdr:colOff>122465</xdr:colOff>
      <xdr:row>136</xdr:row>
      <xdr:rowOff>76200</xdr:rowOff>
    </xdr:to>
    <xdr:cxnSp macro="">
      <xdr:nvCxnSpPr>
        <xdr:cNvPr id="860740" name="직선 화살표 연결선 860739"/>
        <xdr:cNvCxnSpPr/>
      </xdr:nvCxnSpPr>
      <xdr:spPr>
        <a:xfrm>
          <a:off x="12726760" y="21021675"/>
          <a:ext cx="244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135</xdr:row>
      <xdr:rowOff>19050</xdr:rowOff>
    </xdr:from>
    <xdr:to>
      <xdr:col>39</xdr:col>
      <xdr:colOff>123734</xdr:colOff>
      <xdr:row>135</xdr:row>
      <xdr:rowOff>133350</xdr:rowOff>
    </xdr:to>
    <xdr:sp macro="" textlink="">
      <xdr:nvSpPr>
        <xdr:cNvPr id="860741" name="132"/>
        <xdr:cNvSpPr/>
      </xdr:nvSpPr>
      <xdr:spPr>
        <a:xfrm>
          <a:off x="12726760" y="20812125"/>
          <a:ext cx="8176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135</xdr:row>
      <xdr:rowOff>76200</xdr:rowOff>
    </xdr:from>
    <xdr:to>
      <xdr:col>39</xdr:col>
      <xdr:colOff>122464</xdr:colOff>
      <xdr:row>135</xdr:row>
      <xdr:rowOff>76200</xdr:rowOff>
    </xdr:to>
    <xdr:cxnSp macro="">
      <xdr:nvCxnSpPr>
        <xdr:cNvPr id="860742" name="직선 화살표 연결선 860741"/>
        <xdr:cNvCxnSpPr/>
      </xdr:nvCxnSpPr>
      <xdr:spPr>
        <a:xfrm>
          <a:off x="12726760" y="20869275"/>
          <a:ext cx="8164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134</xdr:row>
      <xdr:rowOff>19050</xdr:rowOff>
    </xdr:from>
    <xdr:to>
      <xdr:col>46</xdr:col>
      <xdr:colOff>103324</xdr:colOff>
      <xdr:row>134</xdr:row>
      <xdr:rowOff>133350</xdr:rowOff>
    </xdr:to>
    <xdr:sp macro="" textlink="">
      <xdr:nvSpPr>
        <xdr:cNvPr id="860743" name="131"/>
        <xdr:cNvSpPr/>
      </xdr:nvSpPr>
      <xdr:spPr>
        <a:xfrm>
          <a:off x="12726760" y="20659725"/>
          <a:ext cx="179741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134</xdr:row>
      <xdr:rowOff>76200</xdr:rowOff>
    </xdr:from>
    <xdr:to>
      <xdr:col>46</xdr:col>
      <xdr:colOff>102054</xdr:colOff>
      <xdr:row>134</xdr:row>
      <xdr:rowOff>76200</xdr:rowOff>
    </xdr:to>
    <xdr:cxnSp macro="">
      <xdr:nvCxnSpPr>
        <xdr:cNvPr id="860744" name="직선 화살표 연결선 860743"/>
        <xdr:cNvCxnSpPr/>
      </xdr:nvCxnSpPr>
      <xdr:spPr>
        <a:xfrm>
          <a:off x="12726760" y="20716875"/>
          <a:ext cx="17961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133</xdr:row>
      <xdr:rowOff>19050</xdr:rowOff>
    </xdr:from>
    <xdr:to>
      <xdr:col>53</xdr:col>
      <xdr:colOff>123734</xdr:colOff>
      <xdr:row>133</xdr:row>
      <xdr:rowOff>133350</xdr:rowOff>
    </xdr:to>
    <xdr:sp macro="" textlink="">
      <xdr:nvSpPr>
        <xdr:cNvPr id="860745" name="130"/>
        <xdr:cNvSpPr/>
      </xdr:nvSpPr>
      <xdr:spPr>
        <a:xfrm>
          <a:off x="12726760" y="20507325"/>
          <a:ext cx="2817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133</xdr:row>
      <xdr:rowOff>76200</xdr:rowOff>
    </xdr:from>
    <xdr:to>
      <xdr:col>53</xdr:col>
      <xdr:colOff>122464</xdr:colOff>
      <xdr:row>133</xdr:row>
      <xdr:rowOff>76200</xdr:rowOff>
    </xdr:to>
    <xdr:cxnSp macro="">
      <xdr:nvCxnSpPr>
        <xdr:cNvPr id="860746" name="직선 화살표 연결선 860745"/>
        <xdr:cNvCxnSpPr/>
      </xdr:nvCxnSpPr>
      <xdr:spPr>
        <a:xfrm>
          <a:off x="12726760" y="20564475"/>
          <a:ext cx="28166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132</xdr:row>
      <xdr:rowOff>19050</xdr:rowOff>
    </xdr:from>
    <xdr:to>
      <xdr:col>39</xdr:col>
      <xdr:colOff>123734</xdr:colOff>
      <xdr:row>132</xdr:row>
      <xdr:rowOff>133350</xdr:rowOff>
    </xdr:to>
    <xdr:sp macro="" textlink="">
      <xdr:nvSpPr>
        <xdr:cNvPr id="860747" name="129"/>
        <xdr:cNvSpPr/>
      </xdr:nvSpPr>
      <xdr:spPr>
        <a:xfrm>
          <a:off x="13155386" y="20354925"/>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132</xdr:row>
      <xdr:rowOff>76200</xdr:rowOff>
    </xdr:from>
    <xdr:to>
      <xdr:col>39</xdr:col>
      <xdr:colOff>122464</xdr:colOff>
      <xdr:row>132</xdr:row>
      <xdr:rowOff>76200</xdr:rowOff>
    </xdr:to>
    <xdr:cxnSp macro="">
      <xdr:nvCxnSpPr>
        <xdr:cNvPr id="860748" name="직선 화살표 연결선 860747"/>
        <xdr:cNvCxnSpPr/>
      </xdr:nvCxnSpPr>
      <xdr:spPr>
        <a:xfrm>
          <a:off x="13155386" y="20412075"/>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131</xdr:row>
      <xdr:rowOff>19050</xdr:rowOff>
    </xdr:from>
    <xdr:to>
      <xdr:col>39</xdr:col>
      <xdr:colOff>123734</xdr:colOff>
      <xdr:row>131</xdr:row>
      <xdr:rowOff>133350</xdr:rowOff>
    </xdr:to>
    <xdr:sp macro="" textlink="">
      <xdr:nvSpPr>
        <xdr:cNvPr id="860749" name="128"/>
        <xdr:cNvSpPr/>
      </xdr:nvSpPr>
      <xdr:spPr>
        <a:xfrm>
          <a:off x="13155386" y="20202525"/>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131</xdr:row>
      <xdr:rowOff>76200</xdr:rowOff>
    </xdr:from>
    <xdr:to>
      <xdr:col>39</xdr:col>
      <xdr:colOff>122464</xdr:colOff>
      <xdr:row>131</xdr:row>
      <xdr:rowOff>76200</xdr:rowOff>
    </xdr:to>
    <xdr:cxnSp macro="">
      <xdr:nvCxnSpPr>
        <xdr:cNvPr id="860750" name="직선 화살표 연결선 860749"/>
        <xdr:cNvCxnSpPr/>
      </xdr:nvCxnSpPr>
      <xdr:spPr>
        <a:xfrm>
          <a:off x="13155386" y="20259675"/>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130</xdr:row>
      <xdr:rowOff>19050</xdr:rowOff>
    </xdr:from>
    <xdr:to>
      <xdr:col>38</xdr:col>
      <xdr:colOff>123734</xdr:colOff>
      <xdr:row>130</xdr:row>
      <xdr:rowOff>133350</xdr:rowOff>
    </xdr:to>
    <xdr:sp macro="" textlink="">
      <xdr:nvSpPr>
        <xdr:cNvPr id="860751" name="127"/>
        <xdr:cNvSpPr/>
      </xdr:nvSpPr>
      <xdr:spPr>
        <a:xfrm>
          <a:off x="13155386" y="20050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130</xdr:row>
      <xdr:rowOff>76200</xdr:rowOff>
    </xdr:from>
    <xdr:to>
      <xdr:col>38</xdr:col>
      <xdr:colOff>122464</xdr:colOff>
      <xdr:row>130</xdr:row>
      <xdr:rowOff>76200</xdr:rowOff>
    </xdr:to>
    <xdr:cxnSp macro="">
      <xdr:nvCxnSpPr>
        <xdr:cNvPr id="860752" name="직선 화살표 연결선 860751"/>
        <xdr:cNvCxnSpPr/>
      </xdr:nvCxnSpPr>
      <xdr:spPr>
        <a:xfrm>
          <a:off x="13155386" y="201072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129</xdr:row>
      <xdr:rowOff>19050</xdr:rowOff>
    </xdr:from>
    <xdr:to>
      <xdr:col>37</xdr:col>
      <xdr:colOff>123734</xdr:colOff>
      <xdr:row>129</xdr:row>
      <xdr:rowOff>133350</xdr:rowOff>
    </xdr:to>
    <xdr:sp macro="" textlink="">
      <xdr:nvSpPr>
        <xdr:cNvPr id="860753" name="126"/>
        <xdr:cNvSpPr/>
      </xdr:nvSpPr>
      <xdr:spPr>
        <a:xfrm>
          <a:off x="13012511" y="198977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129</xdr:row>
      <xdr:rowOff>76200</xdr:rowOff>
    </xdr:from>
    <xdr:to>
      <xdr:col>37</xdr:col>
      <xdr:colOff>122464</xdr:colOff>
      <xdr:row>129</xdr:row>
      <xdr:rowOff>76200</xdr:rowOff>
    </xdr:to>
    <xdr:cxnSp macro="">
      <xdr:nvCxnSpPr>
        <xdr:cNvPr id="860754" name="직선 화살표 연결선 860753"/>
        <xdr:cNvCxnSpPr/>
      </xdr:nvCxnSpPr>
      <xdr:spPr>
        <a:xfrm>
          <a:off x="13012511" y="199548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128</xdr:row>
      <xdr:rowOff>19050</xdr:rowOff>
    </xdr:from>
    <xdr:to>
      <xdr:col>37</xdr:col>
      <xdr:colOff>123734</xdr:colOff>
      <xdr:row>128</xdr:row>
      <xdr:rowOff>133350</xdr:rowOff>
    </xdr:to>
    <xdr:sp macro="" textlink="">
      <xdr:nvSpPr>
        <xdr:cNvPr id="860755" name="125"/>
        <xdr:cNvSpPr/>
      </xdr:nvSpPr>
      <xdr:spPr>
        <a:xfrm>
          <a:off x="12869635" y="19745325"/>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128</xdr:row>
      <xdr:rowOff>76200</xdr:rowOff>
    </xdr:from>
    <xdr:to>
      <xdr:col>37</xdr:col>
      <xdr:colOff>122464</xdr:colOff>
      <xdr:row>128</xdr:row>
      <xdr:rowOff>76200</xdr:rowOff>
    </xdr:to>
    <xdr:cxnSp macro="">
      <xdr:nvCxnSpPr>
        <xdr:cNvPr id="860756" name="직선 화살표 연결선 860755"/>
        <xdr:cNvCxnSpPr/>
      </xdr:nvCxnSpPr>
      <xdr:spPr>
        <a:xfrm>
          <a:off x="12869635" y="19802475"/>
          <a:ext cx="3878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127</xdr:row>
      <xdr:rowOff>19050</xdr:rowOff>
    </xdr:from>
    <xdr:to>
      <xdr:col>36</xdr:col>
      <xdr:colOff>123734</xdr:colOff>
      <xdr:row>127</xdr:row>
      <xdr:rowOff>133350</xdr:rowOff>
    </xdr:to>
    <xdr:sp macro="" textlink="">
      <xdr:nvSpPr>
        <xdr:cNvPr id="860757" name="124"/>
        <xdr:cNvSpPr/>
      </xdr:nvSpPr>
      <xdr:spPr>
        <a:xfrm>
          <a:off x="12869635" y="195929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127</xdr:row>
      <xdr:rowOff>76200</xdr:rowOff>
    </xdr:from>
    <xdr:to>
      <xdr:col>36</xdr:col>
      <xdr:colOff>122464</xdr:colOff>
      <xdr:row>127</xdr:row>
      <xdr:rowOff>76200</xdr:rowOff>
    </xdr:to>
    <xdr:cxnSp macro="">
      <xdr:nvCxnSpPr>
        <xdr:cNvPr id="860758" name="직선 화살표 연결선 860757"/>
        <xdr:cNvCxnSpPr/>
      </xdr:nvCxnSpPr>
      <xdr:spPr>
        <a:xfrm>
          <a:off x="12869635" y="19650075"/>
          <a:ext cx="244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126</xdr:row>
      <xdr:rowOff>19050</xdr:rowOff>
    </xdr:from>
    <xdr:to>
      <xdr:col>36</xdr:col>
      <xdr:colOff>123734</xdr:colOff>
      <xdr:row>126</xdr:row>
      <xdr:rowOff>133350</xdr:rowOff>
    </xdr:to>
    <xdr:sp macro="" textlink="">
      <xdr:nvSpPr>
        <xdr:cNvPr id="860759" name="123"/>
        <xdr:cNvSpPr/>
      </xdr:nvSpPr>
      <xdr:spPr>
        <a:xfrm>
          <a:off x="12869635" y="194405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126</xdr:row>
      <xdr:rowOff>76200</xdr:rowOff>
    </xdr:from>
    <xdr:to>
      <xdr:col>36</xdr:col>
      <xdr:colOff>122464</xdr:colOff>
      <xdr:row>126</xdr:row>
      <xdr:rowOff>76200</xdr:rowOff>
    </xdr:to>
    <xdr:cxnSp macro="">
      <xdr:nvCxnSpPr>
        <xdr:cNvPr id="860760" name="직선 화살표 연결선 860759"/>
        <xdr:cNvCxnSpPr/>
      </xdr:nvCxnSpPr>
      <xdr:spPr>
        <a:xfrm>
          <a:off x="12869635" y="19497675"/>
          <a:ext cx="244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125</xdr:row>
      <xdr:rowOff>19050</xdr:rowOff>
    </xdr:from>
    <xdr:to>
      <xdr:col>39</xdr:col>
      <xdr:colOff>123734</xdr:colOff>
      <xdr:row>125</xdr:row>
      <xdr:rowOff>133350</xdr:rowOff>
    </xdr:to>
    <xdr:sp macro="" textlink="">
      <xdr:nvSpPr>
        <xdr:cNvPr id="860761" name="122"/>
        <xdr:cNvSpPr/>
      </xdr:nvSpPr>
      <xdr:spPr>
        <a:xfrm>
          <a:off x="12869635" y="19288125"/>
          <a:ext cx="6748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125</xdr:row>
      <xdr:rowOff>76200</xdr:rowOff>
    </xdr:from>
    <xdr:to>
      <xdr:col>39</xdr:col>
      <xdr:colOff>122464</xdr:colOff>
      <xdr:row>125</xdr:row>
      <xdr:rowOff>76200</xdr:rowOff>
    </xdr:to>
    <xdr:cxnSp macro="">
      <xdr:nvCxnSpPr>
        <xdr:cNvPr id="860762" name="직선 화살표 연결선 860761"/>
        <xdr:cNvCxnSpPr/>
      </xdr:nvCxnSpPr>
      <xdr:spPr>
        <a:xfrm>
          <a:off x="12869635" y="19345275"/>
          <a:ext cx="673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124</xdr:row>
      <xdr:rowOff>19050</xdr:rowOff>
    </xdr:from>
    <xdr:to>
      <xdr:col>37</xdr:col>
      <xdr:colOff>123734</xdr:colOff>
      <xdr:row>124</xdr:row>
      <xdr:rowOff>133350</xdr:rowOff>
    </xdr:to>
    <xdr:sp macro="" textlink="">
      <xdr:nvSpPr>
        <xdr:cNvPr id="860763" name="121"/>
        <xdr:cNvSpPr/>
      </xdr:nvSpPr>
      <xdr:spPr>
        <a:xfrm>
          <a:off x="13012511" y="191357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124</xdr:row>
      <xdr:rowOff>76200</xdr:rowOff>
    </xdr:from>
    <xdr:to>
      <xdr:col>37</xdr:col>
      <xdr:colOff>122464</xdr:colOff>
      <xdr:row>124</xdr:row>
      <xdr:rowOff>76200</xdr:rowOff>
    </xdr:to>
    <xdr:cxnSp macro="">
      <xdr:nvCxnSpPr>
        <xdr:cNvPr id="860764" name="직선 화살표 연결선 860763"/>
        <xdr:cNvCxnSpPr/>
      </xdr:nvCxnSpPr>
      <xdr:spPr>
        <a:xfrm>
          <a:off x="13012511" y="191928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123</xdr:row>
      <xdr:rowOff>19050</xdr:rowOff>
    </xdr:from>
    <xdr:to>
      <xdr:col>37</xdr:col>
      <xdr:colOff>123734</xdr:colOff>
      <xdr:row>123</xdr:row>
      <xdr:rowOff>133350</xdr:rowOff>
    </xdr:to>
    <xdr:sp macro="" textlink="">
      <xdr:nvSpPr>
        <xdr:cNvPr id="860765" name="120"/>
        <xdr:cNvSpPr/>
      </xdr:nvSpPr>
      <xdr:spPr>
        <a:xfrm>
          <a:off x="13012511" y="18983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123</xdr:row>
      <xdr:rowOff>76200</xdr:rowOff>
    </xdr:from>
    <xdr:to>
      <xdr:col>37</xdr:col>
      <xdr:colOff>122464</xdr:colOff>
      <xdr:row>123</xdr:row>
      <xdr:rowOff>76200</xdr:rowOff>
    </xdr:to>
    <xdr:cxnSp macro="">
      <xdr:nvCxnSpPr>
        <xdr:cNvPr id="860766" name="직선 화살표 연결선 860765"/>
        <xdr:cNvCxnSpPr/>
      </xdr:nvCxnSpPr>
      <xdr:spPr>
        <a:xfrm>
          <a:off x="13012511" y="19040475"/>
          <a:ext cx="244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122</xdr:row>
      <xdr:rowOff>19050</xdr:rowOff>
    </xdr:from>
    <xdr:to>
      <xdr:col>36</xdr:col>
      <xdr:colOff>123734</xdr:colOff>
      <xdr:row>122</xdr:row>
      <xdr:rowOff>133350</xdr:rowOff>
    </xdr:to>
    <xdr:sp macro="" textlink="">
      <xdr:nvSpPr>
        <xdr:cNvPr id="860767" name="119"/>
        <xdr:cNvSpPr/>
      </xdr:nvSpPr>
      <xdr:spPr>
        <a:xfrm>
          <a:off x="12726760" y="18830925"/>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122</xdr:row>
      <xdr:rowOff>76200</xdr:rowOff>
    </xdr:from>
    <xdr:to>
      <xdr:col>36</xdr:col>
      <xdr:colOff>122464</xdr:colOff>
      <xdr:row>122</xdr:row>
      <xdr:rowOff>76200</xdr:rowOff>
    </xdr:to>
    <xdr:cxnSp macro="">
      <xdr:nvCxnSpPr>
        <xdr:cNvPr id="860768" name="직선 화살표 연결선 860767"/>
        <xdr:cNvCxnSpPr/>
      </xdr:nvCxnSpPr>
      <xdr:spPr>
        <a:xfrm>
          <a:off x="12726760" y="18888075"/>
          <a:ext cx="3878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121</xdr:row>
      <xdr:rowOff>19050</xdr:rowOff>
    </xdr:from>
    <xdr:to>
      <xdr:col>36</xdr:col>
      <xdr:colOff>123734</xdr:colOff>
      <xdr:row>121</xdr:row>
      <xdr:rowOff>133350</xdr:rowOff>
    </xdr:to>
    <xdr:sp macro="" textlink="">
      <xdr:nvSpPr>
        <xdr:cNvPr id="860769" name="118"/>
        <xdr:cNvSpPr/>
      </xdr:nvSpPr>
      <xdr:spPr>
        <a:xfrm>
          <a:off x="12726760" y="18678525"/>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121</xdr:row>
      <xdr:rowOff>76200</xdr:rowOff>
    </xdr:from>
    <xdr:to>
      <xdr:col>36</xdr:col>
      <xdr:colOff>122464</xdr:colOff>
      <xdr:row>121</xdr:row>
      <xdr:rowOff>76200</xdr:rowOff>
    </xdr:to>
    <xdr:cxnSp macro="">
      <xdr:nvCxnSpPr>
        <xdr:cNvPr id="860770" name="직선 화살표 연결선 860769"/>
        <xdr:cNvCxnSpPr/>
      </xdr:nvCxnSpPr>
      <xdr:spPr>
        <a:xfrm>
          <a:off x="12726760" y="18735675"/>
          <a:ext cx="3878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120</xdr:row>
      <xdr:rowOff>19050</xdr:rowOff>
    </xdr:from>
    <xdr:to>
      <xdr:col>37</xdr:col>
      <xdr:colOff>123734</xdr:colOff>
      <xdr:row>120</xdr:row>
      <xdr:rowOff>133350</xdr:rowOff>
    </xdr:to>
    <xdr:sp macro="" textlink="">
      <xdr:nvSpPr>
        <xdr:cNvPr id="860771" name="117"/>
        <xdr:cNvSpPr/>
      </xdr:nvSpPr>
      <xdr:spPr>
        <a:xfrm>
          <a:off x="12726760" y="18526125"/>
          <a:ext cx="531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120</xdr:row>
      <xdr:rowOff>76200</xdr:rowOff>
    </xdr:from>
    <xdr:to>
      <xdr:col>37</xdr:col>
      <xdr:colOff>122464</xdr:colOff>
      <xdr:row>120</xdr:row>
      <xdr:rowOff>76200</xdr:rowOff>
    </xdr:to>
    <xdr:cxnSp macro="">
      <xdr:nvCxnSpPr>
        <xdr:cNvPr id="860772" name="직선 화살표 연결선 860771"/>
        <xdr:cNvCxnSpPr/>
      </xdr:nvCxnSpPr>
      <xdr:spPr>
        <a:xfrm>
          <a:off x="12726760" y="18583275"/>
          <a:ext cx="5306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119</xdr:row>
      <xdr:rowOff>19050</xdr:rowOff>
    </xdr:from>
    <xdr:to>
      <xdr:col>36</xdr:col>
      <xdr:colOff>123734</xdr:colOff>
      <xdr:row>119</xdr:row>
      <xdr:rowOff>133350</xdr:rowOff>
    </xdr:to>
    <xdr:sp macro="" textlink="">
      <xdr:nvSpPr>
        <xdr:cNvPr id="860773" name="116"/>
        <xdr:cNvSpPr/>
      </xdr:nvSpPr>
      <xdr:spPr>
        <a:xfrm>
          <a:off x="12726760" y="18373725"/>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119</xdr:row>
      <xdr:rowOff>76200</xdr:rowOff>
    </xdr:from>
    <xdr:to>
      <xdr:col>36</xdr:col>
      <xdr:colOff>122464</xdr:colOff>
      <xdr:row>119</xdr:row>
      <xdr:rowOff>76200</xdr:rowOff>
    </xdr:to>
    <xdr:cxnSp macro="">
      <xdr:nvCxnSpPr>
        <xdr:cNvPr id="860774" name="직선 화살표 연결선 860773"/>
        <xdr:cNvCxnSpPr/>
      </xdr:nvCxnSpPr>
      <xdr:spPr>
        <a:xfrm>
          <a:off x="12726760" y="18430875"/>
          <a:ext cx="3878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118</xdr:row>
      <xdr:rowOff>19050</xdr:rowOff>
    </xdr:from>
    <xdr:to>
      <xdr:col>36</xdr:col>
      <xdr:colOff>123734</xdr:colOff>
      <xdr:row>118</xdr:row>
      <xdr:rowOff>133350</xdr:rowOff>
    </xdr:to>
    <xdr:sp macro="" textlink="">
      <xdr:nvSpPr>
        <xdr:cNvPr id="860775" name="115"/>
        <xdr:cNvSpPr/>
      </xdr:nvSpPr>
      <xdr:spPr>
        <a:xfrm>
          <a:off x="12726760" y="18221325"/>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118</xdr:row>
      <xdr:rowOff>76200</xdr:rowOff>
    </xdr:from>
    <xdr:to>
      <xdr:col>36</xdr:col>
      <xdr:colOff>122464</xdr:colOff>
      <xdr:row>118</xdr:row>
      <xdr:rowOff>76200</xdr:rowOff>
    </xdr:to>
    <xdr:cxnSp macro="">
      <xdr:nvCxnSpPr>
        <xdr:cNvPr id="860776" name="직선 화살표 연결선 860775"/>
        <xdr:cNvCxnSpPr/>
      </xdr:nvCxnSpPr>
      <xdr:spPr>
        <a:xfrm>
          <a:off x="12726760" y="18278475"/>
          <a:ext cx="3878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117</xdr:row>
      <xdr:rowOff>19050</xdr:rowOff>
    </xdr:from>
    <xdr:to>
      <xdr:col>36</xdr:col>
      <xdr:colOff>123734</xdr:colOff>
      <xdr:row>117</xdr:row>
      <xdr:rowOff>133350</xdr:rowOff>
    </xdr:to>
    <xdr:sp macro="" textlink="">
      <xdr:nvSpPr>
        <xdr:cNvPr id="860777" name="114"/>
        <xdr:cNvSpPr/>
      </xdr:nvSpPr>
      <xdr:spPr>
        <a:xfrm>
          <a:off x="12726760" y="18068925"/>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117</xdr:row>
      <xdr:rowOff>76200</xdr:rowOff>
    </xdr:from>
    <xdr:to>
      <xdr:col>36</xdr:col>
      <xdr:colOff>122464</xdr:colOff>
      <xdr:row>117</xdr:row>
      <xdr:rowOff>76200</xdr:rowOff>
    </xdr:to>
    <xdr:cxnSp macro="">
      <xdr:nvCxnSpPr>
        <xdr:cNvPr id="860778" name="직선 화살표 연결선 860777"/>
        <xdr:cNvCxnSpPr/>
      </xdr:nvCxnSpPr>
      <xdr:spPr>
        <a:xfrm>
          <a:off x="12726760" y="18126075"/>
          <a:ext cx="3878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116</xdr:row>
      <xdr:rowOff>19050</xdr:rowOff>
    </xdr:from>
    <xdr:to>
      <xdr:col>36</xdr:col>
      <xdr:colOff>123734</xdr:colOff>
      <xdr:row>116</xdr:row>
      <xdr:rowOff>133350</xdr:rowOff>
    </xdr:to>
    <xdr:sp macro="" textlink="">
      <xdr:nvSpPr>
        <xdr:cNvPr id="860779" name="113"/>
        <xdr:cNvSpPr/>
      </xdr:nvSpPr>
      <xdr:spPr>
        <a:xfrm>
          <a:off x="12726760" y="17916525"/>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116</xdr:row>
      <xdr:rowOff>76200</xdr:rowOff>
    </xdr:from>
    <xdr:to>
      <xdr:col>36</xdr:col>
      <xdr:colOff>122464</xdr:colOff>
      <xdr:row>116</xdr:row>
      <xdr:rowOff>76200</xdr:rowOff>
    </xdr:to>
    <xdr:cxnSp macro="">
      <xdr:nvCxnSpPr>
        <xdr:cNvPr id="860780" name="직선 화살표 연결선 860779"/>
        <xdr:cNvCxnSpPr/>
      </xdr:nvCxnSpPr>
      <xdr:spPr>
        <a:xfrm>
          <a:off x="12726760" y="17973675"/>
          <a:ext cx="3878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115</xdr:row>
      <xdr:rowOff>19050</xdr:rowOff>
    </xdr:from>
    <xdr:to>
      <xdr:col>36</xdr:col>
      <xdr:colOff>123734</xdr:colOff>
      <xdr:row>115</xdr:row>
      <xdr:rowOff>133350</xdr:rowOff>
    </xdr:to>
    <xdr:sp macro="" textlink="">
      <xdr:nvSpPr>
        <xdr:cNvPr id="860781" name="112"/>
        <xdr:cNvSpPr/>
      </xdr:nvSpPr>
      <xdr:spPr>
        <a:xfrm>
          <a:off x="12726760" y="17764125"/>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115</xdr:row>
      <xdr:rowOff>76200</xdr:rowOff>
    </xdr:from>
    <xdr:to>
      <xdr:col>36</xdr:col>
      <xdr:colOff>122464</xdr:colOff>
      <xdr:row>115</xdr:row>
      <xdr:rowOff>76200</xdr:rowOff>
    </xdr:to>
    <xdr:cxnSp macro="">
      <xdr:nvCxnSpPr>
        <xdr:cNvPr id="860782" name="직선 화살표 연결선 860781"/>
        <xdr:cNvCxnSpPr/>
      </xdr:nvCxnSpPr>
      <xdr:spPr>
        <a:xfrm>
          <a:off x="12726760" y="17821275"/>
          <a:ext cx="3878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114</xdr:row>
      <xdr:rowOff>19050</xdr:rowOff>
    </xdr:from>
    <xdr:to>
      <xdr:col>36</xdr:col>
      <xdr:colOff>123734</xdr:colOff>
      <xdr:row>114</xdr:row>
      <xdr:rowOff>133350</xdr:rowOff>
    </xdr:to>
    <xdr:sp macro="" textlink="">
      <xdr:nvSpPr>
        <xdr:cNvPr id="860783" name="111"/>
        <xdr:cNvSpPr/>
      </xdr:nvSpPr>
      <xdr:spPr>
        <a:xfrm>
          <a:off x="12726760" y="17611725"/>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114</xdr:row>
      <xdr:rowOff>76200</xdr:rowOff>
    </xdr:from>
    <xdr:to>
      <xdr:col>36</xdr:col>
      <xdr:colOff>122464</xdr:colOff>
      <xdr:row>114</xdr:row>
      <xdr:rowOff>76200</xdr:rowOff>
    </xdr:to>
    <xdr:cxnSp macro="">
      <xdr:nvCxnSpPr>
        <xdr:cNvPr id="860784" name="직선 화살표 연결선 860783"/>
        <xdr:cNvCxnSpPr/>
      </xdr:nvCxnSpPr>
      <xdr:spPr>
        <a:xfrm>
          <a:off x="12726760" y="17668875"/>
          <a:ext cx="3878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113</xdr:row>
      <xdr:rowOff>19050</xdr:rowOff>
    </xdr:from>
    <xdr:to>
      <xdr:col>36</xdr:col>
      <xdr:colOff>123734</xdr:colOff>
      <xdr:row>113</xdr:row>
      <xdr:rowOff>133350</xdr:rowOff>
    </xdr:to>
    <xdr:sp macro="" textlink="">
      <xdr:nvSpPr>
        <xdr:cNvPr id="860785" name="110"/>
        <xdr:cNvSpPr/>
      </xdr:nvSpPr>
      <xdr:spPr>
        <a:xfrm>
          <a:off x="12726760" y="17459325"/>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113</xdr:row>
      <xdr:rowOff>76200</xdr:rowOff>
    </xdr:from>
    <xdr:to>
      <xdr:col>36</xdr:col>
      <xdr:colOff>122464</xdr:colOff>
      <xdr:row>113</xdr:row>
      <xdr:rowOff>76200</xdr:rowOff>
    </xdr:to>
    <xdr:cxnSp macro="">
      <xdr:nvCxnSpPr>
        <xdr:cNvPr id="860786" name="직선 화살표 연결선 860785"/>
        <xdr:cNvCxnSpPr/>
      </xdr:nvCxnSpPr>
      <xdr:spPr>
        <a:xfrm>
          <a:off x="12726760" y="17516475"/>
          <a:ext cx="3878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112</xdr:row>
      <xdr:rowOff>19050</xdr:rowOff>
    </xdr:from>
    <xdr:to>
      <xdr:col>36</xdr:col>
      <xdr:colOff>123734</xdr:colOff>
      <xdr:row>112</xdr:row>
      <xdr:rowOff>133350</xdr:rowOff>
    </xdr:to>
    <xdr:sp macro="" textlink="">
      <xdr:nvSpPr>
        <xdr:cNvPr id="860787" name="109"/>
        <xdr:cNvSpPr/>
      </xdr:nvSpPr>
      <xdr:spPr>
        <a:xfrm>
          <a:off x="12726760" y="17306925"/>
          <a:ext cx="3890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112</xdr:row>
      <xdr:rowOff>76200</xdr:rowOff>
    </xdr:from>
    <xdr:to>
      <xdr:col>36</xdr:col>
      <xdr:colOff>122464</xdr:colOff>
      <xdr:row>112</xdr:row>
      <xdr:rowOff>76200</xdr:rowOff>
    </xdr:to>
    <xdr:cxnSp macro="">
      <xdr:nvCxnSpPr>
        <xdr:cNvPr id="860788" name="직선 화살표 연결선 860787"/>
        <xdr:cNvCxnSpPr/>
      </xdr:nvCxnSpPr>
      <xdr:spPr>
        <a:xfrm>
          <a:off x="12726760" y="17364075"/>
          <a:ext cx="3878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111</xdr:row>
      <xdr:rowOff>23813</xdr:rowOff>
    </xdr:from>
    <xdr:to>
      <xdr:col>39</xdr:col>
      <xdr:colOff>123734</xdr:colOff>
      <xdr:row>111</xdr:row>
      <xdr:rowOff>138113</xdr:rowOff>
    </xdr:to>
    <xdr:sp macro="" textlink="">
      <xdr:nvSpPr>
        <xdr:cNvPr id="860789" name="108"/>
        <xdr:cNvSpPr/>
      </xdr:nvSpPr>
      <xdr:spPr>
        <a:xfrm>
          <a:off x="12726760" y="17149763"/>
          <a:ext cx="8176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111</xdr:row>
      <xdr:rowOff>80963</xdr:rowOff>
    </xdr:from>
    <xdr:to>
      <xdr:col>39</xdr:col>
      <xdr:colOff>122464</xdr:colOff>
      <xdr:row>111</xdr:row>
      <xdr:rowOff>80963</xdr:rowOff>
    </xdr:to>
    <xdr:cxnSp macro="">
      <xdr:nvCxnSpPr>
        <xdr:cNvPr id="860790" name="직선 화살표 연결선 860789"/>
        <xdr:cNvCxnSpPr/>
      </xdr:nvCxnSpPr>
      <xdr:spPr>
        <a:xfrm>
          <a:off x="12726760" y="17206913"/>
          <a:ext cx="8164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110</xdr:row>
      <xdr:rowOff>19050</xdr:rowOff>
    </xdr:from>
    <xdr:to>
      <xdr:col>34</xdr:col>
      <xdr:colOff>123734</xdr:colOff>
      <xdr:row>110</xdr:row>
      <xdr:rowOff>133350</xdr:rowOff>
    </xdr:to>
    <xdr:sp macro="" textlink="">
      <xdr:nvSpPr>
        <xdr:cNvPr id="860791" name="107"/>
        <xdr:cNvSpPr/>
      </xdr:nvSpPr>
      <xdr:spPr>
        <a:xfrm>
          <a:off x="12583885" y="16992600"/>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110</xdr:row>
      <xdr:rowOff>76200</xdr:rowOff>
    </xdr:from>
    <xdr:to>
      <xdr:col>34</xdr:col>
      <xdr:colOff>122465</xdr:colOff>
      <xdr:row>110</xdr:row>
      <xdr:rowOff>76200</xdr:rowOff>
    </xdr:to>
    <xdr:cxnSp macro="">
      <xdr:nvCxnSpPr>
        <xdr:cNvPr id="860792" name="직선 화살표 연결선 860791"/>
        <xdr:cNvCxnSpPr/>
      </xdr:nvCxnSpPr>
      <xdr:spPr>
        <a:xfrm>
          <a:off x="12583885" y="17049750"/>
          <a:ext cx="244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109</xdr:row>
      <xdr:rowOff>19050</xdr:rowOff>
    </xdr:from>
    <xdr:to>
      <xdr:col>34</xdr:col>
      <xdr:colOff>123734</xdr:colOff>
      <xdr:row>109</xdr:row>
      <xdr:rowOff>133350</xdr:rowOff>
    </xdr:to>
    <xdr:sp macro="" textlink="">
      <xdr:nvSpPr>
        <xdr:cNvPr id="860793" name="106"/>
        <xdr:cNvSpPr/>
      </xdr:nvSpPr>
      <xdr:spPr>
        <a:xfrm>
          <a:off x="12583885" y="16840200"/>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109</xdr:row>
      <xdr:rowOff>76200</xdr:rowOff>
    </xdr:from>
    <xdr:to>
      <xdr:col>34</xdr:col>
      <xdr:colOff>122465</xdr:colOff>
      <xdr:row>109</xdr:row>
      <xdr:rowOff>76200</xdr:rowOff>
    </xdr:to>
    <xdr:cxnSp macro="">
      <xdr:nvCxnSpPr>
        <xdr:cNvPr id="860794" name="직선 화살표 연결선 860793"/>
        <xdr:cNvCxnSpPr/>
      </xdr:nvCxnSpPr>
      <xdr:spPr>
        <a:xfrm>
          <a:off x="12583885" y="16897350"/>
          <a:ext cx="244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108</xdr:row>
      <xdr:rowOff>19050</xdr:rowOff>
    </xdr:from>
    <xdr:to>
      <xdr:col>34</xdr:col>
      <xdr:colOff>123734</xdr:colOff>
      <xdr:row>108</xdr:row>
      <xdr:rowOff>133350</xdr:rowOff>
    </xdr:to>
    <xdr:sp macro="" textlink="">
      <xdr:nvSpPr>
        <xdr:cNvPr id="860795" name="105"/>
        <xdr:cNvSpPr/>
      </xdr:nvSpPr>
      <xdr:spPr>
        <a:xfrm>
          <a:off x="12298135" y="16687800"/>
          <a:ext cx="5319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108</xdr:row>
      <xdr:rowOff>76200</xdr:rowOff>
    </xdr:from>
    <xdr:to>
      <xdr:col>34</xdr:col>
      <xdr:colOff>122465</xdr:colOff>
      <xdr:row>108</xdr:row>
      <xdr:rowOff>76200</xdr:rowOff>
    </xdr:to>
    <xdr:cxnSp macro="">
      <xdr:nvCxnSpPr>
        <xdr:cNvPr id="860796" name="직선 화살표 연결선 860795"/>
        <xdr:cNvCxnSpPr/>
      </xdr:nvCxnSpPr>
      <xdr:spPr>
        <a:xfrm>
          <a:off x="12298135" y="16744950"/>
          <a:ext cx="5306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107</xdr:row>
      <xdr:rowOff>19050</xdr:rowOff>
    </xdr:from>
    <xdr:to>
      <xdr:col>34</xdr:col>
      <xdr:colOff>123734</xdr:colOff>
      <xdr:row>107</xdr:row>
      <xdr:rowOff>133350</xdr:rowOff>
    </xdr:to>
    <xdr:sp macro="" textlink="">
      <xdr:nvSpPr>
        <xdr:cNvPr id="860797" name="104"/>
        <xdr:cNvSpPr/>
      </xdr:nvSpPr>
      <xdr:spPr>
        <a:xfrm>
          <a:off x="12298135" y="16535400"/>
          <a:ext cx="531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107</xdr:row>
      <xdr:rowOff>76200</xdr:rowOff>
    </xdr:from>
    <xdr:to>
      <xdr:col>34</xdr:col>
      <xdr:colOff>122465</xdr:colOff>
      <xdr:row>107</xdr:row>
      <xdr:rowOff>76200</xdr:rowOff>
    </xdr:to>
    <xdr:cxnSp macro="">
      <xdr:nvCxnSpPr>
        <xdr:cNvPr id="860798" name="직선 화살표 연결선 860797"/>
        <xdr:cNvCxnSpPr/>
      </xdr:nvCxnSpPr>
      <xdr:spPr>
        <a:xfrm>
          <a:off x="12298135" y="16592550"/>
          <a:ext cx="5306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106</xdr:row>
      <xdr:rowOff>19050</xdr:rowOff>
    </xdr:from>
    <xdr:to>
      <xdr:col>34</xdr:col>
      <xdr:colOff>123734</xdr:colOff>
      <xdr:row>106</xdr:row>
      <xdr:rowOff>133350</xdr:rowOff>
    </xdr:to>
    <xdr:sp macro="" textlink="">
      <xdr:nvSpPr>
        <xdr:cNvPr id="860799" name="103"/>
        <xdr:cNvSpPr/>
      </xdr:nvSpPr>
      <xdr:spPr>
        <a:xfrm>
          <a:off x="12583885" y="16383000"/>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106</xdr:row>
      <xdr:rowOff>76200</xdr:rowOff>
    </xdr:from>
    <xdr:to>
      <xdr:col>34</xdr:col>
      <xdr:colOff>122465</xdr:colOff>
      <xdr:row>106</xdr:row>
      <xdr:rowOff>76200</xdr:rowOff>
    </xdr:to>
    <xdr:cxnSp macro="">
      <xdr:nvCxnSpPr>
        <xdr:cNvPr id="860800" name="직선 화살표 연결선 860799"/>
        <xdr:cNvCxnSpPr/>
      </xdr:nvCxnSpPr>
      <xdr:spPr>
        <a:xfrm>
          <a:off x="12583885" y="16440150"/>
          <a:ext cx="244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105</xdr:row>
      <xdr:rowOff>19050</xdr:rowOff>
    </xdr:from>
    <xdr:to>
      <xdr:col>34</xdr:col>
      <xdr:colOff>123734</xdr:colOff>
      <xdr:row>105</xdr:row>
      <xdr:rowOff>133350</xdr:rowOff>
    </xdr:to>
    <xdr:sp macro="" textlink="">
      <xdr:nvSpPr>
        <xdr:cNvPr id="860801" name="102"/>
        <xdr:cNvSpPr/>
      </xdr:nvSpPr>
      <xdr:spPr>
        <a:xfrm>
          <a:off x="12441010" y="16230600"/>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105</xdr:row>
      <xdr:rowOff>76200</xdr:rowOff>
    </xdr:from>
    <xdr:to>
      <xdr:col>34</xdr:col>
      <xdr:colOff>122465</xdr:colOff>
      <xdr:row>105</xdr:row>
      <xdr:rowOff>76200</xdr:rowOff>
    </xdr:to>
    <xdr:cxnSp macro="">
      <xdr:nvCxnSpPr>
        <xdr:cNvPr id="860802" name="직선 화살표 연결선 860801"/>
        <xdr:cNvCxnSpPr/>
      </xdr:nvCxnSpPr>
      <xdr:spPr>
        <a:xfrm>
          <a:off x="12441010" y="16287750"/>
          <a:ext cx="3878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104</xdr:row>
      <xdr:rowOff>19050</xdr:rowOff>
    </xdr:from>
    <xdr:to>
      <xdr:col>34</xdr:col>
      <xdr:colOff>123734</xdr:colOff>
      <xdr:row>104</xdr:row>
      <xdr:rowOff>133350</xdr:rowOff>
    </xdr:to>
    <xdr:sp macro="" textlink="">
      <xdr:nvSpPr>
        <xdr:cNvPr id="860803" name="101"/>
        <xdr:cNvSpPr/>
      </xdr:nvSpPr>
      <xdr:spPr>
        <a:xfrm>
          <a:off x="12441010" y="16078200"/>
          <a:ext cx="3890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104</xdr:row>
      <xdr:rowOff>76200</xdr:rowOff>
    </xdr:from>
    <xdr:to>
      <xdr:col>34</xdr:col>
      <xdr:colOff>122465</xdr:colOff>
      <xdr:row>104</xdr:row>
      <xdr:rowOff>76200</xdr:rowOff>
    </xdr:to>
    <xdr:cxnSp macro="">
      <xdr:nvCxnSpPr>
        <xdr:cNvPr id="860804" name="직선 화살표 연결선 860803"/>
        <xdr:cNvCxnSpPr/>
      </xdr:nvCxnSpPr>
      <xdr:spPr>
        <a:xfrm>
          <a:off x="12441010" y="16135350"/>
          <a:ext cx="3878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103</xdr:row>
      <xdr:rowOff>19050</xdr:rowOff>
    </xdr:from>
    <xdr:to>
      <xdr:col>34</xdr:col>
      <xdr:colOff>123734</xdr:colOff>
      <xdr:row>103</xdr:row>
      <xdr:rowOff>133350</xdr:rowOff>
    </xdr:to>
    <xdr:sp macro="" textlink="">
      <xdr:nvSpPr>
        <xdr:cNvPr id="860805" name="100"/>
        <xdr:cNvSpPr/>
      </xdr:nvSpPr>
      <xdr:spPr>
        <a:xfrm>
          <a:off x="12298135" y="15925800"/>
          <a:ext cx="531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103</xdr:row>
      <xdr:rowOff>76200</xdr:rowOff>
    </xdr:from>
    <xdr:to>
      <xdr:col>34</xdr:col>
      <xdr:colOff>122465</xdr:colOff>
      <xdr:row>103</xdr:row>
      <xdr:rowOff>76200</xdr:rowOff>
    </xdr:to>
    <xdr:cxnSp macro="">
      <xdr:nvCxnSpPr>
        <xdr:cNvPr id="860806" name="직선 화살표 연결선 860805"/>
        <xdr:cNvCxnSpPr/>
      </xdr:nvCxnSpPr>
      <xdr:spPr>
        <a:xfrm>
          <a:off x="12298135" y="15982950"/>
          <a:ext cx="5306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102</xdr:row>
      <xdr:rowOff>19050</xdr:rowOff>
    </xdr:from>
    <xdr:to>
      <xdr:col>69</xdr:col>
      <xdr:colOff>123734</xdr:colOff>
      <xdr:row>102</xdr:row>
      <xdr:rowOff>133350</xdr:rowOff>
    </xdr:to>
    <xdr:sp macro="" textlink="">
      <xdr:nvSpPr>
        <xdr:cNvPr id="860807" name="99"/>
        <xdr:cNvSpPr/>
      </xdr:nvSpPr>
      <xdr:spPr>
        <a:xfrm>
          <a:off x="12298135" y="15773400"/>
          <a:ext cx="55325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102</xdr:row>
      <xdr:rowOff>76200</xdr:rowOff>
    </xdr:from>
    <xdr:to>
      <xdr:col>69</xdr:col>
      <xdr:colOff>122464</xdr:colOff>
      <xdr:row>102</xdr:row>
      <xdr:rowOff>76200</xdr:rowOff>
    </xdr:to>
    <xdr:cxnSp macro="">
      <xdr:nvCxnSpPr>
        <xdr:cNvPr id="860808" name="직선 화살표 연결선 860807"/>
        <xdr:cNvCxnSpPr/>
      </xdr:nvCxnSpPr>
      <xdr:spPr>
        <a:xfrm>
          <a:off x="12298135" y="15830550"/>
          <a:ext cx="55313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20411</xdr:colOff>
      <xdr:row>101</xdr:row>
      <xdr:rowOff>19050</xdr:rowOff>
    </xdr:from>
    <xdr:to>
      <xdr:col>82</xdr:col>
      <xdr:colOff>123734</xdr:colOff>
      <xdr:row>101</xdr:row>
      <xdr:rowOff>133350</xdr:rowOff>
    </xdr:to>
    <xdr:sp macro="" textlink="">
      <xdr:nvSpPr>
        <xdr:cNvPr id="860809" name="98"/>
        <xdr:cNvSpPr/>
      </xdr:nvSpPr>
      <xdr:spPr>
        <a:xfrm>
          <a:off x="19584761" y="156210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82</xdr:col>
      <xdr:colOff>20411</xdr:colOff>
      <xdr:row>101</xdr:row>
      <xdr:rowOff>76200</xdr:rowOff>
    </xdr:from>
    <xdr:to>
      <xdr:col>82</xdr:col>
      <xdr:colOff>122464</xdr:colOff>
      <xdr:row>101</xdr:row>
      <xdr:rowOff>76200</xdr:rowOff>
    </xdr:to>
    <xdr:cxnSp macro="">
      <xdr:nvCxnSpPr>
        <xdr:cNvPr id="860810" name="직선 화살표 연결선 860809"/>
        <xdr:cNvCxnSpPr/>
      </xdr:nvCxnSpPr>
      <xdr:spPr>
        <a:xfrm>
          <a:off x="19584761" y="156781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81643</xdr:colOff>
      <xdr:row>100</xdr:row>
      <xdr:rowOff>19050</xdr:rowOff>
    </xdr:from>
    <xdr:to>
      <xdr:col>81</xdr:col>
      <xdr:colOff>123734</xdr:colOff>
      <xdr:row>100</xdr:row>
      <xdr:rowOff>133350</xdr:rowOff>
    </xdr:to>
    <xdr:sp macro="" textlink="">
      <xdr:nvSpPr>
        <xdr:cNvPr id="860811" name="97"/>
        <xdr:cNvSpPr/>
      </xdr:nvSpPr>
      <xdr:spPr>
        <a:xfrm>
          <a:off x="19503118" y="15468600"/>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81643</xdr:colOff>
      <xdr:row>100</xdr:row>
      <xdr:rowOff>76200</xdr:rowOff>
    </xdr:from>
    <xdr:to>
      <xdr:col>81</xdr:col>
      <xdr:colOff>122464</xdr:colOff>
      <xdr:row>100</xdr:row>
      <xdr:rowOff>76200</xdr:rowOff>
    </xdr:to>
    <xdr:cxnSp macro="">
      <xdr:nvCxnSpPr>
        <xdr:cNvPr id="860812" name="직선 화살표 연결선 860811"/>
        <xdr:cNvCxnSpPr/>
      </xdr:nvCxnSpPr>
      <xdr:spPr>
        <a:xfrm>
          <a:off x="19503118" y="15525750"/>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81643</xdr:colOff>
      <xdr:row>99</xdr:row>
      <xdr:rowOff>19050</xdr:rowOff>
    </xdr:from>
    <xdr:to>
      <xdr:col>82</xdr:col>
      <xdr:colOff>123734</xdr:colOff>
      <xdr:row>99</xdr:row>
      <xdr:rowOff>133350</xdr:rowOff>
    </xdr:to>
    <xdr:sp macro="" textlink="">
      <xdr:nvSpPr>
        <xdr:cNvPr id="860813" name="96"/>
        <xdr:cNvSpPr/>
      </xdr:nvSpPr>
      <xdr:spPr>
        <a:xfrm>
          <a:off x="19503118" y="15316200"/>
          <a:ext cx="1849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81643</xdr:colOff>
      <xdr:row>99</xdr:row>
      <xdr:rowOff>76200</xdr:rowOff>
    </xdr:from>
    <xdr:to>
      <xdr:col>82</xdr:col>
      <xdr:colOff>122464</xdr:colOff>
      <xdr:row>99</xdr:row>
      <xdr:rowOff>76200</xdr:rowOff>
    </xdr:to>
    <xdr:cxnSp macro="">
      <xdr:nvCxnSpPr>
        <xdr:cNvPr id="860814" name="직선 화살표 연결선 860813"/>
        <xdr:cNvCxnSpPr/>
      </xdr:nvCxnSpPr>
      <xdr:spPr>
        <a:xfrm>
          <a:off x="19503118" y="15373350"/>
          <a:ext cx="1836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81643</xdr:colOff>
      <xdr:row>98</xdr:row>
      <xdr:rowOff>19050</xdr:rowOff>
    </xdr:from>
    <xdr:to>
      <xdr:col>82</xdr:col>
      <xdr:colOff>123734</xdr:colOff>
      <xdr:row>98</xdr:row>
      <xdr:rowOff>133350</xdr:rowOff>
    </xdr:to>
    <xdr:sp macro="" textlink="">
      <xdr:nvSpPr>
        <xdr:cNvPr id="860815" name="95"/>
        <xdr:cNvSpPr/>
      </xdr:nvSpPr>
      <xdr:spPr>
        <a:xfrm>
          <a:off x="19503118" y="15163800"/>
          <a:ext cx="1849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81643</xdr:colOff>
      <xdr:row>98</xdr:row>
      <xdr:rowOff>76200</xdr:rowOff>
    </xdr:from>
    <xdr:to>
      <xdr:col>82</xdr:col>
      <xdr:colOff>122464</xdr:colOff>
      <xdr:row>98</xdr:row>
      <xdr:rowOff>76200</xdr:rowOff>
    </xdr:to>
    <xdr:cxnSp macro="">
      <xdr:nvCxnSpPr>
        <xdr:cNvPr id="860816" name="직선 화살표 연결선 860815"/>
        <xdr:cNvCxnSpPr/>
      </xdr:nvCxnSpPr>
      <xdr:spPr>
        <a:xfrm>
          <a:off x="19503118" y="15220950"/>
          <a:ext cx="1836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20411</xdr:colOff>
      <xdr:row>97</xdr:row>
      <xdr:rowOff>19050</xdr:rowOff>
    </xdr:from>
    <xdr:to>
      <xdr:col>63</xdr:col>
      <xdr:colOff>123734</xdr:colOff>
      <xdr:row>97</xdr:row>
      <xdr:rowOff>133350</xdr:rowOff>
    </xdr:to>
    <xdr:sp macro="" textlink="">
      <xdr:nvSpPr>
        <xdr:cNvPr id="860817" name="94"/>
        <xdr:cNvSpPr/>
      </xdr:nvSpPr>
      <xdr:spPr>
        <a:xfrm>
          <a:off x="16870136" y="150114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20411</xdr:colOff>
      <xdr:row>97</xdr:row>
      <xdr:rowOff>76200</xdr:rowOff>
    </xdr:from>
    <xdr:to>
      <xdr:col>63</xdr:col>
      <xdr:colOff>122464</xdr:colOff>
      <xdr:row>97</xdr:row>
      <xdr:rowOff>76200</xdr:rowOff>
    </xdr:to>
    <xdr:cxnSp macro="">
      <xdr:nvCxnSpPr>
        <xdr:cNvPr id="860818" name="직선 화살표 연결선 860817"/>
        <xdr:cNvCxnSpPr/>
      </xdr:nvCxnSpPr>
      <xdr:spPr>
        <a:xfrm>
          <a:off x="16870136" y="150685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20411</xdr:colOff>
      <xdr:row>96</xdr:row>
      <xdr:rowOff>19050</xdr:rowOff>
    </xdr:from>
    <xdr:to>
      <xdr:col>62</xdr:col>
      <xdr:colOff>123734</xdr:colOff>
      <xdr:row>96</xdr:row>
      <xdr:rowOff>133350</xdr:rowOff>
    </xdr:to>
    <xdr:sp macro="" textlink="">
      <xdr:nvSpPr>
        <xdr:cNvPr id="860819" name="93"/>
        <xdr:cNvSpPr/>
      </xdr:nvSpPr>
      <xdr:spPr>
        <a:xfrm>
          <a:off x="16727261" y="148590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20411</xdr:colOff>
      <xdr:row>96</xdr:row>
      <xdr:rowOff>76200</xdr:rowOff>
    </xdr:from>
    <xdr:to>
      <xdr:col>62</xdr:col>
      <xdr:colOff>122464</xdr:colOff>
      <xdr:row>96</xdr:row>
      <xdr:rowOff>76200</xdr:rowOff>
    </xdr:to>
    <xdr:cxnSp macro="">
      <xdr:nvCxnSpPr>
        <xdr:cNvPr id="860820" name="직선 화살표 연결선 860819"/>
        <xdr:cNvCxnSpPr/>
      </xdr:nvCxnSpPr>
      <xdr:spPr>
        <a:xfrm>
          <a:off x="16727261" y="149161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20411</xdr:colOff>
      <xdr:row>95</xdr:row>
      <xdr:rowOff>19050</xdr:rowOff>
    </xdr:from>
    <xdr:to>
      <xdr:col>56</xdr:col>
      <xdr:colOff>1270</xdr:colOff>
      <xdr:row>95</xdr:row>
      <xdr:rowOff>133350</xdr:rowOff>
    </xdr:to>
    <xdr:sp macro="" textlink="">
      <xdr:nvSpPr>
        <xdr:cNvPr id="860821" name="92"/>
        <xdr:cNvSpPr/>
      </xdr:nvSpPr>
      <xdr:spPr>
        <a:xfrm>
          <a:off x="15727136" y="14706600"/>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20411</xdr:colOff>
      <xdr:row>95</xdr:row>
      <xdr:rowOff>76200</xdr:rowOff>
    </xdr:from>
    <xdr:to>
      <xdr:col>56</xdr:col>
      <xdr:colOff>0</xdr:colOff>
      <xdr:row>95</xdr:row>
      <xdr:rowOff>76200</xdr:rowOff>
    </xdr:to>
    <xdr:cxnSp macro="">
      <xdr:nvCxnSpPr>
        <xdr:cNvPr id="860822" name="직선 화살표 연결선 860821"/>
        <xdr:cNvCxnSpPr/>
      </xdr:nvCxnSpPr>
      <xdr:spPr>
        <a:xfrm>
          <a:off x="15727136" y="14763750"/>
          <a:ext cx="1224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20411</xdr:colOff>
      <xdr:row>94</xdr:row>
      <xdr:rowOff>19050</xdr:rowOff>
    </xdr:from>
    <xdr:to>
      <xdr:col>54</xdr:col>
      <xdr:colOff>123734</xdr:colOff>
      <xdr:row>94</xdr:row>
      <xdr:rowOff>133350</xdr:rowOff>
    </xdr:to>
    <xdr:sp macro="" textlink="">
      <xdr:nvSpPr>
        <xdr:cNvPr id="860823" name="91"/>
        <xdr:cNvSpPr/>
      </xdr:nvSpPr>
      <xdr:spPr>
        <a:xfrm>
          <a:off x="15584261" y="145542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20411</xdr:colOff>
      <xdr:row>94</xdr:row>
      <xdr:rowOff>76200</xdr:rowOff>
    </xdr:from>
    <xdr:to>
      <xdr:col>54</xdr:col>
      <xdr:colOff>122464</xdr:colOff>
      <xdr:row>94</xdr:row>
      <xdr:rowOff>76200</xdr:rowOff>
    </xdr:to>
    <xdr:cxnSp macro="">
      <xdr:nvCxnSpPr>
        <xdr:cNvPr id="860824" name="직선 화살표 연결선 860823"/>
        <xdr:cNvCxnSpPr/>
      </xdr:nvCxnSpPr>
      <xdr:spPr>
        <a:xfrm>
          <a:off x="15584261" y="146113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20411</xdr:colOff>
      <xdr:row>93</xdr:row>
      <xdr:rowOff>19050</xdr:rowOff>
    </xdr:from>
    <xdr:to>
      <xdr:col>63</xdr:col>
      <xdr:colOff>123734</xdr:colOff>
      <xdr:row>93</xdr:row>
      <xdr:rowOff>133350</xdr:rowOff>
    </xdr:to>
    <xdr:sp macro="" textlink="">
      <xdr:nvSpPr>
        <xdr:cNvPr id="860825" name="90"/>
        <xdr:cNvSpPr/>
      </xdr:nvSpPr>
      <xdr:spPr>
        <a:xfrm>
          <a:off x="15584261" y="14401800"/>
          <a:ext cx="13891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20411</xdr:colOff>
      <xdr:row>93</xdr:row>
      <xdr:rowOff>76200</xdr:rowOff>
    </xdr:from>
    <xdr:to>
      <xdr:col>63</xdr:col>
      <xdr:colOff>122464</xdr:colOff>
      <xdr:row>93</xdr:row>
      <xdr:rowOff>76200</xdr:rowOff>
    </xdr:to>
    <xdr:cxnSp macro="">
      <xdr:nvCxnSpPr>
        <xdr:cNvPr id="860826" name="직선 화살표 연결선 860825"/>
        <xdr:cNvCxnSpPr/>
      </xdr:nvCxnSpPr>
      <xdr:spPr>
        <a:xfrm>
          <a:off x="15584261" y="14458950"/>
          <a:ext cx="1387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92</xdr:row>
      <xdr:rowOff>19050</xdr:rowOff>
    </xdr:from>
    <xdr:to>
      <xdr:col>63</xdr:col>
      <xdr:colOff>123734</xdr:colOff>
      <xdr:row>92</xdr:row>
      <xdr:rowOff>133350</xdr:rowOff>
    </xdr:to>
    <xdr:sp macro="" textlink="">
      <xdr:nvSpPr>
        <xdr:cNvPr id="860827" name="89"/>
        <xdr:cNvSpPr/>
      </xdr:nvSpPr>
      <xdr:spPr>
        <a:xfrm>
          <a:off x="16584386" y="14249400"/>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92</xdr:row>
      <xdr:rowOff>76200</xdr:rowOff>
    </xdr:from>
    <xdr:to>
      <xdr:col>63</xdr:col>
      <xdr:colOff>122464</xdr:colOff>
      <xdr:row>92</xdr:row>
      <xdr:rowOff>76200</xdr:rowOff>
    </xdr:to>
    <xdr:cxnSp macro="">
      <xdr:nvCxnSpPr>
        <xdr:cNvPr id="860828" name="직선 화살표 연결선 860827"/>
        <xdr:cNvCxnSpPr/>
      </xdr:nvCxnSpPr>
      <xdr:spPr>
        <a:xfrm>
          <a:off x="16584386" y="14306550"/>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91</xdr:row>
      <xdr:rowOff>19050</xdr:rowOff>
    </xdr:from>
    <xdr:to>
      <xdr:col>60</xdr:col>
      <xdr:colOff>123734</xdr:colOff>
      <xdr:row>91</xdr:row>
      <xdr:rowOff>133350</xdr:rowOff>
    </xdr:to>
    <xdr:sp macro="" textlink="">
      <xdr:nvSpPr>
        <xdr:cNvPr id="860829" name="88"/>
        <xdr:cNvSpPr/>
      </xdr:nvSpPr>
      <xdr:spPr>
        <a:xfrm>
          <a:off x="16441511" y="140970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91</xdr:row>
      <xdr:rowOff>76200</xdr:rowOff>
    </xdr:from>
    <xdr:to>
      <xdr:col>60</xdr:col>
      <xdr:colOff>122464</xdr:colOff>
      <xdr:row>91</xdr:row>
      <xdr:rowOff>76200</xdr:rowOff>
    </xdr:to>
    <xdr:cxnSp macro="">
      <xdr:nvCxnSpPr>
        <xdr:cNvPr id="860830" name="직선 화살표 연결선 860829"/>
        <xdr:cNvCxnSpPr/>
      </xdr:nvCxnSpPr>
      <xdr:spPr>
        <a:xfrm>
          <a:off x="16441511" y="141541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20411</xdr:colOff>
      <xdr:row>90</xdr:row>
      <xdr:rowOff>19050</xdr:rowOff>
    </xdr:from>
    <xdr:to>
      <xdr:col>63</xdr:col>
      <xdr:colOff>123734</xdr:colOff>
      <xdr:row>90</xdr:row>
      <xdr:rowOff>133350</xdr:rowOff>
    </xdr:to>
    <xdr:sp macro="" textlink="">
      <xdr:nvSpPr>
        <xdr:cNvPr id="860831" name="87"/>
        <xdr:cNvSpPr/>
      </xdr:nvSpPr>
      <xdr:spPr>
        <a:xfrm>
          <a:off x="16441511" y="13944600"/>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20411</xdr:colOff>
      <xdr:row>90</xdr:row>
      <xdr:rowOff>76200</xdr:rowOff>
    </xdr:from>
    <xdr:to>
      <xdr:col>63</xdr:col>
      <xdr:colOff>122464</xdr:colOff>
      <xdr:row>90</xdr:row>
      <xdr:rowOff>76200</xdr:rowOff>
    </xdr:to>
    <xdr:cxnSp macro="">
      <xdr:nvCxnSpPr>
        <xdr:cNvPr id="860832" name="직선 화살표 연결선 860831"/>
        <xdr:cNvCxnSpPr/>
      </xdr:nvCxnSpPr>
      <xdr:spPr>
        <a:xfrm>
          <a:off x="16441511" y="14001750"/>
          <a:ext cx="5306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20411</xdr:colOff>
      <xdr:row>89</xdr:row>
      <xdr:rowOff>19050</xdr:rowOff>
    </xdr:from>
    <xdr:to>
      <xdr:col>63</xdr:col>
      <xdr:colOff>123734</xdr:colOff>
      <xdr:row>89</xdr:row>
      <xdr:rowOff>133350</xdr:rowOff>
    </xdr:to>
    <xdr:sp macro="" textlink="">
      <xdr:nvSpPr>
        <xdr:cNvPr id="860833" name="86"/>
        <xdr:cNvSpPr/>
      </xdr:nvSpPr>
      <xdr:spPr>
        <a:xfrm>
          <a:off x="15584261" y="13792200"/>
          <a:ext cx="13891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20411</xdr:colOff>
      <xdr:row>89</xdr:row>
      <xdr:rowOff>76200</xdr:rowOff>
    </xdr:from>
    <xdr:to>
      <xdr:col>63</xdr:col>
      <xdr:colOff>122464</xdr:colOff>
      <xdr:row>89</xdr:row>
      <xdr:rowOff>76200</xdr:rowOff>
    </xdr:to>
    <xdr:cxnSp macro="">
      <xdr:nvCxnSpPr>
        <xdr:cNvPr id="860834" name="직선 화살표 연결선 860833"/>
        <xdr:cNvCxnSpPr/>
      </xdr:nvCxnSpPr>
      <xdr:spPr>
        <a:xfrm>
          <a:off x="15584261" y="13849350"/>
          <a:ext cx="13879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20411</xdr:colOff>
      <xdr:row>88</xdr:row>
      <xdr:rowOff>19050</xdr:rowOff>
    </xdr:from>
    <xdr:to>
      <xdr:col>66</xdr:col>
      <xdr:colOff>123734</xdr:colOff>
      <xdr:row>88</xdr:row>
      <xdr:rowOff>133350</xdr:rowOff>
    </xdr:to>
    <xdr:sp macro="" textlink="">
      <xdr:nvSpPr>
        <xdr:cNvPr id="860835" name="85"/>
        <xdr:cNvSpPr/>
      </xdr:nvSpPr>
      <xdr:spPr>
        <a:xfrm>
          <a:off x="17298761" y="136398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20411</xdr:colOff>
      <xdr:row>88</xdr:row>
      <xdr:rowOff>76200</xdr:rowOff>
    </xdr:from>
    <xdr:to>
      <xdr:col>66</xdr:col>
      <xdr:colOff>122464</xdr:colOff>
      <xdr:row>88</xdr:row>
      <xdr:rowOff>76200</xdr:rowOff>
    </xdr:to>
    <xdr:cxnSp macro="">
      <xdr:nvCxnSpPr>
        <xdr:cNvPr id="860836" name="직선 화살표 연결선 860835"/>
        <xdr:cNvCxnSpPr/>
      </xdr:nvCxnSpPr>
      <xdr:spPr>
        <a:xfrm>
          <a:off x="17298761" y="136969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61232</xdr:colOff>
      <xdr:row>87</xdr:row>
      <xdr:rowOff>19050</xdr:rowOff>
    </xdr:from>
    <xdr:to>
      <xdr:col>65</xdr:col>
      <xdr:colOff>103324</xdr:colOff>
      <xdr:row>87</xdr:row>
      <xdr:rowOff>133350</xdr:rowOff>
    </xdr:to>
    <xdr:sp macro="" textlink="">
      <xdr:nvSpPr>
        <xdr:cNvPr id="860837" name="84"/>
        <xdr:cNvSpPr/>
      </xdr:nvSpPr>
      <xdr:spPr>
        <a:xfrm>
          <a:off x="17196707" y="13487400"/>
          <a:ext cx="42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61232</xdr:colOff>
      <xdr:row>87</xdr:row>
      <xdr:rowOff>76200</xdr:rowOff>
    </xdr:from>
    <xdr:to>
      <xdr:col>65</xdr:col>
      <xdr:colOff>102054</xdr:colOff>
      <xdr:row>87</xdr:row>
      <xdr:rowOff>76200</xdr:rowOff>
    </xdr:to>
    <xdr:cxnSp macro="">
      <xdr:nvCxnSpPr>
        <xdr:cNvPr id="860838" name="직선 화살표 연결선 860837"/>
        <xdr:cNvCxnSpPr/>
      </xdr:nvCxnSpPr>
      <xdr:spPr>
        <a:xfrm>
          <a:off x="17196707" y="135445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20411</xdr:colOff>
      <xdr:row>86</xdr:row>
      <xdr:rowOff>19050</xdr:rowOff>
    </xdr:from>
    <xdr:to>
      <xdr:col>63</xdr:col>
      <xdr:colOff>62502</xdr:colOff>
      <xdr:row>86</xdr:row>
      <xdr:rowOff>133350</xdr:rowOff>
    </xdr:to>
    <xdr:sp macro="" textlink="">
      <xdr:nvSpPr>
        <xdr:cNvPr id="860839" name="83"/>
        <xdr:cNvSpPr/>
      </xdr:nvSpPr>
      <xdr:spPr>
        <a:xfrm>
          <a:off x="16870136" y="13335000"/>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20411</xdr:colOff>
      <xdr:row>86</xdr:row>
      <xdr:rowOff>76200</xdr:rowOff>
    </xdr:from>
    <xdr:to>
      <xdr:col>63</xdr:col>
      <xdr:colOff>61232</xdr:colOff>
      <xdr:row>86</xdr:row>
      <xdr:rowOff>76200</xdr:rowOff>
    </xdr:to>
    <xdr:cxnSp macro="">
      <xdr:nvCxnSpPr>
        <xdr:cNvPr id="860840" name="직선 화살표 연결선 860839"/>
        <xdr:cNvCxnSpPr/>
      </xdr:nvCxnSpPr>
      <xdr:spPr>
        <a:xfrm>
          <a:off x="16870136" y="13392150"/>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20411</xdr:colOff>
      <xdr:row>85</xdr:row>
      <xdr:rowOff>19050</xdr:rowOff>
    </xdr:from>
    <xdr:to>
      <xdr:col>62</xdr:col>
      <xdr:colOff>123734</xdr:colOff>
      <xdr:row>85</xdr:row>
      <xdr:rowOff>133350</xdr:rowOff>
    </xdr:to>
    <xdr:sp macro="" textlink="">
      <xdr:nvSpPr>
        <xdr:cNvPr id="860841" name="82"/>
        <xdr:cNvSpPr/>
      </xdr:nvSpPr>
      <xdr:spPr>
        <a:xfrm>
          <a:off x="16727261" y="131826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20411</xdr:colOff>
      <xdr:row>85</xdr:row>
      <xdr:rowOff>76200</xdr:rowOff>
    </xdr:from>
    <xdr:to>
      <xdr:col>62</xdr:col>
      <xdr:colOff>122464</xdr:colOff>
      <xdr:row>85</xdr:row>
      <xdr:rowOff>76200</xdr:rowOff>
    </xdr:to>
    <xdr:cxnSp macro="">
      <xdr:nvCxnSpPr>
        <xdr:cNvPr id="860842" name="직선 화살표 연결선 860841"/>
        <xdr:cNvCxnSpPr/>
      </xdr:nvCxnSpPr>
      <xdr:spPr>
        <a:xfrm>
          <a:off x="16727261" y="132397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20411</xdr:colOff>
      <xdr:row>84</xdr:row>
      <xdr:rowOff>19050</xdr:rowOff>
    </xdr:from>
    <xdr:to>
      <xdr:col>66</xdr:col>
      <xdr:colOff>123734</xdr:colOff>
      <xdr:row>84</xdr:row>
      <xdr:rowOff>133350</xdr:rowOff>
    </xdr:to>
    <xdr:sp macro="" textlink="">
      <xdr:nvSpPr>
        <xdr:cNvPr id="860843" name="81"/>
        <xdr:cNvSpPr/>
      </xdr:nvSpPr>
      <xdr:spPr>
        <a:xfrm>
          <a:off x="16727261" y="13030200"/>
          <a:ext cx="6748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20411</xdr:colOff>
      <xdr:row>84</xdr:row>
      <xdr:rowOff>76200</xdr:rowOff>
    </xdr:from>
    <xdr:to>
      <xdr:col>66</xdr:col>
      <xdr:colOff>122464</xdr:colOff>
      <xdr:row>84</xdr:row>
      <xdr:rowOff>76200</xdr:rowOff>
    </xdr:to>
    <xdr:cxnSp macro="">
      <xdr:nvCxnSpPr>
        <xdr:cNvPr id="860844" name="직선 화살표 연결선 860843"/>
        <xdr:cNvCxnSpPr/>
      </xdr:nvCxnSpPr>
      <xdr:spPr>
        <a:xfrm>
          <a:off x="16727261" y="13087350"/>
          <a:ext cx="6735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20411</xdr:colOff>
      <xdr:row>83</xdr:row>
      <xdr:rowOff>19050</xdr:rowOff>
    </xdr:from>
    <xdr:to>
      <xdr:col>46</xdr:col>
      <xdr:colOff>82913</xdr:colOff>
      <xdr:row>83</xdr:row>
      <xdr:rowOff>133350</xdr:rowOff>
    </xdr:to>
    <xdr:sp macro="" textlink="">
      <xdr:nvSpPr>
        <xdr:cNvPr id="860845" name="80"/>
        <xdr:cNvSpPr/>
      </xdr:nvSpPr>
      <xdr:spPr>
        <a:xfrm>
          <a:off x="14298386" y="12877800"/>
          <a:ext cx="20537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83</xdr:row>
      <xdr:rowOff>76200</xdr:rowOff>
    </xdr:from>
    <xdr:to>
      <xdr:col>46</xdr:col>
      <xdr:colOff>81643</xdr:colOff>
      <xdr:row>83</xdr:row>
      <xdr:rowOff>76200</xdr:rowOff>
    </xdr:to>
    <xdr:cxnSp macro="">
      <xdr:nvCxnSpPr>
        <xdr:cNvPr id="860846" name="직선 화살표 연결선 860845"/>
        <xdr:cNvCxnSpPr/>
      </xdr:nvCxnSpPr>
      <xdr:spPr>
        <a:xfrm>
          <a:off x="14298386" y="12934950"/>
          <a:ext cx="2041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82</xdr:row>
      <xdr:rowOff>19050</xdr:rowOff>
    </xdr:from>
    <xdr:to>
      <xdr:col>44</xdr:col>
      <xdr:colOff>123734</xdr:colOff>
      <xdr:row>82</xdr:row>
      <xdr:rowOff>133350</xdr:rowOff>
    </xdr:to>
    <xdr:sp macro="" textlink="">
      <xdr:nvSpPr>
        <xdr:cNvPr id="860847" name="79"/>
        <xdr:cNvSpPr/>
      </xdr:nvSpPr>
      <xdr:spPr>
        <a:xfrm>
          <a:off x="14216743" y="12725400"/>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82</xdr:row>
      <xdr:rowOff>76200</xdr:rowOff>
    </xdr:from>
    <xdr:to>
      <xdr:col>44</xdr:col>
      <xdr:colOff>122464</xdr:colOff>
      <xdr:row>82</xdr:row>
      <xdr:rowOff>76200</xdr:rowOff>
    </xdr:to>
    <xdr:cxnSp macro="">
      <xdr:nvCxnSpPr>
        <xdr:cNvPr id="860848" name="직선 화살표 연결선 860847"/>
        <xdr:cNvCxnSpPr/>
      </xdr:nvCxnSpPr>
      <xdr:spPr>
        <a:xfrm>
          <a:off x="14216743" y="12782550"/>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20411</xdr:colOff>
      <xdr:row>81</xdr:row>
      <xdr:rowOff>19050</xdr:rowOff>
    </xdr:from>
    <xdr:to>
      <xdr:col>43</xdr:col>
      <xdr:colOff>123734</xdr:colOff>
      <xdr:row>81</xdr:row>
      <xdr:rowOff>133350</xdr:rowOff>
    </xdr:to>
    <xdr:sp macro="" textlink="">
      <xdr:nvSpPr>
        <xdr:cNvPr id="860849" name="78"/>
        <xdr:cNvSpPr/>
      </xdr:nvSpPr>
      <xdr:spPr>
        <a:xfrm>
          <a:off x="14012636" y="125730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20411</xdr:colOff>
      <xdr:row>81</xdr:row>
      <xdr:rowOff>76200</xdr:rowOff>
    </xdr:from>
    <xdr:to>
      <xdr:col>43</xdr:col>
      <xdr:colOff>122464</xdr:colOff>
      <xdr:row>81</xdr:row>
      <xdr:rowOff>76200</xdr:rowOff>
    </xdr:to>
    <xdr:cxnSp macro="">
      <xdr:nvCxnSpPr>
        <xdr:cNvPr id="860850" name="직선 화살표 연결선 860849"/>
        <xdr:cNvCxnSpPr/>
      </xdr:nvCxnSpPr>
      <xdr:spPr>
        <a:xfrm>
          <a:off x="14012636" y="126301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20411</xdr:colOff>
      <xdr:row>80</xdr:row>
      <xdr:rowOff>19050</xdr:rowOff>
    </xdr:from>
    <xdr:to>
      <xdr:col>46</xdr:col>
      <xdr:colOff>82913</xdr:colOff>
      <xdr:row>80</xdr:row>
      <xdr:rowOff>133350</xdr:rowOff>
    </xdr:to>
    <xdr:sp macro="" textlink="">
      <xdr:nvSpPr>
        <xdr:cNvPr id="860851" name="77"/>
        <xdr:cNvSpPr/>
      </xdr:nvSpPr>
      <xdr:spPr>
        <a:xfrm>
          <a:off x="14012636" y="12420600"/>
          <a:ext cx="49112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20411</xdr:colOff>
      <xdr:row>80</xdr:row>
      <xdr:rowOff>76200</xdr:rowOff>
    </xdr:from>
    <xdr:to>
      <xdr:col>46</xdr:col>
      <xdr:colOff>81643</xdr:colOff>
      <xdr:row>80</xdr:row>
      <xdr:rowOff>76200</xdr:rowOff>
    </xdr:to>
    <xdr:cxnSp macro="">
      <xdr:nvCxnSpPr>
        <xdr:cNvPr id="860852" name="직선 화살표 연결선 860851"/>
        <xdr:cNvCxnSpPr/>
      </xdr:nvCxnSpPr>
      <xdr:spPr>
        <a:xfrm>
          <a:off x="14012636" y="12477750"/>
          <a:ext cx="48985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61232</xdr:colOff>
      <xdr:row>79</xdr:row>
      <xdr:rowOff>19050</xdr:rowOff>
    </xdr:from>
    <xdr:to>
      <xdr:col>35</xdr:col>
      <xdr:colOff>82913</xdr:colOff>
      <xdr:row>79</xdr:row>
      <xdr:rowOff>133350</xdr:rowOff>
    </xdr:to>
    <xdr:sp macro="" textlink="">
      <xdr:nvSpPr>
        <xdr:cNvPr id="860853" name="76"/>
        <xdr:cNvSpPr/>
      </xdr:nvSpPr>
      <xdr:spPr>
        <a:xfrm>
          <a:off x="12910457" y="12268200"/>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61232</xdr:colOff>
      <xdr:row>79</xdr:row>
      <xdr:rowOff>76200</xdr:rowOff>
    </xdr:from>
    <xdr:to>
      <xdr:col>35</xdr:col>
      <xdr:colOff>81643</xdr:colOff>
      <xdr:row>79</xdr:row>
      <xdr:rowOff>76200</xdr:rowOff>
    </xdr:to>
    <xdr:cxnSp macro="">
      <xdr:nvCxnSpPr>
        <xdr:cNvPr id="860854" name="직선 화살표 연결선 860853"/>
        <xdr:cNvCxnSpPr/>
      </xdr:nvCxnSpPr>
      <xdr:spPr>
        <a:xfrm>
          <a:off x="12910457" y="123253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61232</xdr:colOff>
      <xdr:row>78</xdr:row>
      <xdr:rowOff>19050</xdr:rowOff>
    </xdr:from>
    <xdr:to>
      <xdr:col>35</xdr:col>
      <xdr:colOff>82913</xdr:colOff>
      <xdr:row>78</xdr:row>
      <xdr:rowOff>133350</xdr:rowOff>
    </xdr:to>
    <xdr:sp macro="" textlink="">
      <xdr:nvSpPr>
        <xdr:cNvPr id="860855" name="75"/>
        <xdr:cNvSpPr/>
      </xdr:nvSpPr>
      <xdr:spPr>
        <a:xfrm>
          <a:off x="12910457" y="12115800"/>
          <a:ext cx="216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61232</xdr:colOff>
      <xdr:row>78</xdr:row>
      <xdr:rowOff>76200</xdr:rowOff>
    </xdr:from>
    <xdr:to>
      <xdr:col>35</xdr:col>
      <xdr:colOff>81643</xdr:colOff>
      <xdr:row>78</xdr:row>
      <xdr:rowOff>76200</xdr:rowOff>
    </xdr:to>
    <xdr:cxnSp macro="">
      <xdr:nvCxnSpPr>
        <xdr:cNvPr id="860856" name="직선 화살표 연결선 860855"/>
        <xdr:cNvCxnSpPr/>
      </xdr:nvCxnSpPr>
      <xdr:spPr>
        <a:xfrm>
          <a:off x="12910457" y="121729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61232</xdr:colOff>
      <xdr:row>77</xdr:row>
      <xdr:rowOff>19050</xdr:rowOff>
    </xdr:from>
    <xdr:to>
      <xdr:col>66</xdr:col>
      <xdr:colOff>123734</xdr:colOff>
      <xdr:row>77</xdr:row>
      <xdr:rowOff>133350</xdr:rowOff>
    </xdr:to>
    <xdr:sp macro="" textlink="">
      <xdr:nvSpPr>
        <xdr:cNvPr id="860857" name="74"/>
        <xdr:cNvSpPr/>
      </xdr:nvSpPr>
      <xdr:spPr>
        <a:xfrm>
          <a:off x="12910457" y="11963400"/>
          <a:ext cx="449162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61232</xdr:colOff>
      <xdr:row>77</xdr:row>
      <xdr:rowOff>76200</xdr:rowOff>
    </xdr:from>
    <xdr:to>
      <xdr:col>66</xdr:col>
      <xdr:colOff>122464</xdr:colOff>
      <xdr:row>77</xdr:row>
      <xdr:rowOff>76200</xdr:rowOff>
    </xdr:to>
    <xdr:cxnSp macro="">
      <xdr:nvCxnSpPr>
        <xdr:cNvPr id="860858" name="직선 화살표 연결선 860857"/>
        <xdr:cNvCxnSpPr/>
      </xdr:nvCxnSpPr>
      <xdr:spPr>
        <a:xfrm>
          <a:off x="12910457" y="12020550"/>
          <a:ext cx="449035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40821</xdr:colOff>
      <xdr:row>76</xdr:row>
      <xdr:rowOff>19050</xdr:rowOff>
    </xdr:from>
    <xdr:to>
      <xdr:col>74</xdr:col>
      <xdr:colOff>62502</xdr:colOff>
      <xdr:row>76</xdr:row>
      <xdr:rowOff>133350</xdr:rowOff>
    </xdr:to>
    <xdr:sp macro="" textlink="">
      <xdr:nvSpPr>
        <xdr:cNvPr id="860859" name="73"/>
        <xdr:cNvSpPr/>
      </xdr:nvSpPr>
      <xdr:spPr>
        <a:xfrm>
          <a:off x="18462171" y="11811000"/>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40821</xdr:colOff>
      <xdr:row>76</xdr:row>
      <xdr:rowOff>76200</xdr:rowOff>
    </xdr:from>
    <xdr:to>
      <xdr:col>74</xdr:col>
      <xdr:colOff>61232</xdr:colOff>
      <xdr:row>76</xdr:row>
      <xdr:rowOff>76200</xdr:rowOff>
    </xdr:to>
    <xdr:cxnSp macro="">
      <xdr:nvCxnSpPr>
        <xdr:cNvPr id="860860" name="직선 화살표 연결선 860859"/>
        <xdr:cNvCxnSpPr/>
      </xdr:nvCxnSpPr>
      <xdr:spPr>
        <a:xfrm>
          <a:off x="18462171" y="118681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40821</xdr:colOff>
      <xdr:row>75</xdr:row>
      <xdr:rowOff>19050</xdr:rowOff>
    </xdr:from>
    <xdr:to>
      <xdr:col>65</xdr:col>
      <xdr:colOff>62502</xdr:colOff>
      <xdr:row>75</xdr:row>
      <xdr:rowOff>133350</xdr:rowOff>
    </xdr:to>
    <xdr:sp macro="" textlink="">
      <xdr:nvSpPr>
        <xdr:cNvPr id="860861" name="72"/>
        <xdr:cNvSpPr/>
      </xdr:nvSpPr>
      <xdr:spPr>
        <a:xfrm>
          <a:off x="17176296" y="11658600"/>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40821</xdr:colOff>
      <xdr:row>75</xdr:row>
      <xdr:rowOff>76200</xdr:rowOff>
    </xdr:from>
    <xdr:to>
      <xdr:col>65</xdr:col>
      <xdr:colOff>61232</xdr:colOff>
      <xdr:row>75</xdr:row>
      <xdr:rowOff>76200</xdr:rowOff>
    </xdr:to>
    <xdr:cxnSp macro="">
      <xdr:nvCxnSpPr>
        <xdr:cNvPr id="860862" name="직선 화살표 연결선 860861"/>
        <xdr:cNvCxnSpPr/>
      </xdr:nvCxnSpPr>
      <xdr:spPr>
        <a:xfrm>
          <a:off x="17176296" y="117157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40821</xdr:colOff>
      <xdr:row>74</xdr:row>
      <xdr:rowOff>19050</xdr:rowOff>
    </xdr:from>
    <xdr:to>
      <xdr:col>57</xdr:col>
      <xdr:colOff>62502</xdr:colOff>
      <xdr:row>74</xdr:row>
      <xdr:rowOff>133350</xdr:rowOff>
    </xdr:to>
    <xdr:sp macro="" textlink="">
      <xdr:nvSpPr>
        <xdr:cNvPr id="860863" name="71"/>
        <xdr:cNvSpPr/>
      </xdr:nvSpPr>
      <xdr:spPr>
        <a:xfrm>
          <a:off x="16033296" y="11506200"/>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40821</xdr:colOff>
      <xdr:row>74</xdr:row>
      <xdr:rowOff>76200</xdr:rowOff>
    </xdr:from>
    <xdr:to>
      <xdr:col>57</xdr:col>
      <xdr:colOff>61232</xdr:colOff>
      <xdr:row>74</xdr:row>
      <xdr:rowOff>76200</xdr:rowOff>
    </xdr:to>
    <xdr:cxnSp macro="">
      <xdr:nvCxnSpPr>
        <xdr:cNvPr id="860864" name="직선 화살표 연결선 860863"/>
        <xdr:cNvCxnSpPr/>
      </xdr:nvCxnSpPr>
      <xdr:spPr>
        <a:xfrm>
          <a:off x="16033296" y="115633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73</xdr:row>
      <xdr:rowOff>19050</xdr:rowOff>
    </xdr:from>
    <xdr:to>
      <xdr:col>42</xdr:col>
      <xdr:colOff>103324</xdr:colOff>
      <xdr:row>73</xdr:row>
      <xdr:rowOff>133350</xdr:rowOff>
    </xdr:to>
    <xdr:sp macro="" textlink="">
      <xdr:nvSpPr>
        <xdr:cNvPr id="860865" name="70"/>
        <xdr:cNvSpPr/>
      </xdr:nvSpPr>
      <xdr:spPr>
        <a:xfrm>
          <a:off x="13461546" y="11353800"/>
          <a:ext cx="49112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73</xdr:row>
      <xdr:rowOff>76200</xdr:rowOff>
    </xdr:from>
    <xdr:to>
      <xdr:col>42</xdr:col>
      <xdr:colOff>102054</xdr:colOff>
      <xdr:row>73</xdr:row>
      <xdr:rowOff>76200</xdr:rowOff>
    </xdr:to>
    <xdr:cxnSp macro="">
      <xdr:nvCxnSpPr>
        <xdr:cNvPr id="860866" name="직선 화살표 연결선 860865"/>
        <xdr:cNvCxnSpPr/>
      </xdr:nvCxnSpPr>
      <xdr:spPr>
        <a:xfrm>
          <a:off x="13461546" y="11410950"/>
          <a:ext cx="4898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72</xdr:row>
      <xdr:rowOff>19050</xdr:rowOff>
    </xdr:from>
    <xdr:to>
      <xdr:col>74</xdr:col>
      <xdr:colOff>62502</xdr:colOff>
      <xdr:row>72</xdr:row>
      <xdr:rowOff>133350</xdr:rowOff>
    </xdr:to>
    <xdr:sp macro="" textlink="">
      <xdr:nvSpPr>
        <xdr:cNvPr id="860867" name="69"/>
        <xdr:cNvSpPr/>
      </xdr:nvSpPr>
      <xdr:spPr>
        <a:xfrm>
          <a:off x="13461546" y="11201400"/>
          <a:ext cx="50223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72</xdr:row>
      <xdr:rowOff>76200</xdr:rowOff>
    </xdr:from>
    <xdr:to>
      <xdr:col>74</xdr:col>
      <xdr:colOff>61232</xdr:colOff>
      <xdr:row>72</xdr:row>
      <xdr:rowOff>76200</xdr:rowOff>
    </xdr:to>
    <xdr:cxnSp macro="">
      <xdr:nvCxnSpPr>
        <xdr:cNvPr id="860868" name="직선 화살표 연결선 860867"/>
        <xdr:cNvCxnSpPr/>
      </xdr:nvCxnSpPr>
      <xdr:spPr>
        <a:xfrm>
          <a:off x="13461546" y="11258550"/>
          <a:ext cx="50210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102054</xdr:colOff>
      <xdr:row>71</xdr:row>
      <xdr:rowOff>19050</xdr:rowOff>
    </xdr:from>
    <xdr:to>
      <xdr:col>81</xdr:col>
      <xdr:colOff>123734</xdr:colOff>
      <xdr:row>71</xdr:row>
      <xdr:rowOff>133350</xdr:rowOff>
    </xdr:to>
    <xdr:sp macro="" textlink="">
      <xdr:nvSpPr>
        <xdr:cNvPr id="860869" name="68"/>
        <xdr:cNvSpPr/>
      </xdr:nvSpPr>
      <xdr:spPr>
        <a:xfrm>
          <a:off x="19523529" y="110490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102054</xdr:colOff>
      <xdr:row>71</xdr:row>
      <xdr:rowOff>76200</xdr:rowOff>
    </xdr:from>
    <xdr:to>
      <xdr:col>81</xdr:col>
      <xdr:colOff>122464</xdr:colOff>
      <xdr:row>71</xdr:row>
      <xdr:rowOff>76200</xdr:rowOff>
    </xdr:to>
    <xdr:cxnSp macro="">
      <xdr:nvCxnSpPr>
        <xdr:cNvPr id="860870" name="직선 화살표 연결선 860869"/>
        <xdr:cNvCxnSpPr/>
      </xdr:nvCxnSpPr>
      <xdr:spPr>
        <a:xfrm>
          <a:off x="19523529" y="111061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80</xdr:col>
      <xdr:colOff>102054</xdr:colOff>
      <xdr:row>70</xdr:row>
      <xdr:rowOff>19050</xdr:rowOff>
    </xdr:from>
    <xdr:to>
      <xdr:col>80</xdr:col>
      <xdr:colOff>123734</xdr:colOff>
      <xdr:row>70</xdr:row>
      <xdr:rowOff>133350</xdr:rowOff>
    </xdr:to>
    <xdr:sp macro="" textlink="">
      <xdr:nvSpPr>
        <xdr:cNvPr id="860871" name="67"/>
        <xdr:cNvSpPr/>
      </xdr:nvSpPr>
      <xdr:spPr>
        <a:xfrm>
          <a:off x="19380654" y="108966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80</xdr:col>
      <xdr:colOff>102054</xdr:colOff>
      <xdr:row>70</xdr:row>
      <xdr:rowOff>76200</xdr:rowOff>
    </xdr:from>
    <xdr:to>
      <xdr:col>80</xdr:col>
      <xdr:colOff>122464</xdr:colOff>
      <xdr:row>70</xdr:row>
      <xdr:rowOff>76200</xdr:rowOff>
    </xdr:to>
    <xdr:cxnSp macro="">
      <xdr:nvCxnSpPr>
        <xdr:cNvPr id="860872" name="직선 화살표 연결선 860871"/>
        <xdr:cNvCxnSpPr/>
      </xdr:nvCxnSpPr>
      <xdr:spPr>
        <a:xfrm>
          <a:off x="19380654" y="109537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102054</xdr:colOff>
      <xdr:row>69</xdr:row>
      <xdr:rowOff>19050</xdr:rowOff>
    </xdr:from>
    <xdr:to>
      <xdr:col>79</xdr:col>
      <xdr:colOff>123734</xdr:colOff>
      <xdr:row>69</xdr:row>
      <xdr:rowOff>133350</xdr:rowOff>
    </xdr:to>
    <xdr:sp macro="" textlink="">
      <xdr:nvSpPr>
        <xdr:cNvPr id="860873" name="66"/>
        <xdr:cNvSpPr/>
      </xdr:nvSpPr>
      <xdr:spPr>
        <a:xfrm>
          <a:off x="19237779" y="107442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102054</xdr:colOff>
      <xdr:row>69</xdr:row>
      <xdr:rowOff>76200</xdr:rowOff>
    </xdr:from>
    <xdr:to>
      <xdr:col>79</xdr:col>
      <xdr:colOff>122464</xdr:colOff>
      <xdr:row>69</xdr:row>
      <xdr:rowOff>76200</xdr:rowOff>
    </xdr:to>
    <xdr:cxnSp macro="">
      <xdr:nvCxnSpPr>
        <xdr:cNvPr id="860874" name="직선 화살표 연결선 860873"/>
        <xdr:cNvCxnSpPr/>
      </xdr:nvCxnSpPr>
      <xdr:spPr>
        <a:xfrm>
          <a:off x="19237779" y="108013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102054</xdr:colOff>
      <xdr:row>68</xdr:row>
      <xdr:rowOff>19050</xdr:rowOff>
    </xdr:from>
    <xdr:to>
      <xdr:col>78</xdr:col>
      <xdr:colOff>123734</xdr:colOff>
      <xdr:row>68</xdr:row>
      <xdr:rowOff>133350</xdr:rowOff>
    </xdr:to>
    <xdr:sp macro="" textlink="">
      <xdr:nvSpPr>
        <xdr:cNvPr id="860875" name="65"/>
        <xdr:cNvSpPr/>
      </xdr:nvSpPr>
      <xdr:spPr>
        <a:xfrm>
          <a:off x="19094904" y="105918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102054</xdr:colOff>
      <xdr:row>68</xdr:row>
      <xdr:rowOff>76200</xdr:rowOff>
    </xdr:from>
    <xdr:to>
      <xdr:col>78</xdr:col>
      <xdr:colOff>122464</xdr:colOff>
      <xdr:row>68</xdr:row>
      <xdr:rowOff>76200</xdr:rowOff>
    </xdr:to>
    <xdr:cxnSp macro="">
      <xdr:nvCxnSpPr>
        <xdr:cNvPr id="860876" name="직선 화살표 연결선 860875"/>
        <xdr:cNvCxnSpPr/>
      </xdr:nvCxnSpPr>
      <xdr:spPr>
        <a:xfrm>
          <a:off x="19094904" y="106489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102054</xdr:colOff>
      <xdr:row>67</xdr:row>
      <xdr:rowOff>19050</xdr:rowOff>
    </xdr:from>
    <xdr:to>
      <xdr:col>77</xdr:col>
      <xdr:colOff>123734</xdr:colOff>
      <xdr:row>67</xdr:row>
      <xdr:rowOff>133350</xdr:rowOff>
    </xdr:to>
    <xdr:sp macro="" textlink="">
      <xdr:nvSpPr>
        <xdr:cNvPr id="860877" name="64"/>
        <xdr:cNvSpPr/>
      </xdr:nvSpPr>
      <xdr:spPr>
        <a:xfrm>
          <a:off x="18952029" y="104394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102054</xdr:colOff>
      <xdr:row>67</xdr:row>
      <xdr:rowOff>76200</xdr:rowOff>
    </xdr:from>
    <xdr:to>
      <xdr:col>77</xdr:col>
      <xdr:colOff>122464</xdr:colOff>
      <xdr:row>67</xdr:row>
      <xdr:rowOff>76200</xdr:rowOff>
    </xdr:to>
    <xdr:cxnSp macro="">
      <xdr:nvCxnSpPr>
        <xdr:cNvPr id="860878" name="직선 화살표 연결선 860877"/>
        <xdr:cNvCxnSpPr/>
      </xdr:nvCxnSpPr>
      <xdr:spPr>
        <a:xfrm>
          <a:off x="18952029" y="104965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102054</xdr:colOff>
      <xdr:row>66</xdr:row>
      <xdr:rowOff>19050</xdr:rowOff>
    </xdr:from>
    <xdr:to>
      <xdr:col>76</xdr:col>
      <xdr:colOff>123734</xdr:colOff>
      <xdr:row>66</xdr:row>
      <xdr:rowOff>133350</xdr:rowOff>
    </xdr:to>
    <xdr:sp macro="" textlink="">
      <xdr:nvSpPr>
        <xdr:cNvPr id="860879" name="63"/>
        <xdr:cNvSpPr/>
      </xdr:nvSpPr>
      <xdr:spPr>
        <a:xfrm>
          <a:off x="18809154" y="102870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102054</xdr:colOff>
      <xdr:row>66</xdr:row>
      <xdr:rowOff>76200</xdr:rowOff>
    </xdr:from>
    <xdr:to>
      <xdr:col>76</xdr:col>
      <xdr:colOff>122464</xdr:colOff>
      <xdr:row>66</xdr:row>
      <xdr:rowOff>76200</xdr:rowOff>
    </xdr:to>
    <xdr:cxnSp macro="">
      <xdr:nvCxnSpPr>
        <xdr:cNvPr id="860880" name="직선 화살표 연결선 860879"/>
        <xdr:cNvCxnSpPr/>
      </xdr:nvCxnSpPr>
      <xdr:spPr>
        <a:xfrm>
          <a:off x="18809154" y="103441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102054</xdr:colOff>
      <xdr:row>65</xdr:row>
      <xdr:rowOff>19050</xdr:rowOff>
    </xdr:from>
    <xdr:to>
      <xdr:col>75</xdr:col>
      <xdr:colOff>123734</xdr:colOff>
      <xdr:row>65</xdr:row>
      <xdr:rowOff>133350</xdr:rowOff>
    </xdr:to>
    <xdr:sp macro="" textlink="">
      <xdr:nvSpPr>
        <xdr:cNvPr id="860881" name="62"/>
        <xdr:cNvSpPr/>
      </xdr:nvSpPr>
      <xdr:spPr>
        <a:xfrm>
          <a:off x="18666279" y="101346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102054</xdr:colOff>
      <xdr:row>65</xdr:row>
      <xdr:rowOff>76200</xdr:rowOff>
    </xdr:from>
    <xdr:to>
      <xdr:col>75</xdr:col>
      <xdr:colOff>122464</xdr:colOff>
      <xdr:row>65</xdr:row>
      <xdr:rowOff>76200</xdr:rowOff>
    </xdr:to>
    <xdr:cxnSp macro="">
      <xdr:nvCxnSpPr>
        <xdr:cNvPr id="860882" name="직선 화살표 연결선 860881"/>
        <xdr:cNvCxnSpPr/>
      </xdr:nvCxnSpPr>
      <xdr:spPr>
        <a:xfrm>
          <a:off x="18666279" y="101917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102054</xdr:colOff>
      <xdr:row>64</xdr:row>
      <xdr:rowOff>19050</xdr:rowOff>
    </xdr:from>
    <xdr:to>
      <xdr:col>74</xdr:col>
      <xdr:colOff>123734</xdr:colOff>
      <xdr:row>64</xdr:row>
      <xdr:rowOff>133350</xdr:rowOff>
    </xdr:to>
    <xdr:sp macro="" textlink="">
      <xdr:nvSpPr>
        <xdr:cNvPr id="860883" name="61"/>
        <xdr:cNvSpPr/>
      </xdr:nvSpPr>
      <xdr:spPr>
        <a:xfrm>
          <a:off x="18523404" y="99822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102054</xdr:colOff>
      <xdr:row>64</xdr:row>
      <xdr:rowOff>76200</xdr:rowOff>
    </xdr:from>
    <xdr:to>
      <xdr:col>74</xdr:col>
      <xdr:colOff>122464</xdr:colOff>
      <xdr:row>64</xdr:row>
      <xdr:rowOff>76200</xdr:rowOff>
    </xdr:to>
    <xdr:cxnSp macro="">
      <xdr:nvCxnSpPr>
        <xdr:cNvPr id="860884" name="직선 화살표 연결선 860883"/>
        <xdr:cNvCxnSpPr/>
      </xdr:nvCxnSpPr>
      <xdr:spPr>
        <a:xfrm>
          <a:off x="18523404" y="100393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102054</xdr:colOff>
      <xdr:row>63</xdr:row>
      <xdr:rowOff>19050</xdr:rowOff>
    </xdr:from>
    <xdr:to>
      <xdr:col>73</xdr:col>
      <xdr:colOff>123734</xdr:colOff>
      <xdr:row>63</xdr:row>
      <xdr:rowOff>133350</xdr:rowOff>
    </xdr:to>
    <xdr:sp macro="" textlink="">
      <xdr:nvSpPr>
        <xdr:cNvPr id="860885" name="60"/>
        <xdr:cNvSpPr/>
      </xdr:nvSpPr>
      <xdr:spPr>
        <a:xfrm>
          <a:off x="18380529" y="98298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73</xdr:col>
      <xdr:colOff>102054</xdr:colOff>
      <xdr:row>63</xdr:row>
      <xdr:rowOff>76200</xdr:rowOff>
    </xdr:from>
    <xdr:to>
      <xdr:col>73</xdr:col>
      <xdr:colOff>122464</xdr:colOff>
      <xdr:row>63</xdr:row>
      <xdr:rowOff>76200</xdr:rowOff>
    </xdr:to>
    <xdr:cxnSp macro="">
      <xdr:nvCxnSpPr>
        <xdr:cNvPr id="860886" name="직선 화살표 연결선 860885"/>
        <xdr:cNvCxnSpPr/>
      </xdr:nvCxnSpPr>
      <xdr:spPr>
        <a:xfrm>
          <a:off x="18380529" y="98869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72</xdr:col>
      <xdr:colOff>102054</xdr:colOff>
      <xdr:row>62</xdr:row>
      <xdr:rowOff>19050</xdr:rowOff>
    </xdr:from>
    <xdr:to>
      <xdr:col>72</xdr:col>
      <xdr:colOff>123734</xdr:colOff>
      <xdr:row>62</xdr:row>
      <xdr:rowOff>133350</xdr:rowOff>
    </xdr:to>
    <xdr:sp macro="" textlink="">
      <xdr:nvSpPr>
        <xdr:cNvPr id="860887" name="59"/>
        <xdr:cNvSpPr/>
      </xdr:nvSpPr>
      <xdr:spPr>
        <a:xfrm>
          <a:off x="18237654" y="96774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72</xdr:col>
      <xdr:colOff>102054</xdr:colOff>
      <xdr:row>62</xdr:row>
      <xdr:rowOff>76200</xdr:rowOff>
    </xdr:from>
    <xdr:to>
      <xdr:col>72</xdr:col>
      <xdr:colOff>122464</xdr:colOff>
      <xdr:row>62</xdr:row>
      <xdr:rowOff>76200</xdr:rowOff>
    </xdr:to>
    <xdr:cxnSp macro="">
      <xdr:nvCxnSpPr>
        <xdr:cNvPr id="860888" name="직선 화살표 연결선 860887"/>
        <xdr:cNvCxnSpPr/>
      </xdr:nvCxnSpPr>
      <xdr:spPr>
        <a:xfrm>
          <a:off x="18237654" y="97345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102054</xdr:colOff>
      <xdr:row>61</xdr:row>
      <xdr:rowOff>19050</xdr:rowOff>
    </xdr:from>
    <xdr:to>
      <xdr:col>71</xdr:col>
      <xdr:colOff>123734</xdr:colOff>
      <xdr:row>61</xdr:row>
      <xdr:rowOff>133350</xdr:rowOff>
    </xdr:to>
    <xdr:sp macro="" textlink="">
      <xdr:nvSpPr>
        <xdr:cNvPr id="860889" name="58"/>
        <xdr:cNvSpPr/>
      </xdr:nvSpPr>
      <xdr:spPr>
        <a:xfrm>
          <a:off x="18094779" y="95250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71</xdr:col>
      <xdr:colOff>102054</xdr:colOff>
      <xdr:row>61</xdr:row>
      <xdr:rowOff>76200</xdr:rowOff>
    </xdr:from>
    <xdr:to>
      <xdr:col>71</xdr:col>
      <xdr:colOff>122464</xdr:colOff>
      <xdr:row>61</xdr:row>
      <xdr:rowOff>76200</xdr:rowOff>
    </xdr:to>
    <xdr:cxnSp macro="">
      <xdr:nvCxnSpPr>
        <xdr:cNvPr id="860890" name="직선 화살표 연결선 860889"/>
        <xdr:cNvCxnSpPr/>
      </xdr:nvCxnSpPr>
      <xdr:spPr>
        <a:xfrm>
          <a:off x="18094779" y="95821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102054</xdr:colOff>
      <xdr:row>60</xdr:row>
      <xdr:rowOff>19050</xdr:rowOff>
    </xdr:from>
    <xdr:to>
      <xdr:col>70</xdr:col>
      <xdr:colOff>123734</xdr:colOff>
      <xdr:row>60</xdr:row>
      <xdr:rowOff>133350</xdr:rowOff>
    </xdr:to>
    <xdr:sp macro="" textlink="">
      <xdr:nvSpPr>
        <xdr:cNvPr id="860891" name="57"/>
        <xdr:cNvSpPr/>
      </xdr:nvSpPr>
      <xdr:spPr>
        <a:xfrm>
          <a:off x="17951904" y="93726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102054</xdr:colOff>
      <xdr:row>60</xdr:row>
      <xdr:rowOff>76200</xdr:rowOff>
    </xdr:from>
    <xdr:to>
      <xdr:col>70</xdr:col>
      <xdr:colOff>122464</xdr:colOff>
      <xdr:row>60</xdr:row>
      <xdr:rowOff>76200</xdr:rowOff>
    </xdr:to>
    <xdr:cxnSp macro="">
      <xdr:nvCxnSpPr>
        <xdr:cNvPr id="860892" name="직선 화살표 연결선 860891"/>
        <xdr:cNvCxnSpPr/>
      </xdr:nvCxnSpPr>
      <xdr:spPr>
        <a:xfrm>
          <a:off x="17951904" y="94297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102054</xdr:colOff>
      <xdr:row>59</xdr:row>
      <xdr:rowOff>19050</xdr:rowOff>
    </xdr:from>
    <xdr:to>
      <xdr:col>69</xdr:col>
      <xdr:colOff>123734</xdr:colOff>
      <xdr:row>59</xdr:row>
      <xdr:rowOff>133350</xdr:rowOff>
    </xdr:to>
    <xdr:sp macro="" textlink="">
      <xdr:nvSpPr>
        <xdr:cNvPr id="860893" name="56"/>
        <xdr:cNvSpPr/>
      </xdr:nvSpPr>
      <xdr:spPr>
        <a:xfrm>
          <a:off x="17809029" y="92202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102054</xdr:colOff>
      <xdr:row>59</xdr:row>
      <xdr:rowOff>76200</xdr:rowOff>
    </xdr:from>
    <xdr:to>
      <xdr:col>69</xdr:col>
      <xdr:colOff>122464</xdr:colOff>
      <xdr:row>59</xdr:row>
      <xdr:rowOff>76200</xdr:rowOff>
    </xdr:to>
    <xdr:cxnSp macro="">
      <xdr:nvCxnSpPr>
        <xdr:cNvPr id="860894" name="직선 화살표 연결선 860893"/>
        <xdr:cNvCxnSpPr/>
      </xdr:nvCxnSpPr>
      <xdr:spPr>
        <a:xfrm>
          <a:off x="17809029" y="92773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102054</xdr:colOff>
      <xdr:row>58</xdr:row>
      <xdr:rowOff>19050</xdr:rowOff>
    </xdr:from>
    <xdr:to>
      <xdr:col>68</xdr:col>
      <xdr:colOff>123734</xdr:colOff>
      <xdr:row>58</xdr:row>
      <xdr:rowOff>133350</xdr:rowOff>
    </xdr:to>
    <xdr:sp macro="" textlink="">
      <xdr:nvSpPr>
        <xdr:cNvPr id="860895" name="55"/>
        <xdr:cNvSpPr/>
      </xdr:nvSpPr>
      <xdr:spPr>
        <a:xfrm>
          <a:off x="17666154" y="90678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102054</xdr:colOff>
      <xdr:row>58</xdr:row>
      <xdr:rowOff>76200</xdr:rowOff>
    </xdr:from>
    <xdr:to>
      <xdr:col>68</xdr:col>
      <xdr:colOff>122464</xdr:colOff>
      <xdr:row>58</xdr:row>
      <xdr:rowOff>76200</xdr:rowOff>
    </xdr:to>
    <xdr:cxnSp macro="">
      <xdr:nvCxnSpPr>
        <xdr:cNvPr id="860896" name="직선 화살표 연결선 860895"/>
        <xdr:cNvCxnSpPr/>
      </xdr:nvCxnSpPr>
      <xdr:spPr>
        <a:xfrm>
          <a:off x="17666154" y="91249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102054</xdr:colOff>
      <xdr:row>57</xdr:row>
      <xdr:rowOff>19050</xdr:rowOff>
    </xdr:from>
    <xdr:to>
      <xdr:col>67</xdr:col>
      <xdr:colOff>123734</xdr:colOff>
      <xdr:row>57</xdr:row>
      <xdr:rowOff>133350</xdr:rowOff>
    </xdr:to>
    <xdr:sp macro="" textlink="">
      <xdr:nvSpPr>
        <xdr:cNvPr id="860897" name="54"/>
        <xdr:cNvSpPr/>
      </xdr:nvSpPr>
      <xdr:spPr>
        <a:xfrm>
          <a:off x="17523279" y="89154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102054</xdr:colOff>
      <xdr:row>57</xdr:row>
      <xdr:rowOff>76200</xdr:rowOff>
    </xdr:from>
    <xdr:to>
      <xdr:col>67</xdr:col>
      <xdr:colOff>122464</xdr:colOff>
      <xdr:row>57</xdr:row>
      <xdr:rowOff>76200</xdr:rowOff>
    </xdr:to>
    <xdr:cxnSp macro="">
      <xdr:nvCxnSpPr>
        <xdr:cNvPr id="860898" name="직선 화살표 연결선 860897"/>
        <xdr:cNvCxnSpPr/>
      </xdr:nvCxnSpPr>
      <xdr:spPr>
        <a:xfrm>
          <a:off x="17523279" y="89725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102054</xdr:colOff>
      <xdr:row>56</xdr:row>
      <xdr:rowOff>19050</xdr:rowOff>
    </xdr:from>
    <xdr:to>
      <xdr:col>66</xdr:col>
      <xdr:colOff>123734</xdr:colOff>
      <xdr:row>56</xdr:row>
      <xdr:rowOff>133350</xdr:rowOff>
    </xdr:to>
    <xdr:sp macro="" textlink="">
      <xdr:nvSpPr>
        <xdr:cNvPr id="860899" name="53"/>
        <xdr:cNvSpPr/>
      </xdr:nvSpPr>
      <xdr:spPr>
        <a:xfrm>
          <a:off x="17380404" y="87630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102054</xdr:colOff>
      <xdr:row>56</xdr:row>
      <xdr:rowOff>76200</xdr:rowOff>
    </xdr:from>
    <xdr:to>
      <xdr:col>66</xdr:col>
      <xdr:colOff>122464</xdr:colOff>
      <xdr:row>56</xdr:row>
      <xdr:rowOff>76200</xdr:rowOff>
    </xdr:to>
    <xdr:cxnSp macro="">
      <xdr:nvCxnSpPr>
        <xdr:cNvPr id="860900" name="직선 화살표 연결선 860899"/>
        <xdr:cNvCxnSpPr/>
      </xdr:nvCxnSpPr>
      <xdr:spPr>
        <a:xfrm>
          <a:off x="17380404" y="88201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102054</xdr:colOff>
      <xdr:row>55</xdr:row>
      <xdr:rowOff>19050</xdr:rowOff>
    </xdr:from>
    <xdr:to>
      <xdr:col>65</xdr:col>
      <xdr:colOff>123734</xdr:colOff>
      <xdr:row>55</xdr:row>
      <xdr:rowOff>133350</xdr:rowOff>
    </xdr:to>
    <xdr:sp macro="" textlink="">
      <xdr:nvSpPr>
        <xdr:cNvPr id="860901" name="52"/>
        <xdr:cNvSpPr/>
      </xdr:nvSpPr>
      <xdr:spPr>
        <a:xfrm>
          <a:off x="17237529" y="86106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102054</xdr:colOff>
      <xdr:row>55</xdr:row>
      <xdr:rowOff>76200</xdr:rowOff>
    </xdr:from>
    <xdr:to>
      <xdr:col>65</xdr:col>
      <xdr:colOff>122464</xdr:colOff>
      <xdr:row>55</xdr:row>
      <xdr:rowOff>76200</xdr:rowOff>
    </xdr:to>
    <xdr:cxnSp macro="">
      <xdr:nvCxnSpPr>
        <xdr:cNvPr id="860902" name="직선 화살표 연결선 860901"/>
        <xdr:cNvCxnSpPr/>
      </xdr:nvCxnSpPr>
      <xdr:spPr>
        <a:xfrm>
          <a:off x="17237529" y="86677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102054</xdr:colOff>
      <xdr:row>54</xdr:row>
      <xdr:rowOff>19050</xdr:rowOff>
    </xdr:from>
    <xdr:to>
      <xdr:col>65</xdr:col>
      <xdr:colOff>86179</xdr:colOff>
      <xdr:row>54</xdr:row>
      <xdr:rowOff>146050</xdr:rowOff>
    </xdr:to>
    <xdr:sp macro="" textlink="">
      <xdr:nvSpPr>
        <xdr:cNvPr id="860903" name="51"/>
        <xdr:cNvSpPr/>
      </xdr:nvSpPr>
      <xdr:spPr>
        <a:xfrm>
          <a:off x="17094654" y="84582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81643</xdr:colOff>
      <xdr:row>53</xdr:row>
      <xdr:rowOff>19050</xdr:rowOff>
    </xdr:from>
    <xdr:to>
      <xdr:col>63</xdr:col>
      <xdr:colOff>103324</xdr:colOff>
      <xdr:row>53</xdr:row>
      <xdr:rowOff>133350</xdr:rowOff>
    </xdr:to>
    <xdr:sp macro="" textlink="">
      <xdr:nvSpPr>
        <xdr:cNvPr id="860904" name="50"/>
        <xdr:cNvSpPr/>
      </xdr:nvSpPr>
      <xdr:spPr>
        <a:xfrm>
          <a:off x="16931368" y="8305800"/>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81643</xdr:colOff>
      <xdr:row>53</xdr:row>
      <xdr:rowOff>76200</xdr:rowOff>
    </xdr:from>
    <xdr:to>
      <xdr:col>63</xdr:col>
      <xdr:colOff>102054</xdr:colOff>
      <xdr:row>53</xdr:row>
      <xdr:rowOff>76200</xdr:rowOff>
    </xdr:to>
    <xdr:cxnSp macro="">
      <xdr:nvCxnSpPr>
        <xdr:cNvPr id="860905" name="직선 화살표 연결선 860904"/>
        <xdr:cNvCxnSpPr/>
      </xdr:nvCxnSpPr>
      <xdr:spPr>
        <a:xfrm>
          <a:off x="16931368" y="83629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102054</xdr:colOff>
      <xdr:row>52</xdr:row>
      <xdr:rowOff>19050</xdr:rowOff>
    </xdr:from>
    <xdr:to>
      <xdr:col>62</xdr:col>
      <xdr:colOff>123734</xdr:colOff>
      <xdr:row>52</xdr:row>
      <xdr:rowOff>133350</xdr:rowOff>
    </xdr:to>
    <xdr:sp macro="" textlink="">
      <xdr:nvSpPr>
        <xdr:cNvPr id="860906" name="49"/>
        <xdr:cNvSpPr/>
      </xdr:nvSpPr>
      <xdr:spPr>
        <a:xfrm>
          <a:off x="16808904" y="81534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102054</xdr:colOff>
      <xdr:row>52</xdr:row>
      <xdr:rowOff>76200</xdr:rowOff>
    </xdr:from>
    <xdr:to>
      <xdr:col>62</xdr:col>
      <xdr:colOff>122464</xdr:colOff>
      <xdr:row>52</xdr:row>
      <xdr:rowOff>76200</xdr:rowOff>
    </xdr:to>
    <xdr:cxnSp macro="">
      <xdr:nvCxnSpPr>
        <xdr:cNvPr id="860907" name="직선 화살표 연결선 860906"/>
        <xdr:cNvCxnSpPr/>
      </xdr:nvCxnSpPr>
      <xdr:spPr>
        <a:xfrm>
          <a:off x="16808904" y="82105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102054</xdr:colOff>
      <xdr:row>51</xdr:row>
      <xdr:rowOff>19050</xdr:rowOff>
    </xdr:from>
    <xdr:to>
      <xdr:col>61</xdr:col>
      <xdr:colOff>123734</xdr:colOff>
      <xdr:row>51</xdr:row>
      <xdr:rowOff>133350</xdr:rowOff>
    </xdr:to>
    <xdr:sp macro="" textlink="">
      <xdr:nvSpPr>
        <xdr:cNvPr id="860908" name="48"/>
        <xdr:cNvSpPr/>
      </xdr:nvSpPr>
      <xdr:spPr>
        <a:xfrm>
          <a:off x="16666029" y="80010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102054</xdr:colOff>
      <xdr:row>51</xdr:row>
      <xdr:rowOff>76200</xdr:rowOff>
    </xdr:from>
    <xdr:to>
      <xdr:col>61</xdr:col>
      <xdr:colOff>122464</xdr:colOff>
      <xdr:row>51</xdr:row>
      <xdr:rowOff>76200</xdr:rowOff>
    </xdr:to>
    <xdr:cxnSp macro="">
      <xdr:nvCxnSpPr>
        <xdr:cNvPr id="860909" name="직선 화살표 연결선 860908"/>
        <xdr:cNvCxnSpPr/>
      </xdr:nvCxnSpPr>
      <xdr:spPr>
        <a:xfrm>
          <a:off x="16666029" y="80581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102054</xdr:colOff>
      <xdr:row>50</xdr:row>
      <xdr:rowOff>19050</xdr:rowOff>
    </xdr:from>
    <xdr:to>
      <xdr:col>60</xdr:col>
      <xdr:colOff>123734</xdr:colOff>
      <xdr:row>50</xdr:row>
      <xdr:rowOff>133350</xdr:rowOff>
    </xdr:to>
    <xdr:sp macro="" textlink="">
      <xdr:nvSpPr>
        <xdr:cNvPr id="860910" name="47"/>
        <xdr:cNvSpPr/>
      </xdr:nvSpPr>
      <xdr:spPr>
        <a:xfrm>
          <a:off x="16523154" y="78486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102054</xdr:colOff>
      <xdr:row>50</xdr:row>
      <xdr:rowOff>76200</xdr:rowOff>
    </xdr:from>
    <xdr:to>
      <xdr:col>60</xdr:col>
      <xdr:colOff>122464</xdr:colOff>
      <xdr:row>50</xdr:row>
      <xdr:rowOff>76200</xdr:rowOff>
    </xdr:to>
    <xdr:cxnSp macro="">
      <xdr:nvCxnSpPr>
        <xdr:cNvPr id="860911" name="직선 화살표 연결선 860910"/>
        <xdr:cNvCxnSpPr/>
      </xdr:nvCxnSpPr>
      <xdr:spPr>
        <a:xfrm>
          <a:off x="16523154" y="79057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102054</xdr:colOff>
      <xdr:row>49</xdr:row>
      <xdr:rowOff>19050</xdr:rowOff>
    </xdr:from>
    <xdr:to>
      <xdr:col>59</xdr:col>
      <xdr:colOff>123734</xdr:colOff>
      <xdr:row>49</xdr:row>
      <xdr:rowOff>133350</xdr:rowOff>
    </xdr:to>
    <xdr:sp macro="" textlink="">
      <xdr:nvSpPr>
        <xdr:cNvPr id="860912" name="46"/>
        <xdr:cNvSpPr/>
      </xdr:nvSpPr>
      <xdr:spPr>
        <a:xfrm>
          <a:off x="16380279" y="76962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102054</xdr:colOff>
      <xdr:row>49</xdr:row>
      <xdr:rowOff>76200</xdr:rowOff>
    </xdr:from>
    <xdr:to>
      <xdr:col>59</xdr:col>
      <xdr:colOff>122464</xdr:colOff>
      <xdr:row>49</xdr:row>
      <xdr:rowOff>76200</xdr:rowOff>
    </xdr:to>
    <xdr:cxnSp macro="">
      <xdr:nvCxnSpPr>
        <xdr:cNvPr id="860913" name="직선 화살표 연결선 860912"/>
        <xdr:cNvCxnSpPr/>
      </xdr:nvCxnSpPr>
      <xdr:spPr>
        <a:xfrm>
          <a:off x="16380279" y="77533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102054</xdr:colOff>
      <xdr:row>48</xdr:row>
      <xdr:rowOff>19050</xdr:rowOff>
    </xdr:from>
    <xdr:to>
      <xdr:col>58</xdr:col>
      <xdr:colOff>123734</xdr:colOff>
      <xdr:row>48</xdr:row>
      <xdr:rowOff>133350</xdr:rowOff>
    </xdr:to>
    <xdr:sp macro="" textlink="">
      <xdr:nvSpPr>
        <xdr:cNvPr id="860914" name="45"/>
        <xdr:cNvSpPr/>
      </xdr:nvSpPr>
      <xdr:spPr>
        <a:xfrm>
          <a:off x="16237404" y="75438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102054</xdr:colOff>
      <xdr:row>48</xdr:row>
      <xdr:rowOff>76200</xdr:rowOff>
    </xdr:from>
    <xdr:to>
      <xdr:col>58</xdr:col>
      <xdr:colOff>122464</xdr:colOff>
      <xdr:row>48</xdr:row>
      <xdr:rowOff>76200</xdr:rowOff>
    </xdr:to>
    <xdr:cxnSp macro="">
      <xdr:nvCxnSpPr>
        <xdr:cNvPr id="860915" name="직선 화살표 연결선 860914"/>
        <xdr:cNvCxnSpPr/>
      </xdr:nvCxnSpPr>
      <xdr:spPr>
        <a:xfrm>
          <a:off x="16237404" y="76009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102054</xdr:colOff>
      <xdr:row>47</xdr:row>
      <xdr:rowOff>19050</xdr:rowOff>
    </xdr:from>
    <xdr:to>
      <xdr:col>57</xdr:col>
      <xdr:colOff>123734</xdr:colOff>
      <xdr:row>47</xdr:row>
      <xdr:rowOff>133350</xdr:rowOff>
    </xdr:to>
    <xdr:sp macro="" textlink="">
      <xdr:nvSpPr>
        <xdr:cNvPr id="860916" name="44"/>
        <xdr:cNvSpPr/>
      </xdr:nvSpPr>
      <xdr:spPr>
        <a:xfrm>
          <a:off x="16094529" y="73914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102054</xdr:colOff>
      <xdr:row>47</xdr:row>
      <xdr:rowOff>76200</xdr:rowOff>
    </xdr:from>
    <xdr:to>
      <xdr:col>57</xdr:col>
      <xdr:colOff>122464</xdr:colOff>
      <xdr:row>47</xdr:row>
      <xdr:rowOff>76200</xdr:rowOff>
    </xdr:to>
    <xdr:cxnSp macro="">
      <xdr:nvCxnSpPr>
        <xdr:cNvPr id="860917" name="직선 화살표 연결선 860916"/>
        <xdr:cNvCxnSpPr/>
      </xdr:nvCxnSpPr>
      <xdr:spPr>
        <a:xfrm>
          <a:off x="16094529" y="74485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81643</xdr:colOff>
      <xdr:row>46</xdr:row>
      <xdr:rowOff>19050</xdr:rowOff>
    </xdr:from>
    <xdr:to>
      <xdr:col>56</xdr:col>
      <xdr:colOff>103324</xdr:colOff>
      <xdr:row>46</xdr:row>
      <xdr:rowOff>133350</xdr:rowOff>
    </xdr:to>
    <xdr:sp macro="" textlink="">
      <xdr:nvSpPr>
        <xdr:cNvPr id="860918" name="43"/>
        <xdr:cNvSpPr/>
      </xdr:nvSpPr>
      <xdr:spPr>
        <a:xfrm>
          <a:off x="15931243" y="7239000"/>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81643</xdr:colOff>
      <xdr:row>46</xdr:row>
      <xdr:rowOff>76200</xdr:rowOff>
    </xdr:from>
    <xdr:to>
      <xdr:col>56</xdr:col>
      <xdr:colOff>102054</xdr:colOff>
      <xdr:row>46</xdr:row>
      <xdr:rowOff>76200</xdr:rowOff>
    </xdr:to>
    <xdr:cxnSp macro="">
      <xdr:nvCxnSpPr>
        <xdr:cNvPr id="860919" name="직선 화살표 연결선 860918"/>
        <xdr:cNvCxnSpPr/>
      </xdr:nvCxnSpPr>
      <xdr:spPr>
        <a:xfrm>
          <a:off x="15931243" y="72961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102054</xdr:colOff>
      <xdr:row>45</xdr:row>
      <xdr:rowOff>19050</xdr:rowOff>
    </xdr:from>
    <xdr:to>
      <xdr:col>55</xdr:col>
      <xdr:colOff>123734</xdr:colOff>
      <xdr:row>45</xdr:row>
      <xdr:rowOff>133350</xdr:rowOff>
    </xdr:to>
    <xdr:sp macro="" textlink="">
      <xdr:nvSpPr>
        <xdr:cNvPr id="860920" name="42"/>
        <xdr:cNvSpPr/>
      </xdr:nvSpPr>
      <xdr:spPr>
        <a:xfrm>
          <a:off x="15808779" y="70866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102054</xdr:colOff>
      <xdr:row>45</xdr:row>
      <xdr:rowOff>76200</xdr:rowOff>
    </xdr:from>
    <xdr:to>
      <xdr:col>55</xdr:col>
      <xdr:colOff>122464</xdr:colOff>
      <xdr:row>45</xdr:row>
      <xdr:rowOff>76200</xdr:rowOff>
    </xdr:to>
    <xdr:cxnSp macro="">
      <xdr:nvCxnSpPr>
        <xdr:cNvPr id="860921" name="직선 화살표 연결선 860920"/>
        <xdr:cNvCxnSpPr/>
      </xdr:nvCxnSpPr>
      <xdr:spPr>
        <a:xfrm>
          <a:off x="15808779" y="71437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102054</xdr:colOff>
      <xdr:row>44</xdr:row>
      <xdr:rowOff>19050</xdr:rowOff>
    </xdr:from>
    <xdr:to>
      <xdr:col>54</xdr:col>
      <xdr:colOff>123734</xdr:colOff>
      <xdr:row>44</xdr:row>
      <xdr:rowOff>133350</xdr:rowOff>
    </xdr:to>
    <xdr:sp macro="" textlink="">
      <xdr:nvSpPr>
        <xdr:cNvPr id="860922" name="41"/>
        <xdr:cNvSpPr/>
      </xdr:nvSpPr>
      <xdr:spPr>
        <a:xfrm>
          <a:off x="15665904" y="69342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102054</xdr:colOff>
      <xdr:row>44</xdr:row>
      <xdr:rowOff>76200</xdr:rowOff>
    </xdr:from>
    <xdr:to>
      <xdr:col>54</xdr:col>
      <xdr:colOff>122464</xdr:colOff>
      <xdr:row>44</xdr:row>
      <xdr:rowOff>76200</xdr:rowOff>
    </xdr:to>
    <xdr:cxnSp macro="">
      <xdr:nvCxnSpPr>
        <xdr:cNvPr id="860923" name="직선 화살표 연결선 860922"/>
        <xdr:cNvCxnSpPr/>
      </xdr:nvCxnSpPr>
      <xdr:spPr>
        <a:xfrm>
          <a:off x="15665904" y="69913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102054</xdr:colOff>
      <xdr:row>43</xdr:row>
      <xdr:rowOff>19050</xdr:rowOff>
    </xdr:from>
    <xdr:to>
      <xdr:col>53</xdr:col>
      <xdr:colOff>123734</xdr:colOff>
      <xdr:row>43</xdr:row>
      <xdr:rowOff>133350</xdr:rowOff>
    </xdr:to>
    <xdr:sp macro="" textlink="">
      <xdr:nvSpPr>
        <xdr:cNvPr id="860924" name="40"/>
        <xdr:cNvSpPr/>
      </xdr:nvSpPr>
      <xdr:spPr>
        <a:xfrm>
          <a:off x="15523029" y="67818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102054</xdr:colOff>
      <xdr:row>43</xdr:row>
      <xdr:rowOff>76200</xdr:rowOff>
    </xdr:from>
    <xdr:to>
      <xdr:col>53</xdr:col>
      <xdr:colOff>122464</xdr:colOff>
      <xdr:row>43</xdr:row>
      <xdr:rowOff>76200</xdr:rowOff>
    </xdr:to>
    <xdr:cxnSp macro="">
      <xdr:nvCxnSpPr>
        <xdr:cNvPr id="860925" name="직선 화살표 연결선 860924"/>
        <xdr:cNvCxnSpPr/>
      </xdr:nvCxnSpPr>
      <xdr:spPr>
        <a:xfrm>
          <a:off x="15523029" y="68389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102054</xdr:colOff>
      <xdr:row>42</xdr:row>
      <xdr:rowOff>19050</xdr:rowOff>
    </xdr:from>
    <xdr:to>
      <xdr:col>52</xdr:col>
      <xdr:colOff>123734</xdr:colOff>
      <xdr:row>42</xdr:row>
      <xdr:rowOff>133350</xdr:rowOff>
    </xdr:to>
    <xdr:sp macro="" textlink="">
      <xdr:nvSpPr>
        <xdr:cNvPr id="860926" name="39"/>
        <xdr:cNvSpPr/>
      </xdr:nvSpPr>
      <xdr:spPr>
        <a:xfrm>
          <a:off x="15380154" y="66294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102054</xdr:colOff>
      <xdr:row>42</xdr:row>
      <xdr:rowOff>76200</xdr:rowOff>
    </xdr:from>
    <xdr:to>
      <xdr:col>52</xdr:col>
      <xdr:colOff>122464</xdr:colOff>
      <xdr:row>42</xdr:row>
      <xdr:rowOff>76200</xdr:rowOff>
    </xdr:to>
    <xdr:cxnSp macro="">
      <xdr:nvCxnSpPr>
        <xdr:cNvPr id="860927" name="직선 화살표 연결선 860926"/>
        <xdr:cNvCxnSpPr/>
      </xdr:nvCxnSpPr>
      <xdr:spPr>
        <a:xfrm>
          <a:off x="15380154" y="66865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102054</xdr:colOff>
      <xdr:row>41</xdr:row>
      <xdr:rowOff>19050</xdr:rowOff>
    </xdr:from>
    <xdr:to>
      <xdr:col>51</xdr:col>
      <xdr:colOff>123734</xdr:colOff>
      <xdr:row>41</xdr:row>
      <xdr:rowOff>133350</xdr:rowOff>
    </xdr:to>
    <xdr:sp macro="" textlink="">
      <xdr:nvSpPr>
        <xdr:cNvPr id="860928" name="38"/>
        <xdr:cNvSpPr/>
      </xdr:nvSpPr>
      <xdr:spPr>
        <a:xfrm>
          <a:off x="15237279" y="64770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102054</xdr:colOff>
      <xdr:row>41</xdr:row>
      <xdr:rowOff>76200</xdr:rowOff>
    </xdr:from>
    <xdr:to>
      <xdr:col>51</xdr:col>
      <xdr:colOff>122464</xdr:colOff>
      <xdr:row>41</xdr:row>
      <xdr:rowOff>76200</xdr:rowOff>
    </xdr:to>
    <xdr:cxnSp macro="">
      <xdr:nvCxnSpPr>
        <xdr:cNvPr id="860929" name="직선 화살표 연결선 860928"/>
        <xdr:cNvCxnSpPr/>
      </xdr:nvCxnSpPr>
      <xdr:spPr>
        <a:xfrm>
          <a:off x="15237279" y="65341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102054</xdr:colOff>
      <xdr:row>40</xdr:row>
      <xdr:rowOff>19050</xdr:rowOff>
    </xdr:from>
    <xdr:to>
      <xdr:col>50</xdr:col>
      <xdr:colOff>123734</xdr:colOff>
      <xdr:row>40</xdr:row>
      <xdr:rowOff>133350</xdr:rowOff>
    </xdr:to>
    <xdr:sp macro="" textlink="">
      <xdr:nvSpPr>
        <xdr:cNvPr id="860930" name="37"/>
        <xdr:cNvSpPr/>
      </xdr:nvSpPr>
      <xdr:spPr>
        <a:xfrm>
          <a:off x="15094404" y="63246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102054</xdr:colOff>
      <xdr:row>40</xdr:row>
      <xdr:rowOff>76200</xdr:rowOff>
    </xdr:from>
    <xdr:to>
      <xdr:col>50</xdr:col>
      <xdr:colOff>122464</xdr:colOff>
      <xdr:row>40</xdr:row>
      <xdr:rowOff>76200</xdr:rowOff>
    </xdr:to>
    <xdr:cxnSp macro="">
      <xdr:nvCxnSpPr>
        <xdr:cNvPr id="860931" name="직선 화살표 연결선 860930"/>
        <xdr:cNvCxnSpPr/>
      </xdr:nvCxnSpPr>
      <xdr:spPr>
        <a:xfrm>
          <a:off x="15094404" y="63817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102054</xdr:colOff>
      <xdr:row>39</xdr:row>
      <xdr:rowOff>19050</xdr:rowOff>
    </xdr:from>
    <xdr:to>
      <xdr:col>49</xdr:col>
      <xdr:colOff>123734</xdr:colOff>
      <xdr:row>39</xdr:row>
      <xdr:rowOff>133350</xdr:rowOff>
    </xdr:to>
    <xdr:sp macro="" textlink="">
      <xdr:nvSpPr>
        <xdr:cNvPr id="860932" name="36"/>
        <xdr:cNvSpPr/>
      </xdr:nvSpPr>
      <xdr:spPr>
        <a:xfrm>
          <a:off x="14951529" y="61722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102054</xdr:colOff>
      <xdr:row>39</xdr:row>
      <xdr:rowOff>76200</xdr:rowOff>
    </xdr:from>
    <xdr:to>
      <xdr:col>49</xdr:col>
      <xdr:colOff>122464</xdr:colOff>
      <xdr:row>39</xdr:row>
      <xdr:rowOff>76200</xdr:rowOff>
    </xdr:to>
    <xdr:cxnSp macro="">
      <xdr:nvCxnSpPr>
        <xdr:cNvPr id="860933" name="직선 화살표 연결선 860932"/>
        <xdr:cNvCxnSpPr/>
      </xdr:nvCxnSpPr>
      <xdr:spPr>
        <a:xfrm>
          <a:off x="14951529" y="62293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102054</xdr:colOff>
      <xdr:row>38</xdr:row>
      <xdr:rowOff>19050</xdr:rowOff>
    </xdr:from>
    <xdr:to>
      <xdr:col>48</xdr:col>
      <xdr:colOff>123734</xdr:colOff>
      <xdr:row>38</xdr:row>
      <xdr:rowOff>133350</xdr:rowOff>
    </xdr:to>
    <xdr:sp macro="" textlink="">
      <xdr:nvSpPr>
        <xdr:cNvPr id="860934" name="35"/>
        <xdr:cNvSpPr/>
      </xdr:nvSpPr>
      <xdr:spPr>
        <a:xfrm>
          <a:off x="14808654" y="60198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102054</xdr:colOff>
      <xdr:row>38</xdr:row>
      <xdr:rowOff>76200</xdr:rowOff>
    </xdr:from>
    <xdr:to>
      <xdr:col>48</xdr:col>
      <xdr:colOff>122464</xdr:colOff>
      <xdr:row>38</xdr:row>
      <xdr:rowOff>76200</xdr:rowOff>
    </xdr:to>
    <xdr:cxnSp macro="">
      <xdr:nvCxnSpPr>
        <xdr:cNvPr id="860935" name="직선 화살표 연결선 860934"/>
        <xdr:cNvCxnSpPr/>
      </xdr:nvCxnSpPr>
      <xdr:spPr>
        <a:xfrm>
          <a:off x="14808654" y="60769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102054</xdr:colOff>
      <xdr:row>37</xdr:row>
      <xdr:rowOff>19050</xdr:rowOff>
    </xdr:from>
    <xdr:to>
      <xdr:col>47</xdr:col>
      <xdr:colOff>123734</xdr:colOff>
      <xdr:row>37</xdr:row>
      <xdr:rowOff>133350</xdr:rowOff>
    </xdr:to>
    <xdr:sp macro="" textlink="">
      <xdr:nvSpPr>
        <xdr:cNvPr id="860936" name="34"/>
        <xdr:cNvSpPr/>
      </xdr:nvSpPr>
      <xdr:spPr>
        <a:xfrm>
          <a:off x="14665779" y="58674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102054</xdr:colOff>
      <xdr:row>37</xdr:row>
      <xdr:rowOff>76200</xdr:rowOff>
    </xdr:from>
    <xdr:to>
      <xdr:col>47</xdr:col>
      <xdr:colOff>122464</xdr:colOff>
      <xdr:row>37</xdr:row>
      <xdr:rowOff>76200</xdr:rowOff>
    </xdr:to>
    <xdr:cxnSp macro="">
      <xdr:nvCxnSpPr>
        <xdr:cNvPr id="860937" name="직선 화살표 연결선 860936"/>
        <xdr:cNvCxnSpPr/>
      </xdr:nvCxnSpPr>
      <xdr:spPr>
        <a:xfrm>
          <a:off x="14665779" y="59245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81643</xdr:colOff>
      <xdr:row>36</xdr:row>
      <xdr:rowOff>19050</xdr:rowOff>
    </xdr:from>
    <xdr:to>
      <xdr:col>46</xdr:col>
      <xdr:colOff>103324</xdr:colOff>
      <xdr:row>36</xdr:row>
      <xdr:rowOff>133350</xdr:rowOff>
    </xdr:to>
    <xdr:sp macro="" textlink="">
      <xdr:nvSpPr>
        <xdr:cNvPr id="860938" name="33"/>
        <xdr:cNvSpPr/>
      </xdr:nvSpPr>
      <xdr:spPr>
        <a:xfrm>
          <a:off x="14502493" y="5715000"/>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81643</xdr:colOff>
      <xdr:row>36</xdr:row>
      <xdr:rowOff>76200</xdr:rowOff>
    </xdr:from>
    <xdr:to>
      <xdr:col>46</xdr:col>
      <xdr:colOff>102054</xdr:colOff>
      <xdr:row>36</xdr:row>
      <xdr:rowOff>76200</xdr:rowOff>
    </xdr:to>
    <xdr:cxnSp macro="">
      <xdr:nvCxnSpPr>
        <xdr:cNvPr id="860939" name="직선 화살표 연결선 860938"/>
        <xdr:cNvCxnSpPr/>
      </xdr:nvCxnSpPr>
      <xdr:spPr>
        <a:xfrm>
          <a:off x="14502493" y="57721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102054</xdr:colOff>
      <xdr:row>35</xdr:row>
      <xdr:rowOff>19050</xdr:rowOff>
    </xdr:from>
    <xdr:to>
      <xdr:col>45</xdr:col>
      <xdr:colOff>123734</xdr:colOff>
      <xdr:row>35</xdr:row>
      <xdr:rowOff>133350</xdr:rowOff>
    </xdr:to>
    <xdr:sp macro="" textlink="">
      <xdr:nvSpPr>
        <xdr:cNvPr id="860940" name="32"/>
        <xdr:cNvSpPr/>
      </xdr:nvSpPr>
      <xdr:spPr>
        <a:xfrm>
          <a:off x="14380029" y="55626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102054</xdr:colOff>
      <xdr:row>35</xdr:row>
      <xdr:rowOff>76200</xdr:rowOff>
    </xdr:from>
    <xdr:to>
      <xdr:col>45</xdr:col>
      <xdr:colOff>122464</xdr:colOff>
      <xdr:row>35</xdr:row>
      <xdr:rowOff>76200</xdr:rowOff>
    </xdr:to>
    <xdr:cxnSp macro="">
      <xdr:nvCxnSpPr>
        <xdr:cNvPr id="860941" name="직선 화살표 연결선 860940"/>
        <xdr:cNvCxnSpPr/>
      </xdr:nvCxnSpPr>
      <xdr:spPr>
        <a:xfrm>
          <a:off x="14380029" y="56197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102054</xdr:colOff>
      <xdr:row>34</xdr:row>
      <xdr:rowOff>19050</xdr:rowOff>
    </xdr:from>
    <xdr:to>
      <xdr:col>44</xdr:col>
      <xdr:colOff>123734</xdr:colOff>
      <xdr:row>34</xdr:row>
      <xdr:rowOff>133350</xdr:rowOff>
    </xdr:to>
    <xdr:sp macro="" textlink="">
      <xdr:nvSpPr>
        <xdr:cNvPr id="860942" name="31"/>
        <xdr:cNvSpPr/>
      </xdr:nvSpPr>
      <xdr:spPr>
        <a:xfrm>
          <a:off x="14237154" y="54102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102054</xdr:colOff>
      <xdr:row>34</xdr:row>
      <xdr:rowOff>76200</xdr:rowOff>
    </xdr:from>
    <xdr:to>
      <xdr:col>44</xdr:col>
      <xdr:colOff>122464</xdr:colOff>
      <xdr:row>34</xdr:row>
      <xdr:rowOff>76200</xdr:rowOff>
    </xdr:to>
    <xdr:cxnSp macro="">
      <xdr:nvCxnSpPr>
        <xdr:cNvPr id="860943" name="직선 화살표 연결선 860942"/>
        <xdr:cNvCxnSpPr/>
      </xdr:nvCxnSpPr>
      <xdr:spPr>
        <a:xfrm>
          <a:off x="14237154" y="54673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102054</xdr:colOff>
      <xdr:row>33</xdr:row>
      <xdr:rowOff>19050</xdr:rowOff>
    </xdr:from>
    <xdr:to>
      <xdr:col>43</xdr:col>
      <xdr:colOff>123734</xdr:colOff>
      <xdr:row>33</xdr:row>
      <xdr:rowOff>133350</xdr:rowOff>
    </xdr:to>
    <xdr:sp macro="" textlink="">
      <xdr:nvSpPr>
        <xdr:cNvPr id="860944" name="30"/>
        <xdr:cNvSpPr/>
      </xdr:nvSpPr>
      <xdr:spPr>
        <a:xfrm>
          <a:off x="14094279" y="52578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102054</xdr:colOff>
      <xdr:row>33</xdr:row>
      <xdr:rowOff>76200</xdr:rowOff>
    </xdr:from>
    <xdr:to>
      <xdr:col>43</xdr:col>
      <xdr:colOff>122464</xdr:colOff>
      <xdr:row>33</xdr:row>
      <xdr:rowOff>76200</xdr:rowOff>
    </xdr:to>
    <xdr:cxnSp macro="">
      <xdr:nvCxnSpPr>
        <xdr:cNvPr id="860945" name="직선 화살표 연결선 860944"/>
        <xdr:cNvCxnSpPr/>
      </xdr:nvCxnSpPr>
      <xdr:spPr>
        <a:xfrm>
          <a:off x="14094279" y="53149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102054</xdr:colOff>
      <xdr:row>32</xdr:row>
      <xdr:rowOff>19050</xdr:rowOff>
    </xdr:from>
    <xdr:to>
      <xdr:col>42</xdr:col>
      <xdr:colOff>123734</xdr:colOff>
      <xdr:row>32</xdr:row>
      <xdr:rowOff>133350</xdr:rowOff>
    </xdr:to>
    <xdr:sp macro="" textlink="">
      <xdr:nvSpPr>
        <xdr:cNvPr id="860946" name="29"/>
        <xdr:cNvSpPr/>
      </xdr:nvSpPr>
      <xdr:spPr>
        <a:xfrm>
          <a:off x="13951404" y="51054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102054</xdr:colOff>
      <xdr:row>32</xdr:row>
      <xdr:rowOff>76200</xdr:rowOff>
    </xdr:from>
    <xdr:to>
      <xdr:col>42</xdr:col>
      <xdr:colOff>122464</xdr:colOff>
      <xdr:row>32</xdr:row>
      <xdr:rowOff>76200</xdr:rowOff>
    </xdr:to>
    <xdr:cxnSp macro="">
      <xdr:nvCxnSpPr>
        <xdr:cNvPr id="860947" name="직선 화살표 연결선 860946"/>
        <xdr:cNvCxnSpPr/>
      </xdr:nvCxnSpPr>
      <xdr:spPr>
        <a:xfrm>
          <a:off x="13951404" y="51625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102054</xdr:colOff>
      <xdr:row>31</xdr:row>
      <xdr:rowOff>19050</xdr:rowOff>
    </xdr:from>
    <xdr:to>
      <xdr:col>41</xdr:col>
      <xdr:colOff>123734</xdr:colOff>
      <xdr:row>31</xdr:row>
      <xdr:rowOff>133350</xdr:rowOff>
    </xdr:to>
    <xdr:sp macro="" textlink="">
      <xdr:nvSpPr>
        <xdr:cNvPr id="860948" name="28"/>
        <xdr:cNvSpPr/>
      </xdr:nvSpPr>
      <xdr:spPr>
        <a:xfrm>
          <a:off x="13808529" y="49530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102054</xdr:colOff>
      <xdr:row>31</xdr:row>
      <xdr:rowOff>76200</xdr:rowOff>
    </xdr:from>
    <xdr:to>
      <xdr:col>41</xdr:col>
      <xdr:colOff>122464</xdr:colOff>
      <xdr:row>31</xdr:row>
      <xdr:rowOff>76200</xdr:rowOff>
    </xdr:to>
    <xdr:cxnSp macro="">
      <xdr:nvCxnSpPr>
        <xdr:cNvPr id="860949" name="직선 화살표 연결선 860948"/>
        <xdr:cNvCxnSpPr/>
      </xdr:nvCxnSpPr>
      <xdr:spPr>
        <a:xfrm>
          <a:off x="13808529" y="50101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102054</xdr:colOff>
      <xdr:row>30</xdr:row>
      <xdr:rowOff>19050</xdr:rowOff>
    </xdr:from>
    <xdr:to>
      <xdr:col>40</xdr:col>
      <xdr:colOff>123734</xdr:colOff>
      <xdr:row>30</xdr:row>
      <xdr:rowOff>133350</xdr:rowOff>
    </xdr:to>
    <xdr:sp macro="" textlink="">
      <xdr:nvSpPr>
        <xdr:cNvPr id="860950" name="27"/>
        <xdr:cNvSpPr/>
      </xdr:nvSpPr>
      <xdr:spPr>
        <a:xfrm>
          <a:off x="13665654" y="48006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102054</xdr:colOff>
      <xdr:row>30</xdr:row>
      <xdr:rowOff>76200</xdr:rowOff>
    </xdr:from>
    <xdr:to>
      <xdr:col>40</xdr:col>
      <xdr:colOff>122464</xdr:colOff>
      <xdr:row>30</xdr:row>
      <xdr:rowOff>76200</xdr:rowOff>
    </xdr:to>
    <xdr:cxnSp macro="">
      <xdr:nvCxnSpPr>
        <xdr:cNvPr id="860951" name="직선 화살표 연결선 860950"/>
        <xdr:cNvCxnSpPr/>
      </xdr:nvCxnSpPr>
      <xdr:spPr>
        <a:xfrm>
          <a:off x="13665654" y="48577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102054</xdr:colOff>
      <xdr:row>29</xdr:row>
      <xdr:rowOff>19050</xdr:rowOff>
    </xdr:from>
    <xdr:to>
      <xdr:col>39</xdr:col>
      <xdr:colOff>123734</xdr:colOff>
      <xdr:row>29</xdr:row>
      <xdr:rowOff>133350</xdr:rowOff>
    </xdr:to>
    <xdr:sp macro="" textlink="">
      <xdr:nvSpPr>
        <xdr:cNvPr id="860952" name="26"/>
        <xdr:cNvSpPr/>
      </xdr:nvSpPr>
      <xdr:spPr>
        <a:xfrm>
          <a:off x="13522779" y="46482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102054</xdr:colOff>
      <xdr:row>29</xdr:row>
      <xdr:rowOff>76200</xdr:rowOff>
    </xdr:from>
    <xdr:to>
      <xdr:col>39</xdr:col>
      <xdr:colOff>122464</xdr:colOff>
      <xdr:row>29</xdr:row>
      <xdr:rowOff>76200</xdr:rowOff>
    </xdr:to>
    <xdr:cxnSp macro="">
      <xdr:nvCxnSpPr>
        <xdr:cNvPr id="860953" name="직선 화살표 연결선 860952"/>
        <xdr:cNvCxnSpPr/>
      </xdr:nvCxnSpPr>
      <xdr:spPr>
        <a:xfrm>
          <a:off x="13522779" y="47053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102054</xdr:colOff>
      <xdr:row>28</xdr:row>
      <xdr:rowOff>19050</xdr:rowOff>
    </xdr:from>
    <xdr:to>
      <xdr:col>38</xdr:col>
      <xdr:colOff>123734</xdr:colOff>
      <xdr:row>28</xdr:row>
      <xdr:rowOff>133350</xdr:rowOff>
    </xdr:to>
    <xdr:sp macro="" textlink="">
      <xdr:nvSpPr>
        <xdr:cNvPr id="860954" name="25"/>
        <xdr:cNvSpPr/>
      </xdr:nvSpPr>
      <xdr:spPr>
        <a:xfrm>
          <a:off x="13379904" y="44958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102054</xdr:colOff>
      <xdr:row>28</xdr:row>
      <xdr:rowOff>76200</xdr:rowOff>
    </xdr:from>
    <xdr:to>
      <xdr:col>38</xdr:col>
      <xdr:colOff>122464</xdr:colOff>
      <xdr:row>28</xdr:row>
      <xdr:rowOff>76200</xdr:rowOff>
    </xdr:to>
    <xdr:cxnSp macro="">
      <xdr:nvCxnSpPr>
        <xdr:cNvPr id="860955" name="직선 화살표 연결선 860954"/>
        <xdr:cNvCxnSpPr/>
      </xdr:nvCxnSpPr>
      <xdr:spPr>
        <a:xfrm>
          <a:off x="13379904" y="45529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102054</xdr:colOff>
      <xdr:row>27</xdr:row>
      <xdr:rowOff>19050</xdr:rowOff>
    </xdr:from>
    <xdr:to>
      <xdr:col>37</xdr:col>
      <xdr:colOff>123734</xdr:colOff>
      <xdr:row>27</xdr:row>
      <xdr:rowOff>133350</xdr:rowOff>
    </xdr:to>
    <xdr:sp macro="" textlink="">
      <xdr:nvSpPr>
        <xdr:cNvPr id="860956" name="24"/>
        <xdr:cNvSpPr/>
      </xdr:nvSpPr>
      <xdr:spPr>
        <a:xfrm>
          <a:off x="13237029" y="43434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102054</xdr:colOff>
      <xdr:row>27</xdr:row>
      <xdr:rowOff>76200</xdr:rowOff>
    </xdr:from>
    <xdr:to>
      <xdr:col>37</xdr:col>
      <xdr:colOff>122464</xdr:colOff>
      <xdr:row>27</xdr:row>
      <xdr:rowOff>76200</xdr:rowOff>
    </xdr:to>
    <xdr:cxnSp macro="">
      <xdr:nvCxnSpPr>
        <xdr:cNvPr id="860957" name="직선 화살표 연결선 860956"/>
        <xdr:cNvCxnSpPr/>
      </xdr:nvCxnSpPr>
      <xdr:spPr>
        <a:xfrm>
          <a:off x="13237029" y="44005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102054</xdr:colOff>
      <xdr:row>26</xdr:row>
      <xdr:rowOff>19050</xdr:rowOff>
    </xdr:from>
    <xdr:to>
      <xdr:col>36</xdr:col>
      <xdr:colOff>123734</xdr:colOff>
      <xdr:row>26</xdr:row>
      <xdr:rowOff>133350</xdr:rowOff>
    </xdr:to>
    <xdr:sp macro="" textlink="">
      <xdr:nvSpPr>
        <xdr:cNvPr id="860958" name="23"/>
        <xdr:cNvSpPr/>
      </xdr:nvSpPr>
      <xdr:spPr>
        <a:xfrm>
          <a:off x="13094154" y="41910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102054</xdr:colOff>
      <xdr:row>26</xdr:row>
      <xdr:rowOff>76200</xdr:rowOff>
    </xdr:from>
    <xdr:to>
      <xdr:col>36</xdr:col>
      <xdr:colOff>122464</xdr:colOff>
      <xdr:row>26</xdr:row>
      <xdr:rowOff>76200</xdr:rowOff>
    </xdr:to>
    <xdr:cxnSp macro="">
      <xdr:nvCxnSpPr>
        <xdr:cNvPr id="860959" name="직선 화살표 연결선 860958"/>
        <xdr:cNvCxnSpPr/>
      </xdr:nvCxnSpPr>
      <xdr:spPr>
        <a:xfrm>
          <a:off x="13094154" y="42481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25</xdr:row>
      <xdr:rowOff>19050</xdr:rowOff>
    </xdr:from>
    <xdr:to>
      <xdr:col>35</xdr:col>
      <xdr:colOff>103323</xdr:colOff>
      <xdr:row>25</xdr:row>
      <xdr:rowOff>133350</xdr:rowOff>
    </xdr:to>
    <xdr:sp macro="" textlink="">
      <xdr:nvSpPr>
        <xdr:cNvPr id="860960" name="22"/>
        <xdr:cNvSpPr/>
      </xdr:nvSpPr>
      <xdr:spPr>
        <a:xfrm>
          <a:off x="12930868" y="40386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25</xdr:row>
      <xdr:rowOff>76200</xdr:rowOff>
    </xdr:from>
    <xdr:to>
      <xdr:col>35</xdr:col>
      <xdr:colOff>102053</xdr:colOff>
      <xdr:row>25</xdr:row>
      <xdr:rowOff>76200</xdr:rowOff>
    </xdr:to>
    <xdr:cxnSp macro="">
      <xdr:nvCxnSpPr>
        <xdr:cNvPr id="860961" name="직선 화살표 연결선 860960"/>
        <xdr:cNvCxnSpPr/>
      </xdr:nvCxnSpPr>
      <xdr:spPr>
        <a:xfrm>
          <a:off x="12930868" y="40957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24</xdr:row>
      <xdr:rowOff>19050</xdr:rowOff>
    </xdr:from>
    <xdr:to>
      <xdr:col>34</xdr:col>
      <xdr:colOff>103323</xdr:colOff>
      <xdr:row>24</xdr:row>
      <xdr:rowOff>133350</xdr:rowOff>
    </xdr:to>
    <xdr:sp macro="" textlink="">
      <xdr:nvSpPr>
        <xdr:cNvPr id="860962" name="21"/>
        <xdr:cNvSpPr/>
      </xdr:nvSpPr>
      <xdr:spPr>
        <a:xfrm>
          <a:off x="12787993" y="38862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24</xdr:row>
      <xdr:rowOff>76200</xdr:rowOff>
    </xdr:from>
    <xdr:to>
      <xdr:col>34</xdr:col>
      <xdr:colOff>102053</xdr:colOff>
      <xdr:row>24</xdr:row>
      <xdr:rowOff>76200</xdr:rowOff>
    </xdr:to>
    <xdr:cxnSp macro="">
      <xdr:nvCxnSpPr>
        <xdr:cNvPr id="860963" name="직선 화살표 연결선 860962"/>
        <xdr:cNvCxnSpPr/>
      </xdr:nvCxnSpPr>
      <xdr:spPr>
        <a:xfrm>
          <a:off x="12787993" y="39433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81643</xdr:colOff>
      <xdr:row>23</xdr:row>
      <xdr:rowOff>19050</xdr:rowOff>
    </xdr:from>
    <xdr:to>
      <xdr:col>33</xdr:col>
      <xdr:colOff>103323</xdr:colOff>
      <xdr:row>23</xdr:row>
      <xdr:rowOff>133350</xdr:rowOff>
    </xdr:to>
    <xdr:sp macro="" textlink="">
      <xdr:nvSpPr>
        <xdr:cNvPr id="860964" name="20"/>
        <xdr:cNvSpPr/>
      </xdr:nvSpPr>
      <xdr:spPr>
        <a:xfrm>
          <a:off x="12645118" y="37338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81643</xdr:colOff>
      <xdr:row>23</xdr:row>
      <xdr:rowOff>76200</xdr:rowOff>
    </xdr:from>
    <xdr:to>
      <xdr:col>33</xdr:col>
      <xdr:colOff>102053</xdr:colOff>
      <xdr:row>23</xdr:row>
      <xdr:rowOff>76200</xdr:rowOff>
    </xdr:to>
    <xdr:cxnSp macro="">
      <xdr:nvCxnSpPr>
        <xdr:cNvPr id="860965" name="직선 화살표 연결선 860964"/>
        <xdr:cNvCxnSpPr/>
      </xdr:nvCxnSpPr>
      <xdr:spPr>
        <a:xfrm>
          <a:off x="12645118" y="37909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81643</xdr:colOff>
      <xdr:row>22</xdr:row>
      <xdr:rowOff>19050</xdr:rowOff>
    </xdr:from>
    <xdr:to>
      <xdr:col>32</xdr:col>
      <xdr:colOff>103323</xdr:colOff>
      <xdr:row>22</xdr:row>
      <xdr:rowOff>133350</xdr:rowOff>
    </xdr:to>
    <xdr:sp macro="" textlink="">
      <xdr:nvSpPr>
        <xdr:cNvPr id="860966" name="19"/>
        <xdr:cNvSpPr/>
      </xdr:nvSpPr>
      <xdr:spPr>
        <a:xfrm>
          <a:off x="12502243" y="35814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81643</xdr:colOff>
      <xdr:row>22</xdr:row>
      <xdr:rowOff>76200</xdr:rowOff>
    </xdr:from>
    <xdr:to>
      <xdr:col>32</xdr:col>
      <xdr:colOff>102053</xdr:colOff>
      <xdr:row>22</xdr:row>
      <xdr:rowOff>76200</xdr:rowOff>
    </xdr:to>
    <xdr:cxnSp macro="">
      <xdr:nvCxnSpPr>
        <xdr:cNvPr id="860967" name="직선 화살표 연결선 860966"/>
        <xdr:cNvCxnSpPr/>
      </xdr:nvCxnSpPr>
      <xdr:spPr>
        <a:xfrm>
          <a:off x="12502243" y="36385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81643</xdr:colOff>
      <xdr:row>21</xdr:row>
      <xdr:rowOff>19050</xdr:rowOff>
    </xdr:from>
    <xdr:to>
      <xdr:col>81</xdr:col>
      <xdr:colOff>123734</xdr:colOff>
      <xdr:row>21</xdr:row>
      <xdr:rowOff>133350</xdr:rowOff>
    </xdr:to>
    <xdr:sp macro="" textlink="">
      <xdr:nvSpPr>
        <xdr:cNvPr id="860968" name="18"/>
        <xdr:cNvSpPr/>
      </xdr:nvSpPr>
      <xdr:spPr>
        <a:xfrm>
          <a:off x="12502243" y="3429000"/>
          <a:ext cx="70429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81643</xdr:colOff>
      <xdr:row>21</xdr:row>
      <xdr:rowOff>76200</xdr:rowOff>
    </xdr:from>
    <xdr:to>
      <xdr:col>81</xdr:col>
      <xdr:colOff>122464</xdr:colOff>
      <xdr:row>21</xdr:row>
      <xdr:rowOff>76200</xdr:rowOff>
    </xdr:to>
    <xdr:cxnSp macro="">
      <xdr:nvCxnSpPr>
        <xdr:cNvPr id="860969" name="직선 화살표 연결선 860968"/>
        <xdr:cNvCxnSpPr/>
      </xdr:nvCxnSpPr>
      <xdr:spPr>
        <a:xfrm>
          <a:off x="12502243" y="3486150"/>
          <a:ext cx="70416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61232</xdr:colOff>
      <xdr:row>20</xdr:row>
      <xdr:rowOff>19050</xdr:rowOff>
    </xdr:from>
    <xdr:to>
      <xdr:col>81</xdr:col>
      <xdr:colOff>82913</xdr:colOff>
      <xdr:row>20</xdr:row>
      <xdr:rowOff>133350</xdr:rowOff>
    </xdr:to>
    <xdr:sp macro="" textlink="">
      <xdr:nvSpPr>
        <xdr:cNvPr id="860970" name="17"/>
        <xdr:cNvSpPr/>
      </xdr:nvSpPr>
      <xdr:spPr>
        <a:xfrm>
          <a:off x="19482707" y="3276600"/>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61232</xdr:colOff>
      <xdr:row>20</xdr:row>
      <xdr:rowOff>76200</xdr:rowOff>
    </xdr:from>
    <xdr:to>
      <xdr:col>81</xdr:col>
      <xdr:colOff>81643</xdr:colOff>
      <xdr:row>20</xdr:row>
      <xdr:rowOff>76200</xdr:rowOff>
    </xdr:to>
    <xdr:cxnSp macro="">
      <xdr:nvCxnSpPr>
        <xdr:cNvPr id="860971" name="직선 화살표 연결선 860970"/>
        <xdr:cNvCxnSpPr/>
      </xdr:nvCxnSpPr>
      <xdr:spPr>
        <a:xfrm>
          <a:off x="19482707" y="33337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40821</xdr:colOff>
      <xdr:row>19</xdr:row>
      <xdr:rowOff>19050</xdr:rowOff>
    </xdr:from>
    <xdr:to>
      <xdr:col>58</xdr:col>
      <xdr:colOff>24946</xdr:colOff>
      <xdr:row>19</xdr:row>
      <xdr:rowOff>146050</xdr:rowOff>
    </xdr:to>
    <xdr:sp macro="" textlink="">
      <xdr:nvSpPr>
        <xdr:cNvPr id="860972" name="16"/>
        <xdr:cNvSpPr/>
      </xdr:nvSpPr>
      <xdr:spPr>
        <a:xfrm>
          <a:off x="16033296" y="31242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18</xdr:row>
      <xdr:rowOff>19050</xdr:rowOff>
    </xdr:from>
    <xdr:to>
      <xdr:col>33</xdr:col>
      <xdr:colOff>82913</xdr:colOff>
      <xdr:row>18</xdr:row>
      <xdr:rowOff>133350</xdr:rowOff>
    </xdr:to>
    <xdr:sp macro="" textlink="">
      <xdr:nvSpPr>
        <xdr:cNvPr id="860973" name="15"/>
        <xdr:cNvSpPr/>
      </xdr:nvSpPr>
      <xdr:spPr>
        <a:xfrm>
          <a:off x="12624707" y="2971800"/>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18</xdr:row>
      <xdr:rowOff>76200</xdr:rowOff>
    </xdr:from>
    <xdr:to>
      <xdr:col>33</xdr:col>
      <xdr:colOff>81643</xdr:colOff>
      <xdr:row>18</xdr:row>
      <xdr:rowOff>76200</xdr:rowOff>
    </xdr:to>
    <xdr:cxnSp macro="">
      <xdr:nvCxnSpPr>
        <xdr:cNvPr id="860974" name="직선 화살표 연결선 860973"/>
        <xdr:cNvCxnSpPr/>
      </xdr:nvCxnSpPr>
      <xdr:spPr>
        <a:xfrm>
          <a:off x="12624707" y="30289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17</xdr:row>
      <xdr:rowOff>19050</xdr:rowOff>
    </xdr:from>
    <xdr:to>
      <xdr:col>81</xdr:col>
      <xdr:colOff>82913</xdr:colOff>
      <xdr:row>17</xdr:row>
      <xdr:rowOff>133350</xdr:rowOff>
    </xdr:to>
    <xdr:sp macro="" textlink="">
      <xdr:nvSpPr>
        <xdr:cNvPr id="860975" name="14"/>
        <xdr:cNvSpPr/>
      </xdr:nvSpPr>
      <xdr:spPr>
        <a:xfrm>
          <a:off x="12624707" y="2819400"/>
          <a:ext cx="68796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17</xdr:row>
      <xdr:rowOff>76200</xdr:rowOff>
    </xdr:from>
    <xdr:to>
      <xdr:col>81</xdr:col>
      <xdr:colOff>81643</xdr:colOff>
      <xdr:row>17</xdr:row>
      <xdr:rowOff>76200</xdr:rowOff>
    </xdr:to>
    <xdr:cxnSp macro="">
      <xdr:nvCxnSpPr>
        <xdr:cNvPr id="860976" name="직선 화살표 연결선 860975"/>
        <xdr:cNvCxnSpPr/>
      </xdr:nvCxnSpPr>
      <xdr:spPr>
        <a:xfrm>
          <a:off x="12624707" y="2876550"/>
          <a:ext cx="6878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81643</xdr:colOff>
      <xdr:row>16</xdr:row>
      <xdr:rowOff>19050</xdr:rowOff>
    </xdr:from>
    <xdr:to>
      <xdr:col>81</xdr:col>
      <xdr:colOff>123734</xdr:colOff>
      <xdr:row>16</xdr:row>
      <xdr:rowOff>133350</xdr:rowOff>
    </xdr:to>
    <xdr:sp macro="" textlink="">
      <xdr:nvSpPr>
        <xdr:cNvPr id="860977" name="13"/>
        <xdr:cNvSpPr/>
      </xdr:nvSpPr>
      <xdr:spPr>
        <a:xfrm>
          <a:off x="12502243" y="2667000"/>
          <a:ext cx="70429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81643</xdr:colOff>
      <xdr:row>16</xdr:row>
      <xdr:rowOff>76200</xdr:rowOff>
    </xdr:from>
    <xdr:to>
      <xdr:col>81</xdr:col>
      <xdr:colOff>122464</xdr:colOff>
      <xdr:row>16</xdr:row>
      <xdr:rowOff>76200</xdr:rowOff>
    </xdr:to>
    <xdr:cxnSp macro="">
      <xdr:nvCxnSpPr>
        <xdr:cNvPr id="860978" name="직선 화살표 연결선 860977"/>
        <xdr:cNvCxnSpPr/>
      </xdr:nvCxnSpPr>
      <xdr:spPr>
        <a:xfrm>
          <a:off x="12502243" y="2724150"/>
          <a:ext cx="70416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15</xdr:row>
      <xdr:rowOff>19050</xdr:rowOff>
    </xdr:from>
    <xdr:to>
      <xdr:col>31</xdr:col>
      <xdr:colOff>123734</xdr:colOff>
      <xdr:row>15</xdr:row>
      <xdr:rowOff>133350</xdr:rowOff>
    </xdr:to>
    <xdr:sp macro="" textlink="">
      <xdr:nvSpPr>
        <xdr:cNvPr id="860979" name="12"/>
        <xdr:cNvSpPr/>
      </xdr:nvSpPr>
      <xdr:spPr>
        <a:xfrm>
          <a:off x="12298135" y="2514600"/>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15</xdr:row>
      <xdr:rowOff>76200</xdr:rowOff>
    </xdr:from>
    <xdr:to>
      <xdr:col>31</xdr:col>
      <xdr:colOff>122465</xdr:colOff>
      <xdr:row>15</xdr:row>
      <xdr:rowOff>76200</xdr:rowOff>
    </xdr:to>
    <xdr:cxnSp macro="">
      <xdr:nvCxnSpPr>
        <xdr:cNvPr id="860980" name="직선 화살표 연결선 860979"/>
        <xdr:cNvCxnSpPr/>
      </xdr:nvCxnSpPr>
      <xdr:spPr>
        <a:xfrm>
          <a:off x="12298135" y="25717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14</xdr:row>
      <xdr:rowOff>19050</xdr:rowOff>
    </xdr:from>
    <xdr:to>
      <xdr:col>31</xdr:col>
      <xdr:colOff>123734</xdr:colOff>
      <xdr:row>14</xdr:row>
      <xdr:rowOff>133350</xdr:rowOff>
    </xdr:to>
    <xdr:sp macro="" textlink="">
      <xdr:nvSpPr>
        <xdr:cNvPr id="860981" name="11"/>
        <xdr:cNvSpPr/>
      </xdr:nvSpPr>
      <xdr:spPr>
        <a:xfrm>
          <a:off x="12298135" y="2362200"/>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14</xdr:row>
      <xdr:rowOff>76200</xdr:rowOff>
    </xdr:from>
    <xdr:to>
      <xdr:col>31</xdr:col>
      <xdr:colOff>122465</xdr:colOff>
      <xdr:row>14</xdr:row>
      <xdr:rowOff>76200</xdr:rowOff>
    </xdr:to>
    <xdr:cxnSp macro="">
      <xdr:nvCxnSpPr>
        <xdr:cNvPr id="860982" name="직선 화살표 연결선 860981"/>
        <xdr:cNvCxnSpPr/>
      </xdr:nvCxnSpPr>
      <xdr:spPr>
        <a:xfrm>
          <a:off x="12298135" y="24193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13</xdr:row>
      <xdr:rowOff>19050</xdr:rowOff>
    </xdr:from>
    <xdr:to>
      <xdr:col>31</xdr:col>
      <xdr:colOff>123734</xdr:colOff>
      <xdr:row>13</xdr:row>
      <xdr:rowOff>133350</xdr:rowOff>
    </xdr:to>
    <xdr:sp macro="" textlink="">
      <xdr:nvSpPr>
        <xdr:cNvPr id="860983" name="10"/>
        <xdr:cNvSpPr/>
      </xdr:nvSpPr>
      <xdr:spPr>
        <a:xfrm>
          <a:off x="12298135" y="2209800"/>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13</xdr:row>
      <xdr:rowOff>76200</xdr:rowOff>
    </xdr:from>
    <xdr:to>
      <xdr:col>31</xdr:col>
      <xdr:colOff>122465</xdr:colOff>
      <xdr:row>13</xdr:row>
      <xdr:rowOff>76200</xdr:rowOff>
    </xdr:to>
    <xdr:cxnSp macro="">
      <xdr:nvCxnSpPr>
        <xdr:cNvPr id="860984" name="직선 화살표 연결선 860983"/>
        <xdr:cNvCxnSpPr/>
      </xdr:nvCxnSpPr>
      <xdr:spPr>
        <a:xfrm>
          <a:off x="12298135" y="22669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12</xdr:row>
      <xdr:rowOff>19050</xdr:rowOff>
    </xdr:from>
    <xdr:to>
      <xdr:col>31</xdr:col>
      <xdr:colOff>123734</xdr:colOff>
      <xdr:row>12</xdr:row>
      <xdr:rowOff>133350</xdr:rowOff>
    </xdr:to>
    <xdr:sp macro="" textlink="">
      <xdr:nvSpPr>
        <xdr:cNvPr id="860985" name="9"/>
        <xdr:cNvSpPr/>
      </xdr:nvSpPr>
      <xdr:spPr>
        <a:xfrm>
          <a:off x="12298135" y="2057400"/>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12</xdr:row>
      <xdr:rowOff>76200</xdr:rowOff>
    </xdr:from>
    <xdr:to>
      <xdr:col>31</xdr:col>
      <xdr:colOff>122465</xdr:colOff>
      <xdr:row>12</xdr:row>
      <xdr:rowOff>76200</xdr:rowOff>
    </xdr:to>
    <xdr:cxnSp macro="">
      <xdr:nvCxnSpPr>
        <xdr:cNvPr id="860986" name="직선 화살표 연결선 860985"/>
        <xdr:cNvCxnSpPr/>
      </xdr:nvCxnSpPr>
      <xdr:spPr>
        <a:xfrm>
          <a:off x="12298135" y="21145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11</xdr:row>
      <xdr:rowOff>19050</xdr:rowOff>
    </xdr:from>
    <xdr:to>
      <xdr:col>31</xdr:col>
      <xdr:colOff>123734</xdr:colOff>
      <xdr:row>11</xdr:row>
      <xdr:rowOff>133350</xdr:rowOff>
    </xdr:to>
    <xdr:sp macro="" textlink="">
      <xdr:nvSpPr>
        <xdr:cNvPr id="860987" name="8"/>
        <xdr:cNvSpPr/>
      </xdr:nvSpPr>
      <xdr:spPr>
        <a:xfrm>
          <a:off x="12298135" y="1905000"/>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11</xdr:row>
      <xdr:rowOff>76200</xdr:rowOff>
    </xdr:from>
    <xdr:to>
      <xdr:col>31</xdr:col>
      <xdr:colOff>122465</xdr:colOff>
      <xdr:row>11</xdr:row>
      <xdr:rowOff>76200</xdr:rowOff>
    </xdr:to>
    <xdr:cxnSp macro="">
      <xdr:nvCxnSpPr>
        <xdr:cNvPr id="860988" name="직선 화살표 연결선 860987"/>
        <xdr:cNvCxnSpPr/>
      </xdr:nvCxnSpPr>
      <xdr:spPr>
        <a:xfrm>
          <a:off x="12298135" y="19621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10</xdr:row>
      <xdr:rowOff>19050</xdr:rowOff>
    </xdr:from>
    <xdr:to>
      <xdr:col>31</xdr:col>
      <xdr:colOff>123734</xdr:colOff>
      <xdr:row>10</xdr:row>
      <xdr:rowOff>133350</xdr:rowOff>
    </xdr:to>
    <xdr:sp macro="" textlink="">
      <xdr:nvSpPr>
        <xdr:cNvPr id="860989" name="7"/>
        <xdr:cNvSpPr/>
      </xdr:nvSpPr>
      <xdr:spPr>
        <a:xfrm>
          <a:off x="12298135" y="1752600"/>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10</xdr:row>
      <xdr:rowOff>76200</xdr:rowOff>
    </xdr:from>
    <xdr:to>
      <xdr:col>31</xdr:col>
      <xdr:colOff>122465</xdr:colOff>
      <xdr:row>10</xdr:row>
      <xdr:rowOff>76200</xdr:rowOff>
    </xdr:to>
    <xdr:cxnSp macro="">
      <xdr:nvCxnSpPr>
        <xdr:cNvPr id="860990" name="직선 화살표 연결선 860989"/>
        <xdr:cNvCxnSpPr/>
      </xdr:nvCxnSpPr>
      <xdr:spPr>
        <a:xfrm>
          <a:off x="12298135" y="18097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9</xdr:row>
      <xdr:rowOff>19050</xdr:rowOff>
    </xdr:from>
    <xdr:to>
      <xdr:col>32</xdr:col>
      <xdr:colOff>4535</xdr:colOff>
      <xdr:row>9</xdr:row>
      <xdr:rowOff>146050</xdr:rowOff>
    </xdr:to>
    <xdr:sp macro="" textlink="">
      <xdr:nvSpPr>
        <xdr:cNvPr id="860991" name="6"/>
        <xdr:cNvSpPr/>
      </xdr:nvSpPr>
      <xdr:spPr>
        <a:xfrm>
          <a:off x="12298135" y="16002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8</xdr:row>
      <xdr:rowOff>19050</xdr:rowOff>
    </xdr:from>
    <xdr:to>
      <xdr:col>31</xdr:col>
      <xdr:colOff>123734</xdr:colOff>
      <xdr:row>8</xdr:row>
      <xdr:rowOff>133350</xdr:rowOff>
    </xdr:to>
    <xdr:sp macro="" textlink="">
      <xdr:nvSpPr>
        <xdr:cNvPr id="860992" name="5"/>
        <xdr:cNvSpPr/>
      </xdr:nvSpPr>
      <xdr:spPr>
        <a:xfrm>
          <a:off x="12298135" y="1447800"/>
          <a:ext cx="1033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8</xdr:row>
      <xdr:rowOff>76200</xdr:rowOff>
    </xdr:from>
    <xdr:to>
      <xdr:col>31</xdr:col>
      <xdr:colOff>122465</xdr:colOff>
      <xdr:row>8</xdr:row>
      <xdr:rowOff>76200</xdr:rowOff>
    </xdr:to>
    <xdr:cxnSp macro="">
      <xdr:nvCxnSpPr>
        <xdr:cNvPr id="860993" name="직선 화살표 연결선 860992"/>
        <xdr:cNvCxnSpPr/>
      </xdr:nvCxnSpPr>
      <xdr:spPr>
        <a:xfrm>
          <a:off x="12298135" y="15049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7</xdr:row>
      <xdr:rowOff>19050</xdr:rowOff>
    </xdr:from>
    <xdr:to>
      <xdr:col>31</xdr:col>
      <xdr:colOff>123734</xdr:colOff>
      <xdr:row>7</xdr:row>
      <xdr:rowOff>133350</xdr:rowOff>
    </xdr:to>
    <xdr:sp macro="" textlink="">
      <xdr:nvSpPr>
        <xdr:cNvPr id="860994" name="4"/>
        <xdr:cNvSpPr/>
      </xdr:nvSpPr>
      <xdr:spPr>
        <a:xfrm>
          <a:off x="12298135" y="1295400"/>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7</xdr:row>
      <xdr:rowOff>76200</xdr:rowOff>
    </xdr:from>
    <xdr:to>
      <xdr:col>31</xdr:col>
      <xdr:colOff>122465</xdr:colOff>
      <xdr:row>7</xdr:row>
      <xdr:rowOff>76200</xdr:rowOff>
    </xdr:to>
    <xdr:cxnSp macro="">
      <xdr:nvCxnSpPr>
        <xdr:cNvPr id="860995" name="직선 화살표 연결선 860994"/>
        <xdr:cNvCxnSpPr/>
      </xdr:nvCxnSpPr>
      <xdr:spPr>
        <a:xfrm>
          <a:off x="12298135" y="13525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6</xdr:row>
      <xdr:rowOff>19050</xdr:rowOff>
    </xdr:from>
    <xdr:to>
      <xdr:col>31</xdr:col>
      <xdr:colOff>123734</xdr:colOff>
      <xdr:row>6</xdr:row>
      <xdr:rowOff>133350</xdr:rowOff>
    </xdr:to>
    <xdr:sp macro="" textlink="">
      <xdr:nvSpPr>
        <xdr:cNvPr id="860996" name="3"/>
        <xdr:cNvSpPr/>
      </xdr:nvSpPr>
      <xdr:spPr>
        <a:xfrm>
          <a:off x="12298135" y="1143000"/>
          <a:ext cx="1033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6</xdr:row>
      <xdr:rowOff>76200</xdr:rowOff>
    </xdr:from>
    <xdr:to>
      <xdr:col>31</xdr:col>
      <xdr:colOff>122465</xdr:colOff>
      <xdr:row>6</xdr:row>
      <xdr:rowOff>76200</xdr:rowOff>
    </xdr:to>
    <xdr:cxnSp macro="">
      <xdr:nvCxnSpPr>
        <xdr:cNvPr id="860997" name="직선 화살표 연결선 860996"/>
        <xdr:cNvCxnSpPr/>
      </xdr:nvCxnSpPr>
      <xdr:spPr>
        <a:xfrm>
          <a:off x="12298135" y="12001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5</xdr:row>
      <xdr:rowOff>19050</xdr:rowOff>
    </xdr:from>
    <xdr:to>
      <xdr:col>31</xdr:col>
      <xdr:colOff>123734</xdr:colOff>
      <xdr:row>5</xdr:row>
      <xdr:rowOff>133350</xdr:rowOff>
    </xdr:to>
    <xdr:sp macro="" textlink="">
      <xdr:nvSpPr>
        <xdr:cNvPr id="860998" name="2"/>
        <xdr:cNvSpPr/>
      </xdr:nvSpPr>
      <xdr:spPr>
        <a:xfrm>
          <a:off x="12298135" y="990600"/>
          <a:ext cx="1033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5</xdr:row>
      <xdr:rowOff>76200</xdr:rowOff>
    </xdr:from>
    <xdr:to>
      <xdr:col>31</xdr:col>
      <xdr:colOff>122465</xdr:colOff>
      <xdr:row>5</xdr:row>
      <xdr:rowOff>76200</xdr:rowOff>
    </xdr:to>
    <xdr:cxnSp macro="">
      <xdr:nvCxnSpPr>
        <xdr:cNvPr id="860999" name="직선 화살표 연결선 860998"/>
        <xdr:cNvCxnSpPr/>
      </xdr:nvCxnSpPr>
      <xdr:spPr>
        <a:xfrm>
          <a:off x="12298135" y="10477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4</xdr:row>
      <xdr:rowOff>19050</xdr:rowOff>
    </xdr:from>
    <xdr:to>
      <xdr:col>82</xdr:col>
      <xdr:colOff>123734</xdr:colOff>
      <xdr:row>4</xdr:row>
      <xdr:rowOff>133350</xdr:rowOff>
    </xdr:to>
    <xdr:sp macro="" textlink="">
      <xdr:nvSpPr>
        <xdr:cNvPr id="861000" name="1"/>
        <xdr:cNvSpPr/>
      </xdr:nvSpPr>
      <xdr:spPr>
        <a:xfrm>
          <a:off x="12298135" y="838200"/>
          <a:ext cx="7389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4</xdr:row>
      <xdr:rowOff>76200</xdr:rowOff>
    </xdr:from>
    <xdr:to>
      <xdr:col>82</xdr:col>
      <xdr:colOff>122464</xdr:colOff>
      <xdr:row>4</xdr:row>
      <xdr:rowOff>76200</xdr:rowOff>
    </xdr:to>
    <xdr:cxnSp macro="">
      <xdr:nvCxnSpPr>
        <xdr:cNvPr id="861001" name="직선 화살표 연결선 861000"/>
        <xdr:cNvCxnSpPr/>
      </xdr:nvCxnSpPr>
      <xdr:spPr>
        <a:xfrm>
          <a:off x="12298135" y="895350"/>
          <a:ext cx="73886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171450</xdr:colOff>
      <xdr:row>0</xdr:row>
      <xdr:rowOff>152400</xdr:rowOff>
    </xdr:from>
    <xdr:to>
      <xdr:col>16</xdr:col>
      <xdr:colOff>205236</xdr:colOff>
      <xdr:row>22</xdr:row>
      <xdr:rowOff>153458</xdr:rowOff>
    </xdr:to>
    <xdr:pic>
      <xdr:nvPicPr>
        <xdr:cNvPr id="3" name="그림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171450" y="152400"/>
          <a:ext cx="11006586" cy="461115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A.&#49324;&#50629;&#44288;&#47532;\A200.&#49892;&#54665;&#48143;&#53685;&#51228;\A220.&#51068;&#51221;&#44288;&#47532;(WBS&#48143;&#44060;&#48156;&#51652;&#52377;&#44288;&#47532;)\SSTS-PP-29-WBS(V0.98)-202504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표지"/>
      <sheetName val="개정이력"/>
      <sheetName val="Schedule"/>
      <sheetName val="(참조)"/>
      <sheetName val="(비중)"/>
      <sheetName val="(상세진척)"/>
      <sheetName val="Progress"/>
      <sheetName val="AnalysisReport"/>
      <sheetName val="Calendar"/>
      <sheetName val="TranslatedLanguages"/>
      <sheetName val="Workload"/>
      <sheetName val="Help"/>
      <sheetName val="Settings"/>
    </sheetNames>
    <sheetDataSet>
      <sheetData sheetId="0" refreshError="1"/>
      <sheetData sheetId="1" refreshError="1"/>
      <sheetData sheetId="2" refreshError="1"/>
      <sheetData sheetId="3" refreshError="1"/>
      <sheetData sheetId="4" refreshError="1"/>
      <sheetData sheetId="5" refreshError="1"/>
      <sheetData sheetId="6">
        <row r="18">
          <cell r="B18">
            <v>0.19530921068925378</v>
          </cell>
        </row>
        <row r="21">
          <cell r="B21">
            <v>0.19694332788468683</v>
          </cell>
        </row>
      </sheetData>
      <sheetData sheetId="7" refreshError="1"/>
      <sheetData sheetId="8" refreshError="1"/>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9.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5"/>
  <sheetViews>
    <sheetView showGridLines="0" topLeftCell="B1" workbookViewId="0">
      <selection activeCell="S7" sqref="S7"/>
    </sheetView>
  </sheetViews>
  <sheetFormatPr defaultColWidth="9" defaultRowHeight="16.5"/>
  <cols>
    <col min="1" max="3" width="9" style="158"/>
    <col min="4" max="4" width="1.25" style="158" customWidth="1"/>
    <col min="5" max="5" width="3.5" style="158" customWidth="1"/>
    <col min="6" max="16384" width="9" style="158"/>
  </cols>
  <sheetData>
    <row r="1" spans="1:16" ht="17.25">
      <c r="A1" s="156" t="s">
        <v>1470</v>
      </c>
      <c r="B1" s="156"/>
      <c r="C1" s="157"/>
      <c r="D1" s="157"/>
      <c r="E1" s="157"/>
      <c r="F1" s="157"/>
      <c r="G1" s="157"/>
      <c r="H1" s="157"/>
      <c r="I1" s="157"/>
      <c r="J1" s="157"/>
      <c r="K1" s="157"/>
      <c r="L1" s="157"/>
      <c r="M1" s="157"/>
    </row>
    <row r="2" spans="1:16" ht="17.25" thickBot="1">
      <c r="A2" s="157"/>
      <c r="B2" s="157"/>
      <c r="C2" s="157"/>
      <c r="D2" s="157"/>
      <c r="E2" s="157"/>
      <c r="F2" s="157"/>
      <c r="G2" s="157"/>
      <c r="H2" s="157"/>
      <c r="I2" s="157"/>
      <c r="J2" s="157"/>
      <c r="N2" s="157"/>
      <c r="O2" s="157"/>
      <c r="P2" s="157"/>
    </row>
    <row r="3" spans="1:16">
      <c r="A3" s="157"/>
      <c r="B3" s="157"/>
      <c r="C3" s="157"/>
      <c r="D3" s="157"/>
      <c r="E3" s="157"/>
      <c r="F3" s="157"/>
      <c r="G3" s="157"/>
      <c r="H3" s="157"/>
      <c r="I3" s="157"/>
      <c r="J3" s="157"/>
      <c r="N3" s="159" t="s">
        <v>1471</v>
      </c>
      <c r="O3" s="338" t="s">
        <v>1488</v>
      </c>
      <c r="P3" s="339"/>
    </row>
    <row r="4" spans="1:16">
      <c r="A4" s="157"/>
      <c r="B4" s="160"/>
      <c r="C4" s="161"/>
      <c r="D4" s="161"/>
      <c r="E4" s="161"/>
      <c r="F4" s="157"/>
      <c r="G4" s="157"/>
      <c r="H4" s="157"/>
      <c r="I4" s="157"/>
      <c r="J4" s="157"/>
      <c r="N4" s="162" t="s">
        <v>1472</v>
      </c>
      <c r="O4" s="340">
        <v>45716</v>
      </c>
      <c r="P4" s="341"/>
    </row>
    <row r="5" spans="1:16" ht="17.25" thickBot="1">
      <c r="A5" s="157"/>
      <c r="B5" s="157"/>
      <c r="C5" s="157"/>
      <c r="D5" s="157"/>
      <c r="E5" s="157"/>
      <c r="F5" s="157"/>
      <c r="G5" s="157"/>
      <c r="H5" s="157"/>
      <c r="I5" s="157"/>
      <c r="J5" s="157"/>
      <c r="N5" s="163" t="s">
        <v>1473</v>
      </c>
      <c r="O5" s="342" t="s">
        <v>1474</v>
      </c>
      <c r="P5" s="343"/>
    </row>
    <row r="6" spans="1:16">
      <c r="A6" s="157"/>
      <c r="B6" s="157"/>
      <c r="C6" s="157"/>
      <c r="D6" s="157"/>
      <c r="E6" s="157"/>
      <c r="F6" s="157"/>
      <c r="G6" s="157"/>
      <c r="H6" s="157"/>
      <c r="I6" s="157"/>
      <c r="J6" s="157"/>
      <c r="K6" s="157"/>
      <c r="L6" s="157"/>
      <c r="M6" s="157"/>
    </row>
    <row r="7" spans="1:16">
      <c r="A7" s="157"/>
      <c r="B7" s="157"/>
      <c r="C7" s="157"/>
      <c r="E7" s="157"/>
      <c r="F7" s="157"/>
      <c r="G7" s="157"/>
      <c r="H7" s="157"/>
      <c r="I7" s="157"/>
      <c r="J7" s="157"/>
      <c r="K7" s="157"/>
      <c r="L7" s="157"/>
      <c r="M7" s="157"/>
    </row>
    <row r="8" spans="1:16">
      <c r="A8" s="157"/>
      <c r="B8" s="157"/>
      <c r="C8" s="157"/>
      <c r="D8" s="164"/>
      <c r="E8" s="157"/>
      <c r="F8" s="157"/>
      <c r="G8" s="157"/>
      <c r="H8" s="157"/>
      <c r="I8" s="157"/>
      <c r="J8" s="157"/>
      <c r="K8" s="157"/>
      <c r="L8" s="157"/>
      <c r="M8" s="157"/>
    </row>
    <row r="9" spans="1:16" ht="24">
      <c r="A9" s="157"/>
      <c r="B9" s="157"/>
      <c r="C9" s="157"/>
      <c r="D9" s="164"/>
      <c r="E9" s="157"/>
      <c r="F9" s="165" t="s">
        <v>1487</v>
      </c>
      <c r="G9" s="157"/>
      <c r="H9" s="157"/>
      <c r="I9" s="157"/>
      <c r="J9" s="157"/>
      <c r="K9" s="157"/>
      <c r="L9" s="157"/>
      <c r="M9" s="157"/>
    </row>
    <row r="10" spans="1:16" ht="32.25">
      <c r="A10" s="157"/>
      <c r="B10" s="157"/>
      <c r="C10" s="157"/>
      <c r="D10" s="164"/>
      <c r="E10" s="157"/>
      <c r="F10" s="166" t="s">
        <v>459</v>
      </c>
      <c r="G10" s="157"/>
      <c r="H10" s="157"/>
      <c r="I10" s="157"/>
      <c r="J10" s="157"/>
      <c r="K10" s="157"/>
      <c r="L10" s="157"/>
      <c r="M10" s="157"/>
    </row>
    <row r="11" spans="1:16">
      <c r="A11" s="157"/>
      <c r="B11" s="157"/>
      <c r="C11" s="157"/>
      <c r="D11" s="164"/>
      <c r="E11" s="157"/>
      <c r="F11" s="157"/>
      <c r="G11" s="157"/>
      <c r="H11" s="157"/>
      <c r="I11" s="157"/>
      <c r="J11" s="157"/>
      <c r="K11" s="157"/>
      <c r="L11" s="157"/>
      <c r="M11" s="157"/>
    </row>
    <row r="12" spans="1:16">
      <c r="A12" s="157"/>
      <c r="B12" s="157"/>
      <c r="C12" s="157"/>
      <c r="D12" s="157"/>
      <c r="E12" s="157"/>
      <c r="F12" s="157"/>
      <c r="G12" s="157"/>
      <c r="H12" s="157"/>
      <c r="I12" s="157"/>
      <c r="J12" s="157"/>
      <c r="K12" s="157"/>
      <c r="L12" s="157"/>
      <c r="M12" s="157"/>
    </row>
    <row r="13" spans="1:16">
      <c r="A13" s="157"/>
      <c r="B13" s="157"/>
      <c r="C13" s="157"/>
      <c r="D13" s="157"/>
      <c r="E13" s="157"/>
      <c r="F13" s="157"/>
      <c r="G13" s="157"/>
      <c r="H13" s="157"/>
      <c r="I13" s="157"/>
      <c r="J13" s="157"/>
      <c r="K13" s="157"/>
      <c r="L13" s="157"/>
      <c r="M13" s="157"/>
    </row>
    <row r="14" spans="1:16">
      <c r="A14" s="157"/>
      <c r="B14" s="157"/>
      <c r="C14" s="157"/>
      <c r="D14" s="157"/>
      <c r="E14" s="157"/>
      <c r="F14" s="157"/>
      <c r="G14" s="157"/>
      <c r="H14" s="157"/>
      <c r="I14" s="157"/>
      <c r="J14" s="157"/>
      <c r="K14" s="157"/>
      <c r="L14" s="157"/>
      <c r="M14" s="157"/>
    </row>
    <row r="15" spans="1:16">
      <c r="A15" s="157"/>
      <c r="B15" s="157"/>
      <c r="C15" s="157"/>
      <c r="D15" s="157"/>
      <c r="E15" s="157"/>
      <c r="F15" s="157"/>
      <c r="G15" s="157"/>
      <c r="H15" s="157"/>
      <c r="I15" s="157"/>
      <c r="J15" s="157"/>
      <c r="K15" s="157"/>
      <c r="L15" s="157"/>
      <c r="M15" s="157"/>
    </row>
    <row r="16" spans="1:16">
      <c r="A16" s="157"/>
      <c r="B16" s="157"/>
      <c r="C16" s="157"/>
      <c r="D16" s="157"/>
      <c r="E16" s="157"/>
      <c r="F16" s="157"/>
      <c r="G16" s="157"/>
      <c r="H16" s="157"/>
      <c r="I16" s="157"/>
      <c r="J16" s="157"/>
      <c r="K16" s="157"/>
      <c r="L16" s="157"/>
      <c r="M16" s="157"/>
    </row>
    <row r="17" spans="1:13">
      <c r="A17" s="157"/>
      <c r="B17" s="157"/>
      <c r="C17" s="157"/>
      <c r="D17" s="157"/>
      <c r="E17" s="157"/>
      <c r="F17" s="157"/>
      <c r="G17" s="157"/>
      <c r="H17" s="157"/>
      <c r="I17" s="157"/>
      <c r="J17" s="157"/>
      <c r="K17" s="157"/>
      <c r="L17" s="157"/>
      <c r="M17" s="157"/>
    </row>
    <row r="18" spans="1:13">
      <c r="A18" s="157"/>
      <c r="B18" s="157"/>
      <c r="C18" s="157"/>
      <c r="D18" s="157"/>
      <c r="E18" s="157"/>
      <c r="F18" s="157"/>
      <c r="G18" s="157"/>
      <c r="H18" s="157"/>
      <c r="I18" s="157"/>
      <c r="J18" s="157"/>
      <c r="K18" s="157"/>
      <c r="L18" s="157"/>
      <c r="M18" s="157"/>
    </row>
    <row r="19" spans="1:13">
      <c r="A19" s="157"/>
      <c r="B19" s="157"/>
      <c r="C19" s="157"/>
      <c r="D19" s="157"/>
      <c r="E19" s="157"/>
      <c r="F19" s="157"/>
      <c r="G19" s="157"/>
      <c r="H19" s="157"/>
      <c r="I19" s="157"/>
      <c r="J19" s="157"/>
      <c r="K19" s="157"/>
      <c r="L19" s="157"/>
      <c r="M19" s="157"/>
    </row>
    <row r="20" spans="1:13">
      <c r="A20" s="157"/>
      <c r="B20" s="157"/>
      <c r="C20" s="157"/>
      <c r="D20" s="157"/>
      <c r="E20" s="157"/>
      <c r="F20" s="157"/>
      <c r="G20" s="157"/>
      <c r="H20" s="157"/>
      <c r="I20" s="157"/>
      <c r="J20" s="157"/>
      <c r="K20" s="157"/>
      <c r="L20" s="157"/>
      <c r="M20" s="157"/>
    </row>
    <row r="21" spans="1:13">
      <c r="A21" s="157"/>
      <c r="B21" s="157"/>
      <c r="C21" s="157"/>
      <c r="D21" s="157"/>
      <c r="E21" s="157"/>
      <c r="F21" s="157"/>
      <c r="G21" s="157"/>
      <c r="H21" s="157"/>
      <c r="I21" s="157"/>
      <c r="J21" s="157"/>
      <c r="K21" s="157"/>
      <c r="L21" s="157"/>
      <c r="M21" s="157"/>
    </row>
    <row r="22" spans="1:13">
      <c r="A22" s="157"/>
      <c r="B22" s="157"/>
      <c r="C22" s="157"/>
      <c r="D22" s="157"/>
      <c r="E22" s="157"/>
      <c r="F22" s="157"/>
      <c r="G22" s="157"/>
      <c r="H22" s="157"/>
      <c r="I22" s="157"/>
      <c r="J22" s="157"/>
      <c r="K22" s="157"/>
      <c r="L22" s="157"/>
      <c r="M22" s="157"/>
    </row>
    <row r="23" spans="1:13">
      <c r="A23" s="157"/>
      <c r="B23" s="157"/>
      <c r="C23" s="157"/>
      <c r="D23" s="157"/>
      <c r="E23" s="157"/>
      <c r="F23" s="157"/>
      <c r="G23" s="157"/>
      <c r="H23" s="157"/>
      <c r="I23" s="157"/>
      <c r="J23" s="157"/>
      <c r="K23" s="157"/>
      <c r="L23" s="157"/>
      <c r="M23" s="157"/>
    </row>
    <row r="24" spans="1:13">
      <c r="A24" s="157"/>
      <c r="B24" s="157"/>
      <c r="C24" s="157"/>
      <c r="D24" s="157"/>
      <c r="E24" s="157"/>
      <c r="F24" s="157"/>
      <c r="G24" s="157"/>
      <c r="H24" s="157"/>
      <c r="I24" s="157"/>
      <c r="J24" s="157"/>
      <c r="K24" s="157"/>
      <c r="L24" s="157"/>
      <c r="M24" s="157"/>
    </row>
    <row r="25" spans="1:13">
      <c r="A25" s="157"/>
      <c r="B25" s="157"/>
      <c r="C25" s="157"/>
      <c r="D25" s="157"/>
      <c r="E25" s="157"/>
      <c r="F25" s="157"/>
      <c r="G25" s="157"/>
      <c r="H25" s="157"/>
      <c r="I25" s="157"/>
      <c r="J25" s="157"/>
      <c r="K25" s="157"/>
      <c r="L25" s="157"/>
      <c r="M25" s="157"/>
    </row>
    <row r="26" spans="1:13">
      <c r="A26" s="157"/>
      <c r="B26" s="157"/>
      <c r="C26" s="157"/>
      <c r="D26" s="157"/>
      <c r="E26" s="157"/>
      <c r="F26" s="157"/>
      <c r="G26" s="157"/>
      <c r="H26" s="157"/>
      <c r="I26" s="157"/>
      <c r="J26" s="157"/>
      <c r="K26" s="157"/>
      <c r="L26" s="157"/>
      <c r="M26" s="157"/>
    </row>
    <row r="27" spans="1:13">
      <c r="A27" s="157"/>
      <c r="B27" s="157"/>
      <c r="C27" s="157"/>
      <c r="D27" s="157"/>
      <c r="E27" s="157"/>
      <c r="F27" s="157"/>
      <c r="G27" s="157"/>
      <c r="H27" s="157"/>
      <c r="I27" s="157"/>
      <c r="J27" s="157"/>
      <c r="K27" s="157"/>
      <c r="L27" s="157"/>
      <c r="M27" s="157"/>
    </row>
    <row r="28" spans="1:13">
      <c r="A28" s="157"/>
      <c r="B28" s="157"/>
      <c r="C28" s="157"/>
      <c r="D28" s="157"/>
      <c r="E28" s="157"/>
      <c r="F28" s="157"/>
      <c r="G28" s="157"/>
      <c r="H28" s="157"/>
      <c r="I28" s="157"/>
      <c r="J28" s="157"/>
      <c r="K28" s="157"/>
      <c r="L28" s="157"/>
      <c r="M28" s="157"/>
    </row>
    <row r="29" spans="1:13">
      <c r="A29" s="157"/>
      <c r="B29" s="157"/>
      <c r="C29" s="157"/>
      <c r="D29" s="157"/>
      <c r="E29" s="157"/>
      <c r="F29" s="157"/>
      <c r="G29" s="157"/>
      <c r="H29" s="157"/>
      <c r="I29" s="157"/>
      <c r="J29" s="157"/>
      <c r="K29" s="157"/>
      <c r="L29" s="157"/>
      <c r="M29" s="157"/>
    </row>
    <row r="30" spans="1:13">
      <c r="A30" s="157"/>
      <c r="B30" s="157"/>
      <c r="C30" s="157"/>
      <c r="D30" s="157"/>
      <c r="E30" s="157"/>
      <c r="F30" s="157"/>
      <c r="G30" s="157"/>
      <c r="H30" s="157"/>
      <c r="I30" s="157"/>
      <c r="J30" s="157"/>
      <c r="K30" s="157"/>
      <c r="L30" s="157"/>
      <c r="M30" s="157"/>
    </row>
    <row r="31" spans="1:13">
      <c r="A31" s="157"/>
      <c r="B31" s="157"/>
      <c r="C31" s="157"/>
      <c r="D31" s="157"/>
      <c r="E31" s="157"/>
      <c r="F31" s="157"/>
      <c r="G31" s="157"/>
      <c r="H31" s="157"/>
      <c r="I31" s="157"/>
      <c r="J31" s="157"/>
      <c r="K31" s="157"/>
      <c r="L31" s="157"/>
      <c r="M31" s="157"/>
    </row>
    <row r="32" spans="1:13">
      <c r="A32" s="157"/>
      <c r="B32" s="157"/>
      <c r="C32" s="157"/>
      <c r="D32" s="157"/>
      <c r="E32" s="157"/>
      <c r="F32" s="157"/>
      <c r="G32" s="157"/>
      <c r="H32" s="157"/>
      <c r="I32" s="157"/>
      <c r="J32" s="157"/>
      <c r="K32" s="157"/>
      <c r="L32" s="157"/>
      <c r="M32" s="157"/>
    </row>
    <row r="33" spans="1:13">
      <c r="A33" s="157"/>
      <c r="B33" s="157"/>
      <c r="C33" s="157"/>
      <c r="D33" s="157"/>
      <c r="E33" s="157"/>
      <c r="F33" s="157"/>
      <c r="G33" s="157"/>
      <c r="H33" s="157"/>
      <c r="I33" s="157"/>
      <c r="J33" s="157"/>
      <c r="K33" s="157"/>
      <c r="L33" s="157"/>
      <c r="M33" s="157"/>
    </row>
    <row r="34" spans="1:13">
      <c r="A34" s="157"/>
      <c r="B34" s="157"/>
      <c r="C34" s="157"/>
      <c r="D34" s="157"/>
      <c r="E34" s="157"/>
      <c r="F34" s="157"/>
      <c r="G34" s="157"/>
      <c r="H34" s="157"/>
      <c r="I34" s="157"/>
      <c r="J34" s="157"/>
      <c r="K34" s="157"/>
      <c r="L34" s="157"/>
      <c r="M34" s="157"/>
    </row>
    <row r="35" spans="1:13">
      <c r="A35" s="157"/>
      <c r="B35" s="157"/>
      <c r="C35" s="157"/>
      <c r="D35" s="157"/>
      <c r="E35" s="157"/>
      <c r="F35" s="157"/>
      <c r="G35" s="157"/>
      <c r="H35" s="157"/>
      <c r="I35" s="157"/>
      <c r="J35" s="157"/>
      <c r="K35" s="157"/>
      <c r="L35" s="157"/>
      <c r="M35" s="157"/>
    </row>
  </sheetData>
  <mergeCells count="3">
    <mergeCell ref="O3:P3"/>
    <mergeCell ref="O4:P4"/>
    <mergeCell ref="O5:P5"/>
  </mergeCells>
  <phoneticPr fontId="16"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F25"/>
  <sheetViews>
    <sheetView showGridLines="0" topLeftCell="A4" zoomScale="130" zoomScaleNormal="130" workbookViewId="0">
      <selection activeCell="A15" sqref="A15:F15"/>
    </sheetView>
  </sheetViews>
  <sheetFormatPr defaultColWidth="9" defaultRowHeight="16.5"/>
  <cols>
    <col min="1" max="1" width="9" style="158"/>
    <col min="2" max="2" width="11.25" style="158" bestFit="1" customWidth="1"/>
    <col min="3" max="3" width="13.125" style="158" bestFit="1" customWidth="1"/>
    <col min="4" max="4" width="48.5" style="158" customWidth="1"/>
    <col min="5" max="16384" width="9" style="158"/>
  </cols>
  <sheetData>
    <row r="2" spans="1:6" ht="26.25">
      <c r="A2" s="344" t="s">
        <v>1475</v>
      </c>
      <c r="B2" s="344"/>
      <c r="C2" s="344"/>
      <c r="D2" s="344"/>
      <c r="E2" s="344"/>
      <c r="F2" s="344"/>
    </row>
    <row r="3" spans="1:6">
      <c r="A3" s="167" t="s">
        <v>1476</v>
      </c>
      <c r="B3" s="167" t="s">
        <v>1477</v>
      </c>
      <c r="C3" s="168" t="s">
        <v>1478</v>
      </c>
      <c r="D3" s="168" t="s">
        <v>1479</v>
      </c>
      <c r="E3" s="167" t="s">
        <v>1480</v>
      </c>
      <c r="F3" s="167" t="s">
        <v>1481</v>
      </c>
    </row>
    <row r="4" spans="1:6">
      <c r="A4" s="196">
        <v>0.91</v>
      </c>
      <c r="B4" s="170">
        <v>45716</v>
      </c>
      <c r="C4" s="169" t="s">
        <v>1482</v>
      </c>
      <c r="D4" s="171" t="s">
        <v>1483</v>
      </c>
      <c r="E4" s="169" t="s">
        <v>1970</v>
      </c>
      <c r="F4" s="169" t="s">
        <v>1484</v>
      </c>
    </row>
    <row r="5" spans="1:6">
      <c r="A5" s="196">
        <v>0.92</v>
      </c>
      <c r="B5" s="170">
        <v>45735</v>
      </c>
      <c r="C5" s="169" t="s">
        <v>2080</v>
      </c>
      <c r="D5" s="171" t="s">
        <v>2081</v>
      </c>
      <c r="E5" s="169" t="s">
        <v>2082</v>
      </c>
      <c r="F5" s="169" t="s">
        <v>2083</v>
      </c>
    </row>
    <row r="6" spans="1:6">
      <c r="A6" s="172">
        <v>1</v>
      </c>
      <c r="B6" s="170">
        <v>45751</v>
      </c>
      <c r="C6" s="169" t="s">
        <v>2276</v>
      </c>
      <c r="D6" s="171" t="s">
        <v>2278</v>
      </c>
      <c r="E6" s="169" t="s">
        <v>2277</v>
      </c>
      <c r="F6" s="169" t="s">
        <v>1484</v>
      </c>
    </row>
    <row r="7" spans="1:6" ht="40.5">
      <c r="A7" s="172">
        <v>1.1000000000000001</v>
      </c>
      <c r="B7" s="170">
        <v>45756</v>
      </c>
      <c r="C7" s="169" t="s">
        <v>2276</v>
      </c>
      <c r="D7" s="171" t="s">
        <v>2279</v>
      </c>
      <c r="E7" s="169" t="s">
        <v>2277</v>
      </c>
      <c r="F7" s="169" t="s">
        <v>1484</v>
      </c>
    </row>
    <row r="8" spans="1:6" ht="54">
      <c r="A8" s="169">
        <v>1.2</v>
      </c>
      <c r="B8" s="198">
        <v>45764</v>
      </c>
      <c r="C8" s="197" t="s">
        <v>2282</v>
      </c>
      <c r="D8" s="199" t="s">
        <v>2284</v>
      </c>
      <c r="E8" s="197" t="s">
        <v>2283</v>
      </c>
      <c r="F8" s="169" t="s">
        <v>1484</v>
      </c>
    </row>
    <row r="9" spans="1:6" ht="27">
      <c r="A9" s="345">
        <v>1.3</v>
      </c>
      <c r="B9" s="347">
        <v>45793</v>
      </c>
      <c r="C9" s="349" t="s">
        <v>2294</v>
      </c>
      <c r="D9" s="199" t="s">
        <v>2295</v>
      </c>
      <c r="E9" s="197" t="s">
        <v>2283</v>
      </c>
      <c r="F9" s="169" t="s">
        <v>1484</v>
      </c>
    </row>
    <row r="10" spans="1:6">
      <c r="A10" s="346"/>
      <c r="B10" s="348"/>
      <c r="C10" s="350"/>
      <c r="D10" s="171" t="s">
        <v>2296</v>
      </c>
      <c r="E10" s="173" t="s">
        <v>2297</v>
      </c>
      <c r="F10" s="173" t="s">
        <v>1484</v>
      </c>
    </row>
    <row r="11" spans="1:6">
      <c r="A11" s="200">
        <v>1.4</v>
      </c>
      <c r="B11" s="201">
        <v>45812</v>
      </c>
      <c r="C11" s="202" t="s">
        <v>2300</v>
      </c>
      <c r="D11" s="203" t="s">
        <v>2301</v>
      </c>
      <c r="E11" s="202" t="s">
        <v>2302</v>
      </c>
      <c r="F11" s="202" t="s">
        <v>2303</v>
      </c>
    </row>
    <row r="12" spans="1:6">
      <c r="A12" s="200">
        <v>1.5</v>
      </c>
      <c r="B12" s="201">
        <v>45818</v>
      </c>
      <c r="C12" s="202" t="s">
        <v>2300</v>
      </c>
      <c r="D12" s="203" t="s">
        <v>2481</v>
      </c>
      <c r="E12" s="202" t="s">
        <v>2304</v>
      </c>
      <c r="F12" s="202" t="s">
        <v>2083</v>
      </c>
    </row>
    <row r="13" spans="1:6">
      <c r="A13" s="200">
        <v>1.6</v>
      </c>
      <c r="B13" s="201">
        <v>45827</v>
      </c>
      <c r="C13" s="202" t="s">
        <v>2300</v>
      </c>
      <c r="D13" s="203" t="s">
        <v>2482</v>
      </c>
      <c r="E13" s="202" t="s">
        <v>2082</v>
      </c>
      <c r="F13" s="202" t="s">
        <v>2083</v>
      </c>
    </row>
    <row r="14" spans="1:6" ht="50.25" customHeight="1">
      <c r="A14" s="200">
        <v>1.7</v>
      </c>
      <c r="B14" s="201">
        <v>45841</v>
      </c>
      <c r="C14" s="202" t="s">
        <v>2300</v>
      </c>
      <c r="D14" s="203" t="s">
        <v>2604</v>
      </c>
      <c r="E14" s="202" t="s">
        <v>2082</v>
      </c>
      <c r="F14" s="202" t="s">
        <v>1484</v>
      </c>
    </row>
    <row r="15" spans="1:6">
      <c r="A15" s="200"/>
      <c r="B15" s="201"/>
      <c r="C15" s="202"/>
      <c r="D15" s="203"/>
      <c r="E15" s="202"/>
      <c r="F15" s="202"/>
    </row>
    <row r="16" spans="1:6">
      <c r="A16" s="169"/>
      <c r="B16" s="169"/>
      <c r="C16" s="169"/>
      <c r="D16" s="171"/>
      <c r="E16" s="169"/>
      <c r="F16" s="169"/>
    </row>
    <row r="17" spans="1:6">
      <c r="A17" s="169"/>
      <c r="B17" s="169"/>
      <c r="C17" s="169"/>
      <c r="D17" s="171"/>
      <c r="E17" s="169"/>
      <c r="F17" s="169"/>
    </row>
    <row r="18" spans="1:6">
      <c r="A18" s="169"/>
      <c r="B18" s="169"/>
      <c r="C18" s="169"/>
      <c r="D18" s="171"/>
      <c r="E18" s="169"/>
      <c r="F18" s="169"/>
    </row>
    <row r="19" spans="1:6">
      <c r="A19" s="169"/>
      <c r="B19" s="169"/>
      <c r="C19" s="169"/>
      <c r="D19" s="171"/>
      <c r="E19" s="169"/>
      <c r="F19" s="169"/>
    </row>
    <row r="20" spans="1:6">
      <c r="A20" s="174"/>
      <c r="B20" s="175"/>
      <c r="C20" s="175"/>
      <c r="D20" s="175"/>
      <c r="E20" s="175"/>
      <c r="F20" s="175"/>
    </row>
    <row r="21" spans="1:6" ht="15.75" customHeight="1">
      <c r="A21" s="175"/>
      <c r="B21" s="175"/>
      <c r="C21" s="175"/>
      <c r="D21" s="175"/>
      <c r="E21" s="175"/>
      <c r="F21" s="175"/>
    </row>
    <row r="22" spans="1:6">
      <c r="A22" s="176"/>
      <c r="B22" s="176"/>
      <c r="C22" s="176"/>
      <c r="D22" s="176"/>
      <c r="E22" s="176"/>
      <c r="F22" s="176"/>
    </row>
    <row r="23" spans="1:6">
      <c r="A23" s="177"/>
      <c r="B23" s="177"/>
      <c r="C23" s="177"/>
      <c r="D23" s="177"/>
      <c r="E23" s="177"/>
      <c r="F23" s="177"/>
    </row>
    <row r="24" spans="1:6">
      <c r="A24" s="178" t="s">
        <v>1485</v>
      </c>
      <c r="B24" s="178"/>
      <c r="C24" s="178"/>
      <c r="D24" s="178"/>
      <c r="E24" s="178"/>
      <c r="F24" s="178"/>
    </row>
    <row r="25" spans="1:6">
      <c r="A25" s="178" t="s">
        <v>1486</v>
      </c>
      <c r="B25" s="178"/>
      <c r="C25" s="178"/>
      <c r="D25" s="178"/>
      <c r="E25" s="178"/>
      <c r="F25" s="178"/>
    </row>
  </sheetData>
  <mergeCells count="4">
    <mergeCell ref="A2:F2"/>
    <mergeCell ref="A9:A10"/>
    <mergeCell ref="B9:B10"/>
    <mergeCell ref="C9:C10"/>
  </mergeCells>
  <phoneticPr fontId="16"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OL464"/>
  <sheetViews>
    <sheetView tabSelected="1" zoomScaleNormal="100" zoomScaleSheetLayoutView="115" zoomScalePageLayoutView="55" workbookViewId="0">
      <pane ySplit="4" topLeftCell="A437" activePane="bottomLeft" state="frozen"/>
      <selection activeCell="D1" sqref="D1"/>
      <selection pane="bottomLeft" activeCell="D5" sqref="D5"/>
    </sheetView>
  </sheetViews>
  <sheetFormatPr defaultColWidth="10" defaultRowHeight="12" customHeight="1" outlineLevelRow="4"/>
  <cols>
    <col min="1" max="1" width="9.125" style="108" hidden="1" customWidth="1"/>
    <col min="2" max="2" width="9" style="108" hidden="1" customWidth="1"/>
    <col min="3" max="3" width="8.375" style="108" hidden="1" customWidth="1"/>
    <col min="4" max="4" width="9.75" style="109" customWidth="1"/>
    <col min="5" max="13" width="2.75" style="110" customWidth="1"/>
    <col min="14" max="14" width="22" style="110" customWidth="1"/>
    <col min="15" max="15" width="27" style="110" bestFit="1" customWidth="1"/>
    <col min="16" max="17" width="10.5" style="180" customWidth="1"/>
    <col min="18" max="18" width="7.625" style="110" customWidth="1"/>
    <col min="19" max="19" width="7.375" style="111" customWidth="1"/>
    <col min="20" max="20" width="6.125" style="111" customWidth="1"/>
    <col min="21" max="21" width="6" style="111" customWidth="1"/>
    <col min="22" max="22" width="5.875" style="111" customWidth="1"/>
    <col min="23" max="24" width="9.75" style="180" hidden="1" customWidth="1"/>
    <col min="25" max="25" width="7.5" style="112" hidden="1" customWidth="1"/>
    <col min="26" max="26" width="6" style="113" hidden="1" customWidth="1"/>
    <col min="27" max="27" width="6.125" style="111" customWidth="1"/>
    <col min="28" max="28" width="14.625" style="110" hidden="1" customWidth="1"/>
    <col min="29" max="29" width="62.75" style="114" hidden="1" customWidth="1"/>
    <col min="30" max="30" width="8.375" style="115" bestFit="1" customWidth="1"/>
    <col min="31" max="31" width="9.125" style="116" customWidth="1"/>
    <col min="32" max="402" width="1.875" style="274" customWidth="1"/>
    <col min="403" max="16384" width="10" style="274"/>
  </cols>
  <sheetData>
    <row r="1" spans="1:402" s="284" customFormat="1" ht="24.95" customHeight="1">
      <c r="A1" s="275"/>
      <c r="B1" s="276"/>
      <c r="C1" s="277"/>
      <c r="D1" s="290" t="str" cm="1">
        <f t="array" aca="1" ref="D1" ca="1">xlgantt.ProjectName()</f>
        <v>신성통상 차세대 POS 및 키오스크 구축 프로젝트</v>
      </c>
      <c r="E1" s="278"/>
      <c r="F1" s="278"/>
      <c r="G1" s="278"/>
      <c r="H1" s="278"/>
      <c r="I1" s="278"/>
      <c r="J1" s="278"/>
      <c r="K1" s="278"/>
      <c r="L1" s="278"/>
      <c r="M1" s="278"/>
      <c r="N1" s="278"/>
      <c r="O1" s="278"/>
      <c r="P1" s="300"/>
      <c r="Q1" s="301"/>
      <c r="R1" s="279"/>
      <c r="S1" s="280"/>
      <c r="T1" s="281"/>
      <c r="U1" s="282"/>
      <c r="V1" s="282"/>
      <c r="W1" s="303"/>
      <c r="X1" s="303"/>
      <c r="Y1" s="276"/>
      <c r="Z1" s="283"/>
      <c r="AA1" s="267"/>
      <c r="AB1" s="260"/>
      <c r="AC1" s="261"/>
      <c r="AD1" s="268"/>
      <c r="AE1" s="269" t="str" cm="1">
        <f t="array" aca="1" ref="AE1" ca="1">xlgantt.ProjectProgressString()</f>
        <v>2025-02-17~2026-02-16 [계획:100.00% 실적:100.00%]</v>
      </c>
      <c r="AF1" s="292" t="s">
        <v>2605</v>
      </c>
      <c r="AG1" s="289"/>
      <c r="AH1" s="289"/>
      <c r="AI1" s="289"/>
      <c r="AJ1" s="289"/>
      <c r="AK1" s="289"/>
      <c r="AL1" s="289"/>
      <c r="AM1" s="289"/>
      <c r="AN1" s="289"/>
      <c r="AO1" s="289"/>
      <c r="AP1" s="289"/>
      <c r="AQ1" s="289"/>
      <c r="AR1" s="289"/>
      <c r="AS1" s="289"/>
      <c r="AT1" s="289"/>
      <c r="AU1" s="289"/>
      <c r="AV1" s="289"/>
      <c r="AW1" s="289"/>
      <c r="AX1" s="289"/>
      <c r="AY1" s="289"/>
      <c r="AZ1" s="289"/>
      <c r="BA1" s="289"/>
      <c r="BB1" s="289"/>
      <c r="BC1" s="289"/>
      <c r="BD1" s="289"/>
      <c r="BE1" s="289"/>
      <c r="BF1" s="289"/>
      <c r="BG1" s="289"/>
      <c r="BH1" s="289"/>
      <c r="BI1" s="289"/>
      <c r="BJ1" s="289"/>
    </row>
    <row r="2" spans="1:402" s="284" customFormat="1" ht="15" customHeight="1">
      <c r="A2" s="285"/>
      <c r="B2" s="285"/>
      <c r="C2" s="286"/>
      <c r="D2" s="355"/>
      <c r="E2" s="355"/>
      <c r="F2" s="355"/>
      <c r="G2" s="270"/>
      <c r="H2" s="287"/>
      <c r="I2" s="270"/>
      <c r="J2" s="270"/>
      <c r="K2" s="270"/>
      <c r="L2" s="270"/>
      <c r="M2" s="270"/>
      <c r="N2" s="270"/>
      <c r="O2" s="270"/>
      <c r="P2" s="302"/>
      <c r="Q2" s="302"/>
      <c r="R2" s="270"/>
      <c r="S2" s="271"/>
      <c r="T2" s="271"/>
      <c r="U2" s="271"/>
      <c r="V2" s="271"/>
      <c r="W2" s="302"/>
      <c r="X2" s="302"/>
      <c r="Y2" s="270"/>
      <c r="Z2" s="270"/>
      <c r="AA2" s="270"/>
      <c r="AB2" s="270"/>
      <c r="AC2" s="262"/>
      <c r="AD2" s="272"/>
      <c r="AE2" s="270" t="str" cm="1">
        <f t="array" aca="1" ref="AE2" ca="1">xlgantt.CommentOnHeadArea()</f>
        <v>계획진척율 계산 기준일자 : 2026-02-13</v>
      </c>
      <c r="AF2" s="351" t="s">
        <v>2307</v>
      </c>
      <c r="AG2" s="351"/>
      <c r="AH2" s="351"/>
      <c r="AI2" s="351"/>
      <c r="AJ2" s="351" t="s">
        <v>2309</v>
      </c>
      <c r="AK2" s="351"/>
      <c r="AL2" s="351"/>
      <c r="AM2" s="351"/>
      <c r="AN2" s="351" t="s">
        <v>2311</v>
      </c>
      <c r="AO2" s="351"/>
      <c r="AP2" s="351"/>
      <c r="AQ2" s="351"/>
      <c r="AR2" s="351" t="s">
        <v>2313</v>
      </c>
      <c r="AS2" s="351"/>
      <c r="AT2" s="351"/>
      <c r="AU2" s="351"/>
      <c r="AV2" s="351" t="s">
        <v>2315</v>
      </c>
      <c r="AW2" s="351"/>
      <c r="AX2" s="351"/>
      <c r="AY2" s="351"/>
      <c r="AZ2" s="351" t="s">
        <v>2317</v>
      </c>
      <c r="BA2" s="351"/>
      <c r="BB2" s="351"/>
      <c r="BC2" s="351"/>
      <c r="BD2" s="351" t="s">
        <v>2319</v>
      </c>
      <c r="BE2" s="351"/>
      <c r="BF2" s="351"/>
      <c r="BG2" s="351"/>
      <c r="BH2" s="351" t="s">
        <v>2321</v>
      </c>
      <c r="BI2" s="351"/>
      <c r="BJ2" s="351"/>
      <c r="BK2" s="351"/>
      <c r="BL2" s="351" t="s">
        <v>2323</v>
      </c>
      <c r="BM2" s="351"/>
      <c r="BN2" s="351"/>
      <c r="BO2" s="351"/>
      <c r="BP2" s="351" t="s">
        <v>2325</v>
      </c>
      <c r="BQ2" s="351"/>
      <c r="BR2" s="351"/>
      <c r="BS2" s="351"/>
      <c r="BT2" s="351" t="s">
        <v>2327</v>
      </c>
      <c r="BU2" s="351"/>
      <c r="BV2" s="351"/>
      <c r="BW2" s="351"/>
      <c r="BX2" s="351" t="s">
        <v>2329</v>
      </c>
      <c r="BY2" s="351"/>
      <c r="BZ2" s="351"/>
      <c r="CA2" s="351"/>
      <c r="CB2" s="351" t="s">
        <v>2331</v>
      </c>
      <c r="CC2" s="351"/>
      <c r="CD2" s="351"/>
      <c r="CE2" s="351"/>
      <c r="CF2" s="351" t="s">
        <v>2333</v>
      </c>
      <c r="CG2" s="351"/>
      <c r="CH2" s="351"/>
      <c r="CI2" s="351"/>
      <c r="CJ2" s="336"/>
      <c r="CK2" s="336"/>
      <c r="CL2" s="336"/>
      <c r="CM2" s="336"/>
      <c r="CN2" s="336"/>
      <c r="CO2" s="336"/>
      <c r="CP2" s="336"/>
      <c r="CQ2" s="336"/>
      <c r="CR2" s="336"/>
      <c r="CS2" s="336"/>
      <c r="CT2" s="336"/>
      <c r="CU2" s="336"/>
      <c r="CV2" s="336"/>
      <c r="CW2" s="336"/>
      <c r="CX2" s="336"/>
      <c r="CY2" s="336"/>
      <c r="CZ2" s="336"/>
      <c r="DA2" s="336"/>
      <c r="DB2" s="336"/>
      <c r="DC2" s="336"/>
      <c r="DD2" s="336"/>
      <c r="DE2" s="336"/>
      <c r="DF2" s="336"/>
      <c r="DG2" s="336"/>
      <c r="DH2" s="336"/>
      <c r="DI2" s="336"/>
      <c r="DJ2" s="336"/>
      <c r="DK2" s="336"/>
      <c r="DL2" s="336"/>
      <c r="DM2" s="336"/>
      <c r="DN2" s="336"/>
      <c r="DO2" s="336"/>
      <c r="DP2" s="336"/>
      <c r="DQ2" s="336"/>
      <c r="DR2" s="336"/>
      <c r="DS2" s="336"/>
      <c r="DT2" s="336"/>
      <c r="DU2" s="336"/>
      <c r="DV2" s="336"/>
      <c r="DW2" s="336"/>
      <c r="DX2" s="336"/>
      <c r="DY2" s="336"/>
      <c r="DZ2" s="336"/>
      <c r="EA2" s="336"/>
      <c r="EB2" s="336"/>
      <c r="EC2" s="336"/>
      <c r="ED2" s="336"/>
      <c r="EE2" s="336"/>
      <c r="EF2" s="336"/>
      <c r="EG2" s="336"/>
      <c r="EH2" s="336"/>
      <c r="EI2" s="336"/>
      <c r="EJ2" s="336"/>
      <c r="EK2" s="336"/>
      <c r="EL2" s="336"/>
      <c r="EM2" s="336"/>
      <c r="EN2" s="336"/>
      <c r="EO2" s="336"/>
      <c r="EP2" s="336"/>
      <c r="EQ2" s="336"/>
      <c r="ER2" s="336"/>
      <c r="ES2" s="336"/>
      <c r="ET2" s="336"/>
      <c r="EU2" s="336"/>
      <c r="EV2" s="336"/>
      <c r="EW2" s="336"/>
      <c r="EX2" s="336"/>
      <c r="EY2" s="336"/>
      <c r="EZ2" s="336"/>
      <c r="FA2" s="336"/>
      <c r="FB2" s="336"/>
      <c r="FC2" s="336"/>
      <c r="FD2" s="336"/>
      <c r="FE2" s="336"/>
      <c r="FF2" s="336"/>
      <c r="FG2" s="336"/>
      <c r="FH2" s="336"/>
      <c r="FI2" s="336"/>
      <c r="FJ2" s="336"/>
      <c r="FK2" s="336"/>
      <c r="FL2" s="336"/>
      <c r="FM2" s="336"/>
      <c r="FN2" s="336"/>
      <c r="FO2" s="336"/>
      <c r="FP2" s="336"/>
      <c r="FQ2" s="336"/>
      <c r="FR2" s="336"/>
      <c r="FS2" s="336"/>
      <c r="FT2" s="336"/>
      <c r="FU2" s="336"/>
      <c r="FV2" s="336"/>
      <c r="FW2" s="336"/>
      <c r="FX2" s="336"/>
      <c r="FY2" s="336"/>
      <c r="FZ2" s="336"/>
      <c r="GA2" s="336"/>
      <c r="GB2" s="336"/>
      <c r="GC2" s="336"/>
      <c r="GD2" s="336"/>
      <c r="GE2" s="336"/>
      <c r="GF2" s="336"/>
      <c r="GG2" s="336"/>
      <c r="GH2" s="336"/>
      <c r="GI2" s="336"/>
      <c r="GJ2" s="336"/>
      <c r="GK2" s="336"/>
      <c r="GL2" s="336"/>
      <c r="GM2" s="336"/>
      <c r="GN2" s="336"/>
      <c r="GO2" s="336"/>
      <c r="GP2" s="336"/>
      <c r="GQ2" s="336"/>
      <c r="GR2" s="336"/>
      <c r="GS2" s="336"/>
      <c r="GT2" s="336"/>
      <c r="GU2" s="336"/>
      <c r="GV2" s="336"/>
      <c r="GW2" s="336"/>
      <c r="GX2" s="336"/>
      <c r="GY2" s="336"/>
      <c r="GZ2" s="336"/>
      <c r="HA2" s="336"/>
      <c r="HB2" s="336"/>
      <c r="HC2" s="336"/>
      <c r="HD2" s="336"/>
      <c r="HE2" s="336"/>
      <c r="HF2" s="336"/>
      <c r="HG2" s="336"/>
      <c r="HH2" s="336"/>
      <c r="HI2" s="336"/>
      <c r="HJ2" s="336"/>
      <c r="HK2" s="336"/>
      <c r="HL2" s="336"/>
      <c r="HM2" s="336"/>
      <c r="HN2" s="336"/>
      <c r="HO2" s="336"/>
      <c r="HP2" s="336"/>
      <c r="HQ2" s="336"/>
      <c r="HR2" s="336"/>
      <c r="HS2" s="336"/>
      <c r="HT2" s="336"/>
      <c r="HU2" s="336"/>
      <c r="HV2" s="336"/>
      <c r="HW2" s="336"/>
      <c r="HX2" s="336"/>
      <c r="HY2" s="336"/>
      <c r="HZ2" s="336"/>
      <c r="IA2" s="336"/>
      <c r="IB2" s="336"/>
      <c r="IC2" s="336"/>
      <c r="ID2" s="336"/>
      <c r="IE2" s="336"/>
      <c r="IF2" s="336"/>
      <c r="IG2" s="336"/>
      <c r="IH2" s="336"/>
      <c r="II2" s="336"/>
      <c r="IJ2" s="336"/>
      <c r="IK2" s="336"/>
      <c r="IL2" s="336"/>
      <c r="IM2" s="336"/>
      <c r="IN2" s="336"/>
      <c r="IO2" s="336"/>
      <c r="IP2" s="336"/>
      <c r="IQ2" s="336"/>
      <c r="IR2" s="336"/>
      <c r="IS2" s="336"/>
      <c r="IT2" s="336"/>
      <c r="IU2" s="336"/>
      <c r="IV2" s="336"/>
      <c r="IW2" s="336"/>
      <c r="IX2" s="336"/>
      <c r="IY2" s="336"/>
      <c r="IZ2" s="336"/>
      <c r="JA2" s="336"/>
      <c r="JB2" s="336"/>
      <c r="JC2" s="336"/>
      <c r="JD2" s="336"/>
      <c r="JE2" s="336"/>
      <c r="JF2" s="336"/>
      <c r="JG2" s="336"/>
      <c r="JH2" s="336"/>
      <c r="JI2" s="336"/>
      <c r="JJ2" s="336"/>
      <c r="JK2" s="336"/>
      <c r="JL2" s="336"/>
      <c r="JM2" s="336"/>
      <c r="JN2" s="336"/>
      <c r="JO2" s="336"/>
      <c r="JP2" s="336"/>
      <c r="JQ2" s="336"/>
      <c r="JR2" s="336"/>
      <c r="JS2" s="336"/>
      <c r="JT2" s="336"/>
      <c r="JU2" s="336"/>
      <c r="JV2" s="336"/>
      <c r="JW2" s="336"/>
      <c r="JX2" s="336"/>
      <c r="JY2" s="336"/>
      <c r="JZ2" s="336"/>
      <c r="KA2" s="336"/>
      <c r="KB2" s="336"/>
      <c r="KC2" s="336"/>
      <c r="KD2" s="336"/>
      <c r="KE2" s="336"/>
      <c r="KF2" s="336"/>
      <c r="KG2" s="336"/>
      <c r="KH2" s="336"/>
      <c r="KI2" s="336"/>
      <c r="KJ2" s="336"/>
      <c r="KK2" s="336"/>
      <c r="KL2" s="336"/>
      <c r="KM2" s="336"/>
      <c r="KN2" s="336"/>
      <c r="KO2" s="336"/>
      <c r="KP2" s="336"/>
      <c r="KQ2" s="336"/>
      <c r="KR2" s="336"/>
      <c r="KS2" s="336"/>
      <c r="KT2" s="336"/>
      <c r="KU2" s="336"/>
      <c r="KV2" s="336"/>
      <c r="KW2" s="336"/>
      <c r="KX2" s="336"/>
      <c r="KY2" s="336"/>
      <c r="KZ2" s="336"/>
      <c r="LA2" s="336"/>
      <c r="LB2" s="336"/>
      <c r="LC2" s="336"/>
      <c r="LD2" s="336"/>
      <c r="LE2" s="336"/>
      <c r="LF2" s="336"/>
      <c r="LG2" s="336"/>
      <c r="LH2" s="336"/>
      <c r="LI2" s="336"/>
      <c r="LJ2" s="336"/>
      <c r="LK2" s="336"/>
      <c r="LL2" s="336"/>
      <c r="LM2" s="336"/>
      <c r="LN2" s="336"/>
      <c r="LO2" s="336"/>
      <c r="LP2" s="336"/>
      <c r="LQ2" s="336"/>
      <c r="LR2" s="336"/>
      <c r="LS2" s="336"/>
      <c r="LT2" s="336"/>
      <c r="LU2" s="336"/>
      <c r="LV2" s="336"/>
      <c r="LW2" s="336"/>
      <c r="LX2" s="336"/>
      <c r="LY2" s="336"/>
      <c r="LZ2" s="336"/>
      <c r="MA2" s="336"/>
      <c r="MB2" s="336"/>
      <c r="MC2" s="336"/>
      <c r="MD2" s="336"/>
      <c r="ME2" s="336"/>
      <c r="MF2" s="336"/>
      <c r="MG2" s="336"/>
      <c r="MH2" s="336"/>
      <c r="MI2" s="336"/>
      <c r="MJ2" s="336"/>
      <c r="MK2" s="336"/>
      <c r="ML2" s="336"/>
      <c r="MM2" s="336"/>
      <c r="MN2" s="336"/>
      <c r="MO2" s="336"/>
      <c r="MP2" s="336"/>
      <c r="MQ2" s="336"/>
      <c r="MR2" s="336"/>
      <c r="MS2" s="336"/>
      <c r="MT2" s="336"/>
      <c r="MU2" s="336"/>
      <c r="MV2" s="336"/>
      <c r="MW2" s="336"/>
      <c r="MX2" s="336"/>
      <c r="MY2" s="336"/>
      <c r="MZ2" s="336"/>
      <c r="NA2" s="336"/>
      <c r="NB2" s="336"/>
      <c r="NC2" s="336"/>
      <c r="ND2" s="336"/>
      <c r="NE2" s="336"/>
      <c r="NF2" s="336"/>
      <c r="NG2" s="336"/>
      <c r="NH2" s="336"/>
      <c r="NI2" s="336"/>
      <c r="NJ2" s="336"/>
      <c r="NK2" s="336"/>
      <c r="NL2" s="336"/>
      <c r="NM2" s="336"/>
      <c r="NN2" s="336"/>
      <c r="NO2" s="336"/>
      <c r="NP2" s="336"/>
      <c r="NQ2" s="336"/>
      <c r="NR2" s="336"/>
      <c r="NS2" s="336"/>
      <c r="NT2" s="336"/>
      <c r="NU2" s="336"/>
      <c r="NV2" s="336"/>
      <c r="NW2" s="336"/>
      <c r="NX2" s="336"/>
      <c r="NY2" s="336"/>
      <c r="NZ2" s="336"/>
      <c r="OA2" s="336"/>
      <c r="OB2" s="336"/>
      <c r="OC2" s="336"/>
      <c r="OD2" s="336"/>
      <c r="OE2" s="336"/>
      <c r="OF2" s="336"/>
      <c r="OG2" s="336"/>
      <c r="OH2" s="336"/>
      <c r="OI2" s="336"/>
      <c r="OJ2" s="336"/>
      <c r="OK2" s="336"/>
      <c r="OL2" s="336"/>
    </row>
    <row r="3" spans="1:402" s="273" customFormat="1" ht="18.95" customHeight="1">
      <c r="A3" s="377" t="s">
        <v>2592</v>
      </c>
      <c r="B3" s="379" t="s">
        <v>2594</v>
      </c>
      <c r="C3" s="381" t="s">
        <v>2580</v>
      </c>
      <c r="D3" s="382" t="s">
        <v>459</v>
      </c>
      <c r="E3" s="383" t="s">
        <v>2593</v>
      </c>
      <c r="F3" s="384"/>
      <c r="G3" s="384"/>
      <c r="H3" s="384"/>
      <c r="I3" s="384"/>
      <c r="J3" s="384"/>
      <c r="K3" s="384"/>
      <c r="L3" s="384"/>
      <c r="M3" s="384"/>
      <c r="N3" s="384"/>
      <c r="O3" s="373" t="s">
        <v>2569</v>
      </c>
      <c r="P3" s="358" t="s">
        <v>2570</v>
      </c>
      <c r="Q3" s="358" t="s">
        <v>2595</v>
      </c>
      <c r="R3" s="360" t="s">
        <v>2581</v>
      </c>
      <c r="S3" s="362" t="s">
        <v>2582</v>
      </c>
      <c r="T3" s="368" t="s">
        <v>2571</v>
      </c>
      <c r="U3" s="362" t="s">
        <v>2588</v>
      </c>
      <c r="V3" s="362" t="s">
        <v>2583</v>
      </c>
      <c r="W3" s="370" t="s">
        <v>2572</v>
      </c>
      <c r="X3" s="370" t="s">
        <v>2573</v>
      </c>
      <c r="Y3" s="364" t="s">
        <v>2574</v>
      </c>
      <c r="Z3" s="366" t="s">
        <v>2575</v>
      </c>
      <c r="AA3" s="356" t="s">
        <v>2584</v>
      </c>
      <c r="AB3" s="373" t="s">
        <v>2587</v>
      </c>
      <c r="AC3" s="360" t="s">
        <v>2585</v>
      </c>
      <c r="AD3" s="375" t="s">
        <v>2576</v>
      </c>
      <c r="AE3" s="371" t="s">
        <v>2577</v>
      </c>
      <c r="AF3" s="354" t="s">
        <v>2306</v>
      </c>
      <c r="AG3" s="353"/>
      <c r="AH3" s="353"/>
      <c r="AI3" s="353"/>
      <c r="AJ3" s="352" t="s">
        <v>2308</v>
      </c>
      <c r="AK3" s="353"/>
      <c r="AL3" s="353"/>
      <c r="AM3" s="353"/>
      <c r="AN3" s="352" t="s">
        <v>2310</v>
      </c>
      <c r="AO3" s="353"/>
      <c r="AP3" s="353"/>
      <c r="AQ3" s="353"/>
      <c r="AR3" s="352" t="s">
        <v>2312</v>
      </c>
      <c r="AS3" s="353"/>
      <c r="AT3" s="353"/>
      <c r="AU3" s="353"/>
      <c r="AV3" s="352" t="s">
        <v>2314</v>
      </c>
      <c r="AW3" s="353"/>
      <c r="AX3" s="353"/>
      <c r="AY3" s="353"/>
      <c r="AZ3" s="352" t="s">
        <v>2316</v>
      </c>
      <c r="BA3" s="353"/>
      <c r="BB3" s="353"/>
      <c r="BC3" s="353"/>
      <c r="BD3" s="352" t="s">
        <v>2318</v>
      </c>
      <c r="BE3" s="353"/>
      <c r="BF3" s="353"/>
      <c r="BG3" s="353"/>
      <c r="BH3" s="352" t="s">
        <v>2320</v>
      </c>
      <c r="BI3" s="353"/>
      <c r="BJ3" s="353"/>
      <c r="BK3" s="353"/>
      <c r="BL3" s="352" t="s">
        <v>2322</v>
      </c>
      <c r="BM3" s="353"/>
      <c r="BN3" s="353"/>
      <c r="BO3" s="353"/>
      <c r="BP3" s="352" t="s">
        <v>2324</v>
      </c>
      <c r="BQ3" s="353"/>
      <c r="BR3" s="353"/>
      <c r="BS3" s="353"/>
      <c r="BT3" s="352" t="s">
        <v>2326</v>
      </c>
      <c r="BU3" s="353"/>
      <c r="BV3" s="353"/>
      <c r="BW3" s="353"/>
      <c r="BX3" s="352" t="s">
        <v>2328</v>
      </c>
      <c r="BY3" s="353"/>
      <c r="BZ3" s="353"/>
      <c r="CA3" s="353"/>
      <c r="CB3" s="352" t="s">
        <v>2330</v>
      </c>
      <c r="CC3" s="353"/>
      <c r="CD3" s="353"/>
      <c r="CE3" s="353"/>
      <c r="CF3" s="352" t="s">
        <v>2332</v>
      </c>
      <c r="CG3" s="353"/>
      <c r="CH3" s="353"/>
      <c r="CI3" s="386"/>
    </row>
    <row r="4" spans="1:402" s="273" customFormat="1" ht="6" customHeight="1">
      <c r="A4" s="378"/>
      <c r="B4" s="380"/>
      <c r="C4" s="377"/>
      <c r="D4" s="361"/>
      <c r="E4" s="385"/>
      <c r="F4" s="384"/>
      <c r="G4" s="384"/>
      <c r="H4" s="384"/>
      <c r="I4" s="384"/>
      <c r="J4" s="384"/>
      <c r="K4" s="384"/>
      <c r="L4" s="384"/>
      <c r="M4" s="384"/>
      <c r="N4" s="384"/>
      <c r="O4" s="374"/>
      <c r="P4" s="359"/>
      <c r="Q4" s="359"/>
      <c r="R4" s="361"/>
      <c r="S4" s="363"/>
      <c r="T4" s="369"/>
      <c r="U4" s="363"/>
      <c r="V4" s="363"/>
      <c r="W4" s="359"/>
      <c r="X4" s="359"/>
      <c r="Y4" s="365"/>
      <c r="Z4" s="367"/>
      <c r="AA4" s="357"/>
      <c r="AB4" s="374"/>
      <c r="AC4" s="361"/>
      <c r="AD4" s="376"/>
      <c r="AE4" s="372"/>
      <c r="AF4" s="294">
        <v>45704</v>
      </c>
      <c r="AG4" s="295">
        <v>45711</v>
      </c>
      <c r="AH4" s="295">
        <v>45718</v>
      </c>
      <c r="AI4" s="295">
        <v>45725</v>
      </c>
      <c r="AJ4" s="295">
        <v>45732</v>
      </c>
      <c r="AK4" s="295">
        <v>45739</v>
      </c>
      <c r="AL4" s="295">
        <v>45746</v>
      </c>
      <c r="AM4" s="295">
        <v>45753</v>
      </c>
      <c r="AN4" s="295">
        <v>45760</v>
      </c>
      <c r="AO4" s="295">
        <v>45767</v>
      </c>
      <c r="AP4" s="295">
        <v>45774</v>
      </c>
      <c r="AQ4" s="295">
        <v>45781</v>
      </c>
      <c r="AR4" s="295">
        <v>45788</v>
      </c>
      <c r="AS4" s="295">
        <v>45795</v>
      </c>
      <c r="AT4" s="295">
        <v>45802</v>
      </c>
      <c r="AU4" s="295">
        <v>45809</v>
      </c>
      <c r="AV4" s="295">
        <v>45816</v>
      </c>
      <c r="AW4" s="295">
        <v>45823</v>
      </c>
      <c r="AX4" s="295">
        <v>45830</v>
      </c>
      <c r="AY4" s="295">
        <v>45837</v>
      </c>
      <c r="AZ4" s="295">
        <v>45844</v>
      </c>
      <c r="BA4" s="295">
        <v>45851</v>
      </c>
      <c r="BB4" s="295">
        <v>45858</v>
      </c>
      <c r="BC4" s="295">
        <v>45865</v>
      </c>
      <c r="BD4" s="295">
        <v>45872</v>
      </c>
      <c r="BE4" s="295">
        <v>45879</v>
      </c>
      <c r="BF4" s="295">
        <v>45886</v>
      </c>
      <c r="BG4" s="295">
        <v>45893</v>
      </c>
      <c r="BH4" s="295">
        <v>45900</v>
      </c>
      <c r="BI4" s="295">
        <v>45907</v>
      </c>
      <c r="BJ4" s="295">
        <v>45914</v>
      </c>
      <c r="BK4" s="295">
        <v>45921</v>
      </c>
      <c r="BL4" s="295">
        <v>45928</v>
      </c>
      <c r="BM4" s="295">
        <v>45935</v>
      </c>
      <c r="BN4" s="295">
        <v>45942</v>
      </c>
      <c r="BO4" s="295">
        <v>45949</v>
      </c>
      <c r="BP4" s="295">
        <v>45956</v>
      </c>
      <c r="BQ4" s="295">
        <v>45963</v>
      </c>
      <c r="BR4" s="295">
        <v>45970</v>
      </c>
      <c r="BS4" s="295">
        <v>45977</v>
      </c>
      <c r="BT4" s="295">
        <v>45984</v>
      </c>
      <c r="BU4" s="295">
        <v>45991</v>
      </c>
      <c r="BV4" s="295">
        <v>45998</v>
      </c>
      <c r="BW4" s="295">
        <v>46005</v>
      </c>
      <c r="BX4" s="295">
        <v>46012</v>
      </c>
      <c r="BY4" s="295">
        <v>46019</v>
      </c>
      <c r="BZ4" s="295">
        <v>46026</v>
      </c>
      <c r="CA4" s="295">
        <v>46033</v>
      </c>
      <c r="CB4" s="295">
        <v>46040</v>
      </c>
      <c r="CC4" s="295">
        <v>46047</v>
      </c>
      <c r="CD4" s="295">
        <v>46054</v>
      </c>
      <c r="CE4" s="295">
        <v>46061</v>
      </c>
      <c r="CF4" s="295">
        <v>46068</v>
      </c>
      <c r="CG4" s="329"/>
      <c r="CH4" s="329"/>
      <c r="CI4" s="299"/>
      <c r="CJ4" s="298"/>
      <c r="CK4" s="298"/>
      <c r="CL4" s="298"/>
      <c r="CM4" s="298"/>
      <c r="CN4" s="298"/>
      <c r="CO4" s="298"/>
      <c r="CP4" s="298"/>
      <c r="CQ4" s="298"/>
      <c r="CR4" s="298"/>
      <c r="CS4" s="298"/>
      <c r="CT4" s="298"/>
      <c r="CU4" s="298"/>
      <c r="CV4" s="298"/>
      <c r="CW4" s="298"/>
      <c r="CX4" s="298"/>
      <c r="CY4" s="298"/>
      <c r="CZ4" s="298"/>
      <c r="DA4" s="298"/>
      <c r="DB4" s="298"/>
      <c r="DC4" s="298"/>
      <c r="DD4" s="298"/>
      <c r="DE4" s="298"/>
      <c r="DF4" s="298"/>
      <c r="DG4" s="298"/>
      <c r="DH4" s="298"/>
      <c r="DI4" s="298"/>
      <c r="DJ4" s="298"/>
      <c r="DK4" s="298"/>
      <c r="DL4" s="298"/>
      <c r="DM4" s="298"/>
      <c r="DN4" s="298"/>
      <c r="DO4" s="298"/>
      <c r="DP4" s="298"/>
      <c r="DQ4" s="298"/>
      <c r="DR4" s="298"/>
      <c r="DS4" s="298"/>
      <c r="DT4" s="298"/>
      <c r="DU4" s="298"/>
      <c r="DV4" s="298"/>
      <c r="DW4" s="298"/>
      <c r="DX4" s="298"/>
      <c r="DY4" s="298"/>
      <c r="DZ4" s="298"/>
      <c r="EA4" s="298"/>
      <c r="EB4" s="298"/>
      <c r="EC4" s="298"/>
      <c r="ED4" s="298"/>
      <c r="EE4" s="298"/>
      <c r="EF4" s="298"/>
      <c r="EG4" s="298"/>
      <c r="EH4" s="298"/>
      <c r="EI4" s="298"/>
      <c r="EJ4" s="298"/>
      <c r="EK4" s="298"/>
      <c r="EL4" s="298"/>
      <c r="EM4" s="298"/>
      <c r="EN4" s="298"/>
      <c r="EO4" s="298"/>
      <c r="EP4" s="298"/>
      <c r="EQ4" s="298"/>
      <c r="ER4" s="298"/>
      <c r="ES4" s="298"/>
      <c r="ET4" s="298"/>
      <c r="EU4" s="298"/>
      <c r="EV4" s="298"/>
      <c r="EW4" s="298"/>
      <c r="EX4" s="298"/>
      <c r="EY4" s="298"/>
      <c r="EZ4" s="298"/>
      <c r="FA4" s="298"/>
      <c r="FB4" s="298"/>
      <c r="FC4" s="298"/>
      <c r="FD4" s="298"/>
      <c r="FE4" s="298"/>
      <c r="FF4" s="298"/>
      <c r="FG4" s="298"/>
      <c r="FH4" s="298"/>
      <c r="FI4" s="298"/>
      <c r="FJ4" s="298"/>
      <c r="FK4" s="298"/>
      <c r="FL4" s="298"/>
      <c r="FM4" s="298"/>
      <c r="FN4" s="298"/>
      <c r="FO4" s="298"/>
      <c r="FP4" s="298"/>
      <c r="FQ4" s="298"/>
      <c r="FR4" s="298"/>
      <c r="FS4" s="298"/>
      <c r="FT4" s="298"/>
      <c r="FU4" s="298"/>
      <c r="FV4" s="298"/>
      <c r="FW4" s="298"/>
      <c r="FX4" s="298"/>
      <c r="FY4" s="298"/>
      <c r="FZ4" s="298"/>
      <c r="GA4" s="298"/>
      <c r="GB4" s="298"/>
      <c r="GC4" s="298"/>
      <c r="GD4" s="298"/>
      <c r="GE4" s="298"/>
      <c r="GF4" s="298"/>
      <c r="GG4" s="298"/>
      <c r="GH4" s="298"/>
      <c r="GI4" s="298"/>
      <c r="GJ4" s="298"/>
      <c r="GK4" s="298"/>
      <c r="GL4" s="298"/>
      <c r="GM4" s="298"/>
      <c r="GN4" s="298"/>
      <c r="GO4" s="298"/>
      <c r="GP4" s="298"/>
      <c r="GQ4" s="298"/>
      <c r="GR4" s="298"/>
      <c r="GS4" s="298"/>
      <c r="GT4" s="298"/>
      <c r="GU4" s="298"/>
      <c r="GV4" s="298"/>
      <c r="GW4" s="298"/>
      <c r="GX4" s="298"/>
      <c r="GY4" s="298"/>
      <c r="GZ4" s="298"/>
      <c r="HA4" s="298"/>
      <c r="HB4" s="298"/>
      <c r="HC4" s="298"/>
      <c r="HD4" s="298"/>
      <c r="HE4" s="298"/>
      <c r="HF4" s="298"/>
      <c r="HG4" s="298"/>
      <c r="HH4" s="298"/>
      <c r="HI4" s="298"/>
      <c r="HJ4" s="298"/>
      <c r="HK4" s="298"/>
      <c r="HL4" s="298"/>
      <c r="HM4" s="298"/>
      <c r="HN4" s="298"/>
      <c r="HO4" s="298"/>
      <c r="HP4" s="298"/>
      <c r="HQ4" s="298"/>
      <c r="HR4" s="298"/>
      <c r="HS4" s="298"/>
      <c r="HT4" s="298"/>
      <c r="HU4" s="298"/>
      <c r="HV4" s="298"/>
      <c r="HW4" s="298"/>
      <c r="HX4" s="298"/>
      <c r="HY4" s="298"/>
      <c r="HZ4" s="298"/>
      <c r="IA4" s="298"/>
      <c r="IB4" s="298"/>
      <c r="IC4" s="298"/>
      <c r="ID4" s="298"/>
      <c r="IE4" s="298"/>
      <c r="IF4" s="298"/>
      <c r="IG4" s="298"/>
      <c r="IH4" s="298"/>
      <c r="II4" s="298"/>
      <c r="IJ4" s="298"/>
      <c r="IK4" s="298"/>
      <c r="IL4" s="298"/>
      <c r="IM4" s="298"/>
      <c r="IN4" s="298"/>
      <c r="IO4" s="298"/>
      <c r="IP4" s="298"/>
      <c r="IQ4" s="298"/>
      <c r="IR4" s="298"/>
      <c r="IS4" s="298"/>
      <c r="IT4" s="298"/>
      <c r="IU4" s="298"/>
      <c r="IV4" s="298"/>
      <c r="IW4" s="298"/>
      <c r="IX4" s="298"/>
      <c r="IY4" s="298"/>
      <c r="IZ4" s="298"/>
      <c r="JA4" s="298"/>
      <c r="JB4" s="298"/>
      <c r="JC4" s="298"/>
      <c r="JD4" s="298"/>
      <c r="JE4" s="298"/>
      <c r="JF4" s="298"/>
      <c r="JG4" s="298"/>
      <c r="JH4" s="298"/>
      <c r="JI4" s="298"/>
      <c r="JJ4" s="298"/>
      <c r="JK4" s="298"/>
      <c r="JL4" s="298"/>
      <c r="JM4" s="298"/>
      <c r="JN4" s="298"/>
      <c r="JO4" s="298"/>
      <c r="JP4" s="298"/>
      <c r="JQ4" s="298"/>
      <c r="JR4" s="298"/>
      <c r="JS4" s="298"/>
      <c r="JT4" s="298"/>
      <c r="JU4" s="298"/>
      <c r="JV4" s="298"/>
      <c r="JW4" s="298"/>
      <c r="JX4" s="298"/>
      <c r="JY4" s="298"/>
      <c r="JZ4" s="298"/>
      <c r="KA4" s="298"/>
      <c r="KB4" s="298"/>
      <c r="KC4" s="298"/>
      <c r="KD4" s="298"/>
      <c r="KE4" s="298"/>
      <c r="KF4" s="298"/>
      <c r="KG4" s="298"/>
      <c r="KH4" s="298"/>
      <c r="KI4" s="298"/>
      <c r="KJ4" s="298"/>
      <c r="KK4" s="298"/>
      <c r="KL4" s="298"/>
      <c r="KM4" s="298"/>
      <c r="KN4" s="298"/>
      <c r="KO4" s="298"/>
      <c r="KP4" s="298"/>
      <c r="KQ4" s="298"/>
      <c r="KR4" s="298"/>
      <c r="KS4" s="298"/>
      <c r="KT4" s="298"/>
      <c r="KU4" s="298"/>
      <c r="KV4" s="298"/>
      <c r="KW4" s="298"/>
      <c r="KX4" s="298"/>
      <c r="KY4" s="298"/>
      <c r="KZ4" s="298"/>
      <c r="LA4" s="298"/>
      <c r="LB4" s="298"/>
      <c r="LC4" s="298"/>
      <c r="LD4" s="298"/>
      <c r="LE4" s="298"/>
      <c r="LF4" s="298"/>
      <c r="LG4" s="298"/>
      <c r="LH4" s="298"/>
      <c r="LI4" s="298"/>
      <c r="LJ4" s="298"/>
      <c r="LK4" s="298"/>
      <c r="LL4" s="298"/>
      <c r="LM4" s="298"/>
      <c r="LN4" s="298"/>
      <c r="LO4" s="298"/>
      <c r="LP4" s="298"/>
      <c r="LQ4" s="298"/>
      <c r="LR4" s="298"/>
      <c r="LS4" s="298"/>
      <c r="LT4" s="298"/>
      <c r="LU4" s="298"/>
      <c r="LV4" s="298"/>
      <c r="LW4" s="298"/>
      <c r="LX4" s="298"/>
      <c r="LY4" s="298"/>
      <c r="LZ4" s="298"/>
      <c r="MA4" s="298"/>
      <c r="MB4" s="298"/>
      <c r="MC4" s="298"/>
      <c r="MD4" s="298"/>
      <c r="ME4" s="298"/>
      <c r="MF4" s="298"/>
      <c r="MG4" s="298"/>
      <c r="MH4" s="298"/>
      <c r="MI4" s="298"/>
      <c r="MJ4" s="298"/>
      <c r="MK4" s="298"/>
      <c r="ML4" s="298"/>
      <c r="MM4" s="298"/>
      <c r="MN4" s="298"/>
      <c r="MO4" s="298"/>
      <c r="MP4" s="298"/>
      <c r="MQ4" s="298"/>
      <c r="MR4" s="298"/>
      <c r="MS4" s="298"/>
      <c r="MT4" s="298"/>
      <c r="MU4" s="298"/>
      <c r="MV4" s="298"/>
      <c r="MW4" s="298"/>
      <c r="MX4" s="298"/>
      <c r="MY4" s="298"/>
      <c r="MZ4" s="298"/>
      <c r="NA4" s="298"/>
      <c r="NB4" s="298"/>
      <c r="NC4" s="298"/>
      <c r="ND4" s="298"/>
      <c r="NE4" s="298"/>
      <c r="NF4" s="298"/>
      <c r="NG4" s="298"/>
      <c r="NH4" s="298"/>
      <c r="NI4" s="298"/>
      <c r="NJ4" s="298"/>
      <c r="NK4" s="298"/>
      <c r="NL4" s="298"/>
      <c r="NM4" s="298"/>
      <c r="NN4" s="298"/>
      <c r="NO4" s="298"/>
      <c r="NP4" s="298"/>
      <c r="NQ4" s="298"/>
      <c r="NR4" s="298"/>
      <c r="NS4" s="298"/>
      <c r="NT4" s="298"/>
      <c r="NU4" s="298"/>
      <c r="NV4" s="298"/>
      <c r="NW4" s="298"/>
      <c r="NX4" s="298"/>
      <c r="NY4" s="298"/>
      <c r="NZ4" s="298"/>
      <c r="OA4" s="298"/>
      <c r="OB4" s="298"/>
      <c r="OC4" s="298"/>
      <c r="OD4" s="298"/>
      <c r="OE4" s="298"/>
      <c r="OF4" s="298"/>
      <c r="OG4" s="298"/>
      <c r="OH4" s="298"/>
      <c r="OI4" s="298"/>
      <c r="OJ4" s="298"/>
      <c r="OK4" s="298"/>
      <c r="OL4" s="298"/>
    </row>
    <row r="5" spans="1:402" ht="12" customHeight="1">
      <c r="A5" s="288"/>
      <c r="B5" s="288" t="s">
        <v>2334</v>
      </c>
      <c r="C5" s="288">
        <v>1</v>
      </c>
      <c r="D5" s="310" t="s">
        <v>496</v>
      </c>
      <c r="E5" s="246" t="s">
        <v>1433</v>
      </c>
      <c r="F5" s="246"/>
      <c r="G5" s="246"/>
      <c r="H5" s="246"/>
      <c r="I5" s="246"/>
      <c r="J5" s="246"/>
      <c r="K5" s="246"/>
      <c r="L5" s="246"/>
      <c r="M5" s="246"/>
      <c r="N5" s="246"/>
      <c r="O5" s="246"/>
      <c r="P5" s="248">
        <v>45705</v>
      </c>
      <c r="Q5" s="248">
        <v>46066</v>
      </c>
      <c r="R5" s="246"/>
      <c r="S5" s="247">
        <v>49</v>
      </c>
      <c r="T5" s="247">
        <v>49</v>
      </c>
      <c r="U5" s="247">
        <v>247</v>
      </c>
      <c r="V5" s="247">
        <v>247</v>
      </c>
      <c r="W5" s="248"/>
      <c r="X5" s="248"/>
      <c r="Y5" s="265">
        <v>0</v>
      </c>
      <c r="Z5" s="266">
        <v>0</v>
      </c>
      <c r="AA5" s="247"/>
      <c r="AB5" s="246"/>
      <c r="AC5" s="263"/>
      <c r="AD5" s="240">
        <v>1</v>
      </c>
      <c r="AE5" s="241">
        <v>1</v>
      </c>
      <c r="AF5" s="296"/>
      <c r="AG5" s="297"/>
      <c r="AH5" s="297"/>
      <c r="AI5" s="297"/>
      <c r="AJ5" s="297"/>
      <c r="AK5" s="297"/>
      <c r="AL5" s="297"/>
      <c r="AM5" s="297"/>
      <c r="AN5" s="297"/>
      <c r="AO5" s="297"/>
      <c r="AP5" s="297"/>
      <c r="AQ5" s="297"/>
      <c r="AR5" s="297"/>
      <c r="AS5" s="297"/>
      <c r="AT5" s="297"/>
      <c r="AU5" s="297"/>
      <c r="AV5" s="297"/>
      <c r="AW5" s="297"/>
      <c r="AX5" s="297"/>
      <c r="AY5" s="297"/>
      <c r="AZ5" s="297"/>
      <c r="BA5" s="297"/>
      <c r="BB5" s="297"/>
      <c r="BC5" s="297"/>
      <c r="BD5" s="297"/>
      <c r="BE5" s="297"/>
      <c r="BF5" s="297"/>
      <c r="BG5" s="297"/>
      <c r="BH5" s="297"/>
      <c r="BI5" s="297"/>
      <c r="BJ5" s="297"/>
      <c r="BK5" s="297"/>
      <c r="BL5" s="297"/>
      <c r="BM5" s="297"/>
      <c r="BN5" s="297"/>
      <c r="BO5" s="297"/>
      <c r="BP5" s="297"/>
      <c r="BQ5" s="297"/>
      <c r="BR5" s="297"/>
      <c r="BS5" s="297"/>
      <c r="BT5" s="297"/>
      <c r="BU5" s="297"/>
      <c r="BV5" s="297"/>
      <c r="BW5" s="297"/>
      <c r="BX5" s="297"/>
      <c r="BY5" s="297"/>
      <c r="BZ5" s="297"/>
      <c r="CA5" s="297"/>
      <c r="CB5" s="297"/>
      <c r="CC5" s="297"/>
      <c r="CD5" s="297"/>
      <c r="CE5" s="297" t="str">
        <f>"      " &amp; TEXT(AE5,"#0.00%") &amp; " " &amp; "프로젝트 관리" &amp; " " &amp; IF(P5="","",TEXT(P5,"M/D-")) &amp; IF(Q5="","",TEXT(Q5,"M/D")) &amp; " "</f>
        <v xml:space="preserve">      100.00% 프로젝트 관리 2/17-2/13 </v>
      </c>
      <c r="CF5" s="297"/>
      <c r="CG5" s="297"/>
      <c r="CH5" s="293"/>
      <c r="CI5" s="293"/>
    </row>
    <row r="6" spans="1:402" ht="12" customHeight="1" outlineLevel="1">
      <c r="A6" s="288"/>
      <c r="B6" s="288" t="s">
        <v>2334</v>
      </c>
      <c r="C6" s="288">
        <v>2</v>
      </c>
      <c r="D6" s="291" t="s">
        <v>542</v>
      </c>
      <c r="E6" s="246"/>
      <c r="F6" s="246" t="s">
        <v>1434</v>
      </c>
      <c r="G6" s="246"/>
      <c r="H6" s="246"/>
      <c r="I6" s="246"/>
      <c r="J6" s="246"/>
      <c r="K6" s="246"/>
      <c r="L6" s="246"/>
      <c r="M6" s="246"/>
      <c r="N6" s="246"/>
      <c r="O6" s="246"/>
      <c r="P6" s="248">
        <v>45705</v>
      </c>
      <c r="Q6" s="248">
        <v>45709</v>
      </c>
      <c r="R6" s="246"/>
      <c r="S6" s="247">
        <v>3.5</v>
      </c>
      <c r="T6" s="247">
        <v>3.5</v>
      </c>
      <c r="U6" s="247">
        <v>5</v>
      </c>
      <c r="V6" s="247">
        <v>5</v>
      </c>
      <c r="W6" s="248"/>
      <c r="X6" s="248"/>
      <c r="Y6" s="265">
        <v>0</v>
      </c>
      <c r="Z6" s="266">
        <v>0</v>
      </c>
      <c r="AA6" s="247"/>
      <c r="AB6" s="246"/>
      <c r="AC6" s="263"/>
      <c r="AD6" s="240">
        <v>1</v>
      </c>
      <c r="AE6" s="241">
        <v>1</v>
      </c>
      <c r="AF6" s="296" t="str">
        <f>"      " &amp; TEXT(AE6,"#0.00%") &amp; " " &amp; "프로젝트 착수 및 계획수립" &amp; " " &amp; IF(P6="","",TEXT(P6,"M/D-")) &amp; IF(Q6="","",TEXT(Q6,"M/D")) &amp; " "</f>
        <v xml:space="preserve">      100.00% 프로젝트 착수 및 계획수립 2/17-2/21 </v>
      </c>
      <c r="AG6" s="297"/>
      <c r="AH6" s="297"/>
      <c r="AI6" s="297"/>
      <c r="AJ6" s="297"/>
      <c r="AK6" s="297"/>
      <c r="AL6" s="297"/>
      <c r="AM6" s="297"/>
      <c r="AN6" s="297"/>
      <c r="AO6" s="297"/>
      <c r="AP6" s="297"/>
      <c r="AQ6" s="297"/>
      <c r="AR6" s="297"/>
      <c r="AS6" s="297"/>
      <c r="AT6" s="297"/>
      <c r="AU6" s="297"/>
      <c r="AV6" s="297"/>
      <c r="AW6" s="297"/>
      <c r="AX6" s="297"/>
      <c r="AY6" s="297"/>
      <c r="AZ6" s="297"/>
      <c r="BA6" s="297"/>
      <c r="BB6" s="297"/>
      <c r="BC6" s="297"/>
      <c r="BD6" s="297"/>
      <c r="BE6" s="297"/>
      <c r="BF6" s="297"/>
      <c r="BG6" s="297"/>
      <c r="BH6" s="297"/>
      <c r="BI6" s="297"/>
      <c r="BJ6" s="297"/>
      <c r="BK6" s="297"/>
      <c r="BL6" s="297"/>
      <c r="BM6" s="297"/>
      <c r="BN6" s="297"/>
      <c r="BO6" s="297"/>
      <c r="BP6" s="297"/>
      <c r="BQ6" s="297"/>
      <c r="BR6" s="297"/>
      <c r="BS6" s="297"/>
      <c r="BT6" s="297"/>
      <c r="BU6" s="297"/>
      <c r="BV6" s="297"/>
      <c r="BW6" s="297"/>
      <c r="BX6" s="297"/>
      <c r="BY6" s="297"/>
      <c r="BZ6" s="297"/>
      <c r="CA6" s="297"/>
      <c r="CB6" s="297"/>
      <c r="CC6" s="297"/>
      <c r="CD6" s="297"/>
      <c r="CE6" s="297"/>
      <c r="CF6" s="297"/>
      <c r="CG6" s="297"/>
    </row>
    <row r="7" spans="1:402" ht="12" customHeight="1" outlineLevel="2">
      <c r="A7" s="288"/>
      <c r="B7" s="288" t="s">
        <v>2334</v>
      </c>
      <c r="C7" s="288">
        <v>3</v>
      </c>
      <c r="D7" s="291" t="s">
        <v>1425</v>
      </c>
      <c r="E7" s="246"/>
      <c r="F7" s="246"/>
      <c r="G7" s="246" t="s">
        <v>1435</v>
      </c>
      <c r="H7" s="246"/>
      <c r="I7" s="246"/>
      <c r="J7" s="246"/>
      <c r="K7" s="246"/>
      <c r="L7" s="246"/>
      <c r="M7" s="246"/>
      <c r="N7" s="246"/>
      <c r="O7" s="246"/>
      <c r="P7" s="248">
        <v>45705</v>
      </c>
      <c r="Q7" s="248">
        <v>45709</v>
      </c>
      <c r="R7" s="246"/>
      <c r="S7" s="247">
        <v>0.5</v>
      </c>
      <c r="T7" s="247">
        <v>0.5</v>
      </c>
      <c r="U7" s="247">
        <v>5</v>
      </c>
      <c r="V7" s="247">
        <v>5</v>
      </c>
      <c r="W7" s="248"/>
      <c r="X7" s="248"/>
      <c r="Y7" s="265">
        <v>0</v>
      </c>
      <c r="Z7" s="266">
        <v>0</v>
      </c>
      <c r="AA7" s="247"/>
      <c r="AB7" s="246"/>
      <c r="AC7" s="263"/>
      <c r="AD7" s="240">
        <v>1</v>
      </c>
      <c r="AE7" s="241">
        <v>1</v>
      </c>
      <c r="AF7" s="296" t="str">
        <f>"      " &amp; TEXT(AE7,"#0.00%") &amp; " " &amp; "프로젝트 착수" &amp; " " &amp; IF(P7="","",TEXT(P7,"M/D-")) &amp; IF(Q7="","",TEXT(Q7,"M/D")) &amp; " "</f>
        <v xml:space="preserve">      100.00% 프로젝트 착수 2/17-2/21 </v>
      </c>
      <c r="AG7" s="297"/>
      <c r="AH7" s="297"/>
      <c r="AI7" s="297"/>
      <c r="AJ7" s="297"/>
      <c r="AK7" s="297"/>
      <c r="AL7" s="297"/>
      <c r="AM7" s="297"/>
      <c r="AN7" s="297"/>
      <c r="AO7" s="297"/>
      <c r="AP7" s="297"/>
      <c r="AQ7" s="297"/>
      <c r="AR7" s="297"/>
      <c r="AS7" s="297"/>
      <c r="AT7" s="297"/>
      <c r="AU7" s="297"/>
      <c r="AV7" s="297"/>
      <c r="AW7" s="297"/>
      <c r="AX7" s="297"/>
      <c r="AY7" s="297"/>
      <c r="AZ7" s="297"/>
      <c r="BA7" s="297"/>
      <c r="BB7" s="297"/>
      <c r="BC7" s="297"/>
      <c r="BD7" s="297"/>
      <c r="BE7" s="297"/>
      <c r="BF7" s="297"/>
      <c r="BG7" s="297"/>
      <c r="BH7" s="297"/>
      <c r="BI7" s="297"/>
      <c r="BJ7" s="297"/>
      <c r="BK7" s="297"/>
      <c r="BL7" s="297"/>
      <c r="BM7" s="297"/>
      <c r="BN7" s="297"/>
      <c r="BO7" s="297"/>
      <c r="BP7" s="297"/>
      <c r="BQ7" s="297"/>
      <c r="BR7" s="297"/>
      <c r="BS7" s="297"/>
      <c r="BT7" s="297"/>
      <c r="BU7" s="297"/>
      <c r="BV7" s="297"/>
      <c r="BW7" s="297"/>
      <c r="BX7" s="297"/>
      <c r="BY7" s="297"/>
      <c r="BZ7" s="297"/>
      <c r="CA7" s="297"/>
      <c r="CB7" s="297"/>
      <c r="CC7" s="297"/>
      <c r="CD7" s="297"/>
      <c r="CE7" s="297"/>
      <c r="CF7" s="297"/>
      <c r="CG7" s="297"/>
    </row>
    <row r="8" spans="1:402" ht="12" customHeight="1" outlineLevel="3">
      <c r="A8" s="288"/>
      <c r="B8" s="288"/>
      <c r="C8" s="288">
        <v>4</v>
      </c>
      <c r="D8" s="291" t="s">
        <v>1612</v>
      </c>
      <c r="E8" s="246"/>
      <c r="F8" s="246"/>
      <c r="G8" s="246"/>
      <c r="H8" s="246" t="s">
        <v>1435</v>
      </c>
      <c r="I8" s="246"/>
      <c r="J8" s="246"/>
      <c r="K8" s="246"/>
      <c r="L8" s="246"/>
      <c r="M8" s="246"/>
      <c r="N8" s="246"/>
      <c r="O8" s="246"/>
      <c r="P8" s="248">
        <v>45705</v>
      </c>
      <c r="Q8" s="248">
        <v>45709</v>
      </c>
      <c r="R8" s="246"/>
      <c r="S8" s="247">
        <v>0.5</v>
      </c>
      <c r="T8" s="247">
        <v>0.5</v>
      </c>
      <c r="U8" s="247">
        <v>5</v>
      </c>
      <c r="V8" s="247">
        <v>5</v>
      </c>
      <c r="W8" s="248">
        <v>45705</v>
      </c>
      <c r="X8" s="248">
        <v>45709</v>
      </c>
      <c r="Y8" s="265">
        <v>5</v>
      </c>
      <c r="Z8" s="266">
        <v>5</v>
      </c>
      <c r="AA8" s="247">
        <v>0.1</v>
      </c>
      <c r="AB8" s="246" t="s">
        <v>1717</v>
      </c>
      <c r="AC8" s="263"/>
      <c r="AD8" s="240">
        <v>1</v>
      </c>
      <c r="AE8" s="304">
        <v>1</v>
      </c>
      <c r="AF8" s="296" t="str">
        <f>"      " &amp; TEXT(AE8,"#0.00%") &amp; " " &amp; "프로젝트 착수" &amp; "(오승헌님)" &amp; " " &amp; IF(P8="","",TEXT(P8,"M/D-")) &amp; IF(Q8="","",TEXT(Q8,"M/D")) &amp; " "</f>
        <v xml:space="preserve">      100.00% 프로젝트 착수(오승헌님) 2/17-2/21 </v>
      </c>
      <c r="AG8" s="297"/>
      <c r="AH8" s="297"/>
      <c r="AI8" s="297"/>
      <c r="AJ8" s="297"/>
      <c r="AK8" s="297"/>
      <c r="AL8" s="297"/>
      <c r="AM8" s="297"/>
      <c r="AN8" s="297"/>
      <c r="AO8" s="297"/>
      <c r="AP8" s="297"/>
      <c r="AQ8" s="297"/>
      <c r="AR8" s="297"/>
      <c r="AS8" s="297"/>
      <c r="AT8" s="297"/>
      <c r="AU8" s="297"/>
      <c r="AV8" s="297"/>
      <c r="AW8" s="297"/>
      <c r="AX8" s="297"/>
      <c r="AY8" s="297"/>
      <c r="AZ8" s="297"/>
      <c r="BA8" s="297"/>
      <c r="BB8" s="297"/>
      <c r="BC8" s="297"/>
      <c r="BD8" s="297"/>
      <c r="BE8" s="297"/>
      <c r="BF8" s="297"/>
      <c r="BG8" s="297"/>
      <c r="BH8" s="297"/>
      <c r="BI8" s="297"/>
      <c r="BJ8" s="297"/>
      <c r="BK8" s="297"/>
      <c r="BL8" s="297"/>
      <c r="BM8" s="297"/>
      <c r="BN8" s="297"/>
      <c r="BO8" s="297"/>
      <c r="BP8" s="297"/>
      <c r="BQ8" s="297"/>
      <c r="BR8" s="297"/>
      <c r="BS8" s="297"/>
      <c r="BT8" s="297"/>
      <c r="BU8" s="297"/>
      <c r="BV8" s="297"/>
      <c r="BW8" s="297"/>
      <c r="BX8" s="297"/>
      <c r="BY8" s="297"/>
      <c r="BZ8" s="297"/>
      <c r="CA8" s="297"/>
      <c r="CB8" s="297"/>
      <c r="CC8" s="297"/>
      <c r="CD8" s="297"/>
      <c r="CE8" s="297"/>
      <c r="CF8" s="297"/>
      <c r="CG8" s="297"/>
    </row>
    <row r="9" spans="1:402" ht="12" customHeight="1" outlineLevel="2">
      <c r="A9" s="288"/>
      <c r="B9" s="288" t="s">
        <v>2334</v>
      </c>
      <c r="C9" s="288">
        <v>3</v>
      </c>
      <c r="D9" s="291" t="s">
        <v>1426</v>
      </c>
      <c r="E9" s="246"/>
      <c r="F9" s="246"/>
      <c r="G9" s="246" t="s">
        <v>1489</v>
      </c>
      <c r="H9" s="246"/>
      <c r="I9" s="246"/>
      <c r="J9" s="246"/>
      <c r="K9" s="246"/>
      <c r="L9" s="246"/>
      <c r="M9" s="246"/>
      <c r="N9" s="246"/>
      <c r="O9" s="246"/>
      <c r="P9" s="248">
        <v>45705</v>
      </c>
      <c r="Q9" s="248">
        <v>45709</v>
      </c>
      <c r="R9" s="246"/>
      <c r="S9" s="247">
        <v>3</v>
      </c>
      <c r="T9" s="247">
        <v>3</v>
      </c>
      <c r="U9" s="247">
        <v>5</v>
      </c>
      <c r="V9" s="247">
        <v>5</v>
      </c>
      <c r="W9" s="248"/>
      <c r="X9" s="248"/>
      <c r="Y9" s="265">
        <v>0</v>
      </c>
      <c r="Z9" s="266">
        <v>0</v>
      </c>
      <c r="AA9" s="247"/>
      <c r="AB9" s="246"/>
      <c r="AC9" s="263"/>
      <c r="AD9" s="240">
        <v>1</v>
      </c>
      <c r="AE9" s="241">
        <v>1</v>
      </c>
      <c r="AF9" s="296" t="str">
        <f>"      " &amp; TEXT(AE9,"#0.00%") &amp; " " &amp; "프로젝트관리 표준수립" &amp; " " &amp; IF(P9="","",TEXT(P9,"M/D-")) &amp; IF(Q9="","",TEXT(Q9,"M/D")) &amp; " "</f>
        <v xml:space="preserve">      100.00% 프로젝트관리 표준수립 2/17-2/21 </v>
      </c>
      <c r="AG9" s="297"/>
      <c r="AH9" s="297"/>
      <c r="AI9" s="297"/>
      <c r="AJ9" s="297"/>
      <c r="AK9" s="297"/>
      <c r="AL9" s="297"/>
      <c r="AM9" s="297"/>
      <c r="AN9" s="297"/>
      <c r="AO9" s="297"/>
      <c r="AP9" s="297"/>
      <c r="AQ9" s="297"/>
      <c r="AR9" s="297"/>
      <c r="AS9" s="297"/>
      <c r="AT9" s="297"/>
      <c r="AU9" s="297"/>
      <c r="AV9" s="297"/>
      <c r="AW9" s="297"/>
      <c r="AX9" s="297"/>
      <c r="AY9" s="297"/>
      <c r="AZ9" s="297"/>
      <c r="BA9" s="297"/>
      <c r="BB9" s="297"/>
      <c r="BC9" s="297"/>
      <c r="BD9" s="297"/>
      <c r="BE9" s="297"/>
      <c r="BF9" s="297"/>
      <c r="BG9" s="297"/>
      <c r="BH9" s="297"/>
      <c r="BI9" s="297"/>
      <c r="BJ9" s="297"/>
      <c r="BK9" s="297"/>
      <c r="BL9" s="297"/>
      <c r="BM9" s="297"/>
      <c r="BN9" s="297"/>
      <c r="BO9" s="297"/>
      <c r="BP9" s="297"/>
      <c r="BQ9" s="297"/>
      <c r="BR9" s="297"/>
      <c r="BS9" s="297"/>
      <c r="BT9" s="297"/>
      <c r="BU9" s="297"/>
      <c r="BV9" s="297"/>
      <c r="BW9" s="297"/>
      <c r="BX9" s="297"/>
      <c r="BY9" s="297"/>
      <c r="BZ9" s="297"/>
      <c r="CA9" s="297"/>
      <c r="CB9" s="297"/>
      <c r="CC9" s="297"/>
      <c r="CD9" s="297"/>
      <c r="CE9" s="297"/>
      <c r="CF9" s="297"/>
      <c r="CG9" s="297"/>
    </row>
    <row r="10" spans="1:402" ht="12" customHeight="1" outlineLevel="3">
      <c r="A10" s="288" t="s">
        <v>1464</v>
      </c>
      <c r="B10" s="288"/>
      <c r="C10" s="288">
        <v>4</v>
      </c>
      <c r="D10" s="291" t="s">
        <v>1441</v>
      </c>
      <c r="E10" s="246"/>
      <c r="F10" s="246"/>
      <c r="G10" s="246"/>
      <c r="H10" s="246" t="s">
        <v>1490</v>
      </c>
      <c r="I10" s="246"/>
      <c r="J10" s="246"/>
      <c r="K10" s="246"/>
      <c r="L10" s="246"/>
      <c r="M10" s="246"/>
      <c r="N10" s="246"/>
      <c r="O10" s="246"/>
      <c r="P10" s="248">
        <v>45705</v>
      </c>
      <c r="Q10" s="248">
        <v>45709</v>
      </c>
      <c r="R10" s="246"/>
      <c r="S10" s="247">
        <v>0</v>
      </c>
      <c r="T10" s="247">
        <v>0</v>
      </c>
      <c r="U10" s="247">
        <v>5</v>
      </c>
      <c r="V10" s="247">
        <v>5</v>
      </c>
      <c r="W10" s="248"/>
      <c r="X10" s="248"/>
      <c r="Y10" s="265"/>
      <c r="Z10" s="266">
        <v>0</v>
      </c>
      <c r="AA10" s="247">
        <v>0.1</v>
      </c>
      <c r="AB10" s="246" t="s">
        <v>1717</v>
      </c>
      <c r="AC10" s="263"/>
      <c r="AD10" s="240">
        <v>1</v>
      </c>
      <c r="AE10" s="304">
        <v>1</v>
      </c>
      <c r="AF10" s="296" t="str">
        <f>"     " &amp; TEXT(AE10,"#0.00%") &amp; " " &amp; "프로젝트 문서표준 협의/확정" &amp; "(오승헌님)" &amp; " " &amp; IF(P10="","",TEXT(P10,"M/D-")) &amp; IF(Q10="","",TEXT(Q10,"M/D")) &amp; " "</f>
        <v xml:space="preserve">     100.00% 프로젝트 문서표준 협의/확정(오승헌님) 2/17-2/21 </v>
      </c>
      <c r="AG10" s="297"/>
      <c r="AH10" s="297"/>
      <c r="AI10" s="297"/>
      <c r="AJ10" s="297"/>
      <c r="AK10" s="297"/>
      <c r="AL10" s="297"/>
      <c r="AM10" s="297"/>
      <c r="AN10" s="297"/>
      <c r="AO10" s="297"/>
      <c r="AP10" s="297"/>
      <c r="AQ10" s="297"/>
      <c r="AR10" s="297"/>
      <c r="AS10" s="297"/>
      <c r="AT10" s="297"/>
      <c r="AU10" s="297"/>
      <c r="AV10" s="297"/>
      <c r="AW10" s="297"/>
      <c r="AX10" s="297"/>
      <c r="AY10" s="297"/>
      <c r="AZ10" s="297"/>
      <c r="BA10" s="297"/>
      <c r="BB10" s="297"/>
      <c r="BC10" s="297"/>
      <c r="BD10" s="297"/>
      <c r="BE10" s="297"/>
      <c r="BF10" s="297"/>
      <c r="BG10" s="297"/>
      <c r="BH10" s="297"/>
      <c r="BI10" s="297"/>
      <c r="BJ10" s="297"/>
      <c r="BK10" s="297"/>
      <c r="BL10" s="297"/>
      <c r="BM10" s="297"/>
      <c r="BN10" s="297"/>
      <c r="BO10" s="297"/>
      <c r="BP10" s="297"/>
      <c r="BQ10" s="297"/>
      <c r="BR10" s="297"/>
      <c r="BS10" s="297"/>
      <c r="BT10" s="297"/>
      <c r="BU10" s="297"/>
      <c r="BV10" s="297"/>
      <c r="BW10" s="297"/>
      <c r="BX10" s="297"/>
      <c r="BY10" s="297"/>
      <c r="BZ10" s="297"/>
      <c r="CA10" s="297"/>
      <c r="CB10" s="297"/>
      <c r="CC10" s="297"/>
      <c r="CD10" s="297"/>
      <c r="CE10" s="297"/>
      <c r="CF10" s="297"/>
      <c r="CG10" s="297"/>
    </row>
    <row r="11" spans="1:402" ht="12" customHeight="1" outlineLevel="3">
      <c r="A11" s="288"/>
      <c r="B11" s="288"/>
      <c r="C11" s="288">
        <v>4</v>
      </c>
      <c r="D11" s="291" t="s">
        <v>1442</v>
      </c>
      <c r="E11" s="246"/>
      <c r="F11" s="246"/>
      <c r="G11" s="246"/>
      <c r="H11" s="246" t="s">
        <v>1491</v>
      </c>
      <c r="I11" s="246"/>
      <c r="J11" s="246"/>
      <c r="K11" s="246"/>
      <c r="L11" s="246"/>
      <c r="M11" s="246"/>
      <c r="N11" s="246"/>
      <c r="O11" s="246"/>
      <c r="P11" s="248">
        <v>45705</v>
      </c>
      <c r="Q11" s="248">
        <v>45709</v>
      </c>
      <c r="R11" s="246"/>
      <c r="S11" s="247">
        <v>0.5</v>
      </c>
      <c r="T11" s="247">
        <v>0.5</v>
      </c>
      <c r="U11" s="247">
        <v>5</v>
      </c>
      <c r="V11" s="247">
        <v>5</v>
      </c>
      <c r="W11" s="248"/>
      <c r="X11" s="248"/>
      <c r="Y11" s="265"/>
      <c r="Z11" s="266">
        <v>0</v>
      </c>
      <c r="AA11" s="247">
        <v>0.1</v>
      </c>
      <c r="AB11" s="246" t="s">
        <v>1717</v>
      </c>
      <c r="AC11" s="263"/>
      <c r="AD11" s="240">
        <v>1</v>
      </c>
      <c r="AE11" s="304">
        <v>1</v>
      </c>
      <c r="AF11" s="296" t="str">
        <f>"      " &amp; TEXT(AE11,"#0.00%") &amp; " " &amp; "프로젝트 산출물 협의/확정" &amp; "(오승헌님)" &amp; " " &amp; IF(P11="","",TEXT(P11,"M/D-")) &amp; IF(Q11="","",TEXT(Q11,"M/D")) &amp; " "</f>
        <v xml:space="preserve">      100.00% 프로젝트 산출물 협의/확정(오승헌님) 2/17-2/21 </v>
      </c>
      <c r="AG11" s="297"/>
      <c r="AH11" s="297"/>
      <c r="AI11" s="297"/>
      <c r="AJ11" s="297"/>
      <c r="AK11" s="297"/>
      <c r="AL11" s="297"/>
      <c r="AM11" s="297"/>
      <c r="AN11" s="297"/>
      <c r="AO11" s="297"/>
      <c r="AP11" s="297"/>
      <c r="AQ11" s="297"/>
      <c r="AR11" s="297"/>
      <c r="AS11" s="297"/>
      <c r="AT11" s="297"/>
      <c r="AU11" s="297"/>
      <c r="AV11" s="297"/>
      <c r="AW11" s="297"/>
      <c r="AX11" s="297"/>
      <c r="AY11" s="297"/>
      <c r="AZ11" s="297"/>
      <c r="BA11" s="297"/>
      <c r="BB11" s="297"/>
      <c r="BC11" s="297"/>
      <c r="BD11" s="297"/>
      <c r="BE11" s="297"/>
      <c r="BF11" s="297"/>
      <c r="BG11" s="297"/>
      <c r="BH11" s="297"/>
      <c r="BI11" s="297"/>
      <c r="BJ11" s="297"/>
      <c r="BK11" s="297"/>
      <c r="BL11" s="297"/>
      <c r="BM11" s="297"/>
      <c r="BN11" s="297"/>
      <c r="BO11" s="297"/>
      <c r="BP11" s="297"/>
      <c r="BQ11" s="297"/>
      <c r="BR11" s="297"/>
      <c r="BS11" s="297"/>
      <c r="BT11" s="297"/>
      <c r="BU11" s="297"/>
      <c r="BV11" s="297"/>
      <c r="BW11" s="297"/>
      <c r="BX11" s="297"/>
      <c r="BY11" s="297"/>
      <c r="BZ11" s="297"/>
      <c r="CA11" s="297"/>
      <c r="CB11" s="297"/>
      <c r="CC11" s="297"/>
      <c r="CD11" s="297"/>
      <c r="CE11" s="297"/>
      <c r="CF11" s="297"/>
      <c r="CG11" s="297"/>
    </row>
    <row r="12" spans="1:402" ht="12" customHeight="1" outlineLevel="3">
      <c r="A12" s="288"/>
      <c r="B12" s="288"/>
      <c r="C12" s="288">
        <v>4</v>
      </c>
      <c r="D12" s="291" t="s">
        <v>1613</v>
      </c>
      <c r="E12" s="246"/>
      <c r="F12" s="246"/>
      <c r="G12" s="246"/>
      <c r="H12" s="246" t="s">
        <v>1492</v>
      </c>
      <c r="I12" s="246"/>
      <c r="J12" s="246"/>
      <c r="K12" s="246"/>
      <c r="L12" s="246"/>
      <c r="M12" s="246"/>
      <c r="N12" s="246"/>
      <c r="O12" s="246"/>
      <c r="P12" s="248">
        <v>45705</v>
      </c>
      <c r="Q12" s="248">
        <v>45709</v>
      </c>
      <c r="R12" s="246"/>
      <c r="S12" s="247">
        <v>0.5</v>
      </c>
      <c r="T12" s="247">
        <v>0.5</v>
      </c>
      <c r="U12" s="247">
        <v>5</v>
      </c>
      <c r="V12" s="247">
        <v>5</v>
      </c>
      <c r="W12" s="248"/>
      <c r="X12" s="248"/>
      <c r="Y12" s="265"/>
      <c r="Z12" s="266">
        <v>0</v>
      </c>
      <c r="AA12" s="247">
        <v>0.1</v>
      </c>
      <c r="AB12" s="246" t="s">
        <v>1717</v>
      </c>
      <c r="AC12" s="263"/>
      <c r="AD12" s="240">
        <v>1</v>
      </c>
      <c r="AE12" s="304">
        <v>1</v>
      </c>
      <c r="AF12" s="296" t="str">
        <f>"      " &amp; TEXT(AE12,"#0.00%") &amp; " " &amp; "프로젝트 범위 정의" &amp; "(오승헌님)" &amp; " " &amp; IF(P12="","",TEXT(P12,"M/D-")) &amp; IF(Q12="","",TEXT(Q12,"M/D")) &amp; " "</f>
        <v xml:space="preserve">      100.00% 프로젝트 범위 정의(오승헌님) 2/17-2/21 </v>
      </c>
      <c r="AG12" s="297"/>
      <c r="AH12" s="297"/>
      <c r="AI12" s="297"/>
      <c r="AJ12" s="297"/>
      <c r="AK12" s="297"/>
      <c r="AL12" s="297"/>
      <c r="AM12" s="297"/>
      <c r="AN12" s="297"/>
      <c r="AO12" s="297"/>
      <c r="AP12" s="297"/>
      <c r="AQ12" s="297"/>
      <c r="AR12" s="297"/>
      <c r="AS12" s="297"/>
      <c r="AT12" s="297"/>
      <c r="AU12" s="297"/>
      <c r="AV12" s="297"/>
      <c r="AW12" s="297"/>
      <c r="AX12" s="297"/>
      <c r="AY12" s="297"/>
      <c r="AZ12" s="297"/>
      <c r="BA12" s="297"/>
      <c r="BB12" s="297"/>
      <c r="BC12" s="297"/>
      <c r="BD12" s="297"/>
      <c r="BE12" s="297"/>
      <c r="BF12" s="297"/>
      <c r="BG12" s="297"/>
      <c r="BH12" s="297"/>
      <c r="BI12" s="297"/>
      <c r="BJ12" s="297"/>
      <c r="BK12" s="297"/>
      <c r="BL12" s="297"/>
      <c r="BM12" s="297"/>
      <c r="BN12" s="297"/>
      <c r="BO12" s="297"/>
      <c r="BP12" s="297"/>
      <c r="BQ12" s="297"/>
      <c r="BR12" s="297"/>
      <c r="BS12" s="297"/>
      <c r="BT12" s="297"/>
      <c r="BU12" s="297"/>
      <c r="BV12" s="297"/>
      <c r="BW12" s="297"/>
      <c r="BX12" s="297"/>
      <c r="BY12" s="297"/>
      <c r="BZ12" s="297"/>
      <c r="CA12" s="297"/>
      <c r="CB12" s="297"/>
      <c r="CC12" s="297"/>
      <c r="CD12" s="297"/>
      <c r="CE12" s="297"/>
      <c r="CF12" s="297"/>
      <c r="CG12" s="297"/>
    </row>
    <row r="13" spans="1:402" ht="12" customHeight="1" outlineLevel="3">
      <c r="A13" s="288"/>
      <c r="B13" s="288"/>
      <c r="C13" s="288">
        <v>4</v>
      </c>
      <c r="D13" s="291" t="s">
        <v>1614</v>
      </c>
      <c r="E13" s="246"/>
      <c r="F13" s="246"/>
      <c r="G13" s="246"/>
      <c r="H13" s="246" t="s">
        <v>1493</v>
      </c>
      <c r="I13" s="246"/>
      <c r="J13" s="246"/>
      <c r="K13" s="246"/>
      <c r="L13" s="246"/>
      <c r="M13" s="246"/>
      <c r="N13" s="246"/>
      <c r="O13" s="246"/>
      <c r="P13" s="248">
        <v>45705</v>
      </c>
      <c r="Q13" s="248">
        <v>45709</v>
      </c>
      <c r="R13" s="246"/>
      <c r="S13" s="247">
        <v>0.5</v>
      </c>
      <c r="T13" s="247">
        <v>0.5</v>
      </c>
      <c r="U13" s="247">
        <v>5</v>
      </c>
      <c r="V13" s="247">
        <v>5</v>
      </c>
      <c r="W13" s="248"/>
      <c r="X13" s="248"/>
      <c r="Y13" s="265"/>
      <c r="Z13" s="266">
        <v>0</v>
      </c>
      <c r="AA13" s="247">
        <v>0.1</v>
      </c>
      <c r="AB13" s="246" t="s">
        <v>1717</v>
      </c>
      <c r="AC13" s="263"/>
      <c r="AD13" s="240">
        <v>1</v>
      </c>
      <c r="AE13" s="304">
        <v>1</v>
      </c>
      <c r="AF13" s="296" t="str">
        <f>"      " &amp; TEXT(AE13,"#0.00%") &amp; " " &amp; "일정관리 협의/확정" &amp; "(오승헌님)" &amp; " " &amp; IF(P13="","",TEXT(P13,"M/D-")) &amp; IF(Q13="","",TEXT(Q13,"M/D")) &amp; " "</f>
        <v xml:space="preserve">      100.00% 일정관리 협의/확정(오승헌님) 2/17-2/21 </v>
      </c>
      <c r="AG13" s="297"/>
      <c r="AH13" s="297"/>
      <c r="AI13" s="297"/>
      <c r="AJ13" s="297"/>
      <c r="AK13" s="297"/>
      <c r="AL13" s="297"/>
      <c r="AM13" s="297"/>
      <c r="AN13" s="297"/>
      <c r="AO13" s="297"/>
      <c r="AP13" s="297"/>
      <c r="AQ13" s="297"/>
      <c r="AR13" s="297"/>
      <c r="AS13" s="297"/>
      <c r="AT13" s="297"/>
      <c r="AU13" s="297"/>
      <c r="AV13" s="297"/>
      <c r="AW13" s="297"/>
      <c r="AX13" s="297"/>
      <c r="AY13" s="297"/>
      <c r="AZ13" s="297"/>
      <c r="BA13" s="297"/>
      <c r="BB13" s="297"/>
      <c r="BC13" s="297"/>
      <c r="BD13" s="297"/>
      <c r="BE13" s="297"/>
      <c r="BF13" s="297"/>
      <c r="BG13" s="297"/>
      <c r="BH13" s="297"/>
      <c r="BI13" s="297"/>
      <c r="BJ13" s="297"/>
      <c r="BK13" s="297"/>
      <c r="BL13" s="297"/>
      <c r="BM13" s="297"/>
      <c r="BN13" s="297"/>
      <c r="BO13" s="297"/>
      <c r="BP13" s="297"/>
      <c r="BQ13" s="297"/>
      <c r="BR13" s="297"/>
      <c r="BS13" s="297"/>
      <c r="BT13" s="297"/>
      <c r="BU13" s="297"/>
      <c r="BV13" s="297"/>
      <c r="BW13" s="297"/>
      <c r="BX13" s="297"/>
      <c r="BY13" s="297"/>
      <c r="BZ13" s="297"/>
      <c r="CA13" s="297"/>
      <c r="CB13" s="297"/>
      <c r="CC13" s="297"/>
      <c r="CD13" s="297"/>
      <c r="CE13" s="297"/>
      <c r="CF13" s="297"/>
      <c r="CG13" s="297"/>
    </row>
    <row r="14" spans="1:402" ht="12" customHeight="1" outlineLevel="3">
      <c r="A14" s="288"/>
      <c r="B14" s="288"/>
      <c r="C14" s="288">
        <v>4</v>
      </c>
      <c r="D14" s="291" t="s">
        <v>1615</v>
      </c>
      <c r="E14" s="246"/>
      <c r="F14" s="246"/>
      <c r="G14" s="246"/>
      <c r="H14" s="246" t="s">
        <v>1494</v>
      </c>
      <c r="I14" s="246"/>
      <c r="J14" s="246"/>
      <c r="K14" s="246"/>
      <c r="L14" s="246"/>
      <c r="M14" s="246"/>
      <c r="N14" s="246"/>
      <c r="O14" s="246"/>
      <c r="P14" s="248">
        <v>45705</v>
      </c>
      <c r="Q14" s="248">
        <v>45709</v>
      </c>
      <c r="R14" s="246"/>
      <c r="S14" s="247">
        <v>0.5</v>
      </c>
      <c r="T14" s="247">
        <v>0.5</v>
      </c>
      <c r="U14" s="247">
        <v>5</v>
      </c>
      <c r="V14" s="247">
        <v>5</v>
      </c>
      <c r="W14" s="248"/>
      <c r="X14" s="248"/>
      <c r="Y14" s="265"/>
      <c r="Z14" s="266">
        <v>0</v>
      </c>
      <c r="AA14" s="247">
        <v>0.1</v>
      </c>
      <c r="AB14" s="246" t="s">
        <v>1717</v>
      </c>
      <c r="AC14" s="263"/>
      <c r="AD14" s="240">
        <v>1</v>
      </c>
      <c r="AE14" s="304">
        <v>1</v>
      </c>
      <c r="AF14" s="296" t="str">
        <f>"      " &amp; TEXT(AE14,"#0.00%") &amp; " " &amp; "보고 및 커뮤니케이션 체계 협의/확정" &amp; "(오승헌님)" &amp; " " &amp; IF(P14="","",TEXT(P14,"M/D-")) &amp; IF(Q14="","",TEXT(Q14,"M/D")) &amp; " "</f>
        <v xml:space="preserve">      100.00% 보고 및 커뮤니케이션 체계 협의/확정(오승헌님) 2/17-2/21 </v>
      </c>
      <c r="AG14" s="297"/>
      <c r="AH14" s="297"/>
      <c r="AI14" s="297"/>
      <c r="AJ14" s="297"/>
      <c r="AK14" s="297"/>
      <c r="AL14" s="297"/>
      <c r="AM14" s="297"/>
      <c r="AN14" s="297"/>
      <c r="AO14" s="297"/>
      <c r="AP14" s="297"/>
      <c r="AQ14" s="297"/>
      <c r="AR14" s="297"/>
      <c r="AS14" s="297"/>
      <c r="AT14" s="297"/>
      <c r="AU14" s="297"/>
      <c r="AV14" s="297"/>
      <c r="AW14" s="297"/>
      <c r="AX14" s="297"/>
      <c r="AY14" s="297"/>
      <c r="AZ14" s="297"/>
      <c r="BA14" s="297"/>
      <c r="BB14" s="297"/>
      <c r="BC14" s="297"/>
      <c r="BD14" s="297"/>
      <c r="BE14" s="297"/>
      <c r="BF14" s="297"/>
      <c r="BG14" s="297"/>
      <c r="BH14" s="297"/>
      <c r="BI14" s="297"/>
      <c r="BJ14" s="297"/>
      <c r="BK14" s="297"/>
      <c r="BL14" s="297"/>
      <c r="BM14" s="297"/>
      <c r="BN14" s="297"/>
      <c r="BO14" s="297"/>
      <c r="BP14" s="297"/>
      <c r="BQ14" s="297"/>
      <c r="BR14" s="297"/>
      <c r="BS14" s="297"/>
      <c r="BT14" s="297"/>
      <c r="BU14" s="297"/>
      <c r="BV14" s="297"/>
      <c r="BW14" s="297"/>
      <c r="BX14" s="297"/>
      <c r="BY14" s="297"/>
      <c r="BZ14" s="297"/>
      <c r="CA14" s="297"/>
      <c r="CB14" s="297"/>
      <c r="CC14" s="297"/>
      <c r="CD14" s="297"/>
      <c r="CE14" s="297"/>
      <c r="CF14" s="297"/>
      <c r="CG14" s="297"/>
    </row>
    <row r="15" spans="1:402" ht="12" customHeight="1" outlineLevel="3">
      <c r="A15" s="288">
        <v>0</v>
      </c>
      <c r="B15" s="288"/>
      <c r="C15" s="288">
        <v>4</v>
      </c>
      <c r="D15" s="291" t="s">
        <v>1616</v>
      </c>
      <c r="E15" s="246"/>
      <c r="F15" s="246"/>
      <c r="G15" s="246"/>
      <c r="H15" s="246" t="s">
        <v>1495</v>
      </c>
      <c r="I15" s="246"/>
      <c r="J15" s="246"/>
      <c r="K15" s="246"/>
      <c r="L15" s="246"/>
      <c r="M15" s="246"/>
      <c r="N15" s="246"/>
      <c r="O15" s="246"/>
      <c r="P15" s="248">
        <v>45705</v>
      </c>
      <c r="Q15" s="248">
        <v>45709</v>
      </c>
      <c r="R15" s="246"/>
      <c r="S15" s="247">
        <v>0.5</v>
      </c>
      <c r="T15" s="247">
        <v>0.5</v>
      </c>
      <c r="U15" s="247">
        <v>5</v>
      </c>
      <c r="V15" s="247">
        <v>5</v>
      </c>
      <c r="W15" s="248"/>
      <c r="X15" s="248"/>
      <c r="Y15" s="265"/>
      <c r="Z15" s="266">
        <v>0</v>
      </c>
      <c r="AA15" s="247">
        <v>0.1</v>
      </c>
      <c r="AB15" s="246" t="s">
        <v>1717</v>
      </c>
      <c r="AC15" s="263"/>
      <c r="AD15" s="240">
        <v>1</v>
      </c>
      <c r="AE15" s="304">
        <v>1</v>
      </c>
      <c r="AF15" s="296" t="str">
        <f>"      " &amp; TEXT(AE15,"#0.00%") &amp; " " &amp; "품질관리 협의/확정" &amp; "(오승헌님)" &amp; " " &amp; IF(P15="","",TEXT(P15,"M/D-")) &amp; IF(Q15="","",TEXT(Q15,"M/D")) &amp; " "</f>
        <v xml:space="preserve">      100.00% 품질관리 협의/확정(오승헌님) 2/17-2/21 </v>
      </c>
      <c r="AG15" s="297"/>
      <c r="AH15" s="297"/>
      <c r="AI15" s="297"/>
      <c r="AJ15" s="297"/>
      <c r="AK15" s="297"/>
      <c r="AL15" s="297"/>
      <c r="AM15" s="297"/>
      <c r="AN15" s="297"/>
      <c r="AO15" s="297"/>
      <c r="AP15" s="297"/>
      <c r="AQ15" s="297"/>
      <c r="AR15" s="297"/>
      <c r="AS15" s="297"/>
      <c r="AT15" s="297"/>
      <c r="AU15" s="297"/>
      <c r="AV15" s="297"/>
      <c r="AW15" s="297"/>
      <c r="AX15" s="297"/>
      <c r="AY15" s="297"/>
      <c r="AZ15" s="297"/>
      <c r="BA15" s="297"/>
      <c r="BB15" s="297"/>
      <c r="BC15" s="297"/>
      <c r="BD15" s="297"/>
      <c r="BE15" s="297"/>
      <c r="BF15" s="297"/>
      <c r="BG15" s="297"/>
      <c r="BH15" s="297"/>
      <c r="BI15" s="297"/>
      <c r="BJ15" s="297"/>
      <c r="BK15" s="297"/>
      <c r="BL15" s="297"/>
      <c r="BM15" s="297"/>
      <c r="BN15" s="297"/>
      <c r="BO15" s="297"/>
      <c r="BP15" s="297"/>
      <c r="BQ15" s="297"/>
      <c r="BR15" s="297"/>
      <c r="BS15" s="297"/>
      <c r="BT15" s="297"/>
      <c r="BU15" s="297"/>
      <c r="BV15" s="297"/>
      <c r="BW15" s="297"/>
      <c r="BX15" s="297"/>
      <c r="BY15" s="297"/>
      <c r="BZ15" s="297"/>
      <c r="CA15" s="297"/>
      <c r="CB15" s="297"/>
      <c r="CC15" s="297"/>
      <c r="CD15" s="297"/>
      <c r="CE15" s="297"/>
      <c r="CF15" s="297"/>
      <c r="CG15" s="297"/>
    </row>
    <row r="16" spans="1:402" ht="12" customHeight="1" outlineLevel="3">
      <c r="A16" s="288"/>
      <c r="B16" s="288"/>
      <c r="C16" s="288">
        <v>4</v>
      </c>
      <c r="D16" s="291" t="s">
        <v>1617</v>
      </c>
      <c r="E16" s="246"/>
      <c r="F16" s="246"/>
      <c r="G16" s="246"/>
      <c r="H16" s="246" t="s">
        <v>1496</v>
      </c>
      <c r="I16" s="246"/>
      <c r="J16" s="246"/>
      <c r="K16" s="246"/>
      <c r="L16" s="246"/>
      <c r="M16" s="246"/>
      <c r="N16" s="246"/>
      <c r="O16" s="246"/>
      <c r="P16" s="248">
        <v>45705</v>
      </c>
      <c r="Q16" s="248">
        <v>45709</v>
      </c>
      <c r="R16" s="246"/>
      <c r="S16" s="247">
        <v>0.5</v>
      </c>
      <c r="T16" s="247">
        <v>0.5</v>
      </c>
      <c r="U16" s="247">
        <v>5</v>
      </c>
      <c r="V16" s="247">
        <v>5</v>
      </c>
      <c r="W16" s="248"/>
      <c r="X16" s="248"/>
      <c r="Y16" s="265"/>
      <c r="Z16" s="266">
        <v>0</v>
      </c>
      <c r="AA16" s="247">
        <v>0.1</v>
      </c>
      <c r="AB16" s="246" t="s">
        <v>1717</v>
      </c>
      <c r="AC16" s="263"/>
      <c r="AD16" s="240">
        <v>1</v>
      </c>
      <c r="AE16" s="304">
        <v>1</v>
      </c>
      <c r="AF16" s="296" t="str">
        <f>"      " &amp; TEXT(AE16,"#0.00%") &amp; " " &amp; "위험관리 협의/확정" &amp; "(오승헌님)" &amp; " " &amp; IF(P16="","",TEXT(P16,"M/D-")) &amp; IF(Q16="","",TEXT(Q16,"M/D")) &amp; " "</f>
        <v xml:space="preserve">      100.00% 위험관리 협의/확정(오승헌님) 2/17-2/21 </v>
      </c>
      <c r="AG16" s="297"/>
      <c r="AH16" s="297"/>
      <c r="AI16" s="297"/>
      <c r="AJ16" s="297"/>
      <c r="AK16" s="297"/>
      <c r="AL16" s="297"/>
      <c r="AM16" s="297"/>
      <c r="AN16" s="297"/>
      <c r="AO16" s="297"/>
      <c r="AP16" s="297"/>
      <c r="AQ16" s="297"/>
      <c r="AR16" s="297"/>
      <c r="AS16" s="297"/>
      <c r="AT16" s="297"/>
      <c r="AU16" s="297"/>
      <c r="AV16" s="297"/>
      <c r="AW16" s="297"/>
      <c r="AX16" s="297"/>
      <c r="AY16" s="297"/>
      <c r="AZ16" s="297"/>
      <c r="BA16" s="297"/>
      <c r="BB16" s="297"/>
      <c r="BC16" s="297"/>
      <c r="BD16" s="297"/>
      <c r="BE16" s="297"/>
      <c r="BF16" s="297"/>
      <c r="BG16" s="297"/>
      <c r="BH16" s="297"/>
      <c r="BI16" s="297"/>
      <c r="BJ16" s="297"/>
      <c r="BK16" s="297"/>
      <c r="BL16" s="297"/>
      <c r="BM16" s="297"/>
      <c r="BN16" s="297"/>
      <c r="BO16" s="297"/>
      <c r="BP16" s="297"/>
      <c r="BQ16" s="297"/>
      <c r="BR16" s="297"/>
      <c r="BS16" s="297"/>
      <c r="BT16" s="297"/>
      <c r="BU16" s="297"/>
      <c r="BV16" s="297"/>
      <c r="BW16" s="297"/>
      <c r="BX16" s="297"/>
      <c r="BY16" s="297"/>
      <c r="BZ16" s="297"/>
      <c r="CA16" s="297"/>
      <c r="CB16" s="297"/>
      <c r="CC16" s="297"/>
      <c r="CD16" s="297"/>
      <c r="CE16" s="297"/>
      <c r="CF16" s="297"/>
      <c r="CG16" s="297"/>
    </row>
    <row r="17" spans="1:85" ht="12" customHeight="1" outlineLevel="1">
      <c r="A17" s="288"/>
      <c r="B17" s="288" t="s">
        <v>2334</v>
      </c>
      <c r="C17" s="288">
        <v>2</v>
      </c>
      <c r="D17" s="291" t="s">
        <v>1431</v>
      </c>
      <c r="E17" s="246"/>
      <c r="F17" s="246" t="s">
        <v>1444</v>
      </c>
      <c r="G17" s="246"/>
      <c r="H17" s="246"/>
      <c r="I17" s="246"/>
      <c r="J17" s="246"/>
      <c r="K17" s="246"/>
      <c r="L17" s="246"/>
      <c r="M17" s="246"/>
      <c r="N17" s="246"/>
      <c r="O17" s="246"/>
      <c r="P17" s="248">
        <v>45715</v>
      </c>
      <c r="Q17" s="248">
        <v>46059</v>
      </c>
      <c r="R17" s="246"/>
      <c r="S17" s="247">
        <v>40.299999999999997</v>
      </c>
      <c r="T17" s="247">
        <v>40.299999999999997</v>
      </c>
      <c r="U17" s="247">
        <v>234</v>
      </c>
      <c r="V17" s="247">
        <v>234</v>
      </c>
      <c r="W17" s="248"/>
      <c r="X17" s="248"/>
      <c r="Y17" s="265">
        <v>0</v>
      </c>
      <c r="Z17" s="266">
        <v>0</v>
      </c>
      <c r="AA17" s="247"/>
      <c r="AB17" s="246"/>
      <c r="AC17" s="263"/>
      <c r="AD17" s="240">
        <v>1</v>
      </c>
      <c r="AE17" s="241">
        <v>1</v>
      </c>
      <c r="AF17" s="296"/>
      <c r="AG17" s="297"/>
      <c r="AH17" s="297"/>
      <c r="AI17" s="297"/>
      <c r="AJ17" s="297"/>
      <c r="AK17" s="297"/>
      <c r="AL17" s="297"/>
      <c r="AM17" s="297"/>
      <c r="AN17" s="297"/>
      <c r="AO17" s="297"/>
      <c r="AP17" s="297"/>
      <c r="AQ17" s="297"/>
      <c r="AR17" s="297"/>
      <c r="AS17" s="297"/>
      <c r="AT17" s="297"/>
      <c r="AU17" s="297"/>
      <c r="AV17" s="297"/>
      <c r="AW17" s="297"/>
      <c r="AX17" s="297"/>
      <c r="AY17" s="297"/>
      <c r="AZ17" s="297"/>
      <c r="BA17" s="297"/>
      <c r="BB17" s="297"/>
      <c r="BC17" s="297"/>
      <c r="BD17" s="297"/>
      <c r="BE17" s="297"/>
      <c r="BF17" s="297"/>
      <c r="BG17" s="297"/>
      <c r="BH17" s="297"/>
      <c r="BI17" s="297"/>
      <c r="BJ17" s="297"/>
      <c r="BK17" s="297"/>
      <c r="BL17" s="297"/>
      <c r="BM17" s="297"/>
      <c r="BN17" s="297"/>
      <c r="BO17" s="297"/>
      <c r="BP17" s="297"/>
      <c r="BQ17" s="297"/>
      <c r="BR17" s="297"/>
      <c r="BS17" s="297"/>
      <c r="BT17" s="297"/>
      <c r="BU17" s="297"/>
      <c r="BV17" s="297"/>
      <c r="BW17" s="297"/>
      <c r="BX17" s="297"/>
      <c r="BY17" s="297"/>
      <c r="BZ17" s="297"/>
      <c r="CA17" s="297"/>
      <c r="CB17" s="297"/>
      <c r="CC17" s="297"/>
      <c r="CD17" s="297" t="str">
        <f>"      " &amp; TEXT(AE17,"#0.00%") &amp; " " &amp; "프로젝트 수행 및 통제" &amp; " " &amp; IF(P17="","",TEXT(P17,"M/D-")) &amp; IF(Q17="","",TEXT(Q17,"M/D")) &amp; " "</f>
        <v xml:space="preserve">      100.00% 프로젝트 수행 및 통제 2/27-2/6 </v>
      </c>
      <c r="CE17" s="297"/>
      <c r="CF17" s="297"/>
      <c r="CG17" s="297"/>
    </row>
    <row r="18" spans="1:85" ht="12" customHeight="1" outlineLevel="2">
      <c r="A18" s="288"/>
      <c r="B18" s="288" t="s">
        <v>2334</v>
      </c>
      <c r="C18" s="288">
        <v>3</v>
      </c>
      <c r="D18" s="291" t="s">
        <v>1428</v>
      </c>
      <c r="E18" s="246"/>
      <c r="F18" s="246"/>
      <c r="G18" s="246" t="s">
        <v>1497</v>
      </c>
      <c r="H18" s="246"/>
      <c r="I18" s="246"/>
      <c r="J18" s="246"/>
      <c r="K18" s="246"/>
      <c r="L18" s="246"/>
      <c r="M18" s="246"/>
      <c r="N18" s="246"/>
      <c r="O18" s="246"/>
      <c r="P18" s="248">
        <v>45721</v>
      </c>
      <c r="Q18" s="248">
        <v>46057</v>
      </c>
      <c r="R18" s="246"/>
      <c r="S18" s="247">
        <v>2</v>
      </c>
      <c r="T18" s="247">
        <v>2</v>
      </c>
      <c r="U18" s="247">
        <v>229</v>
      </c>
      <c r="V18" s="247">
        <v>229</v>
      </c>
      <c r="W18" s="248"/>
      <c r="X18" s="248"/>
      <c r="Y18" s="265">
        <v>0</v>
      </c>
      <c r="Z18" s="266">
        <v>0</v>
      </c>
      <c r="AA18" s="247"/>
      <c r="AB18" s="246"/>
      <c r="AC18" s="263"/>
      <c r="AD18" s="240">
        <v>1</v>
      </c>
      <c r="AE18" s="241">
        <v>1</v>
      </c>
      <c r="AF18" s="296"/>
      <c r="AG18" s="297"/>
      <c r="AH18" s="297"/>
      <c r="AI18" s="297"/>
      <c r="AJ18" s="297"/>
      <c r="AK18" s="297"/>
      <c r="AL18" s="297"/>
      <c r="AM18" s="297"/>
      <c r="AN18" s="297"/>
      <c r="AO18" s="297"/>
      <c r="AP18" s="297"/>
      <c r="AQ18" s="297"/>
      <c r="AR18" s="297"/>
      <c r="AS18" s="297"/>
      <c r="AT18" s="297"/>
      <c r="AU18" s="297"/>
      <c r="AV18" s="297"/>
      <c r="AW18" s="297"/>
      <c r="AX18" s="297"/>
      <c r="AY18" s="297"/>
      <c r="AZ18" s="297"/>
      <c r="BA18" s="297"/>
      <c r="BB18" s="297"/>
      <c r="BC18" s="297"/>
      <c r="BD18" s="297"/>
      <c r="BE18" s="297"/>
      <c r="BF18" s="297"/>
      <c r="BG18" s="297"/>
      <c r="BH18" s="297"/>
      <c r="BI18" s="297"/>
      <c r="BJ18" s="297"/>
      <c r="BK18" s="297"/>
      <c r="BL18" s="297"/>
      <c r="BM18" s="297"/>
      <c r="BN18" s="297"/>
      <c r="BO18" s="297"/>
      <c r="BP18" s="297"/>
      <c r="BQ18" s="297"/>
      <c r="BR18" s="297"/>
      <c r="BS18" s="297"/>
      <c r="BT18" s="297"/>
      <c r="BU18" s="297"/>
      <c r="BV18" s="297"/>
      <c r="BW18" s="297"/>
      <c r="BX18" s="297"/>
      <c r="BY18" s="297"/>
      <c r="BZ18" s="297"/>
      <c r="CA18" s="297"/>
      <c r="CB18" s="297"/>
      <c r="CC18" s="297"/>
      <c r="CD18" s="297" t="str">
        <f>"    " &amp; TEXT(AE18,"#0.00%") &amp; " " &amp; "정기보고" &amp; " " &amp; IF(P18="","",TEXT(P18,"M/D-")) &amp; IF(Q18="","",TEXT(Q18,"M/D")) &amp; " "</f>
        <v xml:space="preserve">    100.00% 정기보고 3/5-2/4 </v>
      </c>
      <c r="CE18" s="297"/>
      <c r="CF18" s="297"/>
      <c r="CG18" s="297"/>
    </row>
    <row r="19" spans="1:85" ht="12" customHeight="1" outlineLevel="3">
      <c r="A19" s="288"/>
      <c r="B19" s="288"/>
      <c r="C19" s="288">
        <v>4</v>
      </c>
      <c r="D19" s="291" t="s">
        <v>1618</v>
      </c>
      <c r="E19" s="246"/>
      <c r="F19" s="246"/>
      <c r="G19" s="246"/>
      <c r="H19" s="246" t="s">
        <v>1443</v>
      </c>
      <c r="I19" s="246"/>
      <c r="J19" s="246"/>
      <c r="K19" s="246"/>
      <c r="L19" s="246"/>
      <c r="M19" s="246"/>
      <c r="N19" s="246"/>
      <c r="O19" s="246"/>
      <c r="P19" s="248">
        <v>45721</v>
      </c>
      <c r="Q19" s="248">
        <v>45721</v>
      </c>
      <c r="R19" s="246"/>
      <c r="S19" s="247">
        <v>1</v>
      </c>
      <c r="T19" s="247">
        <v>1</v>
      </c>
      <c r="U19" s="247">
        <v>1</v>
      </c>
      <c r="V19" s="247">
        <v>1</v>
      </c>
      <c r="W19" s="248"/>
      <c r="X19" s="248"/>
      <c r="Y19" s="265"/>
      <c r="Z19" s="266">
        <v>0</v>
      </c>
      <c r="AA19" s="247">
        <v>1</v>
      </c>
      <c r="AB19" s="246" t="s">
        <v>1717</v>
      </c>
      <c r="AC19" s="246" t="s">
        <v>2191</v>
      </c>
      <c r="AD19" s="240">
        <v>1</v>
      </c>
      <c r="AE19" s="304">
        <v>1</v>
      </c>
      <c r="AF19" s="296"/>
      <c r="AG19" s="297"/>
      <c r="AH19" s="297" t="str">
        <f>"    " &amp; TEXT(AE19,"#0.00%") &amp; " " &amp; "착수보고(Kick off)" &amp; "(오승헌님)" &amp; " " &amp; IF(P19="","",TEXT(P19,"M/D-")) &amp; IF(Q19="","",TEXT(Q19,"M/D")) &amp; " "</f>
        <v xml:space="preserve">    100.00% 착수보고(Kick off)(오승헌님) 3/5-3/5 </v>
      </c>
      <c r="AI19" s="297"/>
      <c r="AJ19" s="297"/>
      <c r="AK19" s="297"/>
      <c r="AL19" s="297"/>
      <c r="AM19" s="297"/>
      <c r="AN19" s="297"/>
      <c r="AO19" s="297"/>
      <c r="AP19" s="297"/>
      <c r="AQ19" s="297"/>
      <c r="AR19" s="297"/>
      <c r="AS19" s="297"/>
      <c r="AT19" s="297"/>
      <c r="AU19" s="297"/>
      <c r="AV19" s="297"/>
      <c r="AW19" s="297"/>
      <c r="AX19" s="297"/>
      <c r="AY19" s="297"/>
      <c r="AZ19" s="297"/>
      <c r="BA19" s="297"/>
      <c r="BB19" s="297"/>
      <c r="BC19" s="297"/>
      <c r="BD19" s="297"/>
      <c r="BE19" s="297"/>
      <c r="BF19" s="297"/>
      <c r="BG19" s="297"/>
      <c r="BH19" s="297"/>
      <c r="BI19" s="297"/>
      <c r="BJ19" s="297"/>
      <c r="BK19" s="297"/>
      <c r="BL19" s="297"/>
      <c r="BM19" s="297"/>
      <c r="BN19" s="297"/>
      <c r="BO19" s="297"/>
      <c r="BP19" s="297"/>
      <c r="BQ19" s="297"/>
      <c r="BR19" s="297"/>
      <c r="BS19" s="297"/>
      <c r="BT19" s="297"/>
      <c r="BU19" s="297"/>
      <c r="BV19" s="297"/>
      <c r="BW19" s="297"/>
      <c r="BX19" s="297"/>
      <c r="BY19" s="297"/>
      <c r="BZ19" s="297"/>
      <c r="CA19" s="297"/>
      <c r="CB19" s="297"/>
      <c r="CC19" s="297"/>
      <c r="CD19" s="297"/>
      <c r="CE19" s="297"/>
      <c r="CF19" s="297"/>
      <c r="CG19" s="297"/>
    </row>
    <row r="20" spans="1:85" ht="12" customHeight="1" outlineLevel="3">
      <c r="A20" s="288">
        <v>1</v>
      </c>
      <c r="B20" s="288"/>
      <c r="C20" s="288">
        <v>4</v>
      </c>
      <c r="D20" s="291" t="s">
        <v>1619</v>
      </c>
      <c r="E20" s="246"/>
      <c r="F20" s="246"/>
      <c r="G20" s="246"/>
      <c r="H20" s="246" t="s">
        <v>1447</v>
      </c>
      <c r="I20" s="246"/>
      <c r="J20" s="246"/>
      <c r="K20" s="246"/>
      <c r="L20" s="246"/>
      <c r="M20" s="246"/>
      <c r="N20" s="246"/>
      <c r="O20" s="246"/>
      <c r="P20" s="248">
        <v>45888</v>
      </c>
      <c r="Q20" s="248">
        <v>45888</v>
      </c>
      <c r="R20" s="246"/>
      <c r="S20" s="247">
        <v>0</v>
      </c>
      <c r="T20" s="247">
        <v>0</v>
      </c>
      <c r="U20" s="247">
        <v>1</v>
      </c>
      <c r="V20" s="247">
        <v>1</v>
      </c>
      <c r="W20" s="248"/>
      <c r="X20" s="248"/>
      <c r="Y20" s="265"/>
      <c r="Z20" s="266">
        <v>0</v>
      </c>
      <c r="AA20" s="247">
        <v>1</v>
      </c>
      <c r="AB20" s="246" t="s">
        <v>1717</v>
      </c>
      <c r="AC20" s="246"/>
      <c r="AD20" s="240">
        <v>1</v>
      </c>
      <c r="AE20" s="304">
        <v>1</v>
      </c>
      <c r="AF20" s="296"/>
      <c r="AG20" s="297"/>
      <c r="AH20" s="297"/>
      <c r="AI20" s="297"/>
      <c r="AJ20" s="297"/>
      <c r="AK20" s="297"/>
      <c r="AL20" s="297"/>
      <c r="AM20" s="297"/>
      <c r="AN20" s="297"/>
      <c r="AO20" s="297"/>
      <c r="AP20" s="297"/>
      <c r="AQ20" s="297"/>
      <c r="AR20" s="297"/>
      <c r="AS20" s="297"/>
      <c r="AT20" s="297"/>
      <c r="AU20" s="297"/>
      <c r="AV20" s="297"/>
      <c r="AW20" s="297"/>
      <c r="AX20" s="297"/>
      <c r="AY20" s="297"/>
      <c r="AZ20" s="297"/>
      <c r="BA20" s="297"/>
      <c r="BB20" s="297"/>
      <c r="BC20" s="297"/>
      <c r="BD20" s="297"/>
      <c r="BE20" s="297"/>
      <c r="BF20" s="297" t="str">
        <f>"      " &amp; TEXT(AE20,"#0.00%") &amp; " " &amp; "중간보고" &amp; "(오승헌님)" &amp; " " &amp; IF(P20="","",TEXT(P20,"M/D-")) &amp; IF(Q20="","",TEXT(Q20,"M/D")) &amp; " "</f>
        <v xml:space="preserve">      100.00% 중간보고(오승헌님) 8/19-8/19 </v>
      </c>
      <c r="BG20" s="297"/>
      <c r="BH20" s="297"/>
      <c r="BI20" s="297"/>
      <c r="BJ20" s="297"/>
      <c r="BK20" s="297"/>
      <c r="BL20" s="297"/>
      <c r="BM20" s="297"/>
      <c r="BN20" s="297"/>
      <c r="BO20" s="297"/>
      <c r="BP20" s="297"/>
      <c r="BQ20" s="297"/>
      <c r="BR20" s="297"/>
      <c r="BS20" s="297"/>
      <c r="BT20" s="297"/>
      <c r="BU20" s="297"/>
      <c r="BV20" s="297"/>
      <c r="BW20" s="297"/>
      <c r="BX20" s="297"/>
      <c r="BY20" s="297"/>
      <c r="BZ20" s="297"/>
      <c r="CA20" s="297"/>
      <c r="CB20" s="297"/>
      <c r="CC20" s="297"/>
      <c r="CD20" s="297"/>
      <c r="CE20" s="297"/>
      <c r="CF20" s="297"/>
      <c r="CG20" s="297"/>
    </row>
    <row r="21" spans="1:85" ht="12" customHeight="1" outlineLevel="3">
      <c r="A21" s="288"/>
      <c r="B21" s="288"/>
      <c r="C21" s="288">
        <v>4</v>
      </c>
      <c r="D21" s="291" t="s">
        <v>1620</v>
      </c>
      <c r="E21" s="246"/>
      <c r="F21" s="246"/>
      <c r="G21" s="246"/>
      <c r="H21" s="246" t="s">
        <v>1498</v>
      </c>
      <c r="I21" s="246"/>
      <c r="J21" s="246"/>
      <c r="K21" s="246"/>
      <c r="L21" s="246"/>
      <c r="M21" s="246"/>
      <c r="N21" s="246"/>
      <c r="O21" s="246"/>
      <c r="P21" s="248">
        <v>46057</v>
      </c>
      <c r="Q21" s="248">
        <v>46057</v>
      </c>
      <c r="R21" s="246"/>
      <c r="S21" s="247">
        <v>1</v>
      </c>
      <c r="T21" s="247">
        <v>1</v>
      </c>
      <c r="U21" s="247">
        <v>1</v>
      </c>
      <c r="V21" s="247">
        <v>1</v>
      </c>
      <c r="W21" s="248"/>
      <c r="X21" s="248"/>
      <c r="Y21" s="265"/>
      <c r="Z21" s="266">
        <v>0</v>
      </c>
      <c r="AA21" s="247">
        <v>1</v>
      </c>
      <c r="AB21" s="246" t="s">
        <v>1717</v>
      </c>
      <c r="AC21" s="246" t="s">
        <v>2132</v>
      </c>
      <c r="AD21" s="240">
        <v>1</v>
      </c>
      <c r="AE21" s="304">
        <v>1</v>
      </c>
      <c r="AF21" s="296"/>
      <c r="AG21" s="297"/>
      <c r="AH21" s="297"/>
      <c r="AI21" s="297"/>
      <c r="AJ21" s="297"/>
      <c r="AK21" s="297"/>
      <c r="AL21" s="297"/>
      <c r="AM21" s="297"/>
      <c r="AN21" s="297"/>
      <c r="AO21" s="297"/>
      <c r="AP21" s="297"/>
      <c r="AQ21" s="297"/>
      <c r="AR21" s="297"/>
      <c r="AS21" s="297"/>
      <c r="AT21" s="297"/>
      <c r="AU21" s="297"/>
      <c r="AV21" s="297"/>
      <c r="AW21" s="297"/>
      <c r="AX21" s="297"/>
      <c r="AY21" s="297"/>
      <c r="AZ21" s="297"/>
      <c r="BA21" s="297"/>
      <c r="BB21" s="297"/>
      <c r="BC21" s="297"/>
      <c r="BD21" s="297"/>
      <c r="BE21" s="297"/>
      <c r="BF21" s="297"/>
      <c r="BG21" s="297"/>
      <c r="BH21" s="297"/>
      <c r="BI21" s="297"/>
      <c r="BJ21" s="297"/>
      <c r="BK21" s="297"/>
      <c r="BL21" s="297"/>
      <c r="BM21" s="297"/>
      <c r="BN21" s="297"/>
      <c r="BO21" s="297"/>
      <c r="BP21" s="297"/>
      <c r="BQ21" s="297"/>
      <c r="BR21" s="297"/>
      <c r="BS21" s="297"/>
      <c r="BT21" s="297"/>
      <c r="BU21" s="297"/>
      <c r="BV21" s="297"/>
      <c r="BW21" s="297"/>
      <c r="BX21" s="297"/>
      <c r="BY21" s="297"/>
      <c r="BZ21" s="297"/>
      <c r="CA21" s="297"/>
      <c r="CB21" s="297"/>
      <c r="CC21" s="297"/>
      <c r="CD21" s="297" t="str">
        <f>"    " &amp; TEXT(AE21,"#0.00%") &amp; " " &amp; "완료보고" &amp; "(오승헌님)" &amp; " " &amp; IF(P21="","",TEXT(P21,"M/D-")) &amp; IF(Q21="","",TEXT(Q21,"M/D")) &amp; " "</f>
        <v xml:space="preserve">    100.00% 완료보고(오승헌님) 2/4-2/4 </v>
      </c>
      <c r="CE21" s="297"/>
      <c r="CF21" s="297"/>
      <c r="CG21" s="297"/>
    </row>
    <row r="22" spans="1:85" ht="12" customHeight="1" outlineLevel="2">
      <c r="A22" s="288"/>
      <c r="B22" s="288" t="s">
        <v>2334</v>
      </c>
      <c r="C22" s="288">
        <v>3</v>
      </c>
      <c r="D22" s="291" t="s">
        <v>1429</v>
      </c>
      <c r="E22" s="246"/>
      <c r="F22" s="246"/>
      <c r="G22" s="246" t="s">
        <v>1499</v>
      </c>
      <c r="H22" s="246"/>
      <c r="I22" s="246"/>
      <c r="J22" s="246"/>
      <c r="K22" s="246"/>
      <c r="L22" s="246"/>
      <c r="M22" s="246"/>
      <c r="N22" s="246"/>
      <c r="O22" s="246"/>
      <c r="P22" s="248">
        <v>45715</v>
      </c>
      <c r="Q22" s="248">
        <v>46059</v>
      </c>
      <c r="R22" s="246"/>
      <c r="S22" s="247">
        <v>4.8999999999999986</v>
      </c>
      <c r="T22" s="247">
        <v>4.8999999999999986</v>
      </c>
      <c r="U22" s="247">
        <v>234</v>
      </c>
      <c r="V22" s="247">
        <v>234</v>
      </c>
      <c r="W22" s="248"/>
      <c r="X22" s="248"/>
      <c r="Y22" s="265">
        <v>0</v>
      </c>
      <c r="Z22" s="266">
        <v>0</v>
      </c>
      <c r="AA22" s="247"/>
      <c r="AB22" s="246"/>
      <c r="AC22" s="263"/>
      <c r="AD22" s="240">
        <v>1</v>
      </c>
      <c r="AE22" s="241">
        <v>1</v>
      </c>
      <c r="AF22" s="296"/>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t="str">
        <f>"      " &amp; TEXT(AE22,"#0.00%") &amp; " " &amp; "주간보고" &amp; " " &amp; IF(P22="","",TEXT(P22,"M/D-")) &amp; IF(Q22="","",TEXT(Q22,"M/D")) &amp; " "</f>
        <v xml:space="preserve">      100.00% 주간보고 2/27-2/6 </v>
      </c>
      <c r="CE22" s="297"/>
      <c r="CF22" s="297"/>
      <c r="CG22" s="297"/>
    </row>
    <row r="23" spans="1:85" ht="12" customHeight="1" outlineLevel="3">
      <c r="A23" s="288"/>
      <c r="B23" s="288"/>
      <c r="C23" s="288">
        <v>4</v>
      </c>
      <c r="D23" s="291" t="s">
        <v>1621</v>
      </c>
      <c r="E23" s="246"/>
      <c r="F23" s="246"/>
      <c r="G23" s="246"/>
      <c r="H23" s="246" t="s">
        <v>1500</v>
      </c>
      <c r="I23" s="246"/>
      <c r="J23" s="246"/>
      <c r="K23" s="246"/>
      <c r="L23" s="246"/>
      <c r="M23" s="246"/>
      <c r="N23" s="246"/>
      <c r="O23" s="246"/>
      <c r="P23" s="248">
        <v>45715</v>
      </c>
      <c r="Q23" s="248">
        <v>45715</v>
      </c>
      <c r="R23" s="246"/>
      <c r="S23" s="247">
        <v>0.1</v>
      </c>
      <c r="T23" s="247">
        <v>0.1</v>
      </c>
      <c r="U23" s="247">
        <v>1</v>
      </c>
      <c r="V23" s="247">
        <v>1</v>
      </c>
      <c r="W23" s="248"/>
      <c r="X23" s="248"/>
      <c r="Y23" s="265"/>
      <c r="Z23" s="266">
        <v>0</v>
      </c>
      <c r="AA23" s="247">
        <v>0.1</v>
      </c>
      <c r="AB23" s="246" t="s">
        <v>1717</v>
      </c>
      <c r="AC23" s="246" t="s">
        <v>2135</v>
      </c>
      <c r="AD23" s="240">
        <v>1</v>
      </c>
      <c r="AE23" s="304">
        <v>1</v>
      </c>
      <c r="AF23" s="296"/>
      <c r="AG23" s="297" t="str">
        <f>"     " &amp; TEXT(AE23,"#0.00%") &amp; " " &amp; "1주차 주간보고" &amp; "(오승헌님)" &amp; " " &amp; IF(P23="","",TEXT(P23,"M/D-")) &amp; IF(Q23="","",TEXT(Q23,"M/D")) &amp; " "</f>
        <v xml:space="preserve">     100.00% 1주차 주간보고(오승헌님) 2/27-2/27 </v>
      </c>
      <c r="AH23" s="297"/>
      <c r="AI23" s="297"/>
      <c r="AJ23" s="297"/>
      <c r="AK23" s="297"/>
      <c r="AL23" s="297"/>
      <c r="AM23" s="297"/>
      <c r="AN23" s="297"/>
      <c r="AO23" s="297"/>
      <c r="AP23" s="297"/>
      <c r="AQ23" s="297"/>
      <c r="AR23" s="297"/>
      <c r="AS23" s="297"/>
      <c r="AT23" s="297"/>
      <c r="AU23" s="297"/>
      <c r="AV23" s="297"/>
      <c r="AW23" s="297"/>
      <c r="AX23" s="297"/>
      <c r="AY23" s="297"/>
      <c r="AZ23" s="297"/>
      <c r="BA23" s="297"/>
      <c r="BB23" s="297"/>
      <c r="BC23" s="297"/>
      <c r="BD23" s="297"/>
      <c r="BE23" s="297"/>
      <c r="BF23" s="297"/>
      <c r="BG23" s="297"/>
      <c r="BH23" s="297"/>
      <c r="BI23" s="297"/>
      <c r="BJ23" s="297"/>
      <c r="BK23" s="297"/>
      <c r="BL23" s="297"/>
      <c r="BM23" s="297"/>
      <c r="BN23" s="297"/>
      <c r="BO23" s="297"/>
      <c r="BP23" s="297"/>
      <c r="BQ23" s="297"/>
      <c r="BR23" s="297"/>
      <c r="BS23" s="297"/>
      <c r="BT23" s="297"/>
      <c r="BU23" s="297"/>
      <c r="BV23" s="297"/>
      <c r="BW23" s="297"/>
      <c r="BX23" s="297"/>
      <c r="BY23" s="297"/>
      <c r="BZ23" s="297"/>
      <c r="CA23" s="297"/>
      <c r="CB23" s="297"/>
      <c r="CC23" s="297"/>
      <c r="CD23" s="297"/>
      <c r="CE23" s="297"/>
      <c r="CF23" s="297"/>
      <c r="CG23" s="297"/>
    </row>
    <row r="24" spans="1:85" ht="12" customHeight="1" outlineLevel="3">
      <c r="A24" s="288"/>
      <c r="B24" s="288"/>
      <c r="C24" s="288">
        <v>4</v>
      </c>
      <c r="D24" s="291" t="s">
        <v>1622</v>
      </c>
      <c r="E24" s="246"/>
      <c r="F24" s="246"/>
      <c r="G24" s="246"/>
      <c r="H24" s="246" t="s">
        <v>1501</v>
      </c>
      <c r="I24" s="246"/>
      <c r="J24" s="246"/>
      <c r="K24" s="246"/>
      <c r="L24" s="246"/>
      <c r="M24" s="246"/>
      <c r="N24" s="246"/>
      <c r="O24" s="246"/>
      <c r="P24" s="248">
        <v>45722</v>
      </c>
      <c r="Q24" s="248">
        <v>45722</v>
      </c>
      <c r="R24" s="246"/>
      <c r="S24" s="247">
        <v>0.1</v>
      </c>
      <c r="T24" s="247">
        <v>0.1</v>
      </c>
      <c r="U24" s="247">
        <v>1</v>
      </c>
      <c r="V24" s="247">
        <v>1</v>
      </c>
      <c r="W24" s="248"/>
      <c r="X24" s="248"/>
      <c r="Y24" s="265"/>
      <c r="Z24" s="266">
        <v>0</v>
      </c>
      <c r="AA24" s="247">
        <v>0.1</v>
      </c>
      <c r="AB24" s="246" t="s">
        <v>1717</v>
      </c>
      <c r="AC24" s="246" t="s">
        <v>2136</v>
      </c>
      <c r="AD24" s="240">
        <v>1</v>
      </c>
      <c r="AE24" s="304">
        <v>1</v>
      </c>
      <c r="AF24" s="296"/>
      <c r="AG24" s="297"/>
      <c r="AH24" s="297" t="str">
        <f>"     " &amp; TEXT(AE24,"#0.00%") &amp; " " &amp; "2주차 주간보고" &amp; "(오승헌님)" &amp; " " &amp; IF(P24="","",TEXT(P24,"M/D-")) &amp; IF(Q24="","",TEXT(Q24,"M/D")) &amp; " "</f>
        <v xml:space="preserve">     100.00% 2주차 주간보고(오승헌님) 3/6-3/6 </v>
      </c>
      <c r="AI24" s="297"/>
      <c r="AJ24" s="297"/>
      <c r="AK24" s="297"/>
      <c r="AL24" s="297"/>
      <c r="AM24" s="297"/>
      <c r="AN24" s="297"/>
      <c r="AO24" s="297"/>
      <c r="AP24" s="297"/>
      <c r="AQ24" s="297"/>
      <c r="AR24" s="297"/>
      <c r="AS24" s="297"/>
      <c r="AT24" s="297"/>
      <c r="AU24" s="297"/>
      <c r="AV24" s="297"/>
      <c r="AW24" s="297"/>
      <c r="AX24" s="297"/>
      <c r="AY24" s="297"/>
      <c r="AZ24" s="297"/>
      <c r="BA24" s="297"/>
      <c r="BB24" s="297"/>
      <c r="BC24" s="297"/>
      <c r="BD24" s="297"/>
      <c r="BE24" s="297"/>
      <c r="BF24" s="297"/>
      <c r="BG24" s="297"/>
      <c r="BH24" s="297"/>
      <c r="BI24" s="297"/>
      <c r="BJ24" s="297"/>
      <c r="BK24" s="297"/>
      <c r="BL24" s="297"/>
      <c r="BM24" s="297"/>
      <c r="BN24" s="297"/>
      <c r="BO24" s="297"/>
      <c r="BP24" s="297"/>
      <c r="BQ24" s="297"/>
      <c r="BR24" s="297"/>
      <c r="BS24" s="297"/>
      <c r="BT24" s="297"/>
      <c r="BU24" s="297"/>
      <c r="BV24" s="297"/>
      <c r="BW24" s="297"/>
      <c r="BX24" s="297"/>
      <c r="BY24" s="297"/>
      <c r="BZ24" s="297"/>
      <c r="CA24" s="297"/>
      <c r="CB24" s="297"/>
      <c r="CC24" s="297"/>
      <c r="CD24" s="297"/>
      <c r="CE24" s="297"/>
      <c r="CF24" s="297"/>
      <c r="CG24" s="297"/>
    </row>
    <row r="25" spans="1:85" ht="12" customHeight="1" outlineLevel="3">
      <c r="A25" s="288"/>
      <c r="B25" s="288"/>
      <c r="C25" s="288">
        <v>4</v>
      </c>
      <c r="D25" s="291" t="s">
        <v>1623</v>
      </c>
      <c r="E25" s="246"/>
      <c r="F25" s="246"/>
      <c r="G25" s="246"/>
      <c r="H25" s="246" t="s">
        <v>1502</v>
      </c>
      <c r="I25" s="246"/>
      <c r="J25" s="246"/>
      <c r="K25" s="246"/>
      <c r="L25" s="246"/>
      <c r="M25" s="246"/>
      <c r="N25" s="246"/>
      <c r="O25" s="246"/>
      <c r="P25" s="248">
        <v>45729</v>
      </c>
      <c r="Q25" s="248">
        <v>45729</v>
      </c>
      <c r="R25" s="246"/>
      <c r="S25" s="247">
        <v>0.1</v>
      </c>
      <c r="T25" s="247">
        <v>0.1</v>
      </c>
      <c r="U25" s="247">
        <v>1</v>
      </c>
      <c r="V25" s="247">
        <v>1</v>
      </c>
      <c r="W25" s="248"/>
      <c r="X25" s="248"/>
      <c r="Y25" s="265"/>
      <c r="Z25" s="266">
        <v>0</v>
      </c>
      <c r="AA25" s="247">
        <v>0.1</v>
      </c>
      <c r="AB25" s="246" t="s">
        <v>1717</v>
      </c>
      <c r="AC25" s="246" t="s">
        <v>2137</v>
      </c>
      <c r="AD25" s="240">
        <v>1</v>
      </c>
      <c r="AE25" s="304">
        <v>1</v>
      </c>
      <c r="AF25" s="296"/>
      <c r="AG25" s="297"/>
      <c r="AH25" s="297"/>
      <c r="AI25" s="297" t="str">
        <f>"     " &amp; TEXT(AE25,"#0.00%") &amp; " " &amp; "3주차 주간보고" &amp; "(오승헌님)" &amp; " " &amp; IF(P25="","",TEXT(P25,"M/D-")) &amp; IF(Q25="","",TEXT(Q25,"M/D")) &amp; " "</f>
        <v xml:space="preserve">     100.00% 3주차 주간보고(오승헌님) 3/13-3/13 </v>
      </c>
      <c r="AJ25" s="297"/>
      <c r="AK25" s="297"/>
      <c r="AL25" s="297"/>
      <c r="AM25" s="297"/>
      <c r="AN25" s="297"/>
      <c r="AO25" s="297"/>
      <c r="AP25" s="297"/>
      <c r="AQ25" s="297"/>
      <c r="AR25" s="297"/>
      <c r="AS25" s="297"/>
      <c r="AT25" s="297"/>
      <c r="AU25" s="297"/>
      <c r="AV25" s="297"/>
      <c r="AW25" s="297"/>
      <c r="AX25" s="297"/>
      <c r="AY25" s="297"/>
      <c r="AZ25" s="297"/>
      <c r="BA25" s="297"/>
      <c r="BB25" s="297"/>
      <c r="BC25" s="297"/>
      <c r="BD25" s="297"/>
      <c r="BE25" s="297"/>
      <c r="BF25" s="297"/>
      <c r="BG25" s="297"/>
      <c r="BH25" s="297"/>
      <c r="BI25" s="297"/>
      <c r="BJ25" s="297"/>
      <c r="BK25" s="297"/>
      <c r="BL25" s="297"/>
      <c r="BM25" s="297"/>
      <c r="BN25" s="297"/>
      <c r="BO25" s="297"/>
      <c r="BP25" s="297"/>
      <c r="BQ25" s="297"/>
      <c r="BR25" s="297"/>
      <c r="BS25" s="297"/>
      <c r="BT25" s="297"/>
      <c r="BU25" s="297"/>
      <c r="BV25" s="297"/>
      <c r="BW25" s="297"/>
      <c r="BX25" s="297"/>
      <c r="BY25" s="297"/>
      <c r="BZ25" s="297"/>
      <c r="CA25" s="297"/>
      <c r="CB25" s="297"/>
      <c r="CC25" s="297"/>
      <c r="CD25" s="297"/>
      <c r="CE25" s="297"/>
      <c r="CF25" s="297"/>
      <c r="CG25" s="297"/>
    </row>
    <row r="26" spans="1:85" ht="12" customHeight="1" outlineLevel="3">
      <c r="A26" s="288"/>
      <c r="B26" s="288"/>
      <c r="C26" s="288">
        <v>4</v>
      </c>
      <c r="D26" s="291" t="s">
        <v>1624</v>
      </c>
      <c r="E26" s="246"/>
      <c r="F26" s="246"/>
      <c r="G26" s="246"/>
      <c r="H26" s="246" t="s">
        <v>1503</v>
      </c>
      <c r="I26" s="246"/>
      <c r="J26" s="246"/>
      <c r="K26" s="246"/>
      <c r="L26" s="246"/>
      <c r="M26" s="246"/>
      <c r="N26" s="246"/>
      <c r="O26" s="246"/>
      <c r="P26" s="248">
        <v>45736</v>
      </c>
      <c r="Q26" s="248">
        <v>45736</v>
      </c>
      <c r="R26" s="246"/>
      <c r="S26" s="247">
        <v>0.1</v>
      </c>
      <c r="T26" s="247">
        <v>0.1</v>
      </c>
      <c r="U26" s="247">
        <v>1</v>
      </c>
      <c r="V26" s="247">
        <v>1</v>
      </c>
      <c r="W26" s="248"/>
      <c r="X26" s="248"/>
      <c r="Y26" s="265"/>
      <c r="Z26" s="266">
        <v>0</v>
      </c>
      <c r="AA26" s="247">
        <v>0.1</v>
      </c>
      <c r="AB26" s="246" t="s">
        <v>1717</v>
      </c>
      <c r="AC26" s="246" t="s">
        <v>2138</v>
      </c>
      <c r="AD26" s="240">
        <v>1</v>
      </c>
      <c r="AE26" s="304">
        <v>1</v>
      </c>
      <c r="AF26" s="296"/>
      <c r="AG26" s="297"/>
      <c r="AH26" s="297"/>
      <c r="AI26" s="297"/>
      <c r="AJ26" s="297" t="str">
        <f>"     " &amp; TEXT(AE26,"#0.00%") &amp; " " &amp; "4주차 주간보고" &amp; "(오승헌님)" &amp; " " &amp; IF(P26="","",TEXT(P26,"M/D-")) &amp; IF(Q26="","",TEXT(Q26,"M/D")) &amp; " "</f>
        <v xml:space="preserve">     100.00% 4주차 주간보고(오승헌님) 3/20-3/20 </v>
      </c>
      <c r="AK26" s="297"/>
      <c r="AL26" s="297"/>
      <c r="AM26" s="297"/>
      <c r="AN26" s="297"/>
      <c r="AO26" s="297"/>
      <c r="AP26" s="297"/>
      <c r="AQ26" s="297"/>
      <c r="AR26" s="297"/>
      <c r="AS26" s="297"/>
      <c r="AT26" s="297"/>
      <c r="AU26" s="297"/>
      <c r="AV26" s="297"/>
      <c r="AW26" s="297"/>
      <c r="AX26" s="297"/>
      <c r="AY26" s="297"/>
      <c r="AZ26" s="297"/>
      <c r="BA26" s="297"/>
      <c r="BB26" s="297"/>
      <c r="BC26" s="297"/>
      <c r="BD26" s="297"/>
      <c r="BE26" s="297"/>
      <c r="BF26" s="297"/>
      <c r="BG26" s="297"/>
      <c r="BH26" s="297"/>
      <c r="BI26" s="297"/>
      <c r="BJ26" s="297"/>
      <c r="BK26" s="297"/>
      <c r="BL26" s="297"/>
      <c r="BM26" s="297"/>
      <c r="BN26" s="297"/>
      <c r="BO26" s="297"/>
      <c r="BP26" s="297"/>
      <c r="BQ26" s="297"/>
      <c r="BR26" s="297"/>
      <c r="BS26" s="297"/>
      <c r="BT26" s="297"/>
      <c r="BU26" s="297"/>
      <c r="BV26" s="297"/>
      <c r="BW26" s="297"/>
      <c r="BX26" s="297"/>
      <c r="BY26" s="297"/>
      <c r="BZ26" s="297"/>
      <c r="CA26" s="297"/>
      <c r="CB26" s="297"/>
      <c r="CC26" s="297"/>
      <c r="CD26" s="297"/>
      <c r="CE26" s="297"/>
      <c r="CF26" s="297"/>
      <c r="CG26" s="297"/>
    </row>
    <row r="27" spans="1:85" ht="12" customHeight="1" outlineLevel="3">
      <c r="A27" s="288"/>
      <c r="B27" s="288"/>
      <c r="C27" s="288">
        <v>4</v>
      </c>
      <c r="D27" s="291" t="s">
        <v>1625</v>
      </c>
      <c r="E27" s="246"/>
      <c r="F27" s="246"/>
      <c r="G27" s="246"/>
      <c r="H27" s="246" t="s">
        <v>1504</v>
      </c>
      <c r="I27" s="246"/>
      <c r="J27" s="246"/>
      <c r="K27" s="246"/>
      <c r="L27" s="246"/>
      <c r="M27" s="246"/>
      <c r="N27" s="246"/>
      <c r="O27" s="246"/>
      <c r="P27" s="248">
        <v>45744</v>
      </c>
      <c r="Q27" s="248">
        <v>45744</v>
      </c>
      <c r="R27" s="246"/>
      <c r="S27" s="247">
        <v>0.1</v>
      </c>
      <c r="T27" s="247">
        <v>0.1</v>
      </c>
      <c r="U27" s="247">
        <v>1</v>
      </c>
      <c r="V27" s="247">
        <v>1</v>
      </c>
      <c r="W27" s="248"/>
      <c r="X27" s="248"/>
      <c r="Y27" s="265"/>
      <c r="Z27" s="266">
        <v>0</v>
      </c>
      <c r="AA27" s="247">
        <v>0.1</v>
      </c>
      <c r="AB27" s="246" t="s">
        <v>1717</v>
      </c>
      <c r="AC27" s="246" t="s">
        <v>2139</v>
      </c>
      <c r="AD27" s="240">
        <v>1</v>
      </c>
      <c r="AE27" s="304">
        <v>1</v>
      </c>
      <c r="AF27" s="296"/>
      <c r="AG27" s="297"/>
      <c r="AH27" s="297"/>
      <c r="AI27" s="297"/>
      <c r="AJ27" s="297"/>
      <c r="AK27" s="297" t="str">
        <f>"      " &amp; TEXT(AE27,"#0.00%") &amp; " " &amp; "5주차 주간보고" &amp; "(오승헌님)" &amp; " " &amp; IF(P27="","",TEXT(P27,"M/D-")) &amp; IF(Q27="","",TEXT(Q27,"M/D")) &amp; " "</f>
        <v xml:space="preserve">      100.00% 5주차 주간보고(오승헌님) 3/28-3/28 </v>
      </c>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row>
    <row r="28" spans="1:85" ht="12" customHeight="1" outlineLevel="3">
      <c r="A28" s="288"/>
      <c r="B28" s="288"/>
      <c r="C28" s="288">
        <v>4</v>
      </c>
      <c r="D28" s="291" t="s">
        <v>1626</v>
      </c>
      <c r="E28" s="246"/>
      <c r="F28" s="246"/>
      <c r="G28" s="246"/>
      <c r="H28" s="246" t="s">
        <v>1505</v>
      </c>
      <c r="I28" s="246"/>
      <c r="J28" s="246"/>
      <c r="K28" s="246"/>
      <c r="L28" s="246"/>
      <c r="M28" s="246"/>
      <c r="N28" s="246"/>
      <c r="O28" s="246"/>
      <c r="P28" s="248">
        <v>45751</v>
      </c>
      <c r="Q28" s="248">
        <v>45751</v>
      </c>
      <c r="R28" s="246"/>
      <c r="S28" s="247">
        <v>0.1</v>
      </c>
      <c r="T28" s="247">
        <v>0.1</v>
      </c>
      <c r="U28" s="247">
        <v>1</v>
      </c>
      <c r="V28" s="247">
        <v>1</v>
      </c>
      <c r="W28" s="248"/>
      <c r="X28" s="248"/>
      <c r="Y28" s="265"/>
      <c r="Z28" s="266">
        <v>0</v>
      </c>
      <c r="AA28" s="247">
        <v>0.1</v>
      </c>
      <c r="AB28" s="246" t="s">
        <v>1717</v>
      </c>
      <c r="AC28" s="246" t="s">
        <v>2140</v>
      </c>
      <c r="AD28" s="240">
        <v>1</v>
      </c>
      <c r="AE28" s="304">
        <v>1</v>
      </c>
      <c r="AF28" s="296"/>
      <c r="AG28" s="297"/>
      <c r="AH28" s="297"/>
      <c r="AI28" s="297"/>
      <c r="AJ28" s="297"/>
      <c r="AK28" s="297"/>
      <c r="AL28" s="297" t="str">
        <f>"      " &amp; TEXT(AE28,"#0.00%") &amp; " " &amp; "6주차 주간보고" &amp; "(오승헌님)" &amp; " " &amp; IF(P28="","",TEXT(P28,"M/D-")) &amp; IF(Q28="","",TEXT(Q28,"M/D")) &amp; " "</f>
        <v xml:space="preserve">      100.00% 6주차 주간보고(오승헌님) 4/4-4/4 </v>
      </c>
      <c r="AM28" s="297"/>
      <c r="AN28" s="297"/>
      <c r="AO28" s="297"/>
      <c r="AP28" s="297"/>
      <c r="AQ28" s="297"/>
      <c r="AR28" s="297"/>
      <c r="AS28" s="297"/>
      <c r="AT28" s="297"/>
      <c r="AU28" s="297"/>
      <c r="AV28" s="297"/>
      <c r="AW28" s="297"/>
      <c r="AX28" s="297"/>
      <c r="AY28" s="297"/>
      <c r="AZ28" s="297"/>
      <c r="BA28" s="297"/>
      <c r="BB28" s="297"/>
      <c r="BC28" s="297"/>
      <c r="BD28" s="297"/>
      <c r="BE28" s="297"/>
      <c r="BF28" s="297"/>
      <c r="BG28" s="297"/>
      <c r="BH28" s="297"/>
      <c r="BI28" s="297"/>
      <c r="BJ28" s="297"/>
      <c r="BK28" s="297"/>
      <c r="BL28" s="297"/>
      <c r="BM28" s="297"/>
      <c r="BN28" s="297"/>
      <c r="BO28" s="297"/>
      <c r="BP28" s="297"/>
      <c r="BQ28" s="297"/>
      <c r="BR28" s="297"/>
      <c r="BS28" s="297"/>
      <c r="BT28" s="297"/>
      <c r="BU28" s="297"/>
      <c r="BV28" s="297"/>
      <c r="BW28" s="297"/>
      <c r="BX28" s="297"/>
      <c r="BY28" s="297"/>
      <c r="BZ28" s="297"/>
      <c r="CA28" s="297"/>
      <c r="CB28" s="297"/>
      <c r="CC28" s="297"/>
      <c r="CD28" s="297"/>
      <c r="CE28" s="297"/>
      <c r="CF28" s="297"/>
      <c r="CG28" s="297"/>
    </row>
    <row r="29" spans="1:85" ht="12" customHeight="1" outlineLevel="3">
      <c r="A29" s="288"/>
      <c r="B29" s="288"/>
      <c r="C29" s="288">
        <v>4</v>
      </c>
      <c r="D29" s="291" t="s">
        <v>1627</v>
      </c>
      <c r="E29" s="246"/>
      <c r="F29" s="246"/>
      <c r="G29" s="246"/>
      <c r="H29" s="246" t="s">
        <v>1506</v>
      </c>
      <c r="I29" s="246"/>
      <c r="J29" s="246"/>
      <c r="K29" s="246"/>
      <c r="L29" s="246"/>
      <c r="M29" s="246"/>
      <c r="N29" s="246"/>
      <c r="O29" s="246"/>
      <c r="P29" s="248">
        <v>45758</v>
      </c>
      <c r="Q29" s="248">
        <v>45758</v>
      </c>
      <c r="R29" s="246"/>
      <c r="S29" s="247">
        <v>0.1</v>
      </c>
      <c r="T29" s="247">
        <v>0.1</v>
      </c>
      <c r="U29" s="247">
        <v>1</v>
      </c>
      <c r="V29" s="247">
        <v>1</v>
      </c>
      <c r="W29" s="248"/>
      <c r="X29" s="248"/>
      <c r="Y29" s="265"/>
      <c r="Z29" s="266">
        <v>0</v>
      </c>
      <c r="AA29" s="247">
        <v>0.1</v>
      </c>
      <c r="AB29" s="246" t="s">
        <v>1717</v>
      </c>
      <c r="AC29" s="246" t="s">
        <v>2141</v>
      </c>
      <c r="AD29" s="240">
        <v>1</v>
      </c>
      <c r="AE29" s="304">
        <v>1</v>
      </c>
      <c r="AF29" s="296"/>
      <c r="AG29" s="297"/>
      <c r="AH29" s="297"/>
      <c r="AI29" s="297"/>
      <c r="AJ29" s="297"/>
      <c r="AK29" s="297"/>
      <c r="AL29" s="297"/>
      <c r="AM29" s="297" t="str">
        <f>"      " &amp; TEXT(AE29,"#0.00%") &amp; " " &amp; "7주차 주간보고" &amp; "(오승헌님)" &amp; " " &amp; IF(P29="","",TEXT(P29,"M/D-")) &amp; IF(Q29="","",TEXT(Q29,"M/D")) &amp; " "</f>
        <v xml:space="preserve">      100.00% 7주차 주간보고(오승헌님) 4/11-4/11 </v>
      </c>
      <c r="AN29" s="297"/>
      <c r="AO29" s="297"/>
      <c r="AP29" s="297"/>
      <c r="AQ29" s="297"/>
      <c r="AR29" s="297"/>
      <c r="AS29" s="297"/>
      <c r="AT29" s="297"/>
      <c r="AU29" s="297"/>
      <c r="AV29" s="297"/>
      <c r="AW29" s="297"/>
      <c r="AX29" s="297"/>
      <c r="AY29" s="297"/>
      <c r="AZ29" s="297"/>
      <c r="BA29" s="297"/>
      <c r="BB29" s="297"/>
      <c r="BC29" s="297"/>
      <c r="BD29" s="297"/>
      <c r="BE29" s="297"/>
      <c r="BF29" s="297"/>
      <c r="BG29" s="297"/>
      <c r="BH29" s="297"/>
      <c r="BI29" s="297"/>
      <c r="BJ29" s="297"/>
      <c r="BK29" s="297"/>
      <c r="BL29" s="297"/>
      <c r="BM29" s="297"/>
      <c r="BN29" s="297"/>
      <c r="BO29" s="297"/>
      <c r="BP29" s="297"/>
      <c r="BQ29" s="297"/>
      <c r="BR29" s="297"/>
      <c r="BS29" s="297"/>
      <c r="BT29" s="297"/>
      <c r="BU29" s="297"/>
      <c r="BV29" s="297"/>
      <c r="BW29" s="297"/>
      <c r="BX29" s="297"/>
      <c r="BY29" s="297"/>
      <c r="BZ29" s="297"/>
      <c r="CA29" s="297"/>
      <c r="CB29" s="297"/>
      <c r="CC29" s="297"/>
      <c r="CD29" s="297"/>
      <c r="CE29" s="297"/>
      <c r="CF29" s="297"/>
      <c r="CG29" s="297"/>
    </row>
    <row r="30" spans="1:85" ht="12" customHeight="1" outlineLevel="3">
      <c r="A30" s="288"/>
      <c r="B30" s="288"/>
      <c r="C30" s="288">
        <v>4</v>
      </c>
      <c r="D30" s="291" t="s">
        <v>1628</v>
      </c>
      <c r="E30" s="246"/>
      <c r="F30" s="246"/>
      <c r="G30" s="246"/>
      <c r="H30" s="246" t="s">
        <v>1507</v>
      </c>
      <c r="I30" s="246"/>
      <c r="J30" s="246"/>
      <c r="K30" s="246"/>
      <c r="L30" s="246"/>
      <c r="M30" s="246"/>
      <c r="N30" s="246"/>
      <c r="O30" s="246"/>
      <c r="P30" s="248">
        <v>45765</v>
      </c>
      <c r="Q30" s="248">
        <v>45765</v>
      </c>
      <c r="R30" s="246"/>
      <c r="S30" s="247">
        <v>0.1</v>
      </c>
      <c r="T30" s="247">
        <v>0.1</v>
      </c>
      <c r="U30" s="247">
        <v>1</v>
      </c>
      <c r="V30" s="247">
        <v>1</v>
      </c>
      <c r="W30" s="248"/>
      <c r="X30" s="248"/>
      <c r="Y30" s="265"/>
      <c r="Z30" s="266">
        <v>0</v>
      </c>
      <c r="AA30" s="247">
        <v>0.1</v>
      </c>
      <c r="AB30" s="246" t="s">
        <v>1717</v>
      </c>
      <c r="AC30" s="246" t="s">
        <v>2142</v>
      </c>
      <c r="AD30" s="240">
        <v>1</v>
      </c>
      <c r="AE30" s="304">
        <v>1</v>
      </c>
      <c r="AF30" s="296"/>
      <c r="AG30" s="297"/>
      <c r="AH30" s="297"/>
      <c r="AI30" s="297"/>
      <c r="AJ30" s="297"/>
      <c r="AK30" s="297"/>
      <c r="AL30" s="297"/>
      <c r="AM30" s="297"/>
      <c r="AN30" s="297" t="str">
        <f>"      " &amp; TEXT(AE30,"#0.00%") &amp; " " &amp; "8주차 주간보고" &amp; "(오승헌님)" &amp; " " &amp; IF(P30="","",TEXT(P30,"M/D-")) &amp; IF(Q30="","",TEXT(Q30,"M/D")) &amp; " "</f>
        <v xml:space="preserve">      100.00% 8주차 주간보고(오승헌님) 4/18-4/18 </v>
      </c>
      <c r="AO30" s="297"/>
      <c r="AP30" s="297"/>
      <c r="AQ30" s="297"/>
      <c r="AR30" s="297"/>
      <c r="AS30" s="297"/>
      <c r="AT30" s="297"/>
      <c r="AU30" s="297"/>
      <c r="AV30" s="297"/>
      <c r="AW30" s="297"/>
      <c r="AX30" s="297"/>
      <c r="AY30" s="297"/>
      <c r="AZ30" s="297"/>
      <c r="BA30" s="297"/>
      <c r="BB30" s="297"/>
      <c r="BC30" s="297"/>
      <c r="BD30" s="297"/>
      <c r="BE30" s="297"/>
      <c r="BF30" s="297"/>
      <c r="BG30" s="297"/>
      <c r="BH30" s="297"/>
      <c r="BI30" s="297"/>
      <c r="BJ30" s="297"/>
      <c r="BK30" s="297"/>
      <c r="BL30" s="297"/>
      <c r="BM30" s="297"/>
      <c r="BN30" s="297"/>
      <c r="BO30" s="297"/>
      <c r="BP30" s="297"/>
      <c r="BQ30" s="297"/>
      <c r="BR30" s="297"/>
      <c r="BS30" s="297"/>
      <c r="BT30" s="297"/>
      <c r="BU30" s="297"/>
      <c r="BV30" s="297"/>
      <c r="BW30" s="297"/>
      <c r="BX30" s="297"/>
      <c r="BY30" s="297"/>
      <c r="BZ30" s="297"/>
      <c r="CA30" s="297"/>
      <c r="CB30" s="297"/>
      <c r="CC30" s="297"/>
      <c r="CD30" s="297"/>
      <c r="CE30" s="297"/>
      <c r="CF30" s="297"/>
      <c r="CG30" s="297"/>
    </row>
    <row r="31" spans="1:85" ht="12" customHeight="1" outlineLevel="3">
      <c r="A31" s="288"/>
      <c r="B31" s="288"/>
      <c r="C31" s="288">
        <v>4</v>
      </c>
      <c r="D31" s="291" t="s">
        <v>1629</v>
      </c>
      <c r="E31" s="246"/>
      <c r="F31" s="246"/>
      <c r="G31" s="246"/>
      <c r="H31" s="246" t="s">
        <v>1508</v>
      </c>
      <c r="I31" s="246"/>
      <c r="J31" s="246"/>
      <c r="K31" s="246"/>
      <c r="L31" s="246"/>
      <c r="M31" s="246"/>
      <c r="N31" s="246"/>
      <c r="O31" s="246"/>
      <c r="P31" s="248">
        <v>45772</v>
      </c>
      <c r="Q31" s="248">
        <v>45772</v>
      </c>
      <c r="R31" s="246"/>
      <c r="S31" s="247">
        <v>0.1</v>
      </c>
      <c r="T31" s="247">
        <v>0.1</v>
      </c>
      <c r="U31" s="247">
        <v>1</v>
      </c>
      <c r="V31" s="247">
        <v>1</v>
      </c>
      <c r="W31" s="248"/>
      <c r="X31" s="248"/>
      <c r="Y31" s="265"/>
      <c r="Z31" s="266">
        <v>0</v>
      </c>
      <c r="AA31" s="247">
        <v>0.1</v>
      </c>
      <c r="AB31" s="246" t="s">
        <v>1717</v>
      </c>
      <c r="AC31" s="246" t="s">
        <v>2143</v>
      </c>
      <c r="AD31" s="240">
        <v>1</v>
      </c>
      <c r="AE31" s="330">
        <v>1</v>
      </c>
      <c r="AF31" s="296"/>
      <c r="AG31" s="297"/>
      <c r="AH31" s="297"/>
      <c r="AI31" s="297"/>
      <c r="AJ31" s="297"/>
      <c r="AK31" s="297"/>
      <c r="AL31" s="297"/>
      <c r="AM31" s="297"/>
      <c r="AN31" s="297"/>
      <c r="AO31" s="297" t="str">
        <f>"      " &amp; TEXT(AE31,"#0.00%") &amp; " " &amp; "9주차 주간보고" &amp; "(오승헌님)" &amp; " " &amp; IF(P31="","",TEXT(P31,"M/D-")) &amp; IF(Q31="","",TEXT(Q31,"M/D")) &amp; " "</f>
        <v xml:space="preserve">      100.00% 9주차 주간보고(오승헌님) 4/25-4/25 </v>
      </c>
      <c r="AP31" s="297"/>
      <c r="AQ31" s="297"/>
      <c r="AR31" s="297"/>
      <c r="AS31" s="297"/>
      <c r="AT31" s="297"/>
      <c r="AU31" s="297"/>
      <c r="AV31" s="297"/>
      <c r="AW31" s="297"/>
      <c r="AX31" s="297"/>
      <c r="AY31" s="297"/>
      <c r="AZ31" s="297"/>
      <c r="BA31" s="297"/>
      <c r="BB31" s="297"/>
      <c r="BC31" s="297"/>
      <c r="BD31" s="297"/>
      <c r="BE31" s="297"/>
      <c r="BF31" s="297"/>
      <c r="BG31" s="297"/>
      <c r="BH31" s="297"/>
      <c r="BI31" s="297"/>
      <c r="BJ31" s="297"/>
      <c r="BK31" s="297"/>
      <c r="BL31" s="297"/>
      <c r="BM31" s="297"/>
      <c r="BN31" s="297"/>
      <c r="BO31" s="297"/>
      <c r="BP31" s="297"/>
      <c r="BQ31" s="297"/>
      <c r="BR31" s="297"/>
      <c r="BS31" s="297"/>
      <c r="BT31" s="297"/>
      <c r="BU31" s="297"/>
      <c r="BV31" s="297"/>
      <c r="BW31" s="297"/>
      <c r="BX31" s="297"/>
      <c r="BY31" s="297"/>
      <c r="BZ31" s="297"/>
      <c r="CA31" s="297"/>
      <c r="CB31" s="297"/>
      <c r="CC31" s="297"/>
      <c r="CD31" s="297"/>
      <c r="CE31" s="297"/>
      <c r="CF31" s="297"/>
      <c r="CG31" s="297"/>
    </row>
    <row r="32" spans="1:85" ht="12" customHeight="1" outlineLevel="3">
      <c r="A32" s="288"/>
      <c r="B32" s="288"/>
      <c r="C32" s="288">
        <v>4</v>
      </c>
      <c r="D32" s="291" t="s">
        <v>1630</v>
      </c>
      <c r="E32" s="246"/>
      <c r="F32" s="246"/>
      <c r="G32" s="246"/>
      <c r="H32" s="246" t="s">
        <v>1509</v>
      </c>
      <c r="I32" s="246"/>
      <c r="J32" s="246"/>
      <c r="K32" s="246"/>
      <c r="L32" s="246"/>
      <c r="M32" s="246"/>
      <c r="N32" s="246"/>
      <c r="O32" s="246"/>
      <c r="P32" s="248">
        <v>45779</v>
      </c>
      <c r="Q32" s="248">
        <v>45779</v>
      </c>
      <c r="R32" s="246"/>
      <c r="S32" s="247">
        <v>0.1</v>
      </c>
      <c r="T32" s="247">
        <v>0.1</v>
      </c>
      <c r="U32" s="247">
        <v>1</v>
      </c>
      <c r="V32" s="247">
        <v>1</v>
      </c>
      <c r="W32" s="248"/>
      <c r="X32" s="248"/>
      <c r="Y32" s="265"/>
      <c r="Z32" s="266">
        <v>0</v>
      </c>
      <c r="AA32" s="247">
        <v>0.1</v>
      </c>
      <c r="AB32" s="246" t="s">
        <v>1717</v>
      </c>
      <c r="AC32" s="246" t="s">
        <v>2144</v>
      </c>
      <c r="AD32" s="240">
        <v>1</v>
      </c>
      <c r="AE32" s="304">
        <v>1</v>
      </c>
      <c r="AF32" s="296"/>
      <c r="AG32" s="297"/>
      <c r="AH32" s="297"/>
      <c r="AI32" s="297"/>
      <c r="AJ32" s="297"/>
      <c r="AK32" s="297"/>
      <c r="AL32" s="297"/>
      <c r="AM32" s="297"/>
      <c r="AN32" s="297"/>
      <c r="AO32" s="297"/>
      <c r="AP32" s="297" t="str">
        <f>"      " &amp; TEXT(AE32,"#0.00%") &amp; " " &amp; "10주차 주간보고" &amp; "(오승헌님)" &amp; " " &amp; IF(P32="","",TEXT(P32,"M/D-")) &amp; IF(Q32="","",TEXT(Q32,"M/D")) &amp; " "</f>
        <v xml:space="preserve">      100.00% 10주차 주간보고(오승헌님) 5/2-5/2 </v>
      </c>
      <c r="AQ32" s="297"/>
      <c r="AR32" s="297"/>
      <c r="AS32" s="297"/>
      <c r="AT32" s="297"/>
      <c r="AU32" s="297"/>
      <c r="AV32" s="297"/>
      <c r="AW32" s="297"/>
      <c r="AX32" s="297"/>
      <c r="AY32" s="297"/>
      <c r="AZ32" s="297"/>
      <c r="BA32" s="297"/>
      <c r="BB32" s="297"/>
      <c r="BC32" s="297"/>
      <c r="BD32" s="297"/>
      <c r="BE32" s="297"/>
      <c r="BF32" s="297"/>
      <c r="BG32" s="297"/>
      <c r="BH32" s="297"/>
      <c r="BI32" s="297"/>
      <c r="BJ32" s="297"/>
      <c r="BK32" s="297"/>
      <c r="BL32" s="297"/>
      <c r="BM32" s="297"/>
      <c r="BN32" s="297"/>
      <c r="BO32" s="297"/>
      <c r="BP32" s="297"/>
      <c r="BQ32" s="297"/>
      <c r="BR32" s="297"/>
      <c r="BS32" s="297"/>
      <c r="BT32" s="297"/>
      <c r="BU32" s="297"/>
      <c r="BV32" s="297"/>
      <c r="BW32" s="297"/>
      <c r="BX32" s="297"/>
      <c r="BY32" s="297"/>
      <c r="BZ32" s="297"/>
      <c r="CA32" s="297"/>
      <c r="CB32" s="297"/>
      <c r="CC32" s="297"/>
      <c r="CD32" s="297"/>
      <c r="CE32" s="297"/>
      <c r="CF32" s="297"/>
      <c r="CG32" s="297"/>
    </row>
    <row r="33" spans="1:85" ht="12" customHeight="1" outlineLevel="3">
      <c r="A33" s="288"/>
      <c r="B33" s="288"/>
      <c r="C33" s="288">
        <v>4</v>
      </c>
      <c r="D33" s="291" t="s">
        <v>1631</v>
      </c>
      <c r="E33" s="246"/>
      <c r="F33" s="246"/>
      <c r="G33" s="246"/>
      <c r="H33" s="246" t="s">
        <v>1510</v>
      </c>
      <c r="I33" s="246"/>
      <c r="J33" s="246"/>
      <c r="K33" s="246"/>
      <c r="L33" s="246"/>
      <c r="M33" s="246"/>
      <c r="N33" s="246"/>
      <c r="O33" s="246"/>
      <c r="P33" s="248">
        <v>45786</v>
      </c>
      <c r="Q33" s="248">
        <v>45786</v>
      </c>
      <c r="R33" s="246"/>
      <c r="S33" s="247">
        <v>0.1</v>
      </c>
      <c r="T33" s="247">
        <v>0.1</v>
      </c>
      <c r="U33" s="247">
        <v>1</v>
      </c>
      <c r="V33" s="247">
        <v>1</v>
      </c>
      <c r="W33" s="248"/>
      <c r="X33" s="248"/>
      <c r="Y33" s="265"/>
      <c r="Z33" s="266">
        <v>0</v>
      </c>
      <c r="AA33" s="247">
        <v>0.1</v>
      </c>
      <c r="AB33" s="246" t="s">
        <v>1717</v>
      </c>
      <c r="AC33" s="246" t="s">
        <v>2145</v>
      </c>
      <c r="AD33" s="240">
        <v>1</v>
      </c>
      <c r="AE33" s="304">
        <v>1</v>
      </c>
      <c r="AF33" s="296"/>
      <c r="AG33" s="297"/>
      <c r="AH33" s="297"/>
      <c r="AI33" s="297"/>
      <c r="AJ33" s="297"/>
      <c r="AK33" s="297"/>
      <c r="AL33" s="297"/>
      <c r="AM33" s="297"/>
      <c r="AN33" s="297"/>
      <c r="AO33" s="297"/>
      <c r="AP33" s="297"/>
      <c r="AQ33" s="297" t="str">
        <f>"      " &amp; TEXT(AE33,"#0.00%") &amp; " " &amp; "11주차 주간보고" &amp; "(오승헌님)" &amp; " " &amp; IF(P33="","",TEXT(P33,"M/D-")) &amp; IF(Q33="","",TEXT(Q33,"M/D")) &amp; " "</f>
        <v xml:space="preserve">      100.00% 11주차 주간보고(오승헌님) 5/9-5/9 </v>
      </c>
      <c r="AR33" s="297"/>
      <c r="AS33" s="297"/>
      <c r="AT33" s="297"/>
      <c r="AU33" s="297"/>
      <c r="AV33" s="297"/>
      <c r="AW33" s="297"/>
      <c r="AX33" s="297"/>
      <c r="AY33" s="297"/>
      <c r="AZ33" s="297"/>
      <c r="BA33" s="297"/>
      <c r="BB33" s="297"/>
      <c r="BC33" s="297"/>
      <c r="BD33" s="297"/>
      <c r="BE33" s="297"/>
      <c r="BF33" s="297"/>
      <c r="BG33" s="297"/>
      <c r="BH33" s="297"/>
      <c r="BI33" s="297"/>
      <c r="BJ33" s="297"/>
      <c r="BK33" s="297"/>
      <c r="BL33" s="297"/>
      <c r="BM33" s="297"/>
      <c r="BN33" s="297"/>
      <c r="BO33" s="297"/>
      <c r="BP33" s="297"/>
      <c r="BQ33" s="297"/>
      <c r="BR33" s="297"/>
      <c r="BS33" s="297"/>
      <c r="BT33" s="297"/>
      <c r="BU33" s="297"/>
      <c r="BV33" s="297"/>
      <c r="BW33" s="297"/>
      <c r="BX33" s="297"/>
      <c r="BY33" s="297"/>
      <c r="BZ33" s="297"/>
      <c r="CA33" s="297"/>
      <c r="CB33" s="297"/>
      <c r="CC33" s="297"/>
      <c r="CD33" s="297"/>
      <c r="CE33" s="297"/>
      <c r="CF33" s="297"/>
      <c r="CG33" s="297"/>
    </row>
    <row r="34" spans="1:85" ht="12" customHeight="1" outlineLevel="3">
      <c r="A34" s="288"/>
      <c r="B34" s="288"/>
      <c r="C34" s="288">
        <v>4</v>
      </c>
      <c r="D34" s="291" t="s">
        <v>1632</v>
      </c>
      <c r="E34" s="246"/>
      <c r="F34" s="246"/>
      <c r="G34" s="246"/>
      <c r="H34" s="246" t="s">
        <v>1511</v>
      </c>
      <c r="I34" s="246"/>
      <c r="J34" s="246"/>
      <c r="K34" s="246"/>
      <c r="L34" s="246"/>
      <c r="M34" s="246"/>
      <c r="N34" s="246"/>
      <c r="O34" s="246"/>
      <c r="P34" s="248">
        <v>45793</v>
      </c>
      <c r="Q34" s="248">
        <v>45793</v>
      </c>
      <c r="R34" s="246"/>
      <c r="S34" s="247">
        <v>0.1</v>
      </c>
      <c r="T34" s="247">
        <v>0.1</v>
      </c>
      <c r="U34" s="247">
        <v>1</v>
      </c>
      <c r="V34" s="247">
        <v>1</v>
      </c>
      <c r="W34" s="248"/>
      <c r="X34" s="248"/>
      <c r="Y34" s="265"/>
      <c r="Z34" s="266">
        <v>0</v>
      </c>
      <c r="AA34" s="247">
        <v>0.1</v>
      </c>
      <c r="AB34" s="246" t="s">
        <v>1717</v>
      </c>
      <c r="AC34" s="246" t="s">
        <v>2146</v>
      </c>
      <c r="AD34" s="240">
        <v>1</v>
      </c>
      <c r="AE34" s="304">
        <v>1</v>
      </c>
      <c r="AF34" s="296"/>
      <c r="AG34" s="297"/>
      <c r="AH34" s="297"/>
      <c r="AI34" s="297"/>
      <c r="AJ34" s="297"/>
      <c r="AK34" s="297"/>
      <c r="AL34" s="297"/>
      <c r="AM34" s="297"/>
      <c r="AN34" s="297"/>
      <c r="AO34" s="297"/>
      <c r="AP34" s="297"/>
      <c r="AQ34" s="297"/>
      <c r="AR34" s="297" t="str">
        <f>"      " &amp; TEXT(AE34,"#0.00%") &amp; " " &amp; "12주차 주간보고" &amp; "(오승헌님)" &amp; " " &amp; IF(P34="","",TEXT(P34,"M/D-")) &amp; IF(Q34="","",TEXT(Q34,"M/D")) &amp; " "</f>
        <v xml:space="preserve">      100.00% 12주차 주간보고(오승헌님) 5/16-5/16 </v>
      </c>
      <c r="AS34" s="297"/>
      <c r="AT34" s="297"/>
      <c r="AU34" s="297"/>
      <c r="AV34" s="297"/>
      <c r="AW34" s="297"/>
      <c r="AX34" s="297"/>
      <c r="AY34" s="297"/>
      <c r="AZ34" s="297"/>
      <c r="BA34" s="297"/>
      <c r="BB34" s="297"/>
      <c r="BC34" s="297"/>
      <c r="BD34" s="297"/>
      <c r="BE34" s="297"/>
      <c r="BF34" s="297"/>
      <c r="BG34" s="297"/>
      <c r="BH34" s="297"/>
      <c r="BI34" s="297"/>
      <c r="BJ34" s="297"/>
      <c r="BK34" s="297"/>
      <c r="BL34" s="297"/>
      <c r="BM34" s="297"/>
      <c r="BN34" s="297"/>
      <c r="BO34" s="297"/>
      <c r="BP34" s="297"/>
      <c r="BQ34" s="297"/>
      <c r="BR34" s="297"/>
      <c r="BS34" s="297"/>
      <c r="BT34" s="297"/>
      <c r="BU34" s="297"/>
      <c r="BV34" s="297"/>
      <c r="BW34" s="297"/>
      <c r="BX34" s="297"/>
      <c r="BY34" s="297"/>
      <c r="BZ34" s="297"/>
      <c r="CA34" s="297"/>
      <c r="CB34" s="297"/>
      <c r="CC34" s="297"/>
      <c r="CD34" s="297"/>
      <c r="CE34" s="297"/>
      <c r="CF34" s="297"/>
      <c r="CG34" s="297"/>
    </row>
    <row r="35" spans="1:85" ht="12" customHeight="1" outlineLevel="3">
      <c r="A35" s="288"/>
      <c r="B35" s="288"/>
      <c r="C35" s="288">
        <v>4</v>
      </c>
      <c r="D35" s="291" t="s">
        <v>1633</v>
      </c>
      <c r="E35" s="246"/>
      <c r="F35" s="246"/>
      <c r="G35" s="246"/>
      <c r="H35" s="246" t="s">
        <v>1512</v>
      </c>
      <c r="I35" s="246"/>
      <c r="J35" s="246"/>
      <c r="K35" s="246"/>
      <c r="L35" s="246"/>
      <c r="M35" s="246"/>
      <c r="N35" s="246"/>
      <c r="O35" s="246"/>
      <c r="P35" s="248">
        <v>45800</v>
      </c>
      <c r="Q35" s="248">
        <v>45800</v>
      </c>
      <c r="R35" s="246"/>
      <c r="S35" s="247">
        <v>0.1</v>
      </c>
      <c r="T35" s="247">
        <v>0.1</v>
      </c>
      <c r="U35" s="247">
        <v>1</v>
      </c>
      <c r="V35" s="247">
        <v>1</v>
      </c>
      <c r="W35" s="248"/>
      <c r="X35" s="248"/>
      <c r="Y35" s="265"/>
      <c r="Z35" s="266">
        <v>0</v>
      </c>
      <c r="AA35" s="247">
        <v>0.1</v>
      </c>
      <c r="AB35" s="246" t="s">
        <v>1717</v>
      </c>
      <c r="AC35" s="246" t="s">
        <v>2147</v>
      </c>
      <c r="AD35" s="240">
        <v>1</v>
      </c>
      <c r="AE35" s="304">
        <v>1</v>
      </c>
      <c r="AF35" s="296"/>
      <c r="AG35" s="297"/>
      <c r="AH35" s="297"/>
      <c r="AI35" s="297"/>
      <c r="AJ35" s="297"/>
      <c r="AK35" s="297"/>
      <c r="AL35" s="297"/>
      <c r="AM35" s="297"/>
      <c r="AN35" s="297"/>
      <c r="AO35" s="297"/>
      <c r="AP35" s="297"/>
      <c r="AQ35" s="297"/>
      <c r="AR35" s="297"/>
      <c r="AS35" s="297" t="str">
        <f>"      " &amp; TEXT(AE35,"#0.00%") &amp; " " &amp; "13주차 주간보고" &amp; "(오승헌님)" &amp; " " &amp; IF(P35="","",TEXT(P35,"M/D-")) &amp; IF(Q35="","",TEXT(Q35,"M/D")) &amp; " "</f>
        <v xml:space="preserve">      100.00% 13주차 주간보고(오승헌님) 5/23-5/23 </v>
      </c>
      <c r="AT35" s="297"/>
      <c r="AU35" s="297"/>
      <c r="AV35" s="297"/>
      <c r="AW35" s="297"/>
      <c r="AX35" s="297"/>
      <c r="AY35" s="297"/>
      <c r="AZ35" s="297"/>
      <c r="BA35" s="297"/>
      <c r="BB35" s="297"/>
      <c r="BC35" s="297"/>
      <c r="BD35" s="297"/>
      <c r="BE35" s="297"/>
      <c r="BF35" s="297"/>
      <c r="BG35" s="297"/>
      <c r="BH35" s="297"/>
      <c r="BI35" s="297"/>
      <c r="BJ35" s="297"/>
      <c r="BK35" s="297"/>
      <c r="BL35" s="297"/>
      <c r="BM35" s="297"/>
      <c r="BN35" s="297"/>
      <c r="BO35" s="297"/>
      <c r="BP35" s="297"/>
      <c r="BQ35" s="297"/>
      <c r="BR35" s="297"/>
      <c r="BS35" s="297"/>
      <c r="BT35" s="297"/>
      <c r="BU35" s="297"/>
      <c r="BV35" s="297"/>
      <c r="BW35" s="297"/>
      <c r="BX35" s="297"/>
      <c r="BY35" s="297"/>
      <c r="BZ35" s="297"/>
      <c r="CA35" s="297"/>
      <c r="CB35" s="297"/>
      <c r="CC35" s="297"/>
      <c r="CD35" s="297"/>
      <c r="CE35" s="297"/>
      <c r="CF35" s="297"/>
      <c r="CG35" s="297"/>
    </row>
    <row r="36" spans="1:85" ht="12" customHeight="1" outlineLevel="3">
      <c r="A36" s="288"/>
      <c r="B36" s="288"/>
      <c r="C36" s="288">
        <v>4</v>
      </c>
      <c r="D36" s="291" t="s">
        <v>1634</v>
      </c>
      <c r="E36" s="246"/>
      <c r="F36" s="246"/>
      <c r="G36" s="246"/>
      <c r="H36" s="246" t="s">
        <v>1513</v>
      </c>
      <c r="I36" s="246"/>
      <c r="J36" s="246"/>
      <c r="K36" s="246"/>
      <c r="L36" s="246"/>
      <c r="M36" s="246"/>
      <c r="N36" s="246"/>
      <c r="O36" s="246"/>
      <c r="P36" s="248">
        <v>45807</v>
      </c>
      <c r="Q36" s="248">
        <v>45807</v>
      </c>
      <c r="R36" s="246"/>
      <c r="S36" s="247">
        <v>0.1</v>
      </c>
      <c r="T36" s="247">
        <v>0.1</v>
      </c>
      <c r="U36" s="247">
        <v>1</v>
      </c>
      <c r="V36" s="247">
        <v>1</v>
      </c>
      <c r="W36" s="248"/>
      <c r="X36" s="248"/>
      <c r="Y36" s="265"/>
      <c r="Z36" s="266">
        <v>0</v>
      </c>
      <c r="AA36" s="247">
        <v>0.1</v>
      </c>
      <c r="AB36" s="246" t="s">
        <v>1717</v>
      </c>
      <c r="AC36" s="246" t="s">
        <v>2148</v>
      </c>
      <c r="AD36" s="240">
        <v>1</v>
      </c>
      <c r="AE36" s="304">
        <v>1</v>
      </c>
      <c r="AF36" s="296"/>
      <c r="AG36" s="297"/>
      <c r="AH36" s="297"/>
      <c r="AI36" s="297"/>
      <c r="AJ36" s="297"/>
      <c r="AK36" s="297"/>
      <c r="AL36" s="297"/>
      <c r="AM36" s="297"/>
      <c r="AN36" s="297"/>
      <c r="AO36" s="297"/>
      <c r="AP36" s="297"/>
      <c r="AQ36" s="297"/>
      <c r="AR36" s="297"/>
      <c r="AS36" s="297"/>
      <c r="AT36" s="297" t="str">
        <f>"      " &amp; TEXT(AE36,"#0.00%") &amp; " " &amp; "14주차 주간보고" &amp; "(오승헌님)" &amp; " " &amp; IF(P36="","",TEXT(P36,"M/D-")) &amp; IF(Q36="","",TEXT(Q36,"M/D")) &amp; " "</f>
        <v xml:space="preserve">      100.00% 14주차 주간보고(오승헌님) 5/30-5/30 </v>
      </c>
      <c r="AU36" s="297"/>
      <c r="AV36" s="297"/>
      <c r="AW36" s="297"/>
      <c r="AX36" s="297"/>
      <c r="AY36" s="297"/>
      <c r="AZ36" s="297"/>
      <c r="BA36" s="297"/>
      <c r="BB36" s="297"/>
      <c r="BC36" s="297"/>
      <c r="BD36" s="297"/>
      <c r="BE36" s="297"/>
      <c r="BF36" s="297"/>
      <c r="BG36" s="297"/>
      <c r="BH36" s="297"/>
      <c r="BI36" s="297"/>
      <c r="BJ36" s="297"/>
      <c r="BK36" s="297"/>
      <c r="BL36" s="297"/>
      <c r="BM36" s="297"/>
      <c r="BN36" s="297"/>
      <c r="BO36" s="297"/>
      <c r="BP36" s="297"/>
      <c r="BQ36" s="297"/>
      <c r="BR36" s="297"/>
      <c r="BS36" s="297"/>
      <c r="BT36" s="297"/>
      <c r="BU36" s="297"/>
      <c r="BV36" s="297"/>
      <c r="BW36" s="297"/>
      <c r="BX36" s="297"/>
      <c r="BY36" s="297"/>
      <c r="BZ36" s="297"/>
      <c r="CA36" s="297"/>
      <c r="CB36" s="297"/>
      <c r="CC36" s="297"/>
      <c r="CD36" s="297"/>
      <c r="CE36" s="297"/>
      <c r="CF36" s="297"/>
      <c r="CG36" s="297"/>
    </row>
    <row r="37" spans="1:85" ht="12" customHeight="1" outlineLevel="3">
      <c r="A37" s="288"/>
      <c r="B37" s="288"/>
      <c r="C37" s="288">
        <v>4</v>
      </c>
      <c r="D37" s="291" t="s">
        <v>1635</v>
      </c>
      <c r="E37" s="246"/>
      <c r="F37" s="246"/>
      <c r="G37" s="246"/>
      <c r="H37" s="246" t="s">
        <v>1514</v>
      </c>
      <c r="I37" s="246"/>
      <c r="J37" s="246"/>
      <c r="K37" s="246"/>
      <c r="L37" s="246"/>
      <c r="M37" s="246"/>
      <c r="N37" s="246"/>
      <c r="O37" s="246"/>
      <c r="P37" s="248">
        <v>45813</v>
      </c>
      <c r="Q37" s="248">
        <v>45813</v>
      </c>
      <c r="R37" s="246"/>
      <c r="S37" s="247">
        <v>0.1</v>
      </c>
      <c r="T37" s="247">
        <v>0.1</v>
      </c>
      <c r="U37" s="247">
        <v>1</v>
      </c>
      <c r="V37" s="247">
        <v>1</v>
      </c>
      <c r="W37" s="248"/>
      <c r="X37" s="248"/>
      <c r="Y37" s="265"/>
      <c r="Z37" s="266">
        <v>0</v>
      </c>
      <c r="AA37" s="247">
        <v>0.1</v>
      </c>
      <c r="AB37" s="246" t="s">
        <v>1717</v>
      </c>
      <c r="AC37" s="246" t="s">
        <v>2149</v>
      </c>
      <c r="AD37" s="240">
        <v>1</v>
      </c>
      <c r="AE37" s="304">
        <v>1</v>
      </c>
      <c r="AF37" s="296"/>
      <c r="AG37" s="297"/>
      <c r="AH37" s="297"/>
      <c r="AI37" s="297"/>
      <c r="AJ37" s="297"/>
      <c r="AK37" s="297"/>
      <c r="AL37" s="297"/>
      <c r="AM37" s="297"/>
      <c r="AN37" s="297"/>
      <c r="AO37" s="297"/>
      <c r="AP37" s="297"/>
      <c r="AQ37" s="297"/>
      <c r="AR37" s="297"/>
      <c r="AS37" s="297"/>
      <c r="AT37" s="297"/>
      <c r="AU37" s="297" t="str">
        <f>"     " &amp; TEXT(AE37,"#0.00%") &amp; " " &amp; "15주차 주간보고" &amp; "(오승헌님)" &amp; " " &amp; IF(P37="","",TEXT(P37,"M/D-")) &amp; IF(Q37="","",TEXT(Q37,"M/D")) &amp; " "</f>
        <v xml:space="preserve">     100.00% 15주차 주간보고(오승헌님) 6/5-6/5 </v>
      </c>
      <c r="AV37" s="297"/>
      <c r="AW37" s="297"/>
      <c r="AX37" s="297"/>
      <c r="AY37" s="297"/>
      <c r="AZ37" s="297"/>
      <c r="BA37" s="297"/>
      <c r="BB37" s="297"/>
      <c r="BC37" s="297"/>
      <c r="BD37" s="297"/>
      <c r="BE37" s="297"/>
      <c r="BF37" s="297"/>
      <c r="BG37" s="297"/>
      <c r="BH37" s="297"/>
      <c r="BI37" s="297"/>
      <c r="BJ37" s="297"/>
      <c r="BK37" s="297"/>
      <c r="BL37" s="297"/>
      <c r="BM37" s="297"/>
      <c r="BN37" s="297"/>
      <c r="BO37" s="297"/>
      <c r="BP37" s="297"/>
      <c r="BQ37" s="297"/>
      <c r="BR37" s="297"/>
      <c r="BS37" s="297"/>
      <c r="BT37" s="297"/>
      <c r="BU37" s="297"/>
      <c r="BV37" s="297"/>
      <c r="BW37" s="297"/>
      <c r="BX37" s="297"/>
      <c r="BY37" s="297"/>
      <c r="BZ37" s="297"/>
      <c r="CA37" s="297"/>
      <c r="CB37" s="297"/>
      <c r="CC37" s="297"/>
      <c r="CD37" s="297"/>
      <c r="CE37" s="297"/>
      <c r="CF37" s="297"/>
      <c r="CG37" s="297"/>
    </row>
    <row r="38" spans="1:85" ht="12" customHeight="1" outlineLevel="3">
      <c r="A38" s="288"/>
      <c r="B38" s="288"/>
      <c r="C38" s="288">
        <v>4</v>
      </c>
      <c r="D38" s="291" t="s">
        <v>1636</v>
      </c>
      <c r="E38" s="246"/>
      <c r="F38" s="246"/>
      <c r="G38" s="246"/>
      <c r="H38" s="246" t="s">
        <v>1515</v>
      </c>
      <c r="I38" s="246"/>
      <c r="J38" s="246"/>
      <c r="K38" s="246"/>
      <c r="L38" s="246"/>
      <c r="M38" s="246"/>
      <c r="N38" s="246"/>
      <c r="O38" s="246"/>
      <c r="P38" s="248">
        <v>45821</v>
      </c>
      <c r="Q38" s="248">
        <v>45821</v>
      </c>
      <c r="R38" s="246"/>
      <c r="S38" s="247">
        <v>0.1</v>
      </c>
      <c r="T38" s="247">
        <v>0.1</v>
      </c>
      <c r="U38" s="247">
        <v>1</v>
      </c>
      <c r="V38" s="247">
        <v>1</v>
      </c>
      <c r="W38" s="248"/>
      <c r="X38" s="248"/>
      <c r="Y38" s="265"/>
      <c r="Z38" s="266">
        <v>0</v>
      </c>
      <c r="AA38" s="247">
        <v>0.1</v>
      </c>
      <c r="AB38" s="246" t="s">
        <v>1717</v>
      </c>
      <c r="AC38" s="246" t="s">
        <v>2150</v>
      </c>
      <c r="AD38" s="240">
        <v>1</v>
      </c>
      <c r="AE38" s="304">
        <v>1</v>
      </c>
      <c r="AF38" s="296"/>
      <c r="AG38" s="297"/>
      <c r="AH38" s="297"/>
      <c r="AI38" s="297"/>
      <c r="AJ38" s="297"/>
      <c r="AK38" s="297"/>
      <c r="AL38" s="297"/>
      <c r="AM38" s="297"/>
      <c r="AN38" s="297"/>
      <c r="AO38" s="297"/>
      <c r="AP38" s="297"/>
      <c r="AQ38" s="297"/>
      <c r="AR38" s="297"/>
      <c r="AS38" s="297"/>
      <c r="AT38" s="297"/>
      <c r="AU38" s="297"/>
      <c r="AV38" s="297" t="str">
        <f>"      " &amp; TEXT(AE38,"#0.00%") &amp; " " &amp; "16주차 주간보고" &amp; "(오승헌님)" &amp; " " &amp; IF(P38="","",TEXT(P38,"M/D-")) &amp; IF(Q38="","",TEXT(Q38,"M/D")) &amp; " "</f>
        <v xml:space="preserve">      100.00% 16주차 주간보고(오승헌님) 6/13-6/13 </v>
      </c>
      <c r="AW38" s="297"/>
      <c r="AX38" s="297"/>
      <c r="AY38" s="297"/>
      <c r="AZ38" s="297"/>
      <c r="BA38" s="297"/>
      <c r="BB38" s="297"/>
      <c r="BC38" s="297"/>
      <c r="BD38" s="297"/>
      <c r="BE38" s="297"/>
      <c r="BF38" s="297"/>
      <c r="BG38" s="297"/>
      <c r="BH38" s="297"/>
      <c r="BI38" s="297"/>
      <c r="BJ38" s="297"/>
      <c r="BK38" s="297"/>
      <c r="BL38" s="297"/>
      <c r="BM38" s="297"/>
      <c r="BN38" s="297"/>
      <c r="BO38" s="297"/>
      <c r="BP38" s="297"/>
      <c r="BQ38" s="297"/>
      <c r="BR38" s="297"/>
      <c r="BS38" s="297"/>
      <c r="BT38" s="297"/>
      <c r="BU38" s="297"/>
      <c r="BV38" s="297"/>
      <c r="BW38" s="297"/>
      <c r="BX38" s="297"/>
      <c r="BY38" s="297"/>
      <c r="BZ38" s="297"/>
      <c r="CA38" s="297"/>
      <c r="CB38" s="297"/>
      <c r="CC38" s="297"/>
      <c r="CD38" s="297"/>
      <c r="CE38" s="297"/>
      <c r="CF38" s="297"/>
      <c r="CG38" s="297"/>
    </row>
    <row r="39" spans="1:85" ht="12" customHeight="1" outlineLevel="3">
      <c r="A39" s="288"/>
      <c r="B39" s="288"/>
      <c r="C39" s="288">
        <v>4</v>
      </c>
      <c r="D39" s="291" t="s">
        <v>1637</v>
      </c>
      <c r="E39" s="246"/>
      <c r="F39" s="246"/>
      <c r="G39" s="246"/>
      <c r="H39" s="246" t="s">
        <v>1516</v>
      </c>
      <c r="I39" s="246"/>
      <c r="J39" s="246"/>
      <c r="K39" s="246"/>
      <c r="L39" s="246"/>
      <c r="M39" s="246"/>
      <c r="N39" s="246"/>
      <c r="O39" s="246"/>
      <c r="P39" s="248">
        <v>45828</v>
      </c>
      <c r="Q39" s="248">
        <v>45828</v>
      </c>
      <c r="R39" s="246"/>
      <c r="S39" s="247">
        <v>0.1</v>
      </c>
      <c r="T39" s="247">
        <v>0.1</v>
      </c>
      <c r="U39" s="247">
        <v>1</v>
      </c>
      <c r="V39" s="247">
        <v>1</v>
      </c>
      <c r="W39" s="248"/>
      <c r="X39" s="248"/>
      <c r="Y39" s="265"/>
      <c r="Z39" s="266">
        <v>0</v>
      </c>
      <c r="AA39" s="247">
        <v>0.1</v>
      </c>
      <c r="AB39" s="246" t="s">
        <v>1717</v>
      </c>
      <c r="AC39" s="246" t="s">
        <v>2151</v>
      </c>
      <c r="AD39" s="240">
        <v>1</v>
      </c>
      <c r="AE39" s="330">
        <v>1</v>
      </c>
      <c r="AF39" s="296"/>
      <c r="AG39" s="297"/>
      <c r="AH39" s="297"/>
      <c r="AI39" s="297"/>
      <c r="AJ39" s="297"/>
      <c r="AK39" s="297"/>
      <c r="AL39" s="297"/>
      <c r="AM39" s="297"/>
      <c r="AN39" s="297"/>
      <c r="AO39" s="297"/>
      <c r="AP39" s="297"/>
      <c r="AQ39" s="297"/>
      <c r="AR39" s="297"/>
      <c r="AS39" s="297"/>
      <c r="AT39" s="297"/>
      <c r="AU39" s="297"/>
      <c r="AV39" s="297"/>
      <c r="AW39" s="297" t="str">
        <f>"      " &amp; TEXT(AE39,"#0.00%") &amp; " " &amp; "17주차 주간보고" &amp; "(오승헌님)" &amp; " " &amp; IF(P39="","",TEXT(P39,"M/D-")) &amp; IF(Q39="","",TEXT(Q39,"M/D")) &amp; " "</f>
        <v xml:space="preserve">      100.00% 17주차 주간보고(오승헌님) 6/20-6/20 </v>
      </c>
      <c r="AX39" s="297"/>
      <c r="AY39" s="297"/>
      <c r="AZ39" s="297"/>
      <c r="BA39" s="297"/>
      <c r="BB39" s="297"/>
      <c r="BC39" s="297"/>
      <c r="BD39" s="297"/>
      <c r="BE39" s="297"/>
      <c r="BF39" s="297"/>
      <c r="BG39" s="297"/>
      <c r="BH39" s="297"/>
      <c r="BI39" s="297"/>
      <c r="BJ39" s="297"/>
      <c r="BK39" s="297"/>
      <c r="BL39" s="297"/>
      <c r="BM39" s="297"/>
      <c r="BN39" s="297"/>
      <c r="BO39" s="297"/>
      <c r="BP39" s="297"/>
      <c r="BQ39" s="297"/>
      <c r="BR39" s="297"/>
      <c r="BS39" s="297"/>
      <c r="BT39" s="297"/>
      <c r="BU39" s="297"/>
      <c r="BV39" s="297"/>
      <c r="BW39" s="297"/>
      <c r="BX39" s="297"/>
      <c r="BY39" s="297"/>
      <c r="BZ39" s="297"/>
      <c r="CA39" s="297"/>
      <c r="CB39" s="297"/>
      <c r="CC39" s="297"/>
      <c r="CD39" s="297"/>
      <c r="CE39" s="297"/>
      <c r="CF39" s="297"/>
      <c r="CG39" s="297"/>
    </row>
    <row r="40" spans="1:85" ht="12" customHeight="1" outlineLevel="3">
      <c r="A40" s="288"/>
      <c r="B40" s="288"/>
      <c r="C40" s="288">
        <v>4</v>
      </c>
      <c r="D40" s="291" t="s">
        <v>1638</v>
      </c>
      <c r="E40" s="246"/>
      <c r="F40" s="246"/>
      <c r="G40" s="246"/>
      <c r="H40" s="246" t="s">
        <v>1517</v>
      </c>
      <c r="I40" s="246"/>
      <c r="J40" s="246"/>
      <c r="K40" s="246"/>
      <c r="L40" s="246"/>
      <c r="M40" s="246"/>
      <c r="N40" s="246"/>
      <c r="O40" s="246"/>
      <c r="P40" s="248">
        <v>45835</v>
      </c>
      <c r="Q40" s="248">
        <v>45835</v>
      </c>
      <c r="R40" s="246"/>
      <c r="S40" s="247">
        <v>0.1</v>
      </c>
      <c r="T40" s="247">
        <v>0.1</v>
      </c>
      <c r="U40" s="247">
        <v>1</v>
      </c>
      <c r="V40" s="247">
        <v>1</v>
      </c>
      <c r="W40" s="248"/>
      <c r="X40" s="248"/>
      <c r="Y40" s="265"/>
      <c r="Z40" s="266">
        <v>0</v>
      </c>
      <c r="AA40" s="247">
        <v>0.1</v>
      </c>
      <c r="AB40" s="246" t="s">
        <v>1717</v>
      </c>
      <c r="AC40" s="246" t="s">
        <v>2152</v>
      </c>
      <c r="AD40" s="240">
        <v>1</v>
      </c>
      <c r="AE40" s="330">
        <v>1</v>
      </c>
      <c r="AF40" s="296"/>
      <c r="AG40" s="297"/>
      <c r="AH40" s="297"/>
      <c r="AI40" s="297"/>
      <c r="AJ40" s="297"/>
      <c r="AK40" s="297"/>
      <c r="AL40" s="297"/>
      <c r="AM40" s="297"/>
      <c r="AN40" s="297"/>
      <c r="AO40" s="297"/>
      <c r="AP40" s="297"/>
      <c r="AQ40" s="297"/>
      <c r="AR40" s="297"/>
      <c r="AS40" s="297"/>
      <c r="AT40" s="297"/>
      <c r="AU40" s="297"/>
      <c r="AV40" s="297"/>
      <c r="AW40" s="297"/>
      <c r="AX40" s="297" t="str">
        <f>"      " &amp; TEXT(AE40,"#0.00%") &amp; " " &amp; "18주차 주간보고" &amp; "(오승헌님)" &amp; " " &amp; IF(P40="","",TEXT(P40,"M/D-")) &amp; IF(Q40="","",TEXT(Q40,"M/D")) &amp; " "</f>
        <v xml:space="preserve">      100.00% 18주차 주간보고(오승헌님) 6/27-6/27 </v>
      </c>
      <c r="AY40" s="297"/>
      <c r="AZ40" s="297"/>
      <c r="BA40" s="297"/>
      <c r="BB40" s="297"/>
      <c r="BC40" s="297"/>
      <c r="BD40" s="297"/>
      <c r="BE40" s="297"/>
      <c r="BF40" s="297"/>
      <c r="BG40" s="297"/>
      <c r="BH40" s="297"/>
      <c r="BI40" s="297"/>
      <c r="BJ40" s="297"/>
      <c r="BK40" s="297"/>
      <c r="BL40" s="297"/>
      <c r="BM40" s="297"/>
      <c r="BN40" s="297"/>
      <c r="BO40" s="297"/>
      <c r="BP40" s="297"/>
      <c r="BQ40" s="297"/>
      <c r="BR40" s="297"/>
      <c r="BS40" s="297"/>
      <c r="BT40" s="297"/>
      <c r="BU40" s="297"/>
      <c r="BV40" s="297"/>
      <c r="BW40" s="297"/>
      <c r="BX40" s="297"/>
      <c r="BY40" s="297"/>
      <c r="BZ40" s="297"/>
      <c r="CA40" s="297"/>
      <c r="CB40" s="297"/>
      <c r="CC40" s="297"/>
      <c r="CD40" s="297"/>
      <c r="CE40" s="297"/>
      <c r="CF40" s="297"/>
      <c r="CG40" s="297"/>
    </row>
    <row r="41" spans="1:85" ht="12" customHeight="1" outlineLevel="3">
      <c r="A41" s="288"/>
      <c r="B41" s="288"/>
      <c r="C41" s="288">
        <v>4</v>
      </c>
      <c r="D41" s="291" t="s">
        <v>1639</v>
      </c>
      <c r="E41" s="246"/>
      <c r="F41" s="246"/>
      <c r="G41" s="246"/>
      <c r="H41" s="246" t="s">
        <v>1518</v>
      </c>
      <c r="I41" s="246"/>
      <c r="J41" s="246"/>
      <c r="K41" s="246"/>
      <c r="L41" s="246"/>
      <c r="M41" s="246"/>
      <c r="N41" s="246"/>
      <c r="O41" s="246"/>
      <c r="P41" s="248">
        <v>45842</v>
      </c>
      <c r="Q41" s="248">
        <v>45842</v>
      </c>
      <c r="R41" s="246"/>
      <c r="S41" s="247">
        <v>0.1</v>
      </c>
      <c r="T41" s="247">
        <v>0.1</v>
      </c>
      <c r="U41" s="247">
        <v>1</v>
      </c>
      <c r="V41" s="247">
        <v>1</v>
      </c>
      <c r="W41" s="248"/>
      <c r="X41" s="248"/>
      <c r="Y41" s="265"/>
      <c r="Z41" s="266">
        <v>0</v>
      </c>
      <c r="AA41" s="247">
        <v>0.1</v>
      </c>
      <c r="AB41" s="246" t="s">
        <v>1717</v>
      </c>
      <c r="AC41" s="246" t="s">
        <v>2153</v>
      </c>
      <c r="AD41" s="240">
        <v>1</v>
      </c>
      <c r="AE41" s="304">
        <v>1</v>
      </c>
      <c r="AF41" s="296"/>
      <c r="AG41" s="297"/>
      <c r="AH41" s="297"/>
      <c r="AI41" s="297"/>
      <c r="AJ41" s="297"/>
      <c r="AK41" s="297"/>
      <c r="AL41" s="297"/>
      <c r="AM41" s="297"/>
      <c r="AN41" s="297"/>
      <c r="AO41" s="297"/>
      <c r="AP41" s="297"/>
      <c r="AQ41" s="297"/>
      <c r="AR41" s="297"/>
      <c r="AS41" s="297"/>
      <c r="AT41" s="297"/>
      <c r="AU41" s="297"/>
      <c r="AV41" s="297"/>
      <c r="AW41" s="297"/>
      <c r="AX41" s="297"/>
      <c r="AY41" s="297" t="str">
        <f>"      " &amp; TEXT(AE41,"#0.00%") &amp; " " &amp; "19주차 주간보고" &amp; "(오승헌님)" &amp; " " &amp; IF(P41="","",TEXT(P41,"M/D-")) &amp; IF(Q41="","",TEXT(Q41,"M/D")) &amp; " "</f>
        <v xml:space="preserve">      100.00% 19주차 주간보고(오승헌님) 7/4-7/4 </v>
      </c>
      <c r="AZ41" s="297"/>
      <c r="BA41" s="297"/>
      <c r="BB41" s="297"/>
      <c r="BC41" s="297"/>
      <c r="BD41" s="297"/>
      <c r="BE41" s="297"/>
      <c r="BF41" s="297"/>
      <c r="BG41" s="297"/>
      <c r="BH41" s="297"/>
      <c r="BI41" s="297"/>
      <c r="BJ41" s="297"/>
      <c r="BK41" s="297"/>
      <c r="BL41" s="297"/>
      <c r="BM41" s="297"/>
      <c r="BN41" s="297"/>
      <c r="BO41" s="297"/>
      <c r="BP41" s="297"/>
      <c r="BQ41" s="297"/>
      <c r="BR41" s="297"/>
      <c r="BS41" s="297"/>
      <c r="BT41" s="297"/>
      <c r="BU41" s="297"/>
      <c r="BV41" s="297"/>
      <c r="BW41" s="297"/>
      <c r="BX41" s="297"/>
      <c r="BY41" s="297"/>
      <c r="BZ41" s="297"/>
      <c r="CA41" s="297"/>
      <c r="CB41" s="297"/>
      <c r="CC41" s="297"/>
      <c r="CD41" s="297"/>
      <c r="CE41" s="297"/>
      <c r="CF41" s="297"/>
      <c r="CG41" s="297"/>
    </row>
    <row r="42" spans="1:85" ht="12" customHeight="1" outlineLevel="3">
      <c r="A42" s="288"/>
      <c r="B42" s="288"/>
      <c r="C42" s="288">
        <v>4</v>
      </c>
      <c r="D42" s="291" t="s">
        <v>1640</v>
      </c>
      <c r="E42" s="246"/>
      <c r="F42" s="246"/>
      <c r="G42" s="246"/>
      <c r="H42" s="246" t="s">
        <v>1519</v>
      </c>
      <c r="I42" s="246"/>
      <c r="J42" s="246"/>
      <c r="K42" s="246"/>
      <c r="L42" s="246"/>
      <c r="M42" s="246"/>
      <c r="N42" s="246"/>
      <c r="O42" s="246"/>
      <c r="P42" s="248">
        <v>45849</v>
      </c>
      <c r="Q42" s="248">
        <v>45849</v>
      </c>
      <c r="R42" s="246"/>
      <c r="S42" s="247">
        <v>0.1</v>
      </c>
      <c r="T42" s="247">
        <v>0.1</v>
      </c>
      <c r="U42" s="247">
        <v>1</v>
      </c>
      <c r="V42" s="247">
        <v>1</v>
      </c>
      <c r="W42" s="248"/>
      <c r="X42" s="248"/>
      <c r="Y42" s="265"/>
      <c r="Z42" s="266">
        <v>0</v>
      </c>
      <c r="AA42" s="247">
        <v>0.1</v>
      </c>
      <c r="AB42" s="246" t="s">
        <v>1717</v>
      </c>
      <c r="AC42" s="246" t="s">
        <v>2154</v>
      </c>
      <c r="AD42" s="240">
        <v>1</v>
      </c>
      <c r="AE42" s="330">
        <v>1</v>
      </c>
      <c r="AF42" s="296"/>
      <c r="AG42" s="297"/>
      <c r="AH42" s="297"/>
      <c r="AI42" s="297"/>
      <c r="AJ42" s="297"/>
      <c r="AK42" s="297"/>
      <c r="AL42" s="297"/>
      <c r="AM42" s="297"/>
      <c r="AN42" s="297"/>
      <c r="AO42" s="297"/>
      <c r="AP42" s="297"/>
      <c r="AQ42" s="297"/>
      <c r="AR42" s="297"/>
      <c r="AS42" s="297"/>
      <c r="AT42" s="297"/>
      <c r="AU42" s="297"/>
      <c r="AV42" s="297"/>
      <c r="AW42" s="297"/>
      <c r="AX42" s="297"/>
      <c r="AY42" s="297"/>
      <c r="AZ42" s="297" t="str">
        <f>"      " &amp; TEXT(AE42,"#0.00%") &amp; " " &amp; "20주차 주간보고" &amp; "(오승헌님)" &amp; " " &amp; IF(P42="","",TEXT(P42,"M/D-")) &amp; IF(Q42="","",TEXT(Q42,"M/D")) &amp; " "</f>
        <v xml:space="preserve">      100.00% 20주차 주간보고(오승헌님) 7/11-7/11 </v>
      </c>
      <c r="BA42" s="297"/>
      <c r="BB42" s="297"/>
      <c r="BC42" s="297"/>
      <c r="BD42" s="297"/>
      <c r="BE42" s="297"/>
      <c r="BF42" s="297"/>
      <c r="BG42" s="297"/>
      <c r="BH42" s="297"/>
      <c r="BI42" s="297"/>
      <c r="BJ42" s="297"/>
      <c r="BK42" s="297"/>
      <c r="BL42" s="297"/>
      <c r="BM42" s="297"/>
      <c r="BN42" s="297"/>
      <c r="BO42" s="297"/>
      <c r="BP42" s="297"/>
      <c r="BQ42" s="297"/>
      <c r="BR42" s="297"/>
      <c r="BS42" s="297"/>
      <c r="BT42" s="297"/>
      <c r="BU42" s="297"/>
      <c r="BV42" s="297"/>
      <c r="BW42" s="297"/>
      <c r="BX42" s="297"/>
      <c r="BY42" s="297"/>
      <c r="BZ42" s="297"/>
      <c r="CA42" s="297"/>
      <c r="CB42" s="297"/>
      <c r="CC42" s="297"/>
      <c r="CD42" s="297"/>
      <c r="CE42" s="297"/>
      <c r="CF42" s="297"/>
      <c r="CG42" s="297"/>
    </row>
    <row r="43" spans="1:85" ht="12" customHeight="1" outlineLevel="3">
      <c r="A43" s="288"/>
      <c r="B43" s="288"/>
      <c r="C43" s="288">
        <v>4</v>
      </c>
      <c r="D43" s="291" t="s">
        <v>1641</v>
      </c>
      <c r="E43" s="246"/>
      <c r="F43" s="246"/>
      <c r="G43" s="246"/>
      <c r="H43" s="246" t="s">
        <v>1520</v>
      </c>
      <c r="I43" s="246"/>
      <c r="J43" s="246"/>
      <c r="K43" s="246"/>
      <c r="L43" s="246"/>
      <c r="M43" s="246"/>
      <c r="N43" s="246"/>
      <c r="O43" s="246"/>
      <c r="P43" s="248">
        <v>45856</v>
      </c>
      <c r="Q43" s="248">
        <v>45856</v>
      </c>
      <c r="R43" s="246"/>
      <c r="S43" s="247">
        <v>0.1</v>
      </c>
      <c r="T43" s="247">
        <v>0.1</v>
      </c>
      <c r="U43" s="247">
        <v>1</v>
      </c>
      <c r="V43" s="247">
        <v>1</v>
      </c>
      <c r="W43" s="248"/>
      <c r="X43" s="248"/>
      <c r="Y43" s="265"/>
      <c r="Z43" s="266">
        <v>0</v>
      </c>
      <c r="AA43" s="247">
        <v>0.1</v>
      </c>
      <c r="AB43" s="246" t="s">
        <v>1717</v>
      </c>
      <c r="AC43" s="246" t="s">
        <v>2155</v>
      </c>
      <c r="AD43" s="240">
        <v>1</v>
      </c>
      <c r="AE43" s="304">
        <v>1</v>
      </c>
      <c r="AF43" s="296"/>
      <c r="AG43" s="297"/>
      <c r="AH43" s="297"/>
      <c r="AI43" s="297"/>
      <c r="AJ43" s="297"/>
      <c r="AK43" s="297"/>
      <c r="AL43" s="297"/>
      <c r="AM43" s="297"/>
      <c r="AN43" s="297"/>
      <c r="AO43" s="297"/>
      <c r="AP43" s="297"/>
      <c r="AQ43" s="297"/>
      <c r="AR43" s="297"/>
      <c r="AS43" s="297"/>
      <c r="AT43" s="297"/>
      <c r="AU43" s="297"/>
      <c r="AV43" s="297"/>
      <c r="AW43" s="297"/>
      <c r="AX43" s="297"/>
      <c r="AY43" s="297"/>
      <c r="AZ43" s="297"/>
      <c r="BA43" s="297" t="str">
        <f>"      " &amp; TEXT(AE43,"#0.00%") &amp; " " &amp; "21주차 주간보고" &amp; "(오승헌님)" &amp; " " &amp; IF(P43="","",TEXT(P43,"M/D-")) &amp; IF(Q43="","",TEXT(Q43,"M/D")) &amp; " "</f>
        <v xml:space="preserve">      100.00% 21주차 주간보고(오승헌님) 7/18-7/18 </v>
      </c>
      <c r="BB43" s="297"/>
      <c r="BC43" s="297"/>
      <c r="BD43" s="297"/>
      <c r="BE43" s="297"/>
      <c r="BF43" s="297"/>
      <c r="BG43" s="297"/>
      <c r="BH43" s="297"/>
      <c r="BI43" s="297"/>
      <c r="BJ43" s="297"/>
      <c r="BK43" s="297"/>
      <c r="BL43" s="297"/>
      <c r="BM43" s="297"/>
      <c r="BN43" s="297"/>
      <c r="BO43" s="297"/>
      <c r="BP43" s="297"/>
      <c r="BQ43" s="297"/>
      <c r="BR43" s="297"/>
      <c r="BS43" s="297"/>
      <c r="BT43" s="297"/>
      <c r="BU43" s="297"/>
      <c r="BV43" s="297"/>
      <c r="BW43" s="297"/>
      <c r="BX43" s="297"/>
      <c r="BY43" s="297"/>
      <c r="BZ43" s="297"/>
      <c r="CA43" s="297"/>
      <c r="CB43" s="297"/>
      <c r="CC43" s="297"/>
      <c r="CD43" s="297"/>
      <c r="CE43" s="297"/>
      <c r="CF43" s="297"/>
      <c r="CG43" s="297"/>
    </row>
    <row r="44" spans="1:85" ht="12" customHeight="1" outlineLevel="3">
      <c r="A44" s="288"/>
      <c r="B44" s="288"/>
      <c r="C44" s="288">
        <v>4</v>
      </c>
      <c r="D44" s="291" t="s">
        <v>1642</v>
      </c>
      <c r="E44" s="246"/>
      <c r="F44" s="246"/>
      <c r="G44" s="246"/>
      <c r="H44" s="246" t="s">
        <v>1521</v>
      </c>
      <c r="I44" s="246"/>
      <c r="J44" s="246"/>
      <c r="K44" s="246"/>
      <c r="L44" s="246"/>
      <c r="M44" s="246"/>
      <c r="N44" s="246"/>
      <c r="O44" s="246"/>
      <c r="P44" s="248">
        <v>45863</v>
      </c>
      <c r="Q44" s="248">
        <v>45863</v>
      </c>
      <c r="R44" s="246"/>
      <c r="S44" s="247">
        <v>0.1</v>
      </c>
      <c r="T44" s="247">
        <v>0.1</v>
      </c>
      <c r="U44" s="247">
        <v>1</v>
      </c>
      <c r="V44" s="247">
        <v>1</v>
      </c>
      <c r="W44" s="248"/>
      <c r="X44" s="248"/>
      <c r="Y44" s="265"/>
      <c r="Z44" s="266">
        <v>0</v>
      </c>
      <c r="AA44" s="247">
        <v>0.1</v>
      </c>
      <c r="AB44" s="246" t="s">
        <v>1717</v>
      </c>
      <c r="AC44" s="246" t="s">
        <v>2156</v>
      </c>
      <c r="AD44" s="240">
        <v>1</v>
      </c>
      <c r="AE44" s="304">
        <v>1</v>
      </c>
      <c r="AF44" s="296"/>
      <c r="AG44" s="297"/>
      <c r="AH44" s="297"/>
      <c r="AI44" s="297"/>
      <c r="AJ44" s="297"/>
      <c r="AK44" s="297"/>
      <c r="AL44" s="297"/>
      <c r="AM44" s="297"/>
      <c r="AN44" s="297"/>
      <c r="AO44" s="297"/>
      <c r="AP44" s="297"/>
      <c r="AQ44" s="297"/>
      <c r="AR44" s="297"/>
      <c r="AS44" s="297"/>
      <c r="AT44" s="297"/>
      <c r="AU44" s="297"/>
      <c r="AV44" s="297"/>
      <c r="AW44" s="297"/>
      <c r="AX44" s="297"/>
      <c r="AY44" s="297"/>
      <c r="AZ44" s="297"/>
      <c r="BA44" s="297"/>
      <c r="BB44" s="297" t="str">
        <f>"      " &amp; TEXT(AE44,"#0.00%") &amp; " " &amp; "22주차 주간보고" &amp; "(오승헌님)" &amp; " " &amp; IF(P44="","",TEXT(P44,"M/D-")) &amp; IF(Q44="","",TEXT(Q44,"M/D")) &amp; " "</f>
        <v xml:space="preserve">      100.00% 22주차 주간보고(오승헌님) 7/25-7/25 </v>
      </c>
      <c r="BC44" s="297"/>
      <c r="BD44" s="297"/>
      <c r="BE44" s="297"/>
      <c r="BF44" s="297"/>
      <c r="BG44" s="297"/>
      <c r="BH44" s="297"/>
      <c r="BI44" s="297"/>
      <c r="BJ44" s="297"/>
      <c r="BK44" s="297"/>
      <c r="BL44" s="297"/>
      <c r="BM44" s="297"/>
      <c r="BN44" s="297"/>
      <c r="BO44" s="297"/>
      <c r="BP44" s="297"/>
      <c r="BQ44" s="297"/>
      <c r="BR44" s="297"/>
      <c r="BS44" s="297"/>
      <c r="BT44" s="297"/>
      <c r="BU44" s="297"/>
      <c r="BV44" s="297"/>
      <c r="BW44" s="297"/>
      <c r="BX44" s="297"/>
      <c r="BY44" s="297"/>
      <c r="BZ44" s="297"/>
      <c r="CA44" s="297"/>
      <c r="CB44" s="297"/>
      <c r="CC44" s="297"/>
      <c r="CD44" s="297"/>
      <c r="CE44" s="297"/>
      <c r="CF44" s="297"/>
      <c r="CG44" s="297"/>
    </row>
    <row r="45" spans="1:85" ht="12" customHeight="1" outlineLevel="3">
      <c r="A45" s="288"/>
      <c r="B45" s="288"/>
      <c r="C45" s="288">
        <v>4</v>
      </c>
      <c r="D45" s="291" t="s">
        <v>1643</v>
      </c>
      <c r="E45" s="246"/>
      <c r="F45" s="246"/>
      <c r="G45" s="246"/>
      <c r="H45" s="246" t="s">
        <v>1522</v>
      </c>
      <c r="I45" s="246"/>
      <c r="J45" s="246"/>
      <c r="K45" s="246"/>
      <c r="L45" s="246"/>
      <c r="M45" s="246"/>
      <c r="N45" s="246"/>
      <c r="O45" s="246"/>
      <c r="P45" s="248">
        <v>45870</v>
      </c>
      <c r="Q45" s="248">
        <v>45870</v>
      </c>
      <c r="R45" s="246"/>
      <c r="S45" s="247">
        <v>0.1</v>
      </c>
      <c r="T45" s="247">
        <v>0.1</v>
      </c>
      <c r="U45" s="247">
        <v>1</v>
      </c>
      <c r="V45" s="247">
        <v>1</v>
      </c>
      <c r="W45" s="248"/>
      <c r="X45" s="248"/>
      <c r="Y45" s="265"/>
      <c r="Z45" s="266">
        <v>0</v>
      </c>
      <c r="AA45" s="247">
        <v>0.1</v>
      </c>
      <c r="AB45" s="246" t="s">
        <v>1717</v>
      </c>
      <c r="AC45" s="246" t="s">
        <v>2157</v>
      </c>
      <c r="AD45" s="240">
        <v>1</v>
      </c>
      <c r="AE45" s="304">
        <v>1</v>
      </c>
      <c r="AF45" s="296"/>
      <c r="AG45" s="297"/>
      <c r="AH45" s="297"/>
      <c r="AI45" s="297"/>
      <c r="AJ45" s="297"/>
      <c r="AK45" s="297"/>
      <c r="AL45" s="297"/>
      <c r="AM45" s="297"/>
      <c r="AN45" s="297"/>
      <c r="AO45" s="297"/>
      <c r="AP45" s="297"/>
      <c r="AQ45" s="297"/>
      <c r="AR45" s="297"/>
      <c r="AS45" s="297"/>
      <c r="AT45" s="297"/>
      <c r="AU45" s="297"/>
      <c r="AV45" s="297"/>
      <c r="AW45" s="297"/>
      <c r="AX45" s="297"/>
      <c r="AY45" s="297"/>
      <c r="AZ45" s="297"/>
      <c r="BA45" s="297"/>
      <c r="BB45" s="297"/>
      <c r="BC45" s="297" t="str">
        <f>"      " &amp; TEXT(AE45,"#0.00%") &amp; " " &amp; "23주차 주간보고" &amp; "(오승헌님)" &amp; " " &amp; IF(P45="","",TEXT(P45,"M/D-")) &amp; IF(Q45="","",TEXT(Q45,"M/D")) &amp; " "</f>
        <v xml:space="preserve">      100.00% 23주차 주간보고(오승헌님) 8/1-8/1 </v>
      </c>
      <c r="BD45" s="297"/>
      <c r="BE45" s="297"/>
      <c r="BF45" s="297"/>
      <c r="BG45" s="297"/>
      <c r="BH45" s="297"/>
      <c r="BI45" s="297"/>
      <c r="BJ45" s="297"/>
      <c r="BK45" s="297"/>
      <c r="BL45" s="297"/>
      <c r="BM45" s="297"/>
      <c r="BN45" s="297"/>
      <c r="BO45" s="297"/>
      <c r="BP45" s="297"/>
      <c r="BQ45" s="297"/>
      <c r="BR45" s="297"/>
      <c r="BS45" s="297"/>
      <c r="BT45" s="297"/>
      <c r="BU45" s="297"/>
      <c r="BV45" s="297"/>
      <c r="BW45" s="297"/>
      <c r="BX45" s="297"/>
      <c r="BY45" s="297"/>
      <c r="BZ45" s="297"/>
      <c r="CA45" s="297"/>
      <c r="CB45" s="297"/>
      <c r="CC45" s="297"/>
      <c r="CD45" s="297"/>
      <c r="CE45" s="297"/>
      <c r="CF45" s="297"/>
      <c r="CG45" s="297"/>
    </row>
    <row r="46" spans="1:85" ht="12" customHeight="1" outlineLevel="3">
      <c r="A46" s="288"/>
      <c r="B46" s="288"/>
      <c r="C46" s="288">
        <v>4</v>
      </c>
      <c r="D46" s="291" t="s">
        <v>1644</v>
      </c>
      <c r="E46" s="246"/>
      <c r="F46" s="246"/>
      <c r="G46" s="246"/>
      <c r="H46" s="246" t="s">
        <v>1523</v>
      </c>
      <c r="I46" s="246"/>
      <c r="J46" s="246"/>
      <c r="K46" s="246"/>
      <c r="L46" s="246"/>
      <c r="M46" s="246"/>
      <c r="N46" s="246"/>
      <c r="O46" s="246"/>
      <c r="P46" s="248">
        <v>45877</v>
      </c>
      <c r="Q46" s="248">
        <v>45877</v>
      </c>
      <c r="R46" s="246"/>
      <c r="S46" s="247">
        <v>0.1</v>
      </c>
      <c r="T46" s="247">
        <v>0.1</v>
      </c>
      <c r="U46" s="247">
        <v>1</v>
      </c>
      <c r="V46" s="247">
        <v>1</v>
      </c>
      <c r="W46" s="248"/>
      <c r="X46" s="248"/>
      <c r="Y46" s="265"/>
      <c r="Z46" s="266">
        <v>0</v>
      </c>
      <c r="AA46" s="247">
        <v>0.1</v>
      </c>
      <c r="AB46" s="246" t="s">
        <v>1717</v>
      </c>
      <c r="AC46" s="246" t="s">
        <v>2158</v>
      </c>
      <c r="AD46" s="240">
        <v>1</v>
      </c>
      <c r="AE46" s="304">
        <v>1</v>
      </c>
      <c r="AF46" s="296"/>
      <c r="AG46" s="297"/>
      <c r="AH46" s="297"/>
      <c r="AI46" s="297"/>
      <c r="AJ46" s="297"/>
      <c r="AK46" s="297"/>
      <c r="AL46" s="297"/>
      <c r="AM46" s="297"/>
      <c r="AN46" s="297"/>
      <c r="AO46" s="297"/>
      <c r="AP46" s="297"/>
      <c r="AQ46" s="297"/>
      <c r="AR46" s="297"/>
      <c r="AS46" s="297"/>
      <c r="AT46" s="297"/>
      <c r="AU46" s="297"/>
      <c r="AV46" s="297"/>
      <c r="AW46" s="297"/>
      <c r="AX46" s="297"/>
      <c r="AY46" s="297"/>
      <c r="AZ46" s="297"/>
      <c r="BA46" s="297"/>
      <c r="BB46" s="297"/>
      <c r="BC46" s="297"/>
      <c r="BD46" s="297" t="str">
        <f>"      " &amp; TEXT(AE46,"#0.00%") &amp; " " &amp; "24주차 주간보고" &amp; "(오승헌님)" &amp; " " &amp; IF(P46="","",TEXT(P46,"M/D-")) &amp; IF(Q46="","",TEXT(Q46,"M/D")) &amp; " "</f>
        <v xml:space="preserve">      100.00% 24주차 주간보고(오승헌님) 8/8-8/8 </v>
      </c>
      <c r="BE46" s="297"/>
      <c r="BF46" s="297"/>
      <c r="BG46" s="297"/>
      <c r="BH46" s="297"/>
      <c r="BI46" s="297"/>
      <c r="BJ46" s="297"/>
      <c r="BK46" s="297"/>
      <c r="BL46" s="297"/>
      <c r="BM46" s="297"/>
      <c r="BN46" s="297"/>
      <c r="BO46" s="297"/>
      <c r="BP46" s="297"/>
      <c r="BQ46" s="297"/>
      <c r="BR46" s="297"/>
      <c r="BS46" s="297"/>
      <c r="BT46" s="297"/>
      <c r="BU46" s="297"/>
      <c r="BV46" s="297"/>
      <c r="BW46" s="297"/>
      <c r="BX46" s="297"/>
      <c r="BY46" s="297"/>
      <c r="BZ46" s="297"/>
      <c r="CA46" s="297"/>
      <c r="CB46" s="297"/>
      <c r="CC46" s="297"/>
      <c r="CD46" s="297"/>
      <c r="CE46" s="297"/>
      <c r="CF46" s="297"/>
      <c r="CG46" s="297"/>
    </row>
    <row r="47" spans="1:85" ht="12" customHeight="1" outlineLevel="3">
      <c r="A47" s="288"/>
      <c r="B47" s="288"/>
      <c r="C47" s="288">
        <v>4</v>
      </c>
      <c r="D47" s="291" t="s">
        <v>1645</v>
      </c>
      <c r="E47" s="246"/>
      <c r="F47" s="246"/>
      <c r="G47" s="246"/>
      <c r="H47" s="246" t="s">
        <v>1523</v>
      </c>
      <c r="I47" s="246"/>
      <c r="J47" s="246"/>
      <c r="K47" s="246"/>
      <c r="L47" s="246"/>
      <c r="M47" s="246"/>
      <c r="N47" s="246"/>
      <c r="O47" s="246"/>
      <c r="P47" s="248">
        <v>45883</v>
      </c>
      <c r="Q47" s="248">
        <v>45883</v>
      </c>
      <c r="R47" s="246"/>
      <c r="S47" s="247">
        <v>0.1</v>
      </c>
      <c r="T47" s="247">
        <v>0.1</v>
      </c>
      <c r="U47" s="247">
        <v>1</v>
      </c>
      <c r="V47" s="247">
        <v>1</v>
      </c>
      <c r="W47" s="248"/>
      <c r="X47" s="248"/>
      <c r="Y47" s="265"/>
      <c r="Z47" s="266">
        <v>0</v>
      </c>
      <c r="AA47" s="247">
        <v>0.1</v>
      </c>
      <c r="AB47" s="246" t="s">
        <v>1717</v>
      </c>
      <c r="AC47" s="246" t="s">
        <v>2158</v>
      </c>
      <c r="AD47" s="240">
        <v>1</v>
      </c>
      <c r="AE47" s="304">
        <v>1</v>
      </c>
      <c r="AF47" s="296"/>
      <c r="AG47" s="297"/>
      <c r="AH47" s="297"/>
      <c r="AI47" s="297"/>
      <c r="AJ47" s="297"/>
      <c r="AK47" s="297"/>
      <c r="AL47" s="297"/>
      <c r="AM47" s="297"/>
      <c r="AN47" s="297"/>
      <c r="AO47" s="297"/>
      <c r="AP47" s="297"/>
      <c r="AQ47" s="297"/>
      <c r="AR47" s="297"/>
      <c r="AS47" s="297"/>
      <c r="AT47" s="297"/>
      <c r="AU47" s="297"/>
      <c r="AV47" s="297"/>
      <c r="AW47" s="297"/>
      <c r="AX47" s="297"/>
      <c r="AY47" s="297"/>
      <c r="AZ47" s="297"/>
      <c r="BA47" s="297"/>
      <c r="BB47" s="297"/>
      <c r="BC47" s="297"/>
      <c r="BD47" s="297"/>
      <c r="BE47" s="297" t="str">
        <f>"     " &amp; TEXT(AE47,"#0.00%") &amp; " " &amp; "24주차 주간보고" &amp; "(오승헌님)" &amp; " " &amp; IF(P47="","",TEXT(P47,"M/D-")) &amp; IF(Q47="","",TEXT(Q47,"M/D")) &amp; " "</f>
        <v xml:space="preserve">     100.00% 24주차 주간보고(오승헌님) 8/14-8/14 </v>
      </c>
      <c r="BF47" s="297"/>
      <c r="BG47" s="297"/>
      <c r="BH47" s="297"/>
      <c r="BI47" s="297"/>
      <c r="BJ47" s="297"/>
      <c r="BK47" s="297"/>
      <c r="BL47" s="297"/>
      <c r="BM47" s="297"/>
      <c r="BN47" s="297"/>
      <c r="BO47" s="297"/>
      <c r="BP47" s="297"/>
      <c r="BQ47" s="297"/>
      <c r="BR47" s="297"/>
      <c r="BS47" s="297"/>
      <c r="BT47" s="297"/>
      <c r="BU47" s="297"/>
      <c r="BV47" s="297"/>
      <c r="BW47" s="297"/>
      <c r="BX47" s="297"/>
      <c r="BY47" s="297"/>
      <c r="BZ47" s="297"/>
      <c r="CA47" s="297"/>
      <c r="CB47" s="297"/>
      <c r="CC47" s="297"/>
      <c r="CD47" s="297"/>
      <c r="CE47" s="297"/>
      <c r="CF47" s="297"/>
      <c r="CG47" s="297"/>
    </row>
    <row r="48" spans="1:85" ht="12" customHeight="1" outlineLevel="3">
      <c r="A48" s="288"/>
      <c r="B48" s="288"/>
      <c r="C48" s="288">
        <v>4</v>
      </c>
      <c r="D48" s="291" t="s">
        <v>1646</v>
      </c>
      <c r="E48" s="246"/>
      <c r="F48" s="246"/>
      <c r="G48" s="246"/>
      <c r="H48" s="246" t="s">
        <v>1525</v>
      </c>
      <c r="I48" s="246"/>
      <c r="J48" s="246"/>
      <c r="K48" s="246"/>
      <c r="L48" s="246"/>
      <c r="M48" s="246"/>
      <c r="N48" s="246"/>
      <c r="O48" s="246"/>
      <c r="P48" s="248">
        <v>45891</v>
      </c>
      <c r="Q48" s="248">
        <v>45891</v>
      </c>
      <c r="R48" s="246"/>
      <c r="S48" s="247">
        <v>0.1</v>
      </c>
      <c r="T48" s="247">
        <v>0.1</v>
      </c>
      <c r="U48" s="247">
        <v>1</v>
      </c>
      <c r="V48" s="247">
        <v>1</v>
      </c>
      <c r="W48" s="248"/>
      <c r="X48" s="248"/>
      <c r="Y48" s="265"/>
      <c r="Z48" s="266">
        <v>0</v>
      </c>
      <c r="AA48" s="247">
        <v>0.1</v>
      </c>
      <c r="AB48" s="246" t="s">
        <v>1717</v>
      </c>
      <c r="AC48" s="246" t="s">
        <v>2159</v>
      </c>
      <c r="AD48" s="240">
        <v>1</v>
      </c>
      <c r="AE48" s="330">
        <v>1</v>
      </c>
      <c r="AF48" s="296"/>
      <c r="AG48" s="297"/>
      <c r="AH48" s="297"/>
      <c r="AI48" s="297"/>
      <c r="AJ48" s="297"/>
      <c r="AK48" s="297"/>
      <c r="AL48" s="297"/>
      <c r="AM48" s="297"/>
      <c r="AN48" s="297"/>
      <c r="AO48" s="297"/>
      <c r="AP48" s="297"/>
      <c r="AQ48" s="297"/>
      <c r="AR48" s="297"/>
      <c r="AS48" s="297"/>
      <c r="AT48" s="297"/>
      <c r="AU48" s="297"/>
      <c r="AV48" s="297"/>
      <c r="AW48" s="297"/>
      <c r="AX48" s="297"/>
      <c r="AY48" s="297"/>
      <c r="AZ48" s="297"/>
      <c r="BA48" s="297"/>
      <c r="BB48" s="297"/>
      <c r="BC48" s="297"/>
      <c r="BD48" s="297"/>
      <c r="BE48" s="297"/>
      <c r="BF48" s="297" t="str">
        <f>"      " &amp; TEXT(AE48,"#0.00%") &amp; " " &amp; "26주차 주간보고" &amp; "(오승헌님)" &amp; " " &amp; IF(P48="","",TEXT(P48,"M/D-")) &amp; IF(Q48="","",TEXT(Q48,"M/D")) &amp; " "</f>
        <v xml:space="preserve">      100.00% 26주차 주간보고(오승헌님) 8/22-8/22 </v>
      </c>
      <c r="BG48" s="297"/>
      <c r="BH48" s="297"/>
      <c r="BI48" s="297"/>
      <c r="BJ48" s="297"/>
      <c r="BK48" s="297"/>
      <c r="BL48" s="297"/>
      <c r="BM48" s="297"/>
      <c r="BN48" s="297"/>
      <c r="BO48" s="297"/>
      <c r="BP48" s="297"/>
      <c r="BQ48" s="297"/>
      <c r="BR48" s="297"/>
      <c r="BS48" s="297"/>
      <c r="BT48" s="297"/>
      <c r="BU48" s="297"/>
      <c r="BV48" s="297"/>
      <c r="BW48" s="297"/>
      <c r="BX48" s="297"/>
      <c r="BY48" s="297"/>
      <c r="BZ48" s="297"/>
      <c r="CA48" s="297"/>
      <c r="CB48" s="297"/>
      <c r="CC48" s="297"/>
      <c r="CD48" s="297"/>
      <c r="CE48" s="297"/>
      <c r="CF48" s="297"/>
      <c r="CG48" s="297"/>
    </row>
    <row r="49" spans="1:85" ht="12" customHeight="1" outlineLevel="3">
      <c r="A49" s="288"/>
      <c r="B49" s="288"/>
      <c r="C49" s="288">
        <v>4</v>
      </c>
      <c r="D49" s="291" t="s">
        <v>1647</v>
      </c>
      <c r="E49" s="246"/>
      <c r="F49" s="246"/>
      <c r="G49" s="246"/>
      <c r="H49" s="246" t="s">
        <v>1526</v>
      </c>
      <c r="I49" s="246"/>
      <c r="J49" s="246"/>
      <c r="K49" s="246"/>
      <c r="L49" s="246"/>
      <c r="M49" s="246"/>
      <c r="N49" s="246"/>
      <c r="O49" s="246"/>
      <c r="P49" s="248">
        <v>45898</v>
      </c>
      <c r="Q49" s="248">
        <v>45898</v>
      </c>
      <c r="R49" s="246"/>
      <c r="S49" s="247">
        <v>0.1</v>
      </c>
      <c r="T49" s="247">
        <v>0.1</v>
      </c>
      <c r="U49" s="247">
        <v>1</v>
      </c>
      <c r="V49" s="247">
        <v>1</v>
      </c>
      <c r="W49" s="248"/>
      <c r="X49" s="248"/>
      <c r="Y49" s="265"/>
      <c r="Z49" s="266">
        <v>0</v>
      </c>
      <c r="AA49" s="247">
        <v>0.1</v>
      </c>
      <c r="AB49" s="246" t="s">
        <v>1717</v>
      </c>
      <c r="AC49" s="246" t="s">
        <v>2160</v>
      </c>
      <c r="AD49" s="240">
        <v>1</v>
      </c>
      <c r="AE49" s="304">
        <v>1</v>
      </c>
      <c r="AF49" s="296"/>
      <c r="AG49" s="297"/>
      <c r="AH49" s="297"/>
      <c r="AI49" s="297"/>
      <c r="AJ49" s="297"/>
      <c r="AK49" s="297"/>
      <c r="AL49" s="297"/>
      <c r="AM49" s="297"/>
      <c r="AN49" s="297"/>
      <c r="AO49" s="297"/>
      <c r="AP49" s="297"/>
      <c r="AQ49" s="297"/>
      <c r="AR49" s="297"/>
      <c r="AS49" s="297"/>
      <c r="AT49" s="297"/>
      <c r="AU49" s="297"/>
      <c r="AV49" s="297"/>
      <c r="AW49" s="297"/>
      <c r="AX49" s="297"/>
      <c r="AY49" s="297"/>
      <c r="AZ49" s="297"/>
      <c r="BA49" s="297"/>
      <c r="BB49" s="297"/>
      <c r="BC49" s="297"/>
      <c r="BD49" s="297"/>
      <c r="BE49" s="297"/>
      <c r="BF49" s="297"/>
      <c r="BG49" s="297" t="str">
        <f>"      " &amp; TEXT(AE49,"#0.00%") &amp; " " &amp; "27주차 주간보고" &amp; "(오승헌님)" &amp; " " &amp; IF(P49="","",TEXT(P49,"M/D-")) &amp; IF(Q49="","",TEXT(Q49,"M/D")) &amp; " "</f>
        <v xml:space="preserve">      100.00% 27주차 주간보고(오승헌님) 8/29-8/29 </v>
      </c>
      <c r="BH49" s="297"/>
      <c r="BI49" s="297"/>
      <c r="BJ49" s="297"/>
      <c r="BK49" s="297"/>
      <c r="BL49" s="297"/>
      <c r="BM49" s="297"/>
      <c r="BN49" s="297"/>
      <c r="BO49" s="297"/>
      <c r="BP49" s="297"/>
      <c r="BQ49" s="297"/>
      <c r="BR49" s="297"/>
      <c r="BS49" s="297"/>
      <c r="BT49" s="297"/>
      <c r="BU49" s="297"/>
      <c r="BV49" s="297"/>
      <c r="BW49" s="297"/>
      <c r="BX49" s="297"/>
      <c r="BY49" s="297"/>
      <c r="BZ49" s="297"/>
      <c r="CA49" s="297"/>
      <c r="CB49" s="297"/>
      <c r="CC49" s="297"/>
      <c r="CD49" s="297"/>
      <c r="CE49" s="297"/>
      <c r="CF49" s="297"/>
      <c r="CG49" s="297"/>
    </row>
    <row r="50" spans="1:85" ht="12" customHeight="1" outlineLevel="3">
      <c r="A50" s="288"/>
      <c r="B50" s="288"/>
      <c r="C50" s="288">
        <v>4</v>
      </c>
      <c r="D50" s="291" t="s">
        <v>1648</v>
      </c>
      <c r="E50" s="246"/>
      <c r="F50" s="246"/>
      <c r="G50" s="246"/>
      <c r="H50" s="246" t="s">
        <v>1527</v>
      </c>
      <c r="I50" s="246"/>
      <c r="J50" s="246"/>
      <c r="K50" s="246"/>
      <c r="L50" s="246"/>
      <c r="M50" s="246"/>
      <c r="N50" s="246"/>
      <c r="O50" s="246"/>
      <c r="P50" s="248">
        <v>45905</v>
      </c>
      <c r="Q50" s="248">
        <v>45905</v>
      </c>
      <c r="R50" s="246"/>
      <c r="S50" s="247">
        <v>0.1</v>
      </c>
      <c r="T50" s="247">
        <v>0.1</v>
      </c>
      <c r="U50" s="247">
        <v>1</v>
      </c>
      <c r="V50" s="247">
        <v>1</v>
      </c>
      <c r="W50" s="248"/>
      <c r="X50" s="248"/>
      <c r="Y50" s="265"/>
      <c r="Z50" s="266">
        <v>0</v>
      </c>
      <c r="AA50" s="247">
        <v>0.1</v>
      </c>
      <c r="AB50" s="246" t="s">
        <v>1717</v>
      </c>
      <c r="AC50" s="246" t="s">
        <v>2161</v>
      </c>
      <c r="AD50" s="240">
        <v>1</v>
      </c>
      <c r="AE50" s="330">
        <v>1</v>
      </c>
      <c r="AF50" s="296"/>
      <c r="AG50" s="297"/>
      <c r="AH50" s="297"/>
      <c r="AI50" s="297"/>
      <c r="AJ50" s="297"/>
      <c r="AK50" s="297"/>
      <c r="AL50" s="297"/>
      <c r="AM50" s="297"/>
      <c r="AN50" s="297"/>
      <c r="AO50" s="297"/>
      <c r="AP50" s="297"/>
      <c r="AQ50" s="297"/>
      <c r="AR50" s="297"/>
      <c r="AS50" s="297"/>
      <c r="AT50" s="297"/>
      <c r="AU50" s="297"/>
      <c r="AV50" s="297"/>
      <c r="AW50" s="297"/>
      <c r="AX50" s="297"/>
      <c r="AY50" s="297"/>
      <c r="AZ50" s="297"/>
      <c r="BA50" s="297"/>
      <c r="BB50" s="297"/>
      <c r="BC50" s="297"/>
      <c r="BD50" s="297"/>
      <c r="BE50" s="297"/>
      <c r="BF50" s="297"/>
      <c r="BG50" s="297"/>
      <c r="BH50" s="297" t="str">
        <f>"      " &amp; TEXT(AE50,"#0.00%") &amp; " " &amp; "28주차 주간보고" &amp; "(오승헌님)" &amp; " " &amp; IF(P50="","",TEXT(P50,"M/D-")) &amp; IF(Q50="","",TEXT(Q50,"M/D")) &amp; " "</f>
        <v xml:space="preserve">      100.00% 28주차 주간보고(오승헌님) 9/5-9/5 </v>
      </c>
      <c r="BI50" s="297"/>
      <c r="BJ50" s="297"/>
      <c r="BK50" s="297"/>
      <c r="BL50" s="297"/>
      <c r="BM50" s="297"/>
      <c r="BN50" s="297"/>
      <c r="BO50" s="297"/>
      <c r="BP50" s="297"/>
      <c r="BQ50" s="297"/>
      <c r="BR50" s="297"/>
      <c r="BS50" s="297"/>
      <c r="BT50" s="297"/>
      <c r="BU50" s="297"/>
      <c r="BV50" s="297"/>
      <c r="BW50" s="297"/>
      <c r="BX50" s="297"/>
      <c r="BY50" s="297"/>
      <c r="BZ50" s="297"/>
      <c r="CA50" s="297"/>
      <c r="CB50" s="297"/>
      <c r="CC50" s="297"/>
      <c r="CD50" s="297"/>
      <c r="CE50" s="297"/>
      <c r="CF50" s="297"/>
      <c r="CG50" s="297"/>
    </row>
    <row r="51" spans="1:85" ht="12" customHeight="1" outlineLevel="3">
      <c r="A51" s="288"/>
      <c r="B51" s="288"/>
      <c r="C51" s="288">
        <v>4</v>
      </c>
      <c r="D51" s="291" t="s">
        <v>1649</v>
      </c>
      <c r="E51" s="246"/>
      <c r="F51" s="246"/>
      <c r="G51" s="246"/>
      <c r="H51" s="246" t="s">
        <v>1528</v>
      </c>
      <c r="I51" s="246"/>
      <c r="J51" s="246"/>
      <c r="K51" s="246"/>
      <c r="L51" s="246"/>
      <c r="M51" s="246"/>
      <c r="N51" s="246"/>
      <c r="O51" s="246"/>
      <c r="P51" s="248">
        <v>45912</v>
      </c>
      <c r="Q51" s="248">
        <v>45912</v>
      </c>
      <c r="R51" s="246"/>
      <c r="S51" s="247">
        <v>0.1</v>
      </c>
      <c r="T51" s="247">
        <v>0.1</v>
      </c>
      <c r="U51" s="247">
        <v>1</v>
      </c>
      <c r="V51" s="247">
        <v>1</v>
      </c>
      <c r="W51" s="248"/>
      <c r="X51" s="248"/>
      <c r="Y51" s="265"/>
      <c r="Z51" s="266">
        <v>0</v>
      </c>
      <c r="AA51" s="247">
        <v>0.1</v>
      </c>
      <c r="AB51" s="246" t="s">
        <v>1717</v>
      </c>
      <c r="AC51" s="246" t="s">
        <v>2162</v>
      </c>
      <c r="AD51" s="240">
        <v>1</v>
      </c>
      <c r="AE51" s="304">
        <v>1</v>
      </c>
      <c r="AF51" s="296"/>
      <c r="AG51" s="297"/>
      <c r="AH51" s="297"/>
      <c r="AI51" s="297"/>
      <c r="AJ51" s="297"/>
      <c r="AK51" s="297"/>
      <c r="AL51" s="297"/>
      <c r="AM51" s="297"/>
      <c r="AN51" s="297"/>
      <c r="AO51" s="297"/>
      <c r="AP51" s="297"/>
      <c r="AQ51" s="297"/>
      <c r="AR51" s="297"/>
      <c r="AS51" s="297"/>
      <c r="AT51" s="297"/>
      <c r="AU51" s="297"/>
      <c r="AV51" s="297"/>
      <c r="AW51" s="297"/>
      <c r="AX51" s="297"/>
      <c r="AY51" s="297"/>
      <c r="AZ51" s="297"/>
      <c r="BA51" s="297"/>
      <c r="BB51" s="297"/>
      <c r="BC51" s="297"/>
      <c r="BD51" s="297"/>
      <c r="BE51" s="297"/>
      <c r="BF51" s="297"/>
      <c r="BG51" s="297"/>
      <c r="BH51" s="297"/>
      <c r="BI51" s="297" t="str">
        <f>"      " &amp; TEXT(AE51,"#0.00%") &amp; " " &amp; "29주차 주간보고" &amp; "(오승헌님)" &amp; " " &amp; IF(P51="","",TEXT(P51,"M/D-")) &amp; IF(Q51="","",TEXT(Q51,"M/D")) &amp; " "</f>
        <v xml:space="preserve">      100.00% 29주차 주간보고(오승헌님) 9/12-9/12 </v>
      </c>
      <c r="BJ51" s="297"/>
      <c r="BK51" s="297"/>
      <c r="BL51" s="297"/>
      <c r="BM51" s="297"/>
      <c r="BN51" s="297"/>
      <c r="BO51" s="297"/>
      <c r="BP51" s="297"/>
      <c r="BQ51" s="297"/>
      <c r="BR51" s="297"/>
      <c r="BS51" s="297"/>
      <c r="BT51" s="297"/>
      <c r="BU51" s="297"/>
      <c r="BV51" s="297"/>
      <c r="BW51" s="297"/>
      <c r="BX51" s="297"/>
      <c r="BY51" s="297"/>
      <c r="BZ51" s="297"/>
      <c r="CA51" s="297"/>
      <c r="CB51" s="297"/>
      <c r="CC51" s="297"/>
      <c r="CD51" s="297"/>
      <c r="CE51" s="297"/>
      <c r="CF51" s="297"/>
      <c r="CG51" s="297"/>
    </row>
    <row r="52" spans="1:85" ht="12" customHeight="1" outlineLevel="3">
      <c r="A52" s="288"/>
      <c r="B52" s="288"/>
      <c r="C52" s="288">
        <v>4</v>
      </c>
      <c r="D52" s="291" t="s">
        <v>1650</v>
      </c>
      <c r="E52" s="246"/>
      <c r="F52" s="246"/>
      <c r="G52" s="246"/>
      <c r="H52" s="246" t="s">
        <v>1529</v>
      </c>
      <c r="I52" s="246"/>
      <c r="J52" s="246"/>
      <c r="K52" s="246"/>
      <c r="L52" s="246"/>
      <c r="M52" s="246"/>
      <c r="N52" s="246"/>
      <c r="O52" s="246"/>
      <c r="P52" s="248">
        <v>45919</v>
      </c>
      <c r="Q52" s="248">
        <v>45919</v>
      </c>
      <c r="R52" s="246"/>
      <c r="S52" s="247">
        <v>0.1</v>
      </c>
      <c r="T52" s="247">
        <v>0.1</v>
      </c>
      <c r="U52" s="247">
        <v>1</v>
      </c>
      <c r="V52" s="247">
        <v>1</v>
      </c>
      <c r="W52" s="248"/>
      <c r="X52" s="248"/>
      <c r="Y52" s="265"/>
      <c r="Z52" s="266">
        <v>0</v>
      </c>
      <c r="AA52" s="247">
        <v>0.1</v>
      </c>
      <c r="AB52" s="246" t="s">
        <v>1717</v>
      </c>
      <c r="AC52" s="246" t="s">
        <v>2163</v>
      </c>
      <c r="AD52" s="240">
        <v>1</v>
      </c>
      <c r="AE52" s="304">
        <v>1</v>
      </c>
      <c r="AF52" s="296"/>
      <c r="AG52" s="297"/>
      <c r="AH52" s="297"/>
      <c r="AI52" s="297"/>
      <c r="AJ52" s="297"/>
      <c r="AK52" s="297"/>
      <c r="AL52" s="297"/>
      <c r="AM52" s="297"/>
      <c r="AN52" s="297"/>
      <c r="AO52" s="297"/>
      <c r="AP52" s="297"/>
      <c r="AQ52" s="297"/>
      <c r="AR52" s="297"/>
      <c r="AS52" s="297"/>
      <c r="AT52" s="297"/>
      <c r="AU52" s="297"/>
      <c r="AV52" s="297"/>
      <c r="AW52" s="297"/>
      <c r="AX52" s="297"/>
      <c r="AY52" s="297"/>
      <c r="AZ52" s="297"/>
      <c r="BA52" s="297"/>
      <c r="BB52" s="297"/>
      <c r="BC52" s="297"/>
      <c r="BD52" s="297"/>
      <c r="BE52" s="297"/>
      <c r="BF52" s="297"/>
      <c r="BG52" s="297"/>
      <c r="BH52" s="297"/>
      <c r="BI52" s="297"/>
      <c r="BJ52" s="297" t="str">
        <f>"      " &amp; TEXT(AE52,"#0.00%") &amp; " " &amp; "30주차 주간보고" &amp; "(오승헌님)" &amp; " " &amp; IF(P52="","",TEXT(P52,"M/D-")) &amp; IF(Q52="","",TEXT(Q52,"M/D")) &amp; " "</f>
        <v xml:space="preserve">      100.00% 30주차 주간보고(오승헌님) 9/19-9/19 </v>
      </c>
      <c r="BK52" s="297"/>
      <c r="BL52" s="297"/>
      <c r="BM52" s="297"/>
      <c r="BN52" s="297"/>
      <c r="BO52" s="297"/>
      <c r="BP52" s="297"/>
      <c r="BQ52" s="297"/>
      <c r="BR52" s="297"/>
      <c r="BS52" s="297"/>
      <c r="BT52" s="297"/>
      <c r="BU52" s="297"/>
      <c r="BV52" s="297"/>
      <c r="BW52" s="297"/>
      <c r="BX52" s="297"/>
      <c r="BY52" s="297"/>
      <c r="BZ52" s="297"/>
      <c r="CA52" s="297"/>
      <c r="CB52" s="297"/>
      <c r="CC52" s="297"/>
      <c r="CD52" s="297"/>
      <c r="CE52" s="297"/>
      <c r="CF52" s="297"/>
      <c r="CG52" s="297"/>
    </row>
    <row r="53" spans="1:85" ht="12" customHeight="1" outlineLevel="3">
      <c r="A53" s="288"/>
      <c r="B53" s="288"/>
      <c r="C53" s="288">
        <v>4</v>
      </c>
      <c r="D53" s="291" t="s">
        <v>1651</v>
      </c>
      <c r="E53" s="246"/>
      <c r="F53" s="246"/>
      <c r="G53" s="246"/>
      <c r="H53" s="246" t="s">
        <v>1530</v>
      </c>
      <c r="I53" s="246"/>
      <c r="J53" s="246"/>
      <c r="K53" s="246"/>
      <c r="L53" s="246"/>
      <c r="M53" s="246"/>
      <c r="N53" s="246"/>
      <c r="O53" s="246"/>
      <c r="P53" s="248">
        <v>45926</v>
      </c>
      <c r="Q53" s="248">
        <v>45926</v>
      </c>
      <c r="R53" s="246"/>
      <c r="S53" s="247">
        <v>0.1</v>
      </c>
      <c r="T53" s="247">
        <v>0.1</v>
      </c>
      <c r="U53" s="247">
        <v>1</v>
      </c>
      <c r="V53" s="247">
        <v>1</v>
      </c>
      <c r="W53" s="248"/>
      <c r="X53" s="248"/>
      <c r="Y53" s="265"/>
      <c r="Z53" s="266">
        <v>0</v>
      </c>
      <c r="AA53" s="247">
        <v>0.1</v>
      </c>
      <c r="AB53" s="246" t="s">
        <v>1717</v>
      </c>
      <c r="AC53" s="246" t="s">
        <v>2164</v>
      </c>
      <c r="AD53" s="240">
        <v>1</v>
      </c>
      <c r="AE53" s="330">
        <v>1</v>
      </c>
      <c r="AF53" s="296"/>
      <c r="AG53" s="297"/>
      <c r="AH53" s="297"/>
      <c r="AI53" s="297"/>
      <c r="AJ53" s="297"/>
      <c r="AK53" s="297"/>
      <c r="AL53" s="297"/>
      <c r="AM53" s="297"/>
      <c r="AN53" s="297"/>
      <c r="AO53" s="297"/>
      <c r="AP53" s="297"/>
      <c r="AQ53" s="297"/>
      <c r="AR53" s="297"/>
      <c r="AS53" s="297"/>
      <c r="AT53" s="297"/>
      <c r="AU53" s="297"/>
      <c r="AV53" s="297"/>
      <c r="AW53" s="297"/>
      <c r="AX53" s="297"/>
      <c r="AY53" s="297"/>
      <c r="AZ53" s="297"/>
      <c r="BA53" s="297"/>
      <c r="BB53" s="297"/>
      <c r="BC53" s="297"/>
      <c r="BD53" s="297"/>
      <c r="BE53" s="297"/>
      <c r="BF53" s="297"/>
      <c r="BG53" s="297"/>
      <c r="BH53" s="297"/>
      <c r="BI53" s="297"/>
      <c r="BJ53" s="297"/>
      <c r="BK53" s="297" t="str">
        <f>"      " &amp; TEXT(AE53,"#0.00%") &amp; " " &amp; "31주차 주간보고" &amp; "(오승헌님)" &amp; " " &amp; IF(P53="","",TEXT(P53,"M/D-")) &amp; IF(Q53="","",TEXT(Q53,"M/D")) &amp; " "</f>
        <v xml:space="preserve">      100.00% 31주차 주간보고(오승헌님) 9/26-9/26 </v>
      </c>
      <c r="BL53" s="297"/>
      <c r="BM53" s="297"/>
      <c r="BN53" s="297"/>
      <c r="BO53" s="297"/>
      <c r="BP53" s="297"/>
      <c r="BQ53" s="297"/>
      <c r="BR53" s="297"/>
      <c r="BS53" s="297"/>
      <c r="BT53" s="297"/>
      <c r="BU53" s="297"/>
      <c r="BV53" s="297"/>
      <c r="BW53" s="297"/>
      <c r="BX53" s="297"/>
      <c r="BY53" s="297"/>
      <c r="BZ53" s="297"/>
      <c r="CA53" s="297"/>
      <c r="CB53" s="297"/>
      <c r="CC53" s="297"/>
      <c r="CD53" s="297"/>
      <c r="CE53" s="297"/>
      <c r="CF53" s="297"/>
      <c r="CG53" s="297"/>
    </row>
    <row r="54" spans="1:85" ht="12" customHeight="1" outlineLevel="3">
      <c r="A54" s="288"/>
      <c r="B54" s="288"/>
      <c r="C54" s="288">
        <v>4</v>
      </c>
      <c r="D54" s="291" t="s">
        <v>1652</v>
      </c>
      <c r="E54" s="246"/>
      <c r="F54" s="246"/>
      <c r="G54" s="246"/>
      <c r="H54" s="246" t="s">
        <v>1531</v>
      </c>
      <c r="I54" s="246"/>
      <c r="J54" s="246"/>
      <c r="K54" s="246"/>
      <c r="L54" s="246"/>
      <c r="M54" s="246"/>
      <c r="N54" s="246"/>
      <c r="O54" s="246"/>
      <c r="P54" s="248">
        <v>45932</v>
      </c>
      <c r="Q54" s="248">
        <v>45932</v>
      </c>
      <c r="R54" s="246"/>
      <c r="S54" s="247">
        <v>0.1</v>
      </c>
      <c r="T54" s="247">
        <v>0.1</v>
      </c>
      <c r="U54" s="247">
        <v>1</v>
      </c>
      <c r="V54" s="247">
        <v>1</v>
      </c>
      <c r="W54" s="248"/>
      <c r="X54" s="248"/>
      <c r="Y54" s="265"/>
      <c r="Z54" s="266">
        <v>0</v>
      </c>
      <c r="AA54" s="247">
        <v>0.1</v>
      </c>
      <c r="AB54" s="246" t="s">
        <v>1717</v>
      </c>
      <c r="AC54" s="246" t="s">
        <v>2165</v>
      </c>
      <c r="AD54" s="240">
        <v>1</v>
      </c>
      <c r="AE54" s="304">
        <v>1</v>
      </c>
      <c r="AF54" s="296"/>
      <c r="AG54" s="297"/>
      <c r="AH54" s="297"/>
      <c r="AI54" s="297"/>
      <c r="AJ54" s="297"/>
      <c r="AK54" s="297"/>
      <c r="AL54" s="297"/>
      <c r="AM54" s="297"/>
      <c r="AN54" s="297"/>
      <c r="AO54" s="297"/>
      <c r="AP54" s="297"/>
      <c r="AQ54" s="297"/>
      <c r="AR54" s="297"/>
      <c r="AS54" s="297"/>
      <c r="AT54" s="297"/>
      <c r="AU54" s="297"/>
      <c r="AV54" s="297"/>
      <c r="AW54" s="297"/>
      <c r="AX54" s="297"/>
      <c r="AY54" s="297"/>
      <c r="AZ54" s="297"/>
      <c r="BA54" s="297"/>
      <c r="BB54" s="297"/>
      <c r="BC54" s="297"/>
      <c r="BD54" s="297"/>
      <c r="BE54" s="297"/>
      <c r="BF54" s="297"/>
      <c r="BG54" s="297"/>
      <c r="BH54" s="297"/>
      <c r="BI54" s="297"/>
      <c r="BJ54" s="297"/>
      <c r="BK54" s="297"/>
      <c r="BL54" s="297" t="str">
        <f>"     " &amp; TEXT(AE54,"#0.00%") &amp; " " &amp; "32주차 주간보고" &amp; "(오승헌님)" &amp; " " &amp; IF(P54="","",TEXT(P54,"M/D-")) &amp; IF(Q54="","",TEXT(Q54,"M/D")) &amp; " "</f>
        <v xml:space="preserve">     100.00% 32주차 주간보고(오승헌님) 10/2-10/2 </v>
      </c>
      <c r="BM54" s="297"/>
      <c r="BN54" s="297"/>
      <c r="BO54" s="297"/>
      <c r="BP54" s="297"/>
      <c r="BQ54" s="297"/>
      <c r="BR54" s="297"/>
      <c r="BS54" s="297"/>
      <c r="BT54" s="297"/>
      <c r="BU54" s="297"/>
      <c r="BV54" s="297"/>
      <c r="BW54" s="297"/>
      <c r="BX54" s="297"/>
      <c r="BY54" s="297"/>
      <c r="BZ54" s="297"/>
      <c r="CA54" s="297"/>
      <c r="CB54" s="297"/>
      <c r="CC54" s="297"/>
      <c r="CD54" s="297"/>
      <c r="CE54" s="297"/>
      <c r="CF54" s="297"/>
      <c r="CG54" s="297"/>
    </row>
    <row r="55" spans="1:85" ht="12" customHeight="1" outlineLevel="3">
      <c r="A55" s="288">
        <v>1</v>
      </c>
      <c r="B55" s="288"/>
      <c r="C55" s="288">
        <v>4</v>
      </c>
      <c r="D55" s="291" t="s">
        <v>1653</v>
      </c>
      <c r="E55" s="246"/>
      <c r="F55" s="246"/>
      <c r="G55" s="246"/>
      <c r="H55" s="246" t="s">
        <v>1532</v>
      </c>
      <c r="I55" s="246"/>
      <c r="J55" s="246"/>
      <c r="K55" s="246"/>
      <c r="L55" s="246"/>
      <c r="M55" s="246"/>
      <c r="N55" s="246"/>
      <c r="O55" s="246"/>
      <c r="P55" s="248">
        <v>45940</v>
      </c>
      <c r="Q55" s="248">
        <v>45940</v>
      </c>
      <c r="R55" s="246"/>
      <c r="S55" s="247">
        <v>0</v>
      </c>
      <c r="T55" s="247">
        <v>0</v>
      </c>
      <c r="U55" s="247">
        <v>1</v>
      </c>
      <c r="V55" s="247">
        <v>1</v>
      </c>
      <c r="W55" s="248"/>
      <c r="X55" s="248"/>
      <c r="Y55" s="265"/>
      <c r="Z55" s="266">
        <v>0</v>
      </c>
      <c r="AA55" s="247">
        <v>0.1</v>
      </c>
      <c r="AB55" s="246" t="s">
        <v>1717</v>
      </c>
      <c r="AC55" s="246" t="s">
        <v>2166</v>
      </c>
      <c r="AD55" s="240">
        <v>1</v>
      </c>
      <c r="AE55" s="330">
        <v>1</v>
      </c>
      <c r="AF55" s="296"/>
      <c r="AG55" s="297"/>
      <c r="AH55" s="297"/>
      <c r="AI55" s="297"/>
      <c r="AJ55" s="297"/>
      <c r="AK55" s="297"/>
      <c r="AL55" s="297"/>
      <c r="AM55" s="297"/>
      <c r="AN55" s="297"/>
      <c r="AO55" s="297"/>
      <c r="AP55" s="297"/>
      <c r="AQ55" s="297"/>
      <c r="AR55" s="297"/>
      <c r="AS55" s="297"/>
      <c r="AT55" s="297"/>
      <c r="AU55" s="297"/>
      <c r="AV55" s="297"/>
      <c r="AW55" s="297"/>
      <c r="AX55" s="297"/>
      <c r="AY55" s="297"/>
      <c r="AZ55" s="297"/>
      <c r="BA55" s="297"/>
      <c r="BB55" s="297"/>
      <c r="BC55" s="297"/>
      <c r="BD55" s="297"/>
      <c r="BE55" s="297"/>
      <c r="BF55" s="297"/>
      <c r="BG55" s="297"/>
      <c r="BH55" s="297"/>
      <c r="BI55" s="297"/>
      <c r="BJ55" s="297"/>
      <c r="BK55" s="297"/>
      <c r="BL55" s="297"/>
      <c r="BM55" s="297" t="str">
        <f>"         " &amp; TEXT(AE55,"#0.00%") &amp; " " &amp; "33주차 주간보고" &amp; "(오승헌님)" &amp; " " &amp; IF(P55="","",TEXT(P55,"M/D-")) &amp; IF(Q55="","",TEXT(Q55,"M/D")) &amp; " "</f>
        <v xml:space="preserve">         100.00% 33주차 주간보고(오승헌님) 10/10-10/10 </v>
      </c>
      <c r="BN55" s="297"/>
      <c r="BO55" s="297"/>
      <c r="BP55" s="297"/>
      <c r="BQ55" s="297"/>
      <c r="BR55" s="297"/>
      <c r="BS55" s="297"/>
      <c r="BT55" s="297"/>
      <c r="BU55" s="297"/>
      <c r="BV55" s="297"/>
      <c r="BW55" s="297"/>
      <c r="BX55" s="297"/>
      <c r="BY55" s="297"/>
      <c r="BZ55" s="297"/>
      <c r="CA55" s="297"/>
      <c r="CB55" s="297"/>
      <c r="CC55" s="297"/>
      <c r="CD55" s="297"/>
      <c r="CE55" s="297"/>
      <c r="CF55" s="297"/>
      <c r="CG55" s="297"/>
    </row>
    <row r="56" spans="1:85" ht="12" customHeight="1" outlineLevel="3">
      <c r="A56" s="288"/>
      <c r="B56" s="288"/>
      <c r="C56" s="288">
        <v>4</v>
      </c>
      <c r="D56" s="291" t="s">
        <v>1654</v>
      </c>
      <c r="E56" s="246"/>
      <c r="F56" s="246"/>
      <c r="G56" s="246"/>
      <c r="H56" s="246" t="s">
        <v>1533</v>
      </c>
      <c r="I56" s="246"/>
      <c r="J56" s="246"/>
      <c r="K56" s="246"/>
      <c r="L56" s="246"/>
      <c r="M56" s="246"/>
      <c r="N56" s="246"/>
      <c r="O56" s="246"/>
      <c r="P56" s="248">
        <v>45947</v>
      </c>
      <c r="Q56" s="248">
        <v>45947</v>
      </c>
      <c r="R56" s="246"/>
      <c r="S56" s="247">
        <v>0.1</v>
      </c>
      <c r="T56" s="247">
        <v>0.1</v>
      </c>
      <c r="U56" s="247">
        <v>1</v>
      </c>
      <c r="V56" s="247">
        <v>1</v>
      </c>
      <c r="W56" s="248"/>
      <c r="X56" s="248"/>
      <c r="Y56" s="265"/>
      <c r="Z56" s="266">
        <v>0</v>
      </c>
      <c r="AA56" s="247">
        <v>0.1</v>
      </c>
      <c r="AB56" s="246" t="s">
        <v>1717</v>
      </c>
      <c r="AC56" s="246" t="s">
        <v>2167</v>
      </c>
      <c r="AD56" s="240">
        <v>1</v>
      </c>
      <c r="AE56" s="330">
        <v>1</v>
      </c>
      <c r="AF56" s="296"/>
      <c r="AG56" s="297"/>
      <c r="AH56" s="297"/>
      <c r="AI56" s="297"/>
      <c r="AJ56" s="297"/>
      <c r="AK56" s="297"/>
      <c r="AL56" s="297"/>
      <c r="AM56" s="297"/>
      <c r="AN56" s="297"/>
      <c r="AO56" s="297"/>
      <c r="AP56" s="297"/>
      <c r="AQ56" s="297"/>
      <c r="AR56" s="297"/>
      <c r="AS56" s="297"/>
      <c r="AT56" s="297"/>
      <c r="AU56" s="297"/>
      <c r="AV56" s="297"/>
      <c r="AW56" s="297"/>
      <c r="AX56" s="297"/>
      <c r="AY56" s="297"/>
      <c r="AZ56" s="297"/>
      <c r="BA56" s="297"/>
      <c r="BB56" s="297"/>
      <c r="BC56" s="297"/>
      <c r="BD56" s="297"/>
      <c r="BE56" s="297"/>
      <c r="BF56" s="297"/>
      <c r="BG56" s="297"/>
      <c r="BH56" s="297"/>
      <c r="BI56" s="297"/>
      <c r="BJ56" s="297"/>
      <c r="BK56" s="297"/>
      <c r="BL56" s="297"/>
      <c r="BM56" s="297"/>
      <c r="BN56" s="297" t="str">
        <f>"      " &amp; TEXT(AE56,"#0.00%") &amp; " " &amp; "34주차 주간보고" &amp; "(오승헌님)" &amp; " " &amp; IF(P56="","",TEXT(P56,"M/D-")) &amp; IF(Q56="","",TEXT(Q56,"M/D")) &amp; " "</f>
        <v xml:space="preserve">      100.00% 34주차 주간보고(오승헌님) 10/17-10/17 </v>
      </c>
      <c r="BO56" s="297"/>
      <c r="BP56" s="297"/>
      <c r="BQ56" s="297"/>
      <c r="BR56" s="297"/>
      <c r="BS56" s="297"/>
      <c r="BT56" s="297"/>
      <c r="BU56" s="297"/>
      <c r="BV56" s="297"/>
      <c r="BW56" s="297"/>
      <c r="BX56" s="297"/>
      <c r="BY56" s="297"/>
      <c r="BZ56" s="297"/>
      <c r="CA56" s="297"/>
      <c r="CB56" s="297"/>
      <c r="CC56" s="297"/>
      <c r="CD56" s="297"/>
      <c r="CE56" s="297"/>
      <c r="CF56" s="297"/>
      <c r="CG56" s="297"/>
    </row>
    <row r="57" spans="1:85" ht="12" customHeight="1" outlineLevel="3">
      <c r="A57" s="288"/>
      <c r="B57" s="288"/>
      <c r="C57" s="288">
        <v>4</v>
      </c>
      <c r="D57" s="291" t="s">
        <v>1655</v>
      </c>
      <c r="E57" s="246"/>
      <c r="F57" s="246"/>
      <c r="G57" s="246"/>
      <c r="H57" s="246" t="s">
        <v>1534</v>
      </c>
      <c r="I57" s="246"/>
      <c r="J57" s="246"/>
      <c r="K57" s="246"/>
      <c r="L57" s="246"/>
      <c r="M57" s="246"/>
      <c r="N57" s="246"/>
      <c r="O57" s="246"/>
      <c r="P57" s="248">
        <v>45954</v>
      </c>
      <c r="Q57" s="248">
        <v>45954</v>
      </c>
      <c r="R57" s="246"/>
      <c r="S57" s="247">
        <v>0.1</v>
      </c>
      <c r="T57" s="247">
        <v>0.1</v>
      </c>
      <c r="U57" s="247">
        <v>1</v>
      </c>
      <c r="V57" s="247">
        <v>1</v>
      </c>
      <c r="W57" s="248"/>
      <c r="X57" s="248"/>
      <c r="Y57" s="265"/>
      <c r="Z57" s="266">
        <v>0</v>
      </c>
      <c r="AA57" s="247">
        <v>0.1</v>
      </c>
      <c r="AB57" s="246" t="s">
        <v>1717</v>
      </c>
      <c r="AC57" s="246" t="s">
        <v>2168</v>
      </c>
      <c r="AD57" s="240">
        <v>1</v>
      </c>
      <c r="AE57" s="330">
        <v>1</v>
      </c>
      <c r="AF57" s="296"/>
      <c r="AG57" s="297"/>
      <c r="AH57" s="297"/>
      <c r="AI57" s="297"/>
      <c r="AJ57" s="297"/>
      <c r="AK57" s="297"/>
      <c r="AL57" s="297"/>
      <c r="AM57" s="297"/>
      <c r="AN57" s="297"/>
      <c r="AO57" s="297"/>
      <c r="AP57" s="297"/>
      <c r="AQ57" s="297"/>
      <c r="AR57" s="297"/>
      <c r="AS57" s="297"/>
      <c r="AT57" s="297"/>
      <c r="AU57" s="297"/>
      <c r="AV57" s="297"/>
      <c r="AW57" s="297"/>
      <c r="AX57" s="297"/>
      <c r="AY57" s="297"/>
      <c r="AZ57" s="297"/>
      <c r="BA57" s="297"/>
      <c r="BB57" s="297"/>
      <c r="BC57" s="297"/>
      <c r="BD57" s="297"/>
      <c r="BE57" s="297"/>
      <c r="BF57" s="297"/>
      <c r="BG57" s="297"/>
      <c r="BH57" s="297"/>
      <c r="BI57" s="297"/>
      <c r="BJ57" s="297"/>
      <c r="BK57" s="297"/>
      <c r="BL57" s="297"/>
      <c r="BM57" s="297"/>
      <c r="BN57" s="297"/>
      <c r="BO57" s="297" t="str">
        <f>"      " &amp; TEXT(AE57,"#0.00%") &amp; " " &amp; "35주차 주간보고" &amp; "(오승헌님)" &amp; " " &amp; IF(P57="","",TEXT(P57,"M/D-")) &amp; IF(Q57="","",TEXT(Q57,"M/D")) &amp; " "</f>
        <v xml:space="preserve">      100.00% 35주차 주간보고(오승헌님) 10/24-10/24 </v>
      </c>
      <c r="BP57" s="297"/>
      <c r="BQ57" s="297"/>
      <c r="BR57" s="297"/>
      <c r="BS57" s="297"/>
      <c r="BT57" s="297"/>
      <c r="BU57" s="297"/>
      <c r="BV57" s="297"/>
      <c r="BW57" s="297"/>
      <c r="BX57" s="297"/>
      <c r="BY57" s="297"/>
      <c r="BZ57" s="297"/>
      <c r="CA57" s="297"/>
      <c r="CB57" s="297"/>
      <c r="CC57" s="297"/>
      <c r="CD57" s="297"/>
      <c r="CE57" s="297"/>
      <c r="CF57" s="297"/>
      <c r="CG57" s="297"/>
    </row>
    <row r="58" spans="1:85" ht="12" customHeight="1" outlineLevel="3">
      <c r="A58" s="288"/>
      <c r="B58" s="288"/>
      <c r="C58" s="288">
        <v>4</v>
      </c>
      <c r="D58" s="291" t="s">
        <v>1656</v>
      </c>
      <c r="E58" s="246"/>
      <c r="F58" s="246"/>
      <c r="G58" s="246"/>
      <c r="H58" s="246" t="s">
        <v>1535</v>
      </c>
      <c r="I58" s="246"/>
      <c r="J58" s="246"/>
      <c r="K58" s="246"/>
      <c r="L58" s="246"/>
      <c r="M58" s="246"/>
      <c r="N58" s="246"/>
      <c r="O58" s="246"/>
      <c r="P58" s="248">
        <v>45961</v>
      </c>
      <c r="Q58" s="248">
        <v>45961</v>
      </c>
      <c r="R58" s="246"/>
      <c r="S58" s="247">
        <v>0.1</v>
      </c>
      <c r="T58" s="247">
        <v>0.1</v>
      </c>
      <c r="U58" s="247">
        <v>1</v>
      </c>
      <c r="V58" s="247">
        <v>1</v>
      </c>
      <c r="W58" s="248"/>
      <c r="X58" s="248"/>
      <c r="Y58" s="265"/>
      <c r="Z58" s="266">
        <v>0</v>
      </c>
      <c r="AA58" s="247">
        <v>0.1</v>
      </c>
      <c r="AB58" s="246" t="s">
        <v>1717</v>
      </c>
      <c r="AC58" s="246" t="s">
        <v>2169</v>
      </c>
      <c r="AD58" s="240">
        <v>1</v>
      </c>
      <c r="AE58" s="304">
        <v>1</v>
      </c>
      <c r="AF58" s="296"/>
      <c r="AG58" s="297"/>
      <c r="AH58" s="297"/>
      <c r="AI58" s="297"/>
      <c r="AJ58" s="297"/>
      <c r="AK58" s="297"/>
      <c r="AL58" s="297"/>
      <c r="AM58" s="297"/>
      <c r="AN58" s="297"/>
      <c r="AO58" s="297"/>
      <c r="AP58" s="297"/>
      <c r="AQ58" s="297"/>
      <c r="AR58" s="297"/>
      <c r="AS58" s="297"/>
      <c r="AT58" s="297"/>
      <c r="AU58" s="297"/>
      <c r="AV58" s="297"/>
      <c r="AW58" s="297"/>
      <c r="AX58" s="297"/>
      <c r="AY58" s="297"/>
      <c r="AZ58" s="297"/>
      <c r="BA58" s="297"/>
      <c r="BB58" s="297"/>
      <c r="BC58" s="297"/>
      <c r="BD58" s="297"/>
      <c r="BE58" s="297"/>
      <c r="BF58" s="297"/>
      <c r="BG58" s="297"/>
      <c r="BH58" s="297"/>
      <c r="BI58" s="297"/>
      <c r="BJ58" s="297"/>
      <c r="BK58" s="297"/>
      <c r="BL58" s="297"/>
      <c r="BM58" s="297"/>
      <c r="BN58" s="297"/>
      <c r="BO58" s="297"/>
      <c r="BP58" s="297" t="str">
        <f>"      " &amp; TEXT(AE58,"#0.00%") &amp; " " &amp; "36주차 주간보고" &amp; "(오승헌님)" &amp; " " &amp; IF(P58="","",TEXT(P58,"M/D-")) &amp; IF(Q58="","",TEXT(Q58,"M/D")) &amp; " "</f>
        <v xml:space="preserve">      100.00% 36주차 주간보고(오승헌님) 10/31-10/31 </v>
      </c>
      <c r="BQ58" s="297"/>
      <c r="BR58" s="297"/>
      <c r="BS58" s="297"/>
      <c r="BT58" s="297"/>
      <c r="BU58" s="297"/>
      <c r="BV58" s="297"/>
      <c r="BW58" s="297"/>
      <c r="BX58" s="297"/>
      <c r="BY58" s="297"/>
      <c r="BZ58" s="297"/>
      <c r="CA58" s="297"/>
      <c r="CB58" s="297"/>
      <c r="CC58" s="297"/>
      <c r="CD58" s="297"/>
      <c r="CE58" s="297"/>
      <c r="CF58" s="297"/>
      <c r="CG58" s="297"/>
    </row>
    <row r="59" spans="1:85" ht="12" customHeight="1" outlineLevel="3">
      <c r="A59" s="288" t="s">
        <v>1596</v>
      </c>
      <c r="B59" s="288"/>
      <c r="C59" s="288">
        <v>4</v>
      </c>
      <c r="D59" s="291" t="s">
        <v>1657</v>
      </c>
      <c r="E59" s="246"/>
      <c r="F59" s="246"/>
      <c r="G59" s="246"/>
      <c r="H59" s="246" t="s">
        <v>1536</v>
      </c>
      <c r="I59" s="246"/>
      <c r="J59" s="246"/>
      <c r="K59" s="246"/>
      <c r="L59" s="246"/>
      <c r="M59" s="246"/>
      <c r="N59" s="246"/>
      <c r="O59" s="246"/>
      <c r="P59" s="248">
        <v>45968</v>
      </c>
      <c r="Q59" s="248">
        <v>45968</v>
      </c>
      <c r="R59" s="246"/>
      <c r="S59" s="247">
        <v>0.1</v>
      </c>
      <c r="T59" s="247">
        <v>0.1</v>
      </c>
      <c r="U59" s="247">
        <v>1</v>
      </c>
      <c r="V59" s="247">
        <v>1</v>
      </c>
      <c r="W59" s="248"/>
      <c r="X59" s="248"/>
      <c r="Y59" s="265"/>
      <c r="Z59" s="266">
        <v>0</v>
      </c>
      <c r="AA59" s="247">
        <v>0.1</v>
      </c>
      <c r="AB59" s="246" t="s">
        <v>1717</v>
      </c>
      <c r="AC59" s="246" t="s">
        <v>2170</v>
      </c>
      <c r="AD59" s="240">
        <v>1</v>
      </c>
      <c r="AE59" s="304">
        <v>1</v>
      </c>
      <c r="AF59" s="296"/>
      <c r="AG59" s="297"/>
      <c r="AH59" s="297"/>
      <c r="AI59" s="297"/>
      <c r="AJ59" s="297"/>
      <c r="AK59" s="297"/>
      <c r="AL59" s="297"/>
      <c r="AM59" s="297"/>
      <c r="AN59" s="297"/>
      <c r="AO59" s="297"/>
      <c r="AP59" s="297"/>
      <c r="AQ59" s="297"/>
      <c r="AR59" s="297"/>
      <c r="AS59" s="297"/>
      <c r="AT59" s="297"/>
      <c r="AU59" s="297"/>
      <c r="AV59" s="297"/>
      <c r="AW59" s="297"/>
      <c r="AX59" s="297"/>
      <c r="AY59" s="297"/>
      <c r="AZ59" s="297"/>
      <c r="BA59" s="297"/>
      <c r="BB59" s="297"/>
      <c r="BC59" s="297"/>
      <c r="BD59" s="297"/>
      <c r="BE59" s="297"/>
      <c r="BF59" s="297"/>
      <c r="BG59" s="297"/>
      <c r="BH59" s="297"/>
      <c r="BI59" s="297"/>
      <c r="BJ59" s="297"/>
      <c r="BK59" s="297"/>
      <c r="BL59" s="297"/>
      <c r="BM59" s="297"/>
      <c r="BN59" s="297"/>
      <c r="BO59" s="297"/>
      <c r="BP59" s="297"/>
      <c r="BQ59" s="297" t="str">
        <f>"      " &amp; TEXT(AE59,"#0.00%") &amp; " " &amp; "37주차 주간보고" &amp; "(오승헌님)" &amp; " " &amp; IF(P59="","",TEXT(P59,"M/D-")) &amp; IF(Q59="","",TEXT(Q59,"M/D")) &amp; " "</f>
        <v xml:space="preserve">      100.00% 37주차 주간보고(오승헌님) 11/7-11/7 </v>
      </c>
      <c r="BR59" s="297"/>
      <c r="BS59" s="297"/>
      <c r="BT59" s="297"/>
      <c r="BU59" s="297"/>
      <c r="BV59" s="297"/>
      <c r="BW59" s="297"/>
      <c r="BX59" s="297"/>
      <c r="BY59" s="297"/>
      <c r="BZ59" s="297"/>
      <c r="CA59" s="297"/>
      <c r="CB59" s="297"/>
      <c r="CC59" s="297"/>
      <c r="CD59" s="297"/>
      <c r="CE59" s="297"/>
      <c r="CF59" s="297"/>
      <c r="CG59" s="297"/>
    </row>
    <row r="60" spans="1:85" ht="12" customHeight="1" outlineLevel="3">
      <c r="A60" s="288"/>
      <c r="B60" s="288"/>
      <c r="C60" s="288">
        <v>4</v>
      </c>
      <c r="D60" s="291" t="s">
        <v>1658</v>
      </c>
      <c r="E60" s="246"/>
      <c r="F60" s="246"/>
      <c r="G60" s="246"/>
      <c r="H60" s="246" t="s">
        <v>1537</v>
      </c>
      <c r="I60" s="246"/>
      <c r="J60" s="246"/>
      <c r="K60" s="246"/>
      <c r="L60" s="246"/>
      <c r="M60" s="246"/>
      <c r="N60" s="246"/>
      <c r="O60" s="246"/>
      <c r="P60" s="248">
        <v>45975</v>
      </c>
      <c r="Q60" s="248">
        <v>45975</v>
      </c>
      <c r="R60" s="246"/>
      <c r="S60" s="247">
        <v>0.1</v>
      </c>
      <c r="T60" s="247">
        <v>0.1</v>
      </c>
      <c r="U60" s="247">
        <v>1</v>
      </c>
      <c r="V60" s="247">
        <v>1</v>
      </c>
      <c r="W60" s="248"/>
      <c r="X60" s="248"/>
      <c r="Y60" s="265"/>
      <c r="Z60" s="266">
        <v>0</v>
      </c>
      <c r="AA60" s="247">
        <v>0.1</v>
      </c>
      <c r="AB60" s="246" t="s">
        <v>1717</v>
      </c>
      <c r="AC60" s="246" t="s">
        <v>2171</v>
      </c>
      <c r="AD60" s="240">
        <v>1</v>
      </c>
      <c r="AE60" s="304">
        <v>1</v>
      </c>
      <c r="AF60" s="296"/>
      <c r="AG60" s="297"/>
      <c r="AH60" s="297"/>
      <c r="AI60" s="297"/>
      <c r="AJ60" s="297"/>
      <c r="AK60" s="297"/>
      <c r="AL60" s="297"/>
      <c r="AM60" s="297"/>
      <c r="AN60" s="297"/>
      <c r="AO60" s="297"/>
      <c r="AP60" s="297"/>
      <c r="AQ60" s="297"/>
      <c r="AR60" s="297"/>
      <c r="AS60" s="297"/>
      <c r="AT60" s="297"/>
      <c r="AU60" s="297"/>
      <c r="AV60" s="297"/>
      <c r="AW60" s="297"/>
      <c r="AX60" s="297"/>
      <c r="AY60" s="297"/>
      <c r="AZ60" s="297"/>
      <c r="BA60" s="297"/>
      <c r="BB60" s="297"/>
      <c r="BC60" s="297"/>
      <c r="BD60" s="297"/>
      <c r="BE60" s="297"/>
      <c r="BF60" s="297"/>
      <c r="BG60" s="297"/>
      <c r="BH60" s="297"/>
      <c r="BI60" s="297"/>
      <c r="BJ60" s="297"/>
      <c r="BK60" s="297"/>
      <c r="BL60" s="297"/>
      <c r="BM60" s="297"/>
      <c r="BN60" s="297"/>
      <c r="BO60" s="297"/>
      <c r="BP60" s="297"/>
      <c r="BQ60" s="297"/>
      <c r="BR60" s="297" t="str">
        <f>"      " &amp; TEXT(AE60,"#0.00%") &amp; " " &amp; "38주차 주간보고" &amp; "(오승헌님)" &amp; " " &amp; IF(P60="","",TEXT(P60,"M/D-")) &amp; IF(Q60="","",TEXT(Q60,"M/D")) &amp; " "</f>
        <v xml:space="preserve">      100.00% 38주차 주간보고(오승헌님) 11/14-11/14 </v>
      </c>
      <c r="BS60" s="297"/>
      <c r="BT60" s="297"/>
      <c r="BU60" s="297"/>
      <c r="BV60" s="297"/>
      <c r="BW60" s="297"/>
      <c r="BX60" s="297"/>
      <c r="BY60" s="297"/>
      <c r="BZ60" s="297"/>
      <c r="CA60" s="297"/>
      <c r="CB60" s="297"/>
      <c r="CC60" s="297"/>
      <c r="CD60" s="297"/>
      <c r="CE60" s="297"/>
      <c r="CF60" s="297"/>
      <c r="CG60" s="297"/>
    </row>
    <row r="61" spans="1:85" ht="12" customHeight="1" outlineLevel="3">
      <c r="A61" s="288"/>
      <c r="B61" s="288"/>
      <c r="C61" s="288">
        <v>4</v>
      </c>
      <c r="D61" s="291" t="s">
        <v>1659</v>
      </c>
      <c r="E61" s="246"/>
      <c r="F61" s="246"/>
      <c r="G61" s="246"/>
      <c r="H61" s="246" t="s">
        <v>1597</v>
      </c>
      <c r="I61" s="246"/>
      <c r="J61" s="246"/>
      <c r="K61" s="246"/>
      <c r="L61" s="246"/>
      <c r="M61" s="246"/>
      <c r="N61" s="246"/>
      <c r="O61" s="246"/>
      <c r="P61" s="248">
        <v>45982</v>
      </c>
      <c r="Q61" s="248">
        <v>45982</v>
      </c>
      <c r="R61" s="246"/>
      <c r="S61" s="247">
        <v>0.1</v>
      </c>
      <c r="T61" s="247">
        <v>0.1</v>
      </c>
      <c r="U61" s="247">
        <v>1</v>
      </c>
      <c r="V61" s="247">
        <v>1</v>
      </c>
      <c r="W61" s="248"/>
      <c r="X61" s="248"/>
      <c r="Y61" s="265"/>
      <c r="Z61" s="266">
        <v>0</v>
      </c>
      <c r="AA61" s="247">
        <v>0.1</v>
      </c>
      <c r="AB61" s="246" t="s">
        <v>1717</v>
      </c>
      <c r="AC61" s="246" t="s">
        <v>2172</v>
      </c>
      <c r="AD61" s="240">
        <v>1</v>
      </c>
      <c r="AE61" s="304">
        <v>1</v>
      </c>
      <c r="AF61" s="296"/>
      <c r="AG61" s="297"/>
      <c r="AH61" s="297"/>
      <c r="AI61" s="297"/>
      <c r="AJ61" s="297"/>
      <c r="AK61" s="297"/>
      <c r="AL61" s="297"/>
      <c r="AM61" s="297"/>
      <c r="AN61" s="297"/>
      <c r="AO61" s="297"/>
      <c r="AP61" s="297"/>
      <c r="AQ61" s="297"/>
      <c r="AR61" s="297"/>
      <c r="AS61" s="297"/>
      <c r="AT61" s="297"/>
      <c r="AU61" s="297"/>
      <c r="AV61" s="297"/>
      <c r="AW61" s="297"/>
      <c r="AX61" s="297"/>
      <c r="AY61" s="297"/>
      <c r="AZ61" s="297"/>
      <c r="BA61" s="297"/>
      <c r="BB61" s="297"/>
      <c r="BC61" s="297"/>
      <c r="BD61" s="297"/>
      <c r="BE61" s="297"/>
      <c r="BF61" s="297"/>
      <c r="BG61" s="297"/>
      <c r="BH61" s="297"/>
      <c r="BI61" s="297"/>
      <c r="BJ61" s="297"/>
      <c r="BK61" s="297"/>
      <c r="BL61" s="297"/>
      <c r="BM61" s="297"/>
      <c r="BN61" s="297"/>
      <c r="BO61" s="297"/>
      <c r="BP61" s="297"/>
      <c r="BQ61" s="297"/>
      <c r="BR61" s="297"/>
      <c r="BS61" s="297" t="str">
        <f>"      " &amp; TEXT(AE61,"#0.00%") &amp; " " &amp; "39주차 주간보고" &amp; "(오승헌님)" &amp; " " &amp; IF(P61="","",TEXT(P61,"M/D-")) &amp; IF(Q61="","",TEXT(Q61,"M/D")) &amp; " "</f>
        <v xml:space="preserve">      100.00% 39주차 주간보고(오승헌님) 11/21-11/21 </v>
      </c>
      <c r="BT61" s="297"/>
      <c r="BU61" s="297"/>
      <c r="BV61" s="297"/>
      <c r="BW61" s="297"/>
      <c r="BX61" s="297"/>
      <c r="BY61" s="297"/>
      <c r="BZ61" s="297"/>
      <c r="CA61" s="297"/>
      <c r="CB61" s="297"/>
      <c r="CC61" s="297"/>
      <c r="CD61" s="297"/>
      <c r="CE61" s="297"/>
      <c r="CF61" s="297"/>
      <c r="CG61" s="297"/>
    </row>
    <row r="62" spans="1:85" ht="12" customHeight="1" outlineLevel="3">
      <c r="A62" s="288"/>
      <c r="B62" s="288"/>
      <c r="C62" s="288">
        <v>4</v>
      </c>
      <c r="D62" s="291" t="s">
        <v>1660</v>
      </c>
      <c r="E62" s="246"/>
      <c r="F62" s="246"/>
      <c r="G62" s="246"/>
      <c r="H62" s="246" t="s">
        <v>1598</v>
      </c>
      <c r="I62" s="246"/>
      <c r="J62" s="246"/>
      <c r="K62" s="246"/>
      <c r="L62" s="246"/>
      <c r="M62" s="246"/>
      <c r="N62" s="246"/>
      <c r="O62" s="246"/>
      <c r="P62" s="248">
        <v>45989</v>
      </c>
      <c r="Q62" s="248">
        <v>45989</v>
      </c>
      <c r="R62" s="246"/>
      <c r="S62" s="247">
        <v>0.1</v>
      </c>
      <c r="T62" s="247">
        <v>0.1</v>
      </c>
      <c r="U62" s="247">
        <v>1</v>
      </c>
      <c r="V62" s="247">
        <v>1</v>
      </c>
      <c r="W62" s="248"/>
      <c r="X62" s="248"/>
      <c r="Y62" s="265"/>
      <c r="Z62" s="266">
        <v>0</v>
      </c>
      <c r="AA62" s="247">
        <v>0.1</v>
      </c>
      <c r="AB62" s="246" t="s">
        <v>1717</v>
      </c>
      <c r="AC62" s="246" t="s">
        <v>2173</v>
      </c>
      <c r="AD62" s="240">
        <v>1</v>
      </c>
      <c r="AE62" s="304">
        <v>1</v>
      </c>
      <c r="AF62" s="296"/>
      <c r="AG62" s="297"/>
      <c r="AH62" s="297"/>
      <c r="AI62" s="297"/>
      <c r="AJ62" s="297"/>
      <c r="AK62" s="297"/>
      <c r="AL62" s="297"/>
      <c r="AM62" s="297"/>
      <c r="AN62" s="297"/>
      <c r="AO62" s="297"/>
      <c r="AP62" s="297"/>
      <c r="AQ62" s="297"/>
      <c r="AR62" s="297"/>
      <c r="AS62" s="297"/>
      <c r="AT62" s="297"/>
      <c r="AU62" s="297"/>
      <c r="AV62" s="297"/>
      <c r="AW62" s="297"/>
      <c r="AX62" s="297"/>
      <c r="AY62" s="297"/>
      <c r="AZ62" s="297"/>
      <c r="BA62" s="297"/>
      <c r="BB62" s="297"/>
      <c r="BC62" s="297"/>
      <c r="BD62" s="297"/>
      <c r="BE62" s="297"/>
      <c r="BF62" s="297"/>
      <c r="BG62" s="297"/>
      <c r="BH62" s="297"/>
      <c r="BI62" s="297"/>
      <c r="BJ62" s="297"/>
      <c r="BK62" s="297"/>
      <c r="BL62" s="297"/>
      <c r="BM62" s="297"/>
      <c r="BN62" s="297"/>
      <c r="BO62" s="297"/>
      <c r="BP62" s="297"/>
      <c r="BQ62" s="297"/>
      <c r="BR62" s="297"/>
      <c r="BS62" s="297"/>
      <c r="BT62" s="297" t="str">
        <f>"      " &amp; TEXT(AE62,"#0.00%") &amp; " " &amp; "40주차 주간보고" &amp; "(오승헌님)" &amp; " " &amp; IF(P62="","",TEXT(P62,"M/D-")) &amp; IF(Q62="","",TEXT(Q62,"M/D")) &amp; " "</f>
        <v xml:space="preserve">      100.00% 40주차 주간보고(오승헌님) 11/28-11/28 </v>
      </c>
      <c r="BU62" s="297"/>
      <c r="BV62" s="297"/>
      <c r="BW62" s="297"/>
      <c r="BX62" s="297"/>
      <c r="BY62" s="297"/>
      <c r="BZ62" s="297"/>
      <c r="CA62" s="297"/>
      <c r="CB62" s="297"/>
      <c r="CC62" s="297"/>
      <c r="CD62" s="297"/>
      <c r="CE62" s="297"/>
      <c r="CF62" s="297"/>
      <c r="CG62" s="297"/>
    </row>
    <row r="63" spans="1:85" ht="12" customHeight="1" outlineLevel="3">
      <c r="A63" s="288"/>
      <c r="B63" s="288"/>
      <c r="C63" s="288">
        <v>4</v>
      </c>
      <c r="D63" s="291" t="s">
        <v>1661</v>
      </c>
      <c r="E63" s="246"/>
      <c r="F63" s="246"/>
      <c r="G63" s="246"/>
      <c r="H63" s="246" t="s">
        <v>1599</v>
      </c>
      <c r="I63" s="246"/>
      <c r="J63" s="246"/>
      <c r="K63" s="246"/>
      <c r="L63" s="246"/>
      <c r="M63" s="246"/>
      <c r="N63" s="246"/>
      <c r="O63" s="246"/>
      <c r="P63" s="248">
        <v>45996</v>
      </c>
      <c r="Q63" s="248">
        <v>45996</v>
      </c>
      <c r="R63" s="246"/>
      <c r="S63" s="247">
        <v>0.1</v>
      </c>
      <c r="T63" s="247">
        <v>0.1</v>
      </c>
      <c r="U63" s="247">
        <v>1</v>
      </c>
      <c r="V63" s="247">
        <v>1</v>
      </c>
      <c r="W63" s="248"/>
      <c r="X63" s="248"/>
      <c r="Y63" s="265"/>
      <c r="Z63" s="266">
        <v>0</v>
      </c>
      <c r="AA63" s="247">
        <v>0.1</v>
      </c>
      <c r="AB63" s="246" t="s">
        <v>1717</v>
      </c>
      <c r="AC63" s="246" t="s">
        <v>2174</v>
      </c>
      <c r="AD63" s="240">
        <v>1</v>
      </c>
      <c r="AE63" s="304">
        <v>1</v>
      </c>
      <c r="AF63" s="296"/>
      <c r="AG63" s="297"/>
      <c r="AH63" s="297"/>
      <c r="AI63" s="297"/>
      <c r="AJ63" s="297"/>
      <c r="AK63" s="297"/>
      <c r="AL63" s="297"/>
      <c r="AM63" s="297"/>
      <c r="AN63" s="297"/>
      <c r="AO63" s="297"/>
      <c r="AP63" s="297"/>
      <c r="AQ63" s="297"/>
      <c r="AR63" s="297"/>
      <c r="AS63" s="297"/>
      <c r="AT63" s="297"/>
      <c r="AU63" s="297"/>
      <c r="AV63" s="297"/>
      <c r="AW63" s="297"/>
      <c r="AX63" s="297"/>
      <c r="AY63" s="297"/>
      <c r="AZ63" s="297"/>
      <c r="BA63" s="297"/>
      <c r="BB63" s="297"/>
      <c r="BC63" s="297"/>
      <c r="BD63" s="297"/>
      <c r="BE63" s="297"/>
      <c r="BF63" s="297"/>
      <c r="BG63" s="297"/>
      <c r="BH63" s="297"/>
      <c r="BI63" s="297"/>
      <c r="BJ63" s="297"/>
      <c r="BK63" s="297"/>
      <c r="BL63" s="297"/>
      <c r="BM63" s="297"/>
      <c r="BN63" s="297"/>
      <c r="BO63" s="297"/>
      <c r="BP63" s="297"/>
      <c r="BQ63" s="297"/>
      <c r="BR63" s="297"/>
      <c r="BS63" s="297"/>
      <c r="BT63" s="297"/>
      <c r="BU63" s="297" t="str">
        <f>"      " &amp; TEXT(AE63,"#0.00%") &amp; " " &amp; "41주차 주간보고" &amp; "(오승헌님)" &amp; " " &amp; IF(P63="","",TEXT(P63,"M/D-")) &amp; IF(Q63="","",TEXT(Q63,"M/D")) &amp; " "</f>
        <v xml:space="preserve">      100.00% 41주차 주간보고(오승헌님) 12/5-12/5 </v>
      </c>
      <c r="BV63" s="297"/>
      <c r="BW63" s="297"/>
      <c r="BX63" s="297"/>
      <c r="BY63" s="297"/>
      <c r="BZ63" s="297"/>
      <c r="CA63" s="297"/>
      <c r="CB63" s="297"/>
      <c r="CC63" s="297"/>
      <c r="CD63" s="297"/>
      <c r="CE63" s="297"/>
      <c r="CF63" s="297"/>
      <c r="CG63" s="297"/>
    </row>
    <row r="64" spans="1:85" ht="12" customHeight="1" outlineLevel="3">
      <c r="A64" s="288"/>
      <c r="B64" s="288"/>
      <c r="C64" s="288">
        <v>4</v>
      </c>
      <c r="D64" s="291" t="s">
        <v>1662</v>
      </c>
      <c r="E64" s="246"/>
      <c r="F64" s="246"/>
      <c r="G64" s="246"/>
      <c r="H64" s="246" t="s">
        <v>1600</v>
      </c>
      <c r="I64" s="246"/>
      <c r="J64" s="246"/>
      <c r="K64" s="246"/>
      <c r="L64" s="246"/>
      <c r="M64" s="246"/>
      <c r="N64" s="246"/>
      <c r="O64" s="246"/>
      <c r="P64" s="248">
        <v>46003</v>
      </c>
      <c r="Q64" s="248">
        <v>46003</v>
      </c>
      <c r="R64" s="246"/>
      <c r="S64" s="247">
        <v>0.1</v>
      </c>
      <c r="T64" s="247">
        <v>0.1</v>
      </c>
      <c r="U64" s="247">
        <v>1</v>
      </c>
      <c r="V64" s="247">
        <v>1</v>
      </c>
      <c r="W64" s="248"/>
      <c r="X64" s="248"/>
      <c r="Y64" s="265"/>
      <c r="Z64" s="266">
        <v>0</v>
      </c>
      <c r="AA64" s="247">
        <v>0.1</v>
      </c>
      <c r="AB64" s="246" t="s">
        <v>1717</v>
      </c>
      <c r="AC64" s="246" t="s">
        <v>2175</v>
      </c>
      <c r="AD64" s="240">
        <v>1</v>
      </c>
      <c r="AE64" s="304">
        <v>1</v>
      </c>
      <c r="AF64" s="296"/>
      <c r="AG64" s="297"/>
      <c r="AH64" s="297"/>
      <c r="AI64" s="297"/>
      <c r="AJ64" s="297"/>
      <c r="AK64" s="297"/>
      <c r="AL64" s="297"/>
      <c r="AM64" s="297"/>
      <c r="AN64" s="297"/>
      <c r="AO64" s="297"/>
      <c r="AP64" s="297"/>
      <c r="AQ64" s="297"/>
      <c r="AR64" s="297"/>
      <c r="AS64" s="297"/>
      <c r="AT64" s="297"/>
      <c r="AU64" s="297"/>
      <c r="AV64" s="297"/>
      <c r="AW64" s="297"/>
      <c r="AX64" s="297"/>
      <c r="AY64" s="297"/>
      <c r="AZ64" s="297"/>
      <c r="BA64" s="297"/>
      <c r="BB64" s="297"/>
      <c r="BC64" s="297"/>
      <c r="BD64" s="297"/>
      <c r="BE64" s="297"/>
      <c r="BF64" s="297"/>
      <c r="BG64" s="297"/>
      <c r="BH64" s="297"/>
      <c r="BI64" s="297"/>
      <c r="BJ64" s="297"/>
      <c r="BK64" s="297"/>
      <c r="BL64" s="297"/>
      <c r="BM64" s="297"/>
      <c r="BN64" s="297"/>
      <c r="BO64" s="297"/>
      <c r="BP64" s="297"/>
      <c r="BQ64" s="297"/>
      <c r="BR64" s="297"/>
      <c r="BS64" s="297"/>
      <c r="BT64" s="297"/>
      <c r="BU64" s="297"/>
      <c r="BV64" s="297" t="str">
        <f>"      " &amp; TEXT(AE64,"#0.00%") &amp; " " &amp; "42주차 주간보고" &amp; "(오승헌님)" &amp; " " &amp; IF(P64="","",TEXT(P64,"M/D-")) &amp; IF(Q64="","",TEXT(Q64,"M/D")) &amp; " "</f>
        <v xml:space="preserve">      100.00% 42주차 주간보고(오승헌님) 12/12-12/12 </v>
      </c>
      <c r="BW64" s="297"/>
      <c r="BX64" s="297"/>
      <c r="BY64" s="297"/>
      <c r="BZ64" s="297"/>
      <c r="CA64" s="297"/>
      <c r="CB64" s="297"/>
      <c r="CC64" s="297"/>
      <c r="CD64" s="297"/>
      <c r="CE64" s="297"/>
      <c r="CF64" s="297"/>
      <c r="CG64" s="297"/>
    </row>
    <row r="65" spans="1:85" ht="12" customHeight="1" outlineLevel="3">
      <c r="A65" s="288"/>
      <c r="B65" s="288"/>
      <c r="C65" s="288">
        <v>4</v>
      </c>
      <c r="D65" s="291" t="s">
        <v>1663</v>
      </c>
      <c r="E65" s="246"/>
      <c r="F65" s="246"/>
      <c r="G65" s="246"/>
      <c r="H65" s="246" t="s">
        <v>1601</v>
      </c>
      <c r="I65" s="246"/>
      <c r="J65" s="246"/>
      <c r="K65" s="246"/>
      <c r="L65" s="246"/>
      <c r="M65" s="246"/>
      <c r="N65" s="246"/>
      <c r="O65" s="246"/>
      <c r="P65" s="248">
        <v>46010</v>
      </c>
      <c r="Q65" s="248">
        <v>46010</v>
      </c>
      <c r="R65" s="246"/>
      <c r="S65" s="247">
        <v>0.1</v>
      </c>
      <c r="T65" s="247">
        <v>0.1</v>
      </c>
      <c r="U65" s="247">
        <v>1</v>
      </c>
      <c r="V65" s="247">
        <v>1</v>
      </c>
      <c r="W65" s="248"/>
      <c r="X65" s="248"/>
      <c r="Y65" s="265"/>
      <c r="Z65" s="266">
        <v>0</v>
      </c>
      <c r="AA65" s="247">
        <v>0.1</v>
      </c>
      <c r="AB65" s="246" t="s">
        <v>1717</v>
      </c>
      <c r="AC65" s="246" t="s">
        <v>2176</v>
      </c>
      <c r="AD65" s="240">
        <v>1</v>
      </c>
      <c r="AE65" s="304">
        <v>1</v>
      </c>
      <c r="AF65" s="296"/>
      <c r="AG65" s="297"/>
      <c r="AH65" s="297"/>
      <c r="AI65" s="297"/>
      <c r="AJ65" s="297"/>
      <c r="AK65" s="297"/>
      <c r="AL65" s="297"/>
      <c r="AM65" s="297"/>
      <c r="AN65" s="297"/>
      <c r="AO65" s="297"/>
      <c r="AP65" s="297"/>
      <c r="AQ65" s="297"/>
      <c r="AR65" s="297"/>
      <c r="AS65" s="297"/>
      <c r="AT65" s="297"/>
      <c r="AU65" s="297"/>
      <c r="AV65" s="297"/>
      <c r="AW65" s="297"/>
      <c r="AX65" s="297"/>
      <c r="AY65" s="297"/>
      <c r="AZ65" s="297"/>
      <c r="BA65" s="297"/>
      <c r="BB65" s="297"/>
      <c r="BC65" s="297"/>
      <c r="BD65" s="297"/>
      <c r="BE65" s="297"/>
      <c r="BF65" s="297"/>
      <c r="BG65" s="297"/>
      <c r="BH65" s="297"/>
      <c r="BI65" s="297"/>
      <c r="BJ65" s="297"/>
      <c r="BK65" s="297"/>
      <c r="BL65" s="297"/>
      <c r="BM65" s="297"/>
      <c r="BN65" s="297"/>
      <c r="BO65" s="297"/>
      <c r="BP65" s="297"/>
      <c r="BQ65" s="297"/>
      <c r="BR65" s="297"/>
      <c r="BS65" s="297"/>
      <c r="BT65" s="297"/>
      <c r="BU65" s="297"/>
      <c r="BV65" s="297"/>
      <c r="BW65" s="297" t="str">
        <f>"      " &amp; TEXT(AE65,"#0.00%") &amp; " " &amp; "43주차 주간보고" &amp; "(오승헌님)" &amp; " " &amp; IF(P65="","",TEXT(P65,"M/D-")) &amp; IF(Q65="","",TEXT(Q65,"M/D")) &amp; " "</f>
        <v xml:space="preserve">      100.00% 43주차 주간보고(오승헌님) 12/19-12/19 </v>
      </c>
      <c r="BX65" s="297"/>
      <c r="BY65" s="297"/>
      <c r="BZ65" s="297"/>
      <c r="CA65" s="297"/>
      <c r="CB65" s="297"/>
      <c r="CC65" s="297"/>
      <c r="CD65" s="297"/>
      <c r="CE65" s="297"/>
      <c r="CF65" s="297"/>
      <c r="CG65" s="297"/>
    </row>
    <row r="66" spans="1:85" ht="12" customHeight="1" outlineLevel="3">
      <c r="A66" s="288"/>
      <c r="B66" s="288"/>
      <c r="C66" s="288">
        <v>4</v>
      </c>
      <c r="D66" s="291" t="s">
        <v>1664</v>
      </c>
      <c r="E66" s="246"/>
      <c r="F66" s="246"/>
      <c r="G66" s="246"/>
      <c r="H66" s="246" t="s">
        <v>1602</v>
      </c>
      <c r="I66" s="246"/>
      <c r="J66" s="246"/>
      <c r="K66" s="246"/>
      <c r="L66" s="246"/>
      <c r="M66" s="246"/>
      <c r="N66" s="246"/>
      <c r="O66" s="246"/>
      <c r="P66" s="248">
        <v>46017</v>
      </c>
      <c r="Q66" s="248">
        <v>46017</v>
      </c>
      <c r="R66" s="246"/>
      <c r="S66" s="247">
        <v>0.1</v>
      </c>
      <c r="T66" s="247">
        <v>0.1</v>
      </c>
      <c r="U66" s="247">
        <v>1</v>
      </c>
      <c r="V66" s="247">
        <v>1</v>
      </c>
      <c r="W66" s="248"/>
      <c r="X66" s="248"/>
      <c r="Y66" s="265"/>
      <c r="Z66" s="266">
        <v>0</v>
      </c>
      <c r="AA66" s="247">
        <v>0.1</v>
      </c>
      <c r="AB66" s="246" t="s">
        <v>1717</v>
      </c>
      <c r="AC66" s="246" t="s">
        <v>2177</v>
      </c>
      <c r="AD66" s="240">
        <v>1</v>
      </c>
      <c r="AE66" s="304">
        <v>1</v>
      </c>
      <c r="AF66" s="296"/>
      <c r="AG66" s="297"/>
      <c r="AH66" s="297"/>
      <c r="AI66" s="297"/>
      <c r="AJ66" s="297"/>
      <c r="AK66" s="297"/>
      <c r="AL66" s="297"/>
      <c r="AM66" s="297"/>
      <c r="AN66" s="297"/>
      <c r="AO66" s="297"/>
      <c r="AP66" s="297"/>
      <c r="AQ66" s="297"/>
      <c r="AR66" s="297"/>
      <c r="AS66" s="297"/>
      <c r="AT66" s="297"/>
      <c r="AU66" s="297"/>
      <c r="AV66" s="297"/>
      <c r="AW66" s="297"/>
      <c r="AX66" s="297"/>
      <c r="AY66" s="297"/>
      <c r="AZ66" s="297"/>
      <c r="BA66" s="297"/>
      <c r="BB66" s="297"/>
      <c r="BC66" s="297"/>
      <c r="BD66" s="297"/>
      <c r="BE66" s="297"/>
      <c r="BF66" s="297"/>
      <c r="BG66" s="297"/>
      <c r="BH66" s="297"/>
      <c r="BI66" s="297"/>
      <c r="BJ66" s="297"/>
      <c r="BK66" s="297"/>
      <c r="BL66" s="297"/>
      <c r="BM66" s="297"/>
      <c r="BN66" s="297"/>
      <c r="BO66" s="297"/>
      <c r="BP66" s="297"/>
      <c r="BQ66" s="297"/>
      <c r="BR66" s="297"/>
      <c r="BS66" s="297"/>
      <c r="BT66" s="297"/>
      <c r="BU66" s="297"/>
      <c r="BV66" s="297"/>
      <c r="BW66" s="297"/>
      <c r="BX66" s="297" t="str">
        <f>"      " &amp; TEXT(AE66,"#0.00%") &amp; " " &amp; "44주차 주간보고" &amp; "(오승헌님)" &amp; " " &amp; IF(P66="","",TEXT(P66,"M/D-")) &amp; IF(Q66="","",TEXT(Q66,"M/D")) &amp; " "</f>
        <v xml:space="preserve">      100.00% 44주차 주간보고(오승헌님) 12/26-12/26 </v>
      </c>
      <c r="BY66" s="297"/>
      <c r="BZ66" s="297"/>
      <c r="CA66" s="297"/>
      <c r="CB66" s="297"/>
      <c r="CC66" s="297"/>
      <c r="CD66" s="297"/>
      <c r="CE66" s="297"/>
      <c r="CF66" s="297"/>
      <c r="CG66" s="297"/>
    </row>
    <row r="67" spans="1:85" ht="12" customHeight="1" outlineLevel="3">
      <c r="A67" s="288"/>
      <c r="B67" s="288"/>
      <c r="C67" s="288">
        <v>4</v>
      </c>
      <c r="D67" s="291" t="s">
        <v>1665</v>
      </c>
      <c r="E67" s="246"/>
      <c r="F67" s="246"/>
      <c r="G67" s="246"/>
      <c r="H67" s="246" t="s">
        <v>1603</v>
      </c>
      <c r="I67" s="246"/>
      <c r="J67" s="246"/>
      <c r="K67" s="246"/>
      <c r="L67" s="246"/>
      <c r="M67" s="246"/>
      <c r="N67" s="246"/>
      <c r="O67" s="246"/>
      <c r="P67" s="248">
        <v>46024</v>
      </c>
      <c r="Q67" s="248">
        <v>46024</v>
      </c>
      <c r="R67" s="246"/>
      <c r="S67" s="247">
        <v>0.1</v>
      </c>
      <c r="T67" s="247">
        <v>0.1</v>
      </c>
      <c r="U67" s="247">
        <v>1</v>
      </c>
      <c r="V67" s="247">
        <v>1</v>
      </c>
      <c r="W67" s="248"/>
      <c r="X67" s="248"/>
      <c r="Y67" s="265"/>
      <c r="Z67" s="266">
        <v>0</v>
      </c>
      <c r="AA67" s="247">
        <v>0.1</v>
      </c>
      <c r="AB67" s="246" t="s">
        <v>1717</v>
      </c>
      <c r="AC67" s="246" t="s">
        <v>2178</v>
      </c>
      <c r="AD67" s="240">
        <v>1</v>
      </c>
      <c r="AE67" s="304">
        <v>1</v>
      </c>
      <c r="AF67" s="296"/>
      <c r="AG67" s="297"/>
      <c r="AH67" s="297"/>
      <c r="AI67" s="297"/>
      <c r="AJ67" s="297"/>
      <c r="AK67" s="297"/>
      <c r="AL67" s="297"/>
      <c r="AM67" s="297"/>
      <c r="AN67" s="297"/>
      <c r="AO67" s="297"/>
      <c r="AP67" s="297"/>
      <c r="AQ67" s="297"/>
      <c r="AR67" s="297"/>
      <c r="AS67" s="297"/>
      <c r="AT67" s="297"/>
      <c r="AU67" s="297"/>
      <c r="AV67" s="297"/>
      <c r="AW67" s="297"/>
      <c r="AX67" s="297"/>
      <c r="AY67" s="297"/>
      <c r="AZ67" s="297"/>
      <c r="BA67" s="297"/>
      <c r="BB67" s="297"/>
      <c r="BC67" s="297"/>
      <c r="BD67" s="297"/>
      <c r="BE67" s="297"/>
      <c r="BF67" s="297"/>
      <c r="BG67" s="297"/>
      <c r="BH67" s="297"/>
      <c r="BI67" s="297"/>
      <c r="BJ67" s="297"/>
      <c r="BK67" s="297"/>
      <c r="BL67" s="297"/>
      <c r="BM67" s="297"/>
      <c r="BN67" s="297"/>
      <c r="BO67" s="297"/>
      <c r="BP67" s="297"/>
      <c r="BQ67" s="297"/>
      <c r="BR67" s="297"/>
      <c r="BS67" s="297"/>
      <c r="BT67" s="297"/>
      <c r="BU67" s="297"/>
      <c r="BV67" s="297"/>
      <c r="BW67" s="297"/>
      <c r="BX67" s="297"/>
      <c r="BY67" s="297" t="str">
        <f>"      " &amp; TEXT(AE67,"#0.00%") &amp; " " &amp; "45주차 주간보고" &amp; "(오승헌님)" &amp; " " &amp; IF(P67="","",TEXT(P67,"M/D-")) &amp; IF(Q67="","",TEXT(Q67,"M/D")) &amp; " "</f>
        <v xml:space="preserve">      100.00% 45주차 주간보고(오승헌님) 1/2-1/2 </v>
      </c>
      <c r="BZ67" s="297"/>
      <c r="CA67" s="297"/>
      <c r="CB67" s="297"/>
      <c r="CC67" s="297"/>
      <c r="CD67" s="297"/>
      <c r="CE67" s="297"/>
      <c r="CF67" s="297"/>
      <c r="CG67" s="297"/>
    </row>
    <row r="68" spans="1:85" ht="12" customHeight="1" outlineLevel="3">
      <c r="A68" s="288"/>
      <c r="B68" s="288"/>
      <c r="C68" s="288">
        <v>4</v>
      </c>
      <c r="D68" s="291" t="s">
        <v>1666</v>
      </c>
      <c r="E68" s="246"/>
      <c r="F68" s="246"/>
      <c r="G68" s="246"/>
      <c r="H68" s="246" t="s">
        <v>1604</v>
      </c>
      <c r="I68" s="246"/>
      <c r="J68" s="246"/>
      <c r="K68" s="246"/>
      <c r="L68" s="246"/>
      <c r="M68" s="246"/>
      <c r="N68" s="246"/>
      <c r="O68" s="246"/>
      <c r="P68" s="248">
        <v>46031</v>
      </c>
      <c r="Q68" s="248">
        <v>46031</v>
      </c>
      <c r="R68" s="246"/>
      <c r="S68" s="247">
        <v>0.1</v>
      </c>
      <c r="T68" s="247">
        <v>0.1</v>
      </c>
      <c r="U68" s="247">
        <v>1</v>
      </c>
      <c r="V68" s="247">
        <v>1</v>
      </c>
      <c r="W68" s="248"/>
      <c r="X68" s="248"/>
      <c r="Y68" s="265"/>
      <c r="Z68" s="266">
        <v>0</v>
      </c>
      <c r="AA68" s="247">
        <v>0.1</v>
      </c>
      <c r="AB68" s="246" t="s">
        <v>1717</v>
      </c>
      <c r="AC68" s="246" t="s">
        <v>2179</v>
      </c>
      <c r="AD68" s="240">
        <v>1</v>
      </c>
      <c r="AE68" s="304">
        <v>1</v>
      </c>
      <c r="AF68" s="296"/>
      <c r="AG68" s="297"/>
      <c r="AH68" s="297"/>
      <c r="AI68" s="297"/>
      <c r="AJ68" s="297"/>
      <c r="AK68" s="297"/>
      <c r="AL68" s="297"/>
      <c r="AM68" s="297"/>
      <c r="AN68" s="297"/>
      <c r="AO68" s="297"/>
      <c r="AP68" s="297"/>
      <c r="AQ68" s="297"/>
      <c r="AR68" s="297"/>
      <c r="AS68" s="297"/>
      <c r="AT68" s="297"/>
      <c r="AU68" s="297"/>
      <c r="AV68" s="297"/>
      <c r="AW68" s="297"/>
      <c r="AX68" s="297"/>
      <c r="AY68" s="297"/>
      <c r="AZ68" s="297"/>
      <c r="BA68" s="297"/>
      <c r="BB68" s="297"/>
      <c r="BC68" s="297"/>
      <c r="BD68" s="297"/>
      <c r="BE68" s="297"/>
      <c r="BF68" s="297"/>
      <c r="BG68" s="297"/>
      <c r="BH68" s="297"/>
      <c r="BI68" s="297"/>
      <c r="BJ68" s="297"/>
      <c r="BK68" s="297"/>
      <c r="BL68" s="297"/>
      <c r="BM68" s="297"/>
      <c r="BN68" s="297"/>
      <c r="BO68" s="297"/>
      <c r="BP68" s="297"/>
      <c r="BQ68" s="297"/>
      <c r="BR68" s="297"/>
      <c r="BS68" s="297"/>
      <c r="BT68" s="297"/>
      <c r="BU68" s="297"/>
      <c r="BV68" s="297"/>
      <c r="BW68" s="297"/>
      <c r="BX68" s="297"/>
      <c r="BY68" s="297"/>
      <c r="BZ68" s="297" t="str">
        <f>"      " &amp; TEXT(AE68,"#0.00%") &amp; " " &amp; "46주차 주간보고" &amp; "(오승헌님)" &amp; " " &amp; IF(P68="","",TEXT(P68,"M/D-")) &amp; IF(Q68="","",TEXT(Q68,"M/D")) &amp; " "</f>
        <v xml:space="preserve">      100.00% 46주차 주간보고(오승헌님) 1/9-1/9 </v>
      </c>
      <c r="CA68" s="297"/>
      <c r="CB68" s="297"/>
      <c r="CC68" s="297"/>
      <c r="CD68" s="297"/>
      <c r="CE68" s="297"/>
      <c r="CF68" s="297"/>
      <c r="CG68" s="297"/>
    </row>
    <row r="69" spans="1:85" ht="12" customHeight="1" outlineLevel="3">
      <c r="A69" s="288"/>
      <c r="B69" s="288"/>
      <c r="C69" s="288">
        <v>4</v>
      </c>
      <c r="D69" s="291" t="s">
        <v>1667</v>
      </c>
      <c r="E69" s="246"/>
      <c r="F69" s="246"/>
      <c r="G69" s="246"/>
      <c r="H69" s="246" t="s">
        <v>1605</v>
      </c>
      <c r="I69" s="246"/>
      <c r="J69" s="246"/>
      <c r="K69" s="246"/>
      <c r="L69" s="246"/>
      <c r="M69" s="246"/>
      <c r="N69" s="246"/>
      <c r="O69" s="246"/>
      <c r="P69" s="248">
        <v>46038</v>
      </c>
      <c r="Q69" s="248">
        <v>46038</v>
      </c>
      <c r="R69" s="246"/>
      <c r="S69" s="247">
        <v>0.1</v>
      </c>
      <c r="T69" s="247">
        <v>0.1</v>
      </c>
      <c r="U69" s="247">
        <v>1</v>
      </c>
      <c r="V69" s="247">
        <v>1</v>
      </c>
      <c r="W69" s="248"/>
      <c r="X69" s="248"/>
      <c r="Y69" s="265"/>
      <c r="Z69" s="266">
        <v>0</v>
      </c>
      <c r="AA69" s="247">
        <v>0.1</v>
      </c>
      <c r="AB69" s="246" t="s">
        <v>1717</v>
      </c>
      <c r="AC69" s="246" t="s">
        <v>2180</v>
      </c>
      <c r="AD69" s="240">
        <v>1</v>
      </c>
      <c r="AE69" s="304">
        <v>1</v>
      </c>
      <c r="AF69" s="296"/>
      <c r="AG69" s="297"/>
      <c r="AH69" s="297"/>
      <c r="AI69" s="297"/>
      <c r="AJ69" s="297"/>
      <c r="AK69" s="297"/>
      <c r="AL69" s="297"/>
      <c r="AM69" s="297"/>
      <c r="AN69" s="297"/>
      <c r="AO69" s="297"/>
      <c r="AP69" s="297"/>
      <c r="AQ69" s="297"/>
      <c r="AR69" s="297"/>
      <c r="AS69" s="297"/>
      <c r="AT69" s="297"/>
      <c r="AU69" s="297"/>
      <c r="AV69" s="297"/>
      <c r="AW69" s="297"/>
      <c r="AX69" s="297"/>
      <c r="AY69" s="297"/>
      <c r="AZ69" s="297"/>
      <c r="BA69" s="297"/>
      <c r="BB69" s="297"/>
      <c r="BC69" s="297"/>
      <c r="BD69" s="297"/>
      <c r="BE69" s="297"/>
      <c r="BF69" s="297"/>
      <c r="BG69" s="297"/>
      <c r="BH69" s="297"/>
      <c r="BI69" s="297"/>
      <c r="BJ69" s="297"/>
      <c r="BK69" s="297"/>
      <c r="BL69" s="297"/>
      <c r="BM69" s="297"/>
      <c r="BN69" s="297"/>
      <c r="BO69" s="297"/>
      <c r="BP69" s="297"/>
      <c r="BQ69" s="297"/>
      <c r="BR69" s="297"/>
      <c r="BS69" s="297"/>
      <c r="BT69" s="297"/>
      <c r="BU69" s="297"/>
      <c r="BV69" s="297"/>
      <c r="BW69" s="297"/>
      <c r="BX69" s="297"/>
      <c r="BY69" s="297"/>
      <c r="BZ69" s="297"/>
      <c r="CA69" s="297" t="str">
        <f>"      " &amp; TEXT(AE69,"#0.00%") &amp; " " &amp; "47주차 주간보고" &amp; "(오승헌님)" &amp; " " &amp; IF(P69="","",TEXT(P69,"M/D-")) &amp; IF(Q69="","",TEXT(Q69,"M/D")) &amp; " "</f>
        <v xml:space="preserve">      100.00% 47주차 주간보고(오승헌님) 1/16-1/16 </v>
      </c>
      <c r="CB69" s="297"/>
      <c r="CC69" s="297"/>
      <c r="CD69" s="297"/>
      <c r="CE69" s="297"/>
      <c r="CF69" s="297"/>
      <c r="CG69" s="297"/>
    </row>
    <row r="70" spans="1:85" ht="12" customHeight="1" outlineLevel="3">
      <c r="A70" s="288"/>
      <c r="B70" s="288"/>
      <c r="C70" s="288">
        <v>4</v>
      </c>
      <c r="D70" s="291" t="s">
        <v>1668</v>
      </c>
      <c r="E70" s="246"/>
      <c r="F70" s="246"/>
      <c r="G70" s="246"/>
      <c r="H70" s="246" t="s">
        <v>1606</v>
      </c>
      <c r="I70" s="246"/>
      <c r="J70" s="246"/>
      <c r="K70" s="246"/>
      <c r="L70" s="246"/>
      <c r="M70" s="246"/>
      <c r="N70" s="246"/>
      <c r="O70" s="246"/>
      <c r="P70" s="248">
        <v>46045</v>
      </c>
      <c r="Q70" s="248">
        <v>46045</v>
      </c>
      <c r="R70" s="246"/>
      <c r="S70" s="247">
        <v>0.1</v>
      </c>
      <c r="T70" s="247">
        <v>0.1</v>
      </c>
      <c r="U70" s="247">
        <v>1</v>
      </c>
      <c r="V70" s="247">
        <v>1</v>
      </c>
      <c r="W70" s="248"/>
      <c r="X70" s="248"/>
      <c r="Y70" s="265"/>
      <c r="Z70" s="266">
        <v>0</v>
      </c>
      <c r="AA70" s="247">
        <v>0.1</v>
      </c>
      <c r="AB70" s="246" t="s">
        <v>1717</v>
      </c>
      <c r="AC70" s="246" t="s">
        <v>2181</v>
      </c>
      <c r="AD70" s="240">
        <v>1</v>
      </c>
      <c r="AE70" s="304">
        <v>1</v>
      </c>
      <c r="AF70" s="296"/>
      <c r="AG70" s="297"/>
      <c r="AH70" s="297"/>
      <c r="AI70" s="297"/>
      <c r="AJ70" s="297"/>
      <c r="AK70" s="297"/>
      <c r="AL70" s="297"/>
      <c r="AM70" s="297"/>
      <c r="AN70" s="297"/>
      <c r="AO70" s="297"/>
      <c r="AP70" s="297"/>
      <c r="AQ70" s="297"/>
      <c r="AR70" s="297"/>
      <c r="AS70" s="297"/>
      <c r="AT70" s="297"/>
      <c r="AU70" s="297"/>
      <c r="AV70" s="297"/>
      <c r="AW70" s="297"/>
      <c r="AX70" s="297"/>
      <c r="AY70" s="297"/>
      <c r="AZ70" s="297"/>
      <c r="BA70" s="297"/>
      <c r="BB70" s="297"/>
      <c r="BC70" s="297"/>
      <c r="BD70" s="297"/>
      <c r="BE70" s="297"/>
      <c r="BF70" s="297"/>
      <c r="BG70" s="297"/>
      <c r="BH70" s="297"/>
      <c r="BI70" s="297"/>
      <c r="BJ70" s="297"/>
      <c r="BK70" s="297"/>
      <c r="BL70" s="297"/>
      <c r="BM70" s="297"/>
      <c r="BN70" s="297"/>
      <c r="BO70" s="297"/>
      <c r="BP70" s="297"/>
      <c r="BQ70" s="297"/>
      <c r="BR70" s="297"/>
      <c r="BS70" s="297"/>
      <c r="BT70" s="297"/>
      <c r="BU70" s="297"/>
      <c r="BV70" s="297"/>
      <c r="BW70" s="297"/>
      <c r="BX70" s="297"/>
      <c r="BY70" s="297"/>
      <c r="BZ70" s="297"/>
      <c r="CA70" s="297"/>
      <c r="CB70" s="297" t="str">
        <f>"      " &amp; TEXT(AE70,"#0.00%") &amp; " " &amp; "48주차 주간보고" &amp; "(오승헌님)" &amp; " " &amp; IF(P70="","",TEXT(P70,"M/D-")) &amp; IF(Q70="","",TEXT(Q70,"M/D")) &amp; " "</f>
        <v xml:space="preserve">      100.00% 48주차 주간보고(오승헌님) 1/23-1/23 </v>
      </c>
      <c r="CC70" s="297"/>
      <c r="CD70" s="297"/>
      <c r="CE70" s="297"/>
      <c r="CF70" s="297"/>
      <c r="CG70" s="297"/>
    </row>
    <row r="71" spans="1:85" ht="12" customHeight="1" outlineLevel="3">
      <c r="A71" s="288"/>
      <c r="B71" s="288"/>
      <c r="C71" s="288">
        <v>4</v>
      </c>
      <c r="D71" s="291" t="s">
        <v>1669</v>
      </c>
      <c r="E71" s="246"/>
      <c r="F71" s="246"/>
      <c r="G71" s="246"/>
      <c r="H71" s="246" t="s">
        <v>1607</v>
      </c>
      <c r="I71" s="246"/>
      <c r="J71" s="246"/>
      <c r="K71" s="246"/>
      <c r="L71" s="246"/>
      <c r="M71" s="246"/>
      <c r="N71" s="246"/>
      <c r="O71" s="246"/>
      <c r="P71" s="248">
        <v>46052</v>
      </c>
      <c r="Q71" s="248">
        <v>46052</v>
      </c>
      <c r="R71" s="246"/>
      <c r="S71" s="247">
        <v>0.1</v>
      </c>
      <c r="T71" s="247">
        <v>0.1</v>
      </c>
      <c r="U71" s="247">
        <v>1</v>
      </c>
      <c r="V71" s="247">
        <v>1</v>
      </c>
      <c r="W71" s="248"/>
      <c r="X71" s="248"/>
      <c r="Y71" s="265"/>
      <c r="Z71" s="266">
        <v>0</v>
      </c>
      <c r="AA71" s="247">
        <v>0.1</v>
      </c>
      <c r="AB71" s="246" t="s">
        <v>1717</v>
      </c>
      <c r="AC71" s="246" t="s">
        <v>2182</v>
      </c>
      <c r="AD71" s="240">
        <v>1</v>
      </c>
      <c r="AE71" s="304">
        <v>1</v>
      </c>
      <c r="AF71" s="296"/>
      <c r="AG71" s="297"/>
      <c r="AH71" s="297"/>
      <c r="AI71" s="297"/>
      <c r="AJ71" s="297"/>
      <c r="AK71" s="297"/>
      <c r="AL71" s="297"/>
      <c r="AM71" s="297"/>
      <c r="AN71" s="297"/>
      <c r="AO71" s="297"/>
      <c r="AP71" s="297"/>
      <c r="AQ71" s="297"/>
      <c r="AR71" s="297"/>
      <c r="AS71" s="297"/>
      <c r="AT71" s="297"/>
      <c r="AU71" s="297"/>
      <c r="AV71" s="297"/>
      <c r="AW71" s="297"/>
      <c r="AX71" s="297"/>
      <c r="AY71" s="297"/>
      <c r="AZ71" s="297"/>
      <c r="BA71" s="297"/>
      <c r="BB71" s="297"/>
      <c r="BC71" s="297"/>
      <c r="BD71" s="297"/>
      <c r="BE71" s="297"/>
      <c r="BF71" s="297"/>
      <c r="BG71" s="297"/>
      <c r="BH71" s="297"/>
      <c r="BI71" s="297"/>
      <c r="BJ71" s="297"/>
      <c r="BK71" s="297"/>
      <c r="BL71" s="297"/>
      <c r="BM71" s="297"/>
      <c r="BN71" s="297"/>
      <c r="BO71" s="297"/>
      <c r="BP71" s="297"/>
      <c r="BQ71" s="297"/>
      <c r="BR71" s="297"/>
      <c r="BS71" s="297"/>
      <c r="BT71" s="297"/>
      <c r="BU71" s="297"/>
      <c r="BV71" s="297"/>
      <c r="BW71" s="297"/>
      <c r="BX71" s="297"/>
      <c r="BY71" s="297"/>
      <c r="BZ71" s="297"/>
      <c r="CA71" s="297"/>
      <c r="CB71" s="297"/>
      <c r="CC71" s="297" t="str">
        <f>"      " &amp; TEXT(AE71,"#0.00%") &amp; " " &amp; "49주차 주간보고" &amp; "(오승헌님)" &amp; " " &amp; IF(P71="","",TEXT(P71,"M/D-")) &amp; IF(Q71="","",TEXT(Q71,"M/D")) &amp; " "</f>
        <v xml:space="preserve">      100.00% 49주차 주간보고(오승헌님) 1/30-1/30 </v>
      </c>
      <c r="CD71" s="297"/>
      <c r="CE71" s="297"/>
      <c r="CF71" s="297"/>
      <c r="CG71" s="297"/>
    </row>
    <row r="72" spans="1:85" ht="12" customHeight="1" outlineLevel="3">
      <c r="A72" s="288"/>
      <c r="B72" s="288"/>
      <c r="C72" s="288">
        <v>4</v>
      </c>
      <c r="D72" s="291" t="s">
        <v>1670</v>
      </c>
      <c r="E72" s="246"/>
      <c r="F72" s="246"/>
      <c r="G72" s="246"/>
      <c r="H72" s="246" t="s">
        <v>1608</v>
      </c>
      <c r="I72" s="246"/>
      <c r="J72" s="246"/>
      <c r="K72" s="246"/>
      <c r="L72" s="246"/>
      <c r="M72" s="246"/>
      <c r="N72" s="246"/>
      <c r="O72" s="246"/>
      <c r="P72" s="248">
        <v>46059</v>
      </c>
      <c r="Q72" s="248">
        <v>46059</v>
      </c>
      <c r="R72" s="246"/>
      <c r="S72" s="247">
        <v>0.1</v>
      </c>
      <c r="T72" s="247">
        <v>0.1</v>
      </c>
      <c r="U72" s="247">
        <v>1</v>
      </c>
      <c r="V72" s="247">
        <v>1</v>
      </c>
      <c r="W72" s="248"/>
      <c r="X72" s="248"/>
      <c r="Y72" s="265"/>
      <c r="Z72" s="266">
        <v>0</v>
      </c>
      <c r="AA72" s="247">
        <v>0.1</v>
      </c>
      <c r="AB72" s="246" t="s">
        <v>1717</v>
      </c>
      <c r="AC72" s="246" t="s">
        <v>2183</v>
      </c>
      <c r="AD72" s="240">
        <v>1</v>
      </c>
      <c r="AE72" s="304">
        <v>1</v>
      </c>
      <c r="AF72" s="296"/>
      <c r="AG72" s="297"/>
      <c r="AH72" s="297"/>
      <c r="AI72" s="297"/>
      <c r="AJ72" s="297"/>
      <c r="AK72" s="297"/>
      <c r="AL72" s="297"/>
      <c r="AM72" s="297"/>
      <c r="AN72" s="297"/>
      <c r="AO72" s="297"/>
      <c r="AP72" s="297"/>
      <c r="AQ72" s="297"/>
      <c r="AR72" s="297"/>
      <c r="AS72" s="297"/>
      <c r="AT72" s="297"/>
      <c r="AU72" s="297"/>
      <c r="AV72" s="297"/>
      <c r="AW72" s="297"/>
      <c r="AX72" s="297"/>
      <c r="AY72" s="297"/>
      <c r="AZ72" s="297"/>
      <c r="BA72" s="297"/>
      <c r="BB72" s="297"/>
      <c r="BC72" s="297"/>
      <c r="BD72" s="297"/>
      <c r="BE72" s="297"/>
      <c r="BF72" s="297"/>
      <c r="BG72" s="297"/>
      <c r="BH72" s="297"/>
      <c r="BI72" s="297"/>
      <c r="BJ72" s="297"/>
      <c r="BK72" s="297"/>
      <c r="BL72" s="297"/>
      <c r="BM72" s="297"/>
      <c r="BN72" s="297"/>
      <c r="BO72" s="297"/>
      <c r="BP72" s="297"/>
      <c r="BQ72" s="297"/>
      <c r="BR72" s="297"/>
      <c r="BS72" s="297"/>
      <c r="BT72" s="297"/>
      <c r="BU72" s="297"/>
      <c r="BV72" s="297"/>
      <c r="BW72" s="297"/>
      <c r="BX72" s="297"/>
      <c r="BY72" s="297"/>
      <c r="BZ72" s="297"/>
      <c r="CA72" s="297"/>
      <c r="CB72" s="297"/>
      <c r="CC72" s="297"/>
      <c r="CD72" s="297" t="str">
        <f>"      " &amp; TEXT(AE72,"#0.00%") &amp; " " &amp; "50주차 주간보고" &amp; "(오승헌님)" &amp; " " &amp; IF(P72="","",TEXT(P72,"M/D-")) &amp; IF(Q72="","",TEXT(Q72,"M/D")) &amp; " "</f>
        <v xml:space="preserve">      100.00% 50주차 주간보고(오승헌님) 2/6-2/6 </v>
      </c>
      <c r="CE72" s="297"/>
      <c r="CF72" s="297"/>
      <c r="CG72" s="297"/>
    </row>
    <row r="73" spans="1:85" ht="12" customHeight="1" outlineLevel="2">
      <c r="A73" s="288"/>
      <c r="B73" s="288" t="s">
        <v>2334</v>
      </c>
      <c r="C73" s="288">
        <v>3</v>
      </c>
      <c r="D73" s="291" t="s">
        <v>1445</v>
      </c>
      <c r="E73" s="246"/>
      <c r="F73" s="246"/>
      <c r="G73" s="246" t="s">
        <v>1538</v>
      </c>
      <c r="H73" s="246"/>
      <c r="I73" s="246"/>
      <c r="J73" s="246"/>
      <c r="K73" s="246"/>
      <c r="L73" s="246"/>
      <c r="M73" s="246"/>
      <c r="N73" s="246"/>
      <c r="O73" s="246"/>
      <c r="P73" s="248">
        <v>45762</v>
      </c>
      <c r="Q73" s="248">
        <v>46007</v>
      </c>
      <c r="R73" s="246"/>
      <c r="S73" s="247">
        <v>9.5</v>
      </c>
      <c r="T73" s="247">
        <v>9.5</v>
      </c>
      <c r="U73" s="247">
        <v>166</v>
      </c>
      <c r="V73" s="247">
        <v>166</v>
      </c>
      <c r="W73" s="248"/>
      <c r="X73" s="248"/>
      <c r="Y73" s="265">
        <v>0</v>
      </c>
      <c r="Z73" s="266">
        <v>0</v>
      </c>
      <c r="AA73" s="247"/>
      <c r="AB73" s="246"/>
      <c r="AC73" s="263"/>
      <c r="AD73" s="240">
        <v>1</v>
      </c>
      <c r="AE73" s="241">
        <v>1</v>
      </c>
      <c r="AF73" s="296"/>
      <c r="AG73" s="297"/>
      <c r="AH73" s="297"/>
      <c r="AI73" s="297"/>
      <c r="AJ73" s="297"/>
      <c r="AK73" s="297"/>
      <c r="AL73" s="297"/>
      <c r="AM73" s="297"/>
      <c r="AN73" s="297"/>
      <c r="AO73" s="297"/>
      <c r="AP73" s="297"/>
      <c r="AQ73" s="297"/>
      <c r="AR73" s="297"/>
      <c r="AS73" s="297"/>
      <c r="AT73" s="297"/>
      <c r="AU73" s="297"/>
      <c r="AV73" s="297"/>
      <c r="AW73" s="297"/>
      <c r="AX73" s="297"/>
      <c r="AY73" s="297"/>
      <c r="AZ73" s="297"/>
      <c r="BA73" s="297"/>
      <c r="BB73" s="297"/>
      <c r="BC73" s="297"/>
      <c r="BD73" s="297"/>
      <c r="BE73" s="297"/>
      <c r="BF73" s="297"/>
      <c r="BG73" s="297"/>
      <c r="BH73" s="297"/>
      <c r="BI73" s="297"/>
      <c r="BJ73" s="297"/>
      <c r="BK73" s="297"/>
      <c r="BL73" s="297"/>
      <c r="BM73" s="297"/>
      <c r="BN73" s="297"/>
      <c r="BO73" s="297"/>
      <c r="BP73" s="297"/>
      <c r="BQ73" s="297"/>
      <c r="BR73" s="297"/>
      <c r="BS73" s="297"/>
      <c r="BT73" s="297"/>
      <c r="BU73" s="297"/>
      <c r="BV73" s="297"/>
      <c r="BW73" s="297" t="str">
        <f>"   " &amp; TEXT(AE73,"#0.00%") &amp; " " &amp; "워크샵" &amp; " " &amp; IF(P73="","",TEXT(P73,"M/D-")) &amp; IF(Q73="","",TEXT(Q73,"M/D")) &amp; " "</f>
        <v xml:space="preserve">   100.00% 워크샵 4/15-12/16 </v>
      </c>
      <c r="BX73" s="297"/>
      <c r="BY73" s="297"/>
      <c r="BZ73" s="297"/>
      <c r="CA73" s="297"/>
      <c r="CB73" s="297"/>
      <c r="CC73" s="297"/>
      <c r="CD73" s="297"/>
      <c r="CE73" s="297"/>
      <c r="CF73" s="297"/>
      <c r="CG73" s="297"/>
    </row>
    <row r="74" spans="1:85" ht="12" customHeight="1" outlineLevel="3">
      <c r="A74" s="288"/>
      <c r="B74" s="288"/>
      <c r="C74" s="288">
        <v>4</v>
      </c>
      <c r="D74" s="291" t="s">
        <v>1671</v>
      </c>
      <c r="E74" s="246"/>
      <c r="F74" s="246"/>
      <c r="G74" s="246"/>
      <c r="H74" s="246" t="s">
        <v>1539</v>
      </c>
      <c r="I74" s="246"/>
      <c r="J74" s="246"/>
      <c r="K74" s="246"/>
      <c r="L74" s="246"/>
      <c r="M74" s="246"/>
      <c r="N74" s="246"/>
      <c r="O74" s="246"/>
      <c r="P74" s="248">
        <v>45762</v>
      </c>
      <c r="Q74" s="248">
        <v>45785</v>
      </c>
      <c r="R74" s="246"/>
      <c r="S74" s="247">
        <v>8</v>
      </c>
      <c r="T74" s="247">
        <v>8</v>
      </c>
      <c r="U74" s="247">
        <v>16</v>
      </c>
      <c r="V74" s="247">
        <v>16</v>
      </c>
      <c r="W74" s="248"/>
      <c r="X74" s="248"/>
      <c r="Y74" s="265"/>
      <c r="Z74" s="266">
        <v>0</v>
      </c>
      <c r="AA74" s="247">
        <v>0.5</v>
      </c>
      <c r="AB74" s="246" t="s">
        <v>1717</v>
      </c>
      <c r="AC74" s="315" t="s">
        <v>2190</v>
      </c>
      <c r="AD74" s="240">
        <v>1</v>
      </c>
      <c r="AE74" s="330">
        <v>1</v>
      </c>
      <c r="AF74" s="296"/>
      <c r="AG74" s="297"/>
      <c r="AH74" s="297"/>
      <c r="AI74" s="297"/>
      <c r="AJ74" s="297"/>
      <c r="AK74" s="297"/>
      <c r="AL74" s="297"/>
      <c r="AM74" s="297"/>
      <c r="AN74" s="297"/>
      <c r="AO74" s="297"/>
      <c r="AP74" s="297"/>
      <c r="AQ74" s="297" t="str">
        <f>"     " &amp; TEXT(AE74,"#0.00%") &amp; " " &amp; "분석/설계 단계" &amp; "(오승헌님)" &amp; " " &amp; IF(P74="","",TEXT(P74,"M/D-")) &amp; IF(Q74="","",TEXT(Q74,"M/D")) &amp; " "</f>
        <v xml:space="preserve">     100.00% 분석/설계 단계(오승헌님) 4/15-5/8 </v>
      </c>
      <c r="AR74" s="297"/>
      <c r="AS74" s="297"/>
      <c r="AT74" s="297"/>
      <c r="AU74" s="297"/>
      <c r="AV74" s="297"/>
      <c r="AW74" s="297"/>
      <c r="AX74" s="297"/>
      <c r="AY74" s="297"/>
      <c r="AZ74" s="297"/>
      <c r="BA74" s="297"/>
      <c r="BB74" s="297"/>
      <c r="BC74" s="297"/>
      <c r="BD74" s="297"/>
      <c r="BE74" s="297"/>
      <c r="BF74" s="297"/>
      <c r="BG74" s="297"/>
      <c r="BH74" s="297"/>
      <c r="BI74" s="297"/>
      <c r="BJ74" s="297"/>
      <c r="BK74" s="297"/>
      <c r="BL74" s="297"/>
      <c r="BM74" s="297"/>
      <c r="BN74" s="297"/>
      <c r="BO74" s="297"/>
      <c r="BP74" s="297"/>
      <c r="BQ74" s="297"/>
      <c r="BR74" s="297"/>
      <c r="BS74" s="297"/>
      <c r="BT74" s="297"/>
      <c r="BU74" s="297"/>
      <c r="BV74" s="297"/>
      <c r="BW74" s="297"/>
      <c r="BX74" s="297"/>
      <c r="BY74" s="297"/>
      <c r="BZ74" s="297"/>
      <c r="CA74" s="297"/>
      <c r="CB74" s="297"/>
      <c r="CC74" s="297"/>
      <c r="CD74" s="297"/>
      <c r="CE74" s="297"/>
      <c r="CF74" s="297"/>
      <c r="CG74" s="297"/>
    </row>
    <row r="75" spans="1:85" ht="12" customHeight="1" outlineLevel="3">
      <c r="A75" s="288"/>
      <c r="B75" s="288"/>
      <c r="C75" s="288">
        <v>4</v>
      </c>
      <c r="D75" s="291" t="s">
        <v>1672</v>
      </c>
      <c r="E75" s="246"/>
      <c r="F75" s="246"/>
      <c r="G75" s="246"/>
      <c r="H75" s="246" t="s">
        <v>1609</v>
      </c>
      <c r="I75" s="246"/>
      <c r="J75" s="246"/>
      <c r="K75" s="246"/>
      <c r="L75" s="246"/>
      <c r="M75" s="246"/>
      <c r="N75" s="246"/>
      <c r="O75" s="246" t="s">
        <v>2287</v>
      </c>
      <c r="P75" s="248">
        <v>45888</v>
      </c>
      <c r="Q75" s="248">
        <v>45888</v>
      </c>
      <c r="R75" s="246"/>
      <c r="S75" s="247">
        <v>0.5</v>
      </c>
      <c r="T75" s="247">
        <v>0.5</v>
      </c>
      <c r="U75" s="247">
        <v>1</v>
      </c>
      <c r="V75" s="247">
        <v>1</v>
      </c>
      <c r="W75" s="248"/>
      <c r="X75" s="248"/>
      <c r="Y75" s="265"/>
      <c r="Z75" s="266">
        <v>0</v>
      </c>
      <c r="AA75" s="247">
        <v>0.5</v>
      </c>
      <c r="AB75" s="246" t="s">
        <v>1717</v>
      </c>
      <c r="AC75" s="263" t="s">
        <v>1718</v>
      </c>
      <c r="AD75" s="240">
        <v>1</v>
      </c>
      <c r="AE75" s="304">
        <v>1</v>
      </c>
      <c r="AF75" s="296"/>
      <c r="AG75" s="297"/>
      <c r="AH75" s="297"/>
      <c r="AI75" s="297"/>
      <c r="AJ75" s="297"/>
      <c r="AK75" s="297"/>
      <c r="AL75" s="297"/>
      <c r="AM75" s="297"/>
      <c r="AN75" s="297"/>
      <c r="AO75" s="297"/>
      <c r="AP75" s="297"/>
      <c r="AQ75" s="297"/>
      <c r="AR75" s="297"/>
      <c r="AS75" s="297"/>
      <c r="AT75" s="297"/>
      <c r="AU75" s="297"/>
      <c r="AV75" s="297"/>
      <c r="AW75" s="297"/>
      <c r="AX75" s="297"/>
      <c r="AY75" s="297"/>
      <c r="AZ75" s="297"/>
      <c r="BA75" s="297"/>
      <c r="BB75" s="297"/>
      <c r="BC75" s="297"/>
      <c r="BD75" s="297"/>
      <c r="BE75" s="297"/>
      <c r="BF75" s="297" t="str">
        <f>"   " &amp; TEXT(AE75,"#0.00%") &amp; " " &amp; "1차 오픈단계" &amp; "(오승헌님)" &amp; " " &amp; IF(P75="","",TEXT(P75,"M/D-")) &amp; IF(Q75="","",TEXT(Q75,"M/D")) &amp; " "</f>
        <v xml:space="preserve">   100.00% 1차 오픈단계(오승헌님) 8/19-8/19 </v>
      </c>
      <c r="BG75" s="297"/>
      <c r="BH75" s="297"/>
      <c r="BI75" s="297"/>
      <c r="BJ75" s="297"/>
      <c r="BK75" s="297"/>
      <c r="BL75" s="297"/>
      <c r="BM75" s="297"/>
      <c r="BN75" s="297"/>
      <c r="BO75" s="297"/>
      <c r="BP75" s="297"/>
      <c r="BQ75" s="297"/>
      <c r="BR75" s="297"/>
      <c r="BS75" s="297"/>
      <c r="BT75" s="297"/>
      <c r="BU75" s="297"/>
      <c r="BV75" s="297"/>
      <c r="BW75" s="297"/>
      <c r="BX75" s="297"/>
      <c r="BY75" s="297"/>
      <c r="BZ75" s="297"/>
      <c r="CA75" s="297"/>
      <c r="CB75" s="297"/>
      <c r="CC75" s="297"/>
      <c r="CD75" s="297"/>
      <c r="CE75" s="297"/>
      <c r="CF75" s="297"/>
      <c r="CG75" s="297"/>
    </row>
    <row r="76" spans="1:85" ht="12" customHeight="1" outlineLevel="3">
      <c r="A76" s="288"/>
      <c r="B76" s="288"/>
      <c r="C76" s="288">
        <v>4</v>
      </c>
      <c r="D76" s="291" t="s">
        <v>1673</v>
      </c>
      <c r="E76" s="246"/>
      <c r="F76" s="246"/>
      <c r="G76" s="246"/>
      <c r="H76" s="246" t="s">
        <v>1610</v>
      </c>
      <c r="I76" s="246"/>
      <c r="J76" s="246"/>
      <c r="K76" s="246"/>
      <c r="L76" s="246"/>
      <c r="M76" s="246"/>
      <c r="N76" s="246"/>
      <c r="O76" s="246" t="s">
        <v>2287</v>
      </c>
      <c r="P76" s="248">
        <v>45944</v>
      </c>
      <c r="Q76" s="248">
        <v>45944</v>
      </c>
      <c r="R76" s="246"/>
      <c r="S76" s="247">
        <v>0.5</v>
      </c>
      <c r="T76" s="247">
        <v>0.5</v>
      </c>
      <c r="U76" s="247">
        <v>1</v>
      </c>
      <c r="V76" s="247">
        <v>1</v>
      </c>
      <c r="W76" s="248"/>
      <c r="X76" s="248"/>
      <c r="Y76" s="265"/>
      <c r="Z76" s="266">
        <v>0</v>
      </c>
      <c r="AA76" s="247">
        <v>0.5</v>
      </c>
      <c r="AB76" s="246" t="s">
        <v>1717</v>
      </c>
      <c r="AC76" s="263" t="s">
        <v>1718</v>
      </c>
      <c r="AD76" s="240">
        <v>1</v>
      </c>
      <c r="AE76" s="330">
        <v>1</v>
      </c>
      <c r="AF76" s="296"/>
      <c r="AG76" s="297"/>
      <c r="AH76" s="297"/>
      <c r="AI76" s="297"/>
      <c r="AJ76" s="297"/>
      <c r="AK76" s="297"/>
      <c r="AL76" s="297"/>
      <c r="AM76" s="297"/>
      <c r="AN76" s="297"/>
      <c r="AO76" s="297"/>
      <c r="AP76" s="297"/>
      <c r="AQ76" s="297"/>
      <c r="AR76" s="297"/>
      <c r="AS76" s="297"/>
      <c r="AT76" s="297"/>
      <c r="AU76" s="297"/>
      <c r="AV76" s="297"/>
      <c r="AW76" s="297"/>
      <c r="AX76" s="297"/>
      <c r="AY76" s="297"/>
      <c r="AZ76" s="297"/>
      <c r="BA76" s="297"/>
      <c r="BB76" s="297"/>
      <c r="BC76" s="297"/>
      <c r="BD76" s="297"/>
      <c r="BE76" s="297"/>
      <c r="BF76" s="297"/>
      <c r="BG76" s="297"/>
      <c r="BH76" s="297"/>
      <c r="BI76" s="297"/>
      <c r="BJ76" s="297"/>
      <c r="BK76" s="297"/>
      <c r="BL76" s="297"/>
      <c r="BM76" s="297"/>
      <c r="BN76" s="297" t="str">
        <f>"   " &amp; TEXT(AE76,"#0.00%") &amp; " " &amp; "2차 오픈단계" &amp; "(오승헌님)" &amp; " " &amp; IF(P76="","",TEXT(P76,"M/D-")) &amp; IF(Q76="","",TEXT(Q76,"M/D")) &amp; " "</f>
        <v xml:space="preserve">   100.00% 2차 오픈단계(오승헌님) 10/14-10/14 </v>
      </c>
      <c r="BO76" s="297"/>
      <c r="BP76" s="297"/>
      <c r="BQ76" s="297"/>
      <c r="BR76" s="297"/>
      <c r="BS76" s="297"/>
      <c r="BT76" s="297"/>
      <c r="BU76" s="297"/>
      <c r="BV76" s="297"/>
      <c r="BW76" s="297"/>
      <c r="BX76" s="297"/>
      <c r="BY76" s="297"/>
      <c r="BZ76" s="297"/>
      <c r="CA76" s="297"/>
      <c r="CB76" s="297"/>
      <c r="CC76" s="297"/>
      <c r="CD76" s="297"/>
      <c r="CE76" s="297"/>
      <c r="CF76" s="297"/>
      <c r="CG76" s="297"/>
    </row>
    <row r="77" spans="1:85" ht="12" customHeight="1" outlineLevel="3">
      <c r="A77" s="288"/>
      <c r="B77" s="288"/>
      <c r="C77" s="288">
        <v>4</v>
      </c>
      <c r="D77" s="291" t="s">
        <v>1674</v>
      </c>
      <c r="E77" s="246"/>
      <c r="F77" s="246"/>
      <c r="G77" s="246"/>
      <c r="H77" s="246" t="s">
        <v>1611</v>
      </c>
      <c r="I77" s="246"/>
      <c r="J77" s="246"/>
      <c r="K77" s="246"/>
      <c r="L77" s="246"/>
      <c r="M77" s="246"/>
      <c r="N77" s="246"/>
      <c r="O77" s="246" t="s">
        <v>2287</v>
      </c>
      <c r="P77" s="248">
        <v>46007</v>
      </c>
      <c r="Q77" s="248">
        <v>46007</v>
      </c>
      <c r="R77" s="246"/>
      <c r="S77" s="247">
        <v>0.5</v>
      </c>
      <c r="T77" s="247">
        <v>0.5</v>
      </c>
      <c r="U77" s="247">
        <v>1</v>
      </c>
      <c r="V77" s="247">
        <v>1</v>
      </c>
      <c r="W77" s="248"/>
      <c r="X77" s="248"/>
      <c r="Y77" s="265"/>
      <c r="Z77" s="266">
        <v>0</v>
      </c>
      <c r="AA77" s="247">
        <v>0.5</v>
      </c>
      <c r="AB77" s="246" t="s">
        <v>1717</v>
      </c>
      <c r="AC77" s="263" t="s">
        <v>1718</v>
      </c>
      <c r="AD77" s="240">
        <v>1</v>
      </c>
      <c r="AE77" s="304">
        <v>1</v>
      </c>
      <c r="AF77" s="296"/>
      <c r="AG77" s="297"/>
      <c r="AH77" s="297"/>
      <c r="AI77" s="297"/>
      <c r="AJ77" s="297"/>
      <c r="AK77" s="297"/>
      <c r="AL77" s="297"/>
      <c r="AM77" s="297"/>
      <c r="AN77" s="297"/>
      <c r="AO77" s="297"/>
      <c r="AP77" s="297"/>
      <c r="AQ77" s="297"/>
      <c r="AR77" s="297"/>
      <c r="AS77" s="297"/>
      <c r="AT77" s="297"/>
      <c r="AU77" s="297"/>
      <c r="AV77" s="297"/>
      <c r="AW77" s="297"/>
      <c r="AX77" s="297"/>
      <c r="AY77" s="297"/>
      <c r="AZ77" s="297"/>
      <c r="BA77" s="297"/>
      <c r="BB77" s="297"/>
      <c r="BC77" s="297"/>
      <c r="BD77" s="297"/>
      <c r="BE77" s="297"/>
      <c r="BF77" s="297"/>
      <c r="BG77" s="297"/>
      <c r="BH77" s="297"/>
      <c r="BI77" s="297"/>
      <c r="BJ77" s="297"/>
      <c r="BK77" s="297"/>
      <c r="BL77" s="297"/>
      <c r="BM77" s="297"/>
      <c r="BN77" s="297"/>
      <c r="BO77" s="297"/>
      <c r="BP77" s="297"/>
      <c r="BQ77" s="297"/>
      <c r="BR77" s="297"/>
      <c r="BS77" s="297"/>
      <c r="BT77" s="297"/>
      <c r="BU77" s="297"/>
      <c r="BV77" s="297"/>
      <c r="BW77" s="297" t="str">
        <f>"   " &amp; TEXT(AE77,"#0.00%") &amp; " " &amp; "3차 오픈단계" &amp; "(오승헌님)" &amp; " " &amp; IF(P77="","",TEXT(P77,"M/D-")) &amp; IF(Q77="","",TEXT(Q77,"M/D")) &amp; " "</f>
        <v xml:space="preserve">   100.00% 3차 오픈단계(오승헌님) 12/16-12/16 </v>
      </c>
      <c r="BX77" s="297"/>
      <c r="BY77" s="297"/>
      <c r="BZ77" s="297"/>
      <c r="CA77" s="297"/>
      <c r="CB77" s="297"/>
      <c r="CC77" s="297"/>
      <c r="CD77" s="297"/>
      <c r="CE77" s="297"/>
      <c r="CF77" s="297"/>
      <c r="CG77" s="297"/>
    </row>
    <row r="78" spans="1:85" ht="12" customHeight="1" outlineLevel="2">
      <c r="A78" s="288"/>
      <c r="B78" s="288" t="s">
        <v>2334</v>
      </c>
      <c r="C78" s="288">
        <v>3</v>
      </c>
      <c r="D78" s="291" t="s">
        <v>1446</v>
      </c>
      <c r="E78" s="246"/>
      <c r="F78" s="246"/>
      <c r="G78" s="246" t="s">
        <v>1540</v>
      </c>
      <c r="H78" s="246"/>
      <c r="I78" s="246"/>
      <c r="J78" s="246"/>
      <c r="K78" s="246"/>
      <c r="L78" s="246"/>
      <c r="M78" s="246"/>
      <c r="N78" s="246"/>
      <c r="O78" s="246"/>
      <c r="P78" s="248">
        <v>45735</v>
      </c>
      <c r="Q78" s="248">
        <v>45954</v>
      </c>
      <c r="R78" s="246"/>
      <c r="S78" s="247">
        <v>11.7</v>
      </c>
      <c r="T78" s="247">
        <v>11.7</v>
      </c>
      <c r="U78" s="247">
        <v>148</v>
      </c>
      <c r="V78" s="247">
        <v>148</v>
      </c>
      <c r="W78" s="248"/>
      <c r="X78" s="248"/>
      <c r="Y78" s="265">
        <v>0</v>
      </c>
      <c r="Z78" s="266">
        <v>0</v>
      </c>
      <c r="AA78" s="247"/>
      <c r="AB78" s="246"/>
      <c r="AC78" s="263"/>
      <c r="AD78" s="240">
        <v>1</v>
      </c>
      <c r="AE78" s="241">
        <v>1</v>
      </c>
      <c r="AF78" s="296"/>
      <c r="AG78" s="297"/>
      <c r="AH78" s="297"/>
      <c r="AI78" s="297"/>
      <c r="AJ78" s="297"/>
      <c r="AK78" s="297"/>
      <c r="AL78" s="297"/>
      <c r="AM78" s="297"/>
      <c r="AN78" s="297"/>
      <c r="AO78" s="297"/>
      <c r="AP78" s="297"/>
      <c r="AQ78" s="297"/>
      <c r="AR78" s="297"/>
      <c r="AS78" s="297"/>
      <c r="AT78" s="297"/>
      <c r="AU78" s="297"/>
      <c r="AV78" s="297"/>
      <c r="AW78" s="297"/>
      <c r="AX78" s="297"/>
      <c r="AY78" s="297"/>
      <c r="AZ78" s="297"/>
      <c r="BA78" s="297"/>
      <c r="BB78" s="297"/>
      <c r="BC78" s="297"/>
      <c r="BD78" s="297"/>
      <c r="BE78" s="297"/>
      <c r="BF78" s="297"/>
      <c r="BG78" s="297"/>
      <c r="BH78" s="297"/>
      <c r="BI78" s="297"/>
      <c r="BJ78" s="297"/>
      <c r="BK78" s="297"/>
      <c r="BL78" s="297"/>
      <c r="BM78" s="297"/>
      <c r="BN78" s="297"/>
      <c r="BO78" s="297" t="str">
        <f>"      " &amp; TEXT(AE78,"#0.00%") &amp; " " &amp; "품질 점검" &amp; " " &amp; IF(P78="","",TEXT(P78,"M/D-")) &amp; IF(Q78="","",TEXT(Q78,"M/D")) &amp; " "</f>
        <v xml:space="preserve">      100.00% 품질 점검 3/19-10/24 </v>
      </c>
      <c r="BP78" s="297"/>
      <c r="BQ78" s="297"/>
      <c r="BR78" s="297"/>
      <c r="BS78" s="297"/>
      <c r="BT78" s="297"/>
      <c r="BU78" s="297"/>
      <c r="BV78" s="297"/>
      <c r="BW78" s="297"/>
      <c r="BX78" s="297"/>
      <c r="BY78" s="297"/>
      <c r="BZ78" s="297"/>
      <c r="CA78" s="297"/>
      <c r="CB78" s="297"/>
      <c r="CC78" s="297"/>
      <c r="CD78" s="297"/>
      <c r="CE78" s="297"/>
      <c r="CF78" s="297"/>
      <c r="CG78" s="297"/>
    </row>
    <row r="79" spans="1:85" ht="12" customHeight="1" outlineLevel="3">
      <c r="A79" s="288"/>
      <c r="B79" s="288" t="s">
        <v>2334</v>
      </c>
      <c r="C79" s="288">
        <v>4</v>
      </c>
      <c r="D79" s="291" t="s">
        <v>1675</v>
      </c>
      <c r="E79" s="246"/>
      <c r="F79" s="246"/>
      <c r="G79" s="246"/>
      <c r="H79" s="246" t="s">
        <v>1541</v>
      </c>
      <c r="I79" s="246"/>
      <c r="J79" s="246"/>
      <c r="K79" s="246"/>
      <c r="L79" s="246"/>
      <c r="M79" s="246"/>
      <c r="N79" s="246"/>
      <c r="O79" s="246"/>
      <c r="P79" s="248">
        <v>45735</v>
      </c>
      <c r="Q79" s="248">
        <v>45735</v>
      </c>
      <c r="R79" s="246"/>
      <c r="S79" s="247">
        <v>0.1</v>
      </c>
      <c r="T79" s="247">
        <v>0.1</v>
      </c>
      <c r="U79" s="247">
        <v>1</v>
      </c>
      <c r="V79" s="247">
        <v>1</v>
      </c>
      <c r="W79" s="248"/>
      <c r="X79" s="248"/>
      <c r="Y79" s="265">
        <v>0</v>
      </c>
      <c r="Z79" s="266">
        <v>0</v>
      </c>
      <c r="AA79" s="247"/>
      <c r="AB79" s="246"/>
      <c r="AC79" s="263"/>
      <c r="AD79" s="240">
        <v>1</v>
      </c>
      <c r="AE79" s="241">
        <v>1</v>
      </c>
      <c r="AF79" s="296"/>
      <c r="AG79" s="297"/>
      <c r="AH79" s="297"/>
      <c r="AI79" s="297"/>
      <c r="AJ79" s="297" t="str">
        <f>"    " &amp; TEXT(AE79,"#0.00%") &amp; " " &amp; "착수 가이드" &amp; " " &amp; IF(P79="","",TEXT(P79,"M/D-")) &amp; IF(Q79="","",TEXT(Q79,"M/D")) &amp; " "</f>
        <v xml:space="preserve">    100.00% 착수 가이드 3/19-3/19 </v>
      </c>
      <c r="AK79" s="297"/>
      <c r="AL79" s="297"/>
      <c r="AM79" s="297"/>
      <c r="AN79" s="297"/>
      <c r="AO79" s="297"/>
      <c r="AP79" s="297"/>
      <c r="AQ79" s="297"/>
      <c r="AR79" s="297"/>
      <c r="AS79" s="297"/>
      <c r="AT79" s="297"/>
      <c r="AU79" s="297"/>
      <c r="AV79" s="297"/>
      <c r="AW79" s="297"/>
      <c r="AX79" s="297"/>
      <c r="AY79" s="297"/>
      <c r="AZ79" s="297"/>
      <c r="BA79" s="297"/>
      <c r="BB79" s="297"/>
      <c r="BC79" s="297"/>
      <c r="BD79" s="297"/>
      <c r="BE79" s="297"/>
      <c r="BF79" s="297"/>
      <c r="BG79" s="297"/>
      <c r="BH79" s="297"/>
      <c r="BI79" s="297"/>
      <c r="BJ79" s="297"/>
      <c r="BK79" s="297"/>
      <c r="BL79" s="297"/>
      <c r="BM79" s="297"/>
      <c r="BN79" s="297"/>
      <c r="BO79" s="297"/>
      <c r="BP79" s="297"/>
      <c r="BQ79" s="297"/>
      <c r="BR79" s="297"/>
      <c r="BS79" s="297"/>
      <c r="BT79" s="297"/>
      <c r="BU79" s="297"/>
      <c r="BV79" s="297"/>
      <c r="BW79" s="297"/>
      <c r="BX79" s="297"/>
      <c r="BY79" s="297"/>
      <c r="BZ79" s="297"/>
      <c r="CA79" s="297"/>
      <c r="CB79" s="297"/>
      <c r="CC79" s="297"/>
      <c r="CD79" s="297"/>
      <c r="CE79" s="297"/>
      <c r="CF79" s="297"/>
      <c r="CG79" s="297"/>
    </row>
    <row r="80" spans="1:85" ht="12" customHeight="1" outlineLevel="4">
      <c r="A80" s="288"/>
      <c r="B80" s="288"/>
      <c r="C80" s="288">
        <v>5</v>
      </c>
      <c r="D80" s="291" t="s">
        <v>1676</v>
      </c>
      <c r="E80" s="246"/>
      <c r="F80" s="246"/>
      <c r="G80" s="246"/>
      <c r="H80" s="246"/>
      <c r="I80" s="246" t="s">
        <v>1542</v>
      </c>
      <c r="J80" s="246"/>
      <c r="K80" s="246"/>
      <c r="L80" s="246"/>
      <c r="M80" s="246"/>
      <c r="N80" s="246"/>
      <c r="O80" s="246"/>
      <c r="P80" s="248">
        <v>45735</v>
      </c>
      <c r="Q80" s="248">
        <v>45735</v>
      </c>
      <c r="R80" s="246"/>
      <c r="S80" s="247">
        <v>0.1</v>
      </c>
      <c r="T80" s="247">
        <v>0.1</v>
      </c>
      <c r="U80" s="247">
        <v>1</v>
      </c>
      <c r="V80" s="247">
        <v>1</v>
      </c>
      <c r="W80" s="248"/>
      <c r="X80" s="248"/>
      <c r="Y80" s="265"/>
      <c r="Z80" s="266">
        <v>0</v>
      </c>
      <c r="AA80" s="247">
        <v>0.1</v>
      </c>
      <c r="AB80" s="246" t="s">
        <v>1719</v>
      </c>
      <c r="AC80" s="263"/>
      <c r="AD80" s="240">
        <v>1</v>
      </c>
      <c r="AE80" s="304">
        <v>1</v>
      </c>
      <c r="AF80" s="296"/>
      <c r="AG80" s="297"/>
      <c r="AH80" s="297"/>
      <c r="AI80" s="297"/>
      <c r="AJ80" s="297" t="str">
        <f>"    " &amp; TEXT(AE80,"#0.00%") &amp; " " &amp; "착수가이드 설명" &amp; "(서정만님)" &amp; " " &amp; IF(P80="","",TEXT(P80,"M/D-")) &amp; IF(Q80="","",TEXT(Q80,"M/D")) &amp; " "</f>
        <v xml:space="preserve">    100.00% 착수가이드 설명(서정만님) 3/19-3/19 </v>
      </c>
      <c r="AK80" s="297"/>
      <c r="AL80" s="297"/>
      <c r="AM80" s="297"/>
      <c r="AN80" s="297"/>
      <c r="AO80" s="297"/>
      <c r="AP80" s="297"/>
      <c r="AQ80" s="297"/>
      <c r="AR80" s="297"/>
      <c r="AS80" s="297"/>
      <c r="AT80" s="297"/>
      <c r="AU80" s="297"/>
      <c r="AV80" s="297"/>
      <c r="AW80" s="297"/>
      <c r="AX80" s="297"/>
      <c r="AY80" s="297"/>
      <c r="AZ80" s="297"/>
      <c r="BA80" s="297"/>
      <c r="BB80" s="297"/>
      <c r="BC80" s="297"/>
      <c r="BD80" s="297"/>
      <c r="BE80" s="297"/>
      <c r="BF80" s="297"/>
      <c r="BG80" s="297"/>
      <c r="BH80" s="297"/>
      <c r="BI80" s="297"/>
      <c r="BJ80" s="297"/>
      <c r="BK80" s="297"/>
      <c r="BL80" s="297"/>
      <c r="BM80" s="297"/>
      <c r="BN80" s="297"/>
      <c r="BO80" s="297"/>
      <c r="BP80" s="297"/>
      <c r="BQ80" s="297"/>
      <c r="BR80" s="297"/>
      <c r="BS80" s="297"/>
      <c r="BT80" s="297"/>
      <c r="BU80" s="297"/>
      <c r="BV80" s="297"/>
      <c r="BW80" s="297"/>
      <c r="BX80" s="297"/>
      <c r="BY80" s="297"/>
      <c r="BZ80" s="297"/>
      <c r="CA80" s="297"/>
      <c r="CB80" s="297"/>
      <c r="CC80" s="297"/>
      <c r="CD80" s="297"/>
      <c r="CE80" s="297"/>
      <c r="CF80" s="297"/>
      <c r="CG80" s="297"/>
    </row>
    <row r="81" spans="1:85" ht="12" customHeight="1" outlineLevel="3">
      <c r="A81" s="288"/>
      <c r="B81" s="288" t="s">
        <v>2334</v>
      </c>
      <c r="C81" s="288">
        <v>4</v>
      </c>
      <c r="D81" s="291" t="s">
        <v>1677</v>
      </c>
      <c r="E81" s="246"/>
      <c r="F81" s="246"/>
      <c r="G81" s="246"/>
      <c r="H81" s="246" t="s">
        <v>1543</v>
      </c>
      <c r="I81" s="256"/>
      <c r="J81" s="256"/>
      <c r="K81" s="256"/>
      <c r="L81" s="256"/>
      <c r="M81" s="256"/>
      <c r="N81" s="256"/>
      <c r="O81" s="256"/>
      <c r="P81" s="248">
        <v>45789</v>
      </c>
      <c r="Q81" s="248">
        <v>45812</v>
      </c>
      <c r="R81" s="246"/>
      <c r="S81" s="247">
        <v>6</v>
      </c>
      <c r="T81" s="247">
        <v>6</v>
      </c>
      <c r="U81" s="247">
        <v>17</v>
      </c>
      <c r="V81" s="247">
        <v>17</v>
      </c>
      <c r="W81" s="248"/>
      <c r="X81" s="248"/>
      <c r="Y81" s="265">
        <v>0</v>
      </c>
      <c r="Z81" s="266">
        <v>0</v>
      </c>
      <c r="AA81" s="247"/>
      <c r="AB81" s="246"/>
      <c r="AC81" s="263"/>
      <c r="AD81" s="240">
        <v>1</v>
      </c>
      <c r="AE81" s="241">
        <v>1</v>
      </c>
      <c r="AF81" s="296"/>
      <c r="AG81" s="297"/>
      <c r="AH81" s="297"/>
      <c r="AI81" s="297"/>
      <c r="AJ81" s="297"/>
      <c r="AK81" s="297"/>
      <c r="AL81" s="297"/>
      <c r="AM81" s="297"/>
      <c r="AN81" s="297"/>
      <c r="AO81" s="297"/>
      <c r="AP81" s="297"/>
      <c r="AQ81" s="297"/>
      <c r="AR81" s="297"/>
      <c r="AS81" s="297"/>
      <c r="AT81" s="297"/>
      <c r="AU81" s="297" t="str">
        <f>"    " &amp; TEXT(AE81,"#0.00%") &amp; " " &amp; "중간 점검" &amp; " " &amp; IF(P81="","",TEXT(P81,"M/D-")) &amp; IF(Q81="","",TEXT(Q81,"M/D")) &amp; " "</f>
        <v xml:space="preserve">    100.00% 중간 점검 5/12-6/4 </v>
      </c>
      <c r="AV81" s="297"/>
      <c r="AW81" s="297"/>
      <c r="AX81" s="297"/>
      <c r="AY81" s="297"/>
      <c r="AZ81" s="297"/>
      <c r="BA81" s="297"/>
      <c r="BB81" s="297"/>
      <c r="BC81" s="297"/>
      <c r="BD81" s="297"/>
      <c r="BE81" s="297"/>
      <c r="BF81" s="297"/>
      <c r="BG81" s="297"/>
      <c r="BH81" s="297"/>
      <c r="BI81" s="297"/>
      <c r="BJ81" s="297"/>
      <c r="BK81" s="297"/>
      <c r="BL81" s="297"/>
      <c r="BM81" s="297"/>
      <c r="BN81" s="297"/>
      <c r="BO81" s="297"/>
      <c r="BP81" s="297"/>
      <c r="BQ81" s="297"/>
      <c r="BR81" s="297"/>
      <c r="BS81" s="297"/>
      <c r="BT81" s="297"/>
      <c r="BU81" s="297"/>
      <c r="BV81" s="297"/>
      <c r="BW81" s="297"/>
      <c r="BX81" s="297"/>
      <c r="BY81" s="297"/>
      <c r="BZ81" s="297"/>
      <c r="CA81" s="297"/>
      <c r="CB81" s="297"/>
      <c r="CC81" s="297"/>
      <c r="CD81" s="297"/>
      <c r="CE81" s="297"/>
      <c r="CF81" s="297"/>
      <c r="CG81" s="297"/>
    </row>
    <row r="82" spans="1:85" ht="12" customHeight="1" outlineLevel="4">
      <c r="A82" s="288"/>
      <c r="B82" s="288"/>
      <c r="C82" s="288">
        <v>5</v>
      </c>
      <c r="D82" s="291" t="s">
        <v>1678</v>
      </c>
      <c r="E82" s="246"/>
      <c r="F82" s="246"/>
      <c r="G82" s="246"/>
      <c r="H82" s="246"/>
      <c r="I82" s="314" t="s">
        <v>1544</v>
      </c>
      <c r="J82" s="314"/>
      <c r="K82" s="314"/>
      <c r="L82" s="314"/>
      <c r="M82" s="314"/>
      <c r="N82" s="314"/>
      <c r="O82" s="314" t="s">
        <v>2133</v>
      </c>
      <c r="P82" s="248">
        <v>45789</v>
      </c>
      <c r="Q82" s="248">
        <v>45793</v>
      </c>
      <c r="R82" s="246"/>
      <c r="S82" s="247">
        <v>0.5</v>
      </c>
      <c r="T82" s="247">
        <v>0.5</v>
      </c>
      <c r="U82" s="247">
        <v>5</v>
      </c>
      <c r="V82" s="247">
        <v>5</v>
      </c>
      <c r="W82" s="248"/>
      <c r="X82" s="248"/>
      <c r="Y82" s="265"/>
      <c r="Z82" s="266">
        <v>0</v>
      </c>
      <c r="AA82" s="247">
        <v>0.1</v>
      </c>
      <c r="AB82" s="246" t="s">
        <v>1719</v>
      </c>
      <c r="AC82" s="263"/>
      <c r="AD82" s="240">
        <v>1</v>
      </c>
      <c r="AE82" s="304">
        <v>1</v>
      </c>
      <c r="AF82" s="296"/>
      <c r="AG82" s="297"/>
      <c r="AH82" s="297"/>
      <c r="AI82" s="297"/>
      <c r="AJ82" s="297"/>
      <c r="AK82" s="297"/>
      <c r="AL82" s="297"/>
      <c r="AM82" s="297"/>
      <c r="AN82" s="297"/>
      <c r="AO82" s="297"/>
      <c r="AP82" s="297"/>
      <c r="AQ82" s="297"/>
      <c r="AR82" s="297" t="str">
        <f>"      " &amp; TEXT(AE82,"#0.00%") &amp; " " &amp; "중간점검 계획수립" &amp; "(서정만님)" &amp; " " &amp; IF(P82="","",TEXT(P82,"M/D-")) &amp; IF(Q82="","",TEXT(Q82,"M/D")) &amp; " "</f>
        <v xml:space="preserve">      100.00% 중간점검 계획수립(서정만님) 5/12-5/16 </v>
      </c>
      <c r="AS82" s="297"/>
      <c r="AT82" s="297"/>
      <c r="AU82" s="297"/>
      <c r="AV82" s="297"/>
      <c r="AW82" s="297"/>
      <c r="AX82" s="297"/>
      <c r="AY82" s="297"/>
      <c r="AZ82" s="297"/>
      <c r="BA82" s="297"/>
      <c r="BB82" s="297"/>
      <c r="BC82" s="297"/>
      <c r="BD82" s="297"/>
      <c r="BE82" s="297"/>
      <c r="BF82" s="297"/>
      <c r="BG82" s="297"/>
      <c r="BH82" s="297"/>
      <c r="BI82" s="297"/>
      <c r="BJ82" s="297"/>
      <c r="BK82" s="297"/>
      <c r="BL82" s="297"/>
      <c r="BM82" s="297"/>
      <c r="BN82" s="297"/>
      <c r="BO82" s="297"/>
      <c r="BP82" s="297"/>
      <c r="BQ82" s="297"/>
      <c r="BR82" s="297"/>
      <c r="BS82" s="297"/>
      <c r="BT82" s="297"/>
      <c r="BU82" s="297"/>
      <c r="BV82" s="297"/>
      <c r="BW82" s="297"/>
      <c r="BX82" s="297"/>
      <c r="BY82" s="297"/>
      <c r="BZ82" s="297"/>
      <c r="CA82" s="297"/>
      <c r="CB82" s="297"/>
      <c r="CC82" s="297"/>
      <c r="CD82" s="297"/>
      <c r="CE82" s="297"/>
      <c r="CF82" s="297"/>
      <c r="CG82" s="297"/>
    </row>
    <row r="83" spans="1:85" ht="12" customHeight="1" outlineLevel="4">
      <c r="A83" s="288"/>
      <c r="B83" s="288"/>
      <c r="C83" s="288">
        <v>5</v>
      </c>
      <c r="D83" s="291" t="s">
        <v>1679</v>
      </c>
      <c r="E83" s="246"/>
      <c r="F83" s="246"/>
      <c r="G83" s="246"/>
      <c r="H83" s="246"/>
      <c r="I83" s="314" t="s">
        <v>1545</v>
      </c>
      <c r="J83" s="314"/>
      <c r="K83" s="314"/>
      <c r="L83" s="314"/>
      <c r="M83" s="314"/>
      <c r="N83" s="314"/>
      <c r="O83" s="314" t="s">
        <v>2133</v>
      </c>
      <c r="P83" s="248">
        <v>45799</v>
      </c>
      <c r="Q83" s="248">
        <v>45800</v>
      </c>
      <c r="R83" s="246"/>
      <c r="S83" s="247">
        <v>2</v>
      </c>
      <c r="T83" s="247">
        <v>2</v>
      </c>
      <c r="U83" s="247">
        <v>2</v>
      </c>
      <c r="V83" s="247">
        <v>2</v>
      </c>
      <c r="W83" s="248"/>
      <c r="X83" s="248"/>
      <c r="Y83" s="265"/>
      <c r="Z83" s="266">
        <v>0</v>
      </c>
      <c r="AA83" s="247">
        <v>1</v>
      </c>
      <c r="AB83" s="246" t="s">
        <v>1720</v>
      </c>
      <c r="AC83" s="263"/>
      <c r="AD83" s="240">
        <v>1</v>
      </c>
      <c r="AE83" s="304">
        <v>1</v>
      </c>
      <c r="AF83" s="296"/>
      <c r="AG83" s="297"/>
      <c r="AH83" s="297"/>
      <c r="AI83" s="297"/>
      <c r="AJ83" s="297"/>
      <c r="AK83" s="297"/>
      <c r="AL83" s="297"/>
      <c r="AM83" s="297"/>
      <c r="AN83" s="297"/>
      <c r="AO83" s="297"/>
      <c r="AP83" s="297"/>
      <c r="AQ83" s="297"/>
      <c r="AR83" s="297"/>
      <c r="AS83" s="297" t="str">
        <f>"      " &amp; TEXT(AE83,"#0.00%") &amp; " " &amp; "중간점검 수행" &amp; "(PL)" &amp; " " &amp; IF(P83="","",TEXT(P83,"M/D-")) &amp; IF(Q83="","",TEXT(Q83,"M/D")) &amp; " "</f>
        <v xml:space="preserve">      100.00% 중간점검 수행(PL) 5/22-5/23 </v>
      </c>
      <c r="AT83" s="297"/>
      <c r="AU83" s="297"/>
      <c r="AV83" s="297"/>
      <c r="AW83" s="297"/>
      <c r="AX83" s="297"/>
      <c r="AY83" s="297"/>
      <c r="AZ83" s="297"/>
      <c r="BA83" s="297"/>
      <c r="BB83" s="297"/>
      <c r="BC83" s="297"/>
      <c r="BD83" s="297"/>
      <c r="BE83" s="297"/>
      <c r="BF83" s="297"/>
      <c r="BG83" s="297"/>
      <c r="BH83" s="297"/>
      <c r="BI83" s="297"/>
      <c r="BJ83" s="297"/>
      <c r="BK83" s="297"/>
      <c r="BL83" s="297"/>
      <c r="BM83" s="297"/>
      <c r="BN83" s="297"/>
      <c r="BO83" s="297"/>
      <c r="BP83" s="297"/>
      <c r="BQ83" s="297"/>
      <c r="BR83" s="297"/>
      <c r="BS83" s="297"/>
      <c r="BT83" s="297"/>
      <c r="BU83" s="297"/>
      <c r="BV83" s="297"/>
      <c r="BW83" s="297"/>
      <c r="BX83" s="297"/>
      <c r="BY83" s="297"/>
      <c r="BZ83" s="297"/>
      <c r="CA83" s="297"/>
      <c r="CB83" s="297"/>
      <c r="CC83" s="297"/>
      <c r="CD83" s="297"/>
      <c r="CE83" s="297"/>
      <c r="CF83" s="297"/>
      <c r="CG83" s="297"/>
    </row>
    <row r="84" spans="1:85" ht="12" customHeight="1" outlineLevel="4">
      <c r="A84" s="288"/>
      <c r="B84" s="288"/>
      <c r="C84" s="288">
        <v>5</v>
      </c>
      <c r="D84" s="291" t="s">
        <v>1680</v>
      </c>
      <c r="E84" s="246"/>
      <c r="F84" s="246"/>
      <c r="G84" s="246"/>
      <c r="H84" s="246"/>
      <c r="I84" s="314" t="s">
        <v>1546</v>
      </c>
      <c r="J84" s="314"/>
      <c r="K84" s="314"/>
      <c r="L84" s="314"/>
      <c r="M84" s="314"/>
      <c r="N84" s="314"/>
      <c r="O84" s="314" t="s">
        <v>2133</v>
      </c>
      <c r="P84" s="248">
        <v>45803</v>
      </c>
      <c r="Q84" s="248">
        <v>45812</v>
      </c>
      <c r="R84" s="246"/>
      <c r="S84" s="247">
        <v>3.5</v>
      </c>
      <c r="T84" s="247">
        <v>3.5</v>
      </c>
      <c r="U84" s="247">
        <v>7</v>
      </c>
      <c r="V84" s="247">
        <v>7</v>
      </c>
      <c r="W84" s="248"/>
      <c r="X84" s="248"/>
      <c r="Y84" s="265"/>
      <c r="Z84" s="266">
        <v>0</v>
      </c>
      <c r="AA84" s="247">
        <v>0.5</v>
      </c>
      <c r="AB84" s="246" t="s">
        <v>1720</v>
      </c>
      <c r="AC84" s="263"/>
      <c r="AD84" s="240">
        <v>1</v>
      </c>
      <c r="AE84" s="304">
        <v>1</v>
      </c>
      <c r="AF84" s="296"/>
      <c r="AG84" s="297"/>
      <c r="AH84" s="297"/>
      <c r="AI84" s="297"/>
      <c r="AJ84" s="297"/>
      <c r="AK84" s="297"/>
      <c r="AL84" s="297"/>
      <c r="AM84" s="297"/>
      <c r="AN84" s="297"/>
      <c r="AO84" s="297"/>
      <c r="AP84" s="297"/>
      <c r="AQ84" s="297"/>
      <c r="AR84" s="297"/>
      <c r="AS84" s="297"/>
      <c r="AT84" s="297"/>
      <c r="AU84" s="297" t="str">
        <f>"    " &amp; TEXT(AE84,"#0.00%") &amp; " " &amp; "점검결과 개선" &amp; "(PL)" &amp; " " &amp; IF(P84="","",TEXT(P84,"M/D-")) &amp; IF(Q84="","",TEXT(Q84,"M/D")) &amp; " "</f>
        <v xml:space="preserve">    100.00% 점검결과 개선(PL) 5/26-6/4 </v>
      </c>
      <c r="AV84" s="297"/>
      <c r="AW84" s="297"/>
      <c r="AX84" s="297"/>
      <c r="AY84" s="297"/>
      <c r="AZ84" s="297"/>
      <c r="BA84" s="297"/>
      <c r="BB84" s="297"/>
      <c r="BC84" s="297"/>
      <c r="BD84" s="297"/>
      <c r="BE84" s="297"/>
      <c r="BF84" s="297"/>
      <c r="BG84" s="297"/>
      <c r="BH84" s="297"/>
      <c r="BI84" s="297"/>
      <c r="BJ84" s="297"/>
      <c r="BK84" s="297"/>
      <c r="BL84" s="297"/>
      <c r="BM84" s="297"/>
      <c r="BN84" s="297"/>
      <c r="BO84" s="297"/>
      <c r="BP84" s="297"/>
      <c r="BQ84" s="297"/>
      <c r="BR84" s="297"/>
      <c r="BS84" s="297"/>
      <c r="BT84" s="297"/>
      <c r="BU84" s="297"/>
      <c r="BV84" s="297"/>
      <c r="BW84" s="297"/>
      <c r="BX84" s="297"/>
      <c r="BY84" s="297"/>
      <c r="BZ84" s="297"/>
      <c r="CA84" s="297"/>
      <c r="CB84" s="297"/>
      <c r="CC84" s="297"/>
      <c r="CD84" s="297"/>
      <c r="CE84" s="297"/>
      <c r="CF84" s="297"/>
      <c r="CG84" s="297"/>
    </row>
    <row r="85" spans="1:85" ht="12" customHeight="1" outlineLevel="3">
      <c r="A85" s="288"/>
      <c r="B85" s="288" t="s">
        <v>2334</v>
      </c>
      <c r="C85" s="288">
        <v>4</v>
      </c>
      <c r="D85" s="291" t="s">
        <v>1681</v>
      </c>
      <c r="E85" s="246"/>
      <c r="F85" s="246"/>
      <c r="G85" s="246"/>
      <c r="H85" s="246" t="s">
        <v>1547</v>
      </c>
      <c r="I85" s="246"/>
      <c r="J85" s="246"/>
      <c r="K85" s="246"/>
      <c r="L85" s="246"/>
      <c r="M85" s="246"/>
      <c r="N85" s="246"/>
      <c r="O85" s="246"/>
      <c r="P85" s="248">
        <v>45922</v>
      </c>
      <c r="Q85" s="248">
        <v>45954</v>
      </c>
      <c r="R85" s="246"/>
      <c r="S85" s="247">
        <v>5.6</v>
      </c>
      <c r="T85" s="247">
        <v>5.6</v>
      </c>
      <c r="U85" s="247">
        <v>20</v>
      </c>
      <c r="V85" s="247">
        <v>20</v>
      </c>
      <c r="W85" s="248"/>
      <c r="X85" s="248"/>
      <c r="Y85" s="265">
        <v>0</v>
      </c>
      <c r="Z85" s="266">
        <v>0</v>
      </c>
      <c r="AA85" s="247"/>
      <c r="AB85" s="246"/>
      <c r="AC85" s="263"/>
      <c r="AD85" s="240">
        <v>1</v>
      </c>
      <c r="AE85" s="241">
        <v>1</v>
      </c>
      <c r="AF85" s="296"/>
      <c r="AG85" s="297"/>
      <c r="AH85" s="297"/>
      <c r="AI85" s="297"/>
      <c r="AJ85" s="297"/>
      <c r="AK85" s="297"/>
      <c r="AL85" s="297"/>
      <c r="AM85" s="297"/>
      <c r="AN85" s="297"/>
      <c r="AO85" s="297"/>
      <c r="AP85" s="297"/>
      <c r="AQ85" s="297"/>
      <c r="AR85" s="297"/>
      <c r="AS85" s="297"/>
      <c r="AT85" s="297"/>
      <c r="AU85" s="297"/>
      <c r="AV85" s="297"/>
      <c r="AW85" s="297"/>
      <c r="AX85" s="297"/>
      <c r="AY85" s="297"/>
      <c r="AZ85" s="297"/>
      <c r="BA85" s="297"/>
      <c r="BB85" s="297"/>
      <c r="BC85" s="297"/>
      <c r="BD85" s="297"/>
      <c r="BE85" s="297"/>
      <c r="BF85" s="297"/>
      <c r="BG85" s="297"/>
      <c r="BH85" s="297"/>
      <c r="BI85" s="297"/>
      <c r="BJ85" s="297"/>
      <c r="BK85" s="297"/>
      <c r="BL85" s="297"/>
      <c r="BM85" s="297"/>
      <c r="BN85" s="297"/>
      <c r="BO85" s="297" t="str">
        <f>"      " &amp; TEXT(AE85,"#0.00%") &amp; " " &amp; "오픈 사전 점검" &amp; " " &amp; IF(P85="","",TEXT(P85,"M/D-")) &amp; IF(Q85="","",TEXT(Q85,"M/D")) &amp; " "</f>
        <v xml:space="preserve">      100.00% 오픈 사전 점검 9/22-10/24 </v>
      </c>
      <c r="BP85" s="297"/>
      <c r="BQ85" s="297"/>
      <c r="BR85" s="297"/>
      <c r="BS85" s="297"/>
      <c r="BT85" s="297"/>
      <c r="BU85" s="297"/>
      <c r="BV85" s="297"/>
      <c r="BW85" s="297"/>
      <c r="BX85" s="297"/>
      <c r="BY85" s="297"/>
      <c r="BZ85" s="297"/>
      <c r="CA85" s="297"/>
      <c r="CB85" s="297"/>
      <c r="CC85" s="297"/>
      <c r="CD85" s="297"/>
      <c r="CE85" s="297"/>
      <c r="CF85" s="297"/>
      <c r="CG85" s="297"/>
    </row>
    <row r="86" spans="1:85" ht="12" customHeight="1" outlineLevel="4">
      <c r="A86" s="288"/>
      <c r="B86" s="288"/>
      <c r="C86" s="288">
        <v>5</v>
      </c>
      <c r="D86" s="291" t="s">
        <v>1682</v>
      </c>
      <c r="E86" s="246"/>
      <c r="F86" s="246"/>
      <c r="G86" s="246"/>
      <c r="H86" s="246"/>
      <c r="I86" s="246" t="s">
        <v>1548</v>
      </c>
      <c r="J86" s="246"/>
      <c r="K86" s="246"/>
      <c r="L86" s="246"/>
      <c r="M86" s="246"/>
      <c r="N86" s="246"/>
      <c r="O86" s="246"/>
      <c r="P86" s="248">
        <v>45922</v>
      </c>
      <c r="Q86" s="248">
        <v>45926</v>
      </c>
      <c r="R86" s="246"/>
      <c r="S86" s="247">
        <v>0.5</v>
      </c>
      <c r="T86" s="247">
        <v>0.5</v>
      </c>
      <c r="U86" s="247">
        <v>5</v>
      </c>
      <c r="V86" s="247">
        <v>5</v>
      </c>
      <c r="W86" s="248"/>
      <c r="X86" s="248"/>
      <c r="Y86" s="265"/>
      <c r="Z86" s="266">
        <v>0</v>
      </c>
      <c r="AA86" s="247">
        <v>0.1</v>
      </c>
      <c r="AB86" s="246" t="s">
        <v>1719</v>
      </c>
      <c r="AC86" s="263"/>
      <c r="AD86" s="240">
        <v>1</v>
      </c>
      <c r="AE86" s="330">
        <v>1</v>
      </c>
      <c r="AF86" s="296"/>
      <c r="AG86" s="297"/>
      <c r="AH86" s="297"/>
      <c r="AI86" s="297"/>
      <c r="AJ86" s="297"/>
      <c r="AK86" s="297"/>
      <c r="AL86" s="297"/>
      <c r="AM86" s="297"/>
      <c r="AN86" s="297"/>
      <c r="AO86" s="297"/>
      <c r="AP86" s="297"/>
      <c r="AQ86" s="297"/>
      <c r="AR86" s="297"/>
      <c r="AS86" s="297"/>
      <c r="AT86" s="297"/>
      <c r="AU86" s="297"/>
      <c r="AV86" s="297"/>
      <c r="AW86" s="297"/>
      <c r="AX86" s="297"/>
      <c r="AY86" s="297"/>
      <c r="AZ86" s="297"/>
      <c r="BA86" s="297"/>
      <c r="BB86" s="297"/>
      <c r="BC86" s="297"/>
      <c r="BD86" s="297"/>
      <c r="BE86" s="297"/>
      <c r="BF86" s="297"/>
      <c r="BG86" s="297"/>
      <c r="BH86" s="297"/>
      <c r="BI86" s="297"/>
      <c r="BJ86" s="297"/>
      <c r="BK86" s="297" t="str">
        <f>"      " &amp; TEXT(AE86,"#0.00%") &amp; " " &amp; "오픈 사전 점검 계획수립" &amp; "(서정만님)" &amp; " " &amp; IF(P86="","",TEXT(P86,"M/D-")) &amp; IF(Q86="","",TEXT(Q86,"M/D")) &amp; " "</f>
        <v xml:space="preserve">      100.00% 오픈 사전 점검 계획수립(서정만님) 9/22-9/26 </v>
      </c>
      <c r="BL86" s="297"/>
      <c r="BM86" s="297"/>
      <c r="BN86" s="297"/>
      <c r="BO86" s="297"/>
      <c r="BP86" s="297"/>
      <c r="BQ86" s="297"/>
      <c r="BR86" s="297"/>
      <c r="BS86" s="297"/>
      <c r="BT86" s="297"/>
      <c r="BU86" s="297"/>
      <c r="BV86" s="297"/>
      <c r="BW86" s="297"/>
      <c r="BX86" s="297"/>
      <c r="BY86" s="297"/>
      <c r="BZ86" s="297"/>
      <c r="CA86" s="297"/>
      <c r="CB86" s="297"/>
      <c r="CC86" s="297"/>
      <c r="CD86" s="297"/>
      <c r="CE86" s="297"/>
      <c r="CF86" s="297"/>
      <c r="CG86" s="297"/>
    </row>
    <row r="87" spans="1:85" ht="12" customHeight="1" outlineLevel="4">
      <c r="A87" s="288"/>
      <c r="B87" s="288"/>
      <c r="C87" s="288">
        <v>5</v>
      </c>
      <c r="D87" s="291" t="s">
        <v>1683</v>
      </c>
      <c r="E87" s="246"/>
      <c r="F87" s="246"/>
      <c r="G87" s="246"/>
      <c r="H87" s="246"/>
      <c r="I87" s="246" t="s">
        <v>1549</v>
      </c>
      <c r="J87" s="246"/>
      <c r="K87" s="246"/>
      <c r="L87" s="246"/>
      <c r="M87" s="246"/>
      <c r="N87" s="246"/>
      <c r="O87" s="246"/>
      <c r="P87" s="248">
        <v>45929</v>
      </c>
      <c r="Q87" s="248">
        <v>45930</v>
      </c>
      <c r="R87" s="246"/>
      <c r="S87" s="247">
        <v>0.6</v>
      </c>
      <c r="T87" s="247">
        <v>0.6</v>
      </c>
      <c r="U87" s="247">
        <v>2</v>
      </c>
      <c r="V87" s="247">
        <v>2</v>
      </c>
      <c r="W87" s="248"/>
      <c r="X87" s="248"/>
      <c r="Y87" s="265"/>
      <c r="Z87" s="266">
        <v>0</v>
      </c>
      <c r="AA87" s="247">
        <v>0.3</v>
      </c>
      <c r="AB87" s="246" t="s">
        <v>1720</v>
      </c>
      <c r="AC87" s="263"/>
      <c r="AD87" s="240">
        <v>1</v>
      </c>
      <c r="AE87" s="304">
        <v>1</v>
      </c>
      <c r="AF87" s="296"/>
      <c r="AG87" s="297"/>
      <c r="AH87" s="297"/>
      <c r="AI87" s="297"/>
      <c r="AJ87" s="297"/>
      <c r="AK87" s="297"/>
      <c r="AL87" s="297"/>
      <c r="AM87" s="297"/>
      <c r="AN87" s="297"/>
      <c r="AO87" s="297"/>
      <c r="AP87" s="297"/>
      <c r="AQ87" s="297"/>
      <c r="AR87" s="297"/>
      <c r="AS87" s="297"/>
      <c r="AT87" s="297"/>
      <c r="AU87" s="297"/>
      <c r="AV87" s="297"/>
      <c r="AW87" s="297"/>
      <c r="AX87" s="297"/>
      <c r="AY87" s="297"/>
      <c r="AZ87" s="297"/>
      <c r="BA87" s="297"/>
      <c r="BB87" s="297"/>
      <c r="BC87" s="297"/>
      <c r="BD87" s="297"/>
      <c r="BE87" s="297"/>
      <c r="BF87" s="297"/>
      <c r="BG87" s="297"/>
      <c r="BH87" s="297"/>
      <c r="BI87" s="297"/>
      <c r="BJ87" s="297"/>
      <c r="BK87" s="297"/>
      <c r="BL87" s="297" t="str">
        <f>"   " &amp; TEXT(AE87,"#0.00%") &amp; " " &amp; "오픈 사전 테스트 수행" &amp; "(PL)" &amp; " " &amp; IF(P87="","",TEXT(P87,"M/D-")) &amp; IF(Q87="","",TEXT(Q87,"M/D")) &amp; " "</f>
        <v xml:space="preserve">   100.00% 오픈 사전 테스트 수행(PL) 9/29-9/30 </v>
      </c>
      <c r="BM87" s="297"/>
      <c r="BN87" s="297"/>
      <c r="BO87" s="297"/>
      <c r="BP87" s="297"/>
      <c r="BQ87" s="297"/>
      <c r="BR87" s="297"/>
      <c r="BS87" s="297"/>
      <c r="BT87" s="297"/>
      <c r="BU87" s="297"/>
      <c r="BV87" s="297"/>
      <c r="BW87" s="297"/>
      <c r="BX87" s="297"/>
      <c r="BY87" s="297"/>
      <c r="BZ87" s="297"/>
      <c r="CA87" s="297"/>
      <c r="CB87" s="297"/>
      <c r="CC87" s="297"/>
      <c r="CD87" s="297"/>
      <c r="CE87" s="297"/>
      <c r="CF87" s="297"/>
      <c r="CG87" s="297"/>
    </row>
    <row r="88" spans="1:85" ht="12" customHeight="1" outlineLevel="4">
      <c r="A88" s="288"/>
      <c r="B88" s="288"/>
      <c r="C88" s="288">
        <v>5</v>
      </c>
      <c r="D88" s="291" t="s">
        <v>1684</v>
      </c>
      <c r="E88" s="246"/>
      <c r="F88" s="246"/>
      <c r="G88" s="246"/>
      <c r="H88" s="246"/>
      <c r="I88" s="246" t="s">
        <v>1550</v>
      </c>
      <c r="J88" s="246"/>
      <c r="K88" s="246"/>
      <c r="L88" s="246"/>
      <c r="M88" s="246"/>
      <c r="N88" s="246"/>
      <c r="O88" s="246"/>
      <c r="P88" s="248">
        <v>45945</v>
      </c>
      <c r="Q88" s="248">
        <v>45946</v>
      </c>
      <c r="R88" s="246"/>
      <c r="S88" s="247">
        <v>2</v>
      </c>
      <c r="T88" s="247">
        <v>2</v>
      </c>
      <c r="U88" s="247">
        <v>2</v>
      </c>
      <c r="V88" s="247">
        <v>2</v>
      </c>
      <c r="W88" s="248"/>
      <c r="X88" s="248"/>
      <c r="Y88" s="265"/>
      <c r="Z88" s="266">
        <v>0</v>
      </c>
      <c r="AA88" s="247">
        <v>1</v>
      </c>
      <c r="AB88" s="246" t="s">
        <v>1720</v>
      </c>
      <c r="AC88" s="263"/>
      <c r="AD88" s="240">
        <v>1</v>
      </c>
      <c r="AE88" s="330">
        <v>1</v>
      </c>
      <c r="AF88" s="296"/>
      <c r="AG88" s="297"/>
      <c r="AH88" s="297"/>
      <c r="AI88" s="297"/>
      <c r="AJ88" s="297"/>
      <c r="AK88" s="297"/>
      <c r="AL88" s="297"/>
      <c r="AM88" s="297"/>
      <c r="AN88" s="297"/>
      <c r="AO88" s="297"/>
      <c r="AP88" s="297"/>
      <c r="AQ88" s="297"/>
      <c r="AR88" s="297"/>
      <c r="AS88" s="297"/>
      <c r="AT88" s="297"/>
      <c r="AU88" s="297"/>
      <c r="AV88" s="297"/>
      <c r="AW88" s="297"/>
      <c r="AX88" s="297"/>
      <c r="AY88" s="297"/>
      <c r="AZ88" s="297"/>
      <c r="BA88" s="297"/>
      <c r="BB88" s="297"/>
      <c r="BC88" s="297"/>
      <c r="BD88" s="297"/>
      <c r="BE88" s="297"/>
      <c r="BF88" s="297"/>
      <c r="BG88" s="297"/>
      <c r="BH88" s="297"/>
      <c r="BI88" s="297"/>
      <c r="BJ88" s="297"/>
      <c r="BK88" s="297"/>
      <c r="BL88" s="297"/>
      <c r="BM88" s="297"/>
      <c r="BN88" s="297" t="str">
        <f>"     " &amp; TEXT(AE88,"#0.00%") &amp; " " &amp; "오픈 사전 점검 수행" &amp; "(PL)" &amp; " " &amp; IF(P88="","",TEXT(P88,"M/D-")) &amp; IF(Q88="","",TEXT(Q88,"M/D")) &amp; " "</f>
        <v xml:space="preserve">     100.00% 오픈 사전 점검 수행(PL) 10/15-10/16 </v>
      </c>
      <c r="BO88" s="297"/>
      <c r="BP88" s="297"/>
      <c r="BQ88" s="297"/>
      <c r="BR88" s="297"/>
      <c r="BS88" s="297"/>
      <c r="BT88" s="297"/>
      <c r="BU88" s="297"/>
      <c r="BV88" s="297"/>
      <c r="BW88" s="297"/>
      <c r="BX88" s="297"/>
      <c r="BY88" s="297"/>
      <c r="BZ88" s="297"/>
      <c r="CA88" s="297"/>
      <c r="CB88" s="297"/>
      <c r="CC88" s="297"/>
      <c r="CD88" s="297"/>
      <c r="CE88" s="297"/>
      <c r="CF88" s="297"/>
      <c r="CG88" s="297"/>
    </row>
    <row r="89" spans="1:85" ht="12" customHeight="1" outlineLevel="4">
      <c r="A89" s="288"/>
      <c r="B89" s="288"/>
      <c r="C89" s="288">
        <v>5</v>
      </c>
      <c r="D89" s="291" t="s">
        <v>1685</v>
      </c>
      <c r="E89" s="246"/>
      <c r="F89" s="246"/>
      <c r="G89" s="246"/>
      <c r="H89" s="246"/>
      <c r="I89" s="246" t="s">
        <v>1546</v>
      </c>
      <c r="J89" s="246"/>
      <c r="K89" s="246"/>
      <c r="L89" s="246"/>
      <c r="M89" s="246"/>
      <c r="N89" s="246"/>
      <c r="O89" s="246"/>
      <c r="P89" s="248">
        <v>45950</v>
      </c>
      <c r="Q89" s="248">
        <v>45954</v>
      </c>
      <c r="R89" s="246"/>
      <c r="S89" s="247">
        <v>2.5</v>
      </c>
      <c r="T89" s="247">
        <v>2.5</v>
      </c>
      <c r="U89" s="247">
        <v>5</v>
      </c>
      <c r="V89" s="247">
        <v>5</v>
      </c>
      <c r="W89" s="248"/>
      <c r="X89" s="248"/>
      <c r="Y89" s="265"/>
      <c r="Z89" s="266">
        <v>0</v>
      </c>
      <c r="AA89" s="247">
        <v>0.5</v>
      </c>
      <c r="AB89" s="246" t="s">
        <v>1720</v>
      </c>
      <c r="AC89" s="263"/>
      <c r="AD89" s="240">
        <v>1</v>
      </c>
      <c r="AE89" s="330">
        <v>1</v>
      </c>
      <c r="AF89" s="296"/>
      <c r="AG89" s="297"/>
      <c r="AH89" s="297"/>
      <c r="AI89" s="297"/>
      <c r="AJ89" s="297"/>
      <c r="AK89" s="297"/>
      <c r="AL89" s="297"/>
      <c r="AM89" s="297"/>
      <c r="AN89" s="297"/>
      <c r="AO89" s="297"/>
      <c r="AP89" s="297"/>
      <c r="AQ89" s="297"/>
      <c r="AR89" s="297"/>
      <c r="AS89" s="297"/>
      <c r="AT89" s="297"/>
      <c r="AU89" s="297"/>
      <c r="AV89" s="297"/>
      <c r="AW89" s="297"/>
      <c r="AX89" s="297"/>
      <c r="AY89" s="297"/>
      <c r="AZ89" s="297"/>
      <c r="BA89" s="297"/>
      <c r="BB89" s="297"/>
      <c r="BC89" s="297"/>
      <c r="BD89" s="297"/>
      <c r="BE89" s="297"/>
      <c r="BF89" s="297"/>
      <c r="BG89" s="297"/>
      <c r="BH89" s="297"/>
      <c r="BI89" s="297"/>
      <c r="BJ89" s="297"/>
      <c r="BK89" s="297"/>
      <c r="BL89" s="297"/>
      <c r="BM89" s="297"/>
      <c r="BN89" s="297"/>
      <c r="BO89" s="297" t="str">
        <f>"      " &amp; TEXT(AE89,"#0.00%") &amp; " " &amp; "점검결과 개선" &amp; "(PL)" &amp; " " &amp; IF(P89="","",TEXT(P89,"M/D-")) &amp; IF(Q89="","",TEXT(Q89,"M/D")) &amp; " "</f>
        <v xml:space="preserve">      100.00% 점검결과 개선(PL) 10/20-10/24 </v>
      </c>
      <c r="BP89" s="297"/>
      <c r="BQ89" s="297"/>
      <c r="BR89" s="297"/>
      <c r="BS89" s="297"/>
      <c r="BT89" s="297"/>
      <c r="BU89" s="297"/>
      <c r="BV89" s="297"/>
      <c r="BW89" s="297"/>
      <c r="BX89" s="297"/>
      <c r="BY89" s="297"/>
      <c r="BZ89" s="297"/>
      <c r="CA89" s="297"/>
      <c r="CB89" s="297"/>
      <c r="CC89" s="297"/>
      <c r="CD89" s="297"/>
      <c r="CE89" s="297"/>
      <c r="CF89" s="297"/>
      <c r="CG89" s="297"/>
    </row>
    <row r="90" spans="1:85" ht="12" customHeight="1" outlineLevel="2">
      <c r="A90" s="288"/>
      <c r="B90" s="288" t="s">
        <v>2334</v>
      </c>
      <c r="C90" s="288">
        <v>3</v>
      </c>
      <c r="D90" s="291" t="s">
        <v>1686</v>
      </c>
      <c r="E90" s="246"/>
      <c r="F90" s="246"/>
      <c r="G90" s="246" t="s">
        <v>1551</v>
      </c>
      <c r="H90" s="246"/>
      <c r="I90" s="246"/>
      <c r="J90" s="246"/>
      <c r="K90" s="246"/>
      <c r="L90" s="246"/>
      <c r="M90" s="246"/>
      <c r="N90" s="246"/>
      <c r="O90" s="246"/>
      <c r="P90" s="248">
        <v>45866</v>
      </c>
      <c r="Q90" s="248">
        <v>45933</v>
      </c>
      <c r="R90" s="246"/>
      <c r="S90" s="247">
        <v>12.2</v>
      </c>
      <c r="T90" s="247">
        <v>12.2</v>
      </c>
      <c r="U90" s="247">
        <v>48</v>
      </c>
      <c r="V90" s="247">
        <v>48</v>
      </c>
      <c r="W90" s="248"/>
      <c r="X90" s="248"/>
      <c r="Y90" s="265">
        <v>0</v>
      </c>
      <c r="Z90" s="266">
        <v>0</v>
      </c>
      <c r="AA90" s="247"/>
      <c r="AB90" s="246"/>
      <c r="AC90" s="263"/>
      <c r="AD90" s="240">
        <v>1</v>
      </c>
      <c r="AE90" s="241">
        <v>1</v>
      </c>
      <c r="AF90" s="296"/>
      <c r="AG90" s="297"/>
      <c r="AH90" s="297"/>
      <c r="AI90" s="297"/>
      <c r="AJ90" s="297"/>
      <c r="AK90" s="297"/>
      <c r="AL90" s="297"/>
      <c r="AM90" s="297"/>
      <c r="AN90" s="297"/>
      <c r="AO90" s="297"/>
      <c r="AP90" s="297"/>
      <c r="AQ90" s="297"/>
      <c r="AR90" s="297"/>
      <c r="AS90" s="297"/>
      <c r="AT90" s="297"/>
      <c r="AU90" s="297"/>
      <c r="AV90" s="297"/>
      <c r="AW90" s="297"/>
      <c r="AX90" s="297"/>
      <c r="AY90" s="297"/>
      <c r="AZ90" s="297"/>
      <c r="BA90" s="297"/>
      <c r="BB90" s="297"/>
      <c r="BC90" s="297"/>
      <c r="BD90" s="297"/>
      <c r="BE90" s="297"/>
      <c r="BF90" s="297"/>
      <c r="BG90" s="297"/>
      <c r="BH90" s="297"/>
      <c r="BI90" s="297"/>
      <c r="BJ90" s="297"/>
      <c r="BK90" s="297"/>
      <c r="BL90" s="297" t="str">
        <f>"      " &amp; TEXT(AE90,"#0.00%") &amp; " " &amp; "시스템 점검" &amp; " " &amp; IF(P90="","",TEXT(P90,"M/D-")) &amp; IF(Q90="","",TEXT(Q90,"M/D")) &amp; " "</f>
        <v xml:space="preserve">      100.00% 시스템 점검 7/28-10/3 </v>
      </c>
      <c r="BM90" s="297"/>
      <c r="BN90" s="297"/>
      <c r="BO90" s="297"/>
      <c r="BP90" s="297"/>
      <c r="BQ90" s="297"/>
      <c r="BR90" s="297"/>
      <c r="BS90" s="297"/>
      <c r="BT90" s="297"/>
      <c r="BU90" s="297"/>
      <c r="BV90" s="297"/>
      <c r="BW90" s="297"/>
      <c r="BX90" s="297"/>
      <c r="BY90" s="297"/>
      <c r="BZ90" s="297"/>
      <c r="CA90" s="297"/>
      <c r="CB90" s="297"/>
      <c r="CC90" s="297"/>
      <c r="CD90" s="297"/>
      <c r="CE90" s="297"/>
      <c r="CF90" s="297"/>
      <c r="CG90" s="297"/>
    </row>
    <row r="91" spans="1:85" ht="12" customHeight="1" outlineLevel="3">
      <c r="A91" s="288"/>
      <c r="B91" s="288" t="s">
        <v>2334</v>
      </c>
      <c r="C91" s="288">
        <v>4</v>
      </c>
      <c r="D91" s="291" t="s">
        <v>1687</v>
      </c>
      <c r="E91" s="246"/>
      <c r="F91" s="246"/>
      <c r="G91" s="246"/>
      <c r="H91" s="246" t="s">
        <v>1552</v>
      </c>
      <c r="I91" s="246"/>
      <c r="J91" s="246"/>
      <c r="K91" s="246"/>
      <c r="L91" s="246"/>
      <c r="M91" s="246"/>
      <c r="N91" s="246"/>
      <c r="O91" s="246"/>
      <c r="P91" s="248">
        <v>45908</v>
      </c>
      <c r="Q91" s="248">
        <v>45933</v>
      </c>
      <c r="R91" s="246"/>
      <c r="S91" s="247">
        <v>6.7</v>
      </c>
      <c r="T91" s="247">
        <v>6.7</v>
      </c>
      <c r="U91" s="247">
        <v>19</v>
      </c>
      <c r="V91" s="247">
        <v>19</v>
      </c>
      <c r="W91" s="248"/>
      <c r="X91" s="248"/>
      <c r="Y91" s="265">
        <v>0</v>
      </c>
      <c r="Z91" s="266">
        <v>0</v>
      </c>
      <c r="AA91" s="247"/>
      <c r="AB91" s="246"/>
      <c r="AC91" s="263"/>
      <c r="AD91" s="240">
        <v>1</v>
      </c>
      <c r="AE91" s="241">
        <v>1</v>
      </c>
      <c r="AF91" s="296"/>
      <c r="AG91" s="297"/>
      <c r="AH91" s="297"/>
      <c r="AI91" s="297"/>
      <c r="AJ91" s="297"/>
      <c r="AK91" s="297"/>
      <c r="AL91" s="297"/>
      <c r="AM91" s="297"/>
      <c r="AN91" s="297"/>
      <c r="AO91" s="297"/>
      <c r="AP91" s="297"/>
      <c r="AQ91" s="297"/>
      <c r="AR91" s="297"/>
      <c r="AS91" s="297"/>
      <c r="AT91" s="297"/>
      <c r="AU91" s="297"/>
      <c r="AV91" s="297"/>
      <c r="AW91" s="297"/>
      <c r="AX91" s="297"/>
      <c r="AY91" s="297"/>
      <c r="AZ91" s="297"/>
      <c r="BA91" s="297"/>
      <c r="BB91" s="297"/>
      <c r="BC91" s="297"/>
      <c r="BD91" s="297"/>
      <c r="BE91" s="297"/>
      <c r="BF91" s="297"/>
      <c r="BG91" s="297"/>
      <c r="BH91" s="297"/>
      <c r="BI91" s="297"/>
      <c r="BJ91" s="297"/>
      <c r="BK91" s="297"/>
      <c r="BL91" s="297" t="str">
        <f>"      " &amp; TEXT(AE91,"#0.00%") &amp; " " &amp; "소스코드 점검" &amp; " " &amp; IF(P91="","",TEXT(P91,"M/D-")) &amp; IF(Q91="","",TEXT(Q91,"M/D")) &amp; " "</f>
        <v xml:space="preserve">      100.00% 소스코드 점검 9/8-10/3 </v>
      </c>
      <c r="BM91" s="297"/>
      <c r="BN91" s="297"/>
      <c r="BO91" s="297"/>
      <c r="BP91" s="297"/>
      <c r="BQ91" s="297"/>
      <c r="BR91" s="297"/>
      <c r="BS91" s="297"/>
      <c r="BT91" s="297"/>
      <c r="BU91" s="297"/>
      <c r="BV91" s="297"/>
      <c r="BW91" s="297"/>
      <c r="BX91" s="297"/>
      <c r="BY91" s="297"/>
      <c r="BZ91" s="297"/>
      <c r="CA91" s="297"/>
      <c r="CB91" s="297"/>
      <c r="CC91" s="297"/>
      <c r="CD91" s="297"/>
      <c r="CE91" s="297"/>
      <c r="CF91" s="297"/>
      <c r="CG91" s="297"/>
    </row>
    <row r="92" spans="1:85" ht="12" customHeight="1" outlineLevel="4">
      <c r="A92" s="288"/>
      <c r="B92" s="288"/>
      <c r="C92" s="288">
        <v>5</v>
      </c>
      <c r="D92" s="291" t="s">
        <v>1688</v>
      </c>
      <c r="E92" s="246"/>
      <c r="F92" s="246"/>
      <c r="G92" s="246"/>
      <c r="H92" s="246"/>
      <c r="I92" s="246" t="s">
        <v>1553</v>
      </c>
      <c r="J92" s="246"/>
      <c r="K92" s="246"/>
      <c r="L92" s="246"/>
      <c r="M92" s="246"/>
      <c r="N92" s="246"/>
      <c r="O92" s="246"/>
      <c r="P92" s="248">
        <v>45908</v>
      </c>
      <c r="Q92" s="248">
        <v>45912</v>
      </c>
      <c r="R92" s="246"/>
      <c r="S92" s="247">
        <v>2.5</v>
      </c>
      <c r="T92" s="247">
        <v>2.5</v>
      </c>
      <c r="U92" s="247">
        <v>5</v>
      </c>
      <c r="V92" s="247">
        <v>5</v>
      </c>
      <c r="W92" s="248"/>
      <c r="X92" s="248"/>
      <c r="Y92" s="265"/>
      <c r="Z92" s="266">
        <v>0</v>
      </c>
      <c r="AA92" s="247">
        <v>0.5</v>
      </c>
      <c r="AB92" s="246" t="s">
        <v>1720</v>
      </c>
      <c r="AC92" s="263"/>
      <c r="AD92" s="240">
        <v>1</v>
      </c>
      <c r="AE92" s="304">
        <v>1</v>
      </c>
      <c r="AF92" s="296"/>
      <c r="AG92" s="297"/>
      <c r="AH92" s="297"/>
      <c r="AI92" s="297"/>
      <c r="AJ92" s="297"/>
      <c r="AK92" s="297"/>
      <c r="AL92" s="297"/>
      <c r="AM92" s="297"/>
      <c r="AN92" s="297"/>
      <c r="AO92" s="297"/>
      <c r="AP92" s="297"/>
      <c r="AQ92" s="297"/>
      <c r="AR92" s="297"/>
      <c r="AS92" s="297"/>
      <c r="AT92" s="297"/>
      <c r="AU92" s="297"/>
      <c r="AV92" s="297"/>
      <c r="AW92" s="297"/>
      <c r="AX92" s="297"/>
      <c r="AY92" s="297"/>
      <c r="AZ92" s="297"/>
      <c r="BA92" s="297"/>
      <c r="BB92" s="297"/>
      <c r="BC92" s="297"/>
      <c r="BD92" s="297"/>
      <c r="BE92" s="297"/>
      <c r="BF92" s="297"/>
      <c r="BG92" s="297"/>
      <c r="BH92" s="297"/>
      <c r="BI92" s="297" t="str">
        <f>"      " &amp; TEXT(AE92,"#0.00%") &amp; " " &amp; "소스점검 수행" &amp; "(PL)" &amp; " " &amp; IF(P92="","",TEXT(P92,"M/D-")) &amp; IF(Q92="","",TEXT(Q92,"M/D")) &amp; " "</f>
        <v xml:space="preserve">      100.00% 소스점검 수행(PL) 9/8-9/12 </v>
      </c>
      <c r="BJ92" s="297"/>
      <c r="BK92" s="297"/>
      <c r="BL92" s="297"/>
      <c r="BM92" s="297"/>
      <c r="BN92" s="297"/>
      <c r="BO92" s="297"/>
      <c r="BP92" s="297"/>
      <c r="BQ92" s="297"/>
      <c r="BR92" s="297"/>
      <c r="BS92" s="297"/>
      <c r="BT92" s="297"/>
      <c r="BU92" s="297"/>
      <c r="BV92" s="297"/>
      <c r="BW92" s="297"/>
      <c r="BX92" s="297"/>
      <c r="BY92" s="297"/>
      <c r="BZ92" s="297"/>
      <c r="CA92" s="297"/>
      <c r="CB92" s="297"/>
      <c r="CC92" s="297"/>
      <c r="CD92" s="297"/>
      <c r="CE92" s="297"/>
      <c r="CF92" s="297"/>
      <c r="CG92" s="297"/>
    </row>
    <row r="93" spans="1:85" ht="12" customHeight="1" outlineLevel="4">
      <c r="A93" s="288"/>
      <c r="B93" s="288"/>
      <c r="C93" s="288">
        <v>5</v>
      </c>
      <c r="D93" s="291" t="s">
        <v>1689</v>
      </c>
      <c r="E93" s="246"/>
      <c r="F93" s="246"/>
      <c r="G93" s="246"/>
      <c r="H93" s="246"/>
      <c r="I93" s="246" t="s">
        <v>1546</v>
      </c>
      <c r="J93" s="246"/>
      <c r="K93" s="246"/>
      <c r="L93" s="246"/>
      <c r="M93" s="246"/>
      <c r="N93" s="246"/>
      <c r="O93" s="246"/>
      <c r="P93" s="248">
        <v>45915</v>
      </c>
      <c r="Q93" s="248">
        <v>45933</v>
      </c>
      <c r="R93" s="246"/>
      <c r="S93" s="247">
        <v>4.2</v>
      </c>
      <c r="T93" s="247">
        <v>4.2</v>
      </c>
      <c r="U93" s="247">
        <v>14</v>
      </c>
      <c r="V93" s="247">
        <v>14</v>
      </c>
      <c r="W93" s="248"/>
      <c r="X93" s="248"/>
      <c r="Y93" s="265"/>
      <c r="Z93" s="266">
        <v>0</v>
      </c>
      <c r="AA93" s="247">
        <v>0.3</v>
      </c>
      <c r="AB93" s="246" t="s">
        <v>1720</v>
      </c>
      <c r="AC93" s="263"/>
      <c r="AD93" s="240">
        <v>1</v>
      </c>
      <c r="AE93" s="330">
        <v>1</v>
      </c>
      <c r="AF93" s="296"/>
      <c r="AG93" s="297"/>
      <c r="AH93" s="297"/>
      <c r="AI93" s="297"/>
      <c r="AJ93" s="297"/>
      <c r="AK93" s="297"/>
      <c r="AL93" s="297"/>
      <c r="AM93" s="297"/>
      <c r="AN93" s="297"/>
      <c r="AO93" s="297"/>
      <c r="AP93" s="297"/>
      <c r="AQ93" s="297"/>
      <c r="AR93" s="297"/>
      <c r="AS93" s="297"/>
      <c r="AT93" s="297"/>
      <c r="AU93" s="297"/>
      <c r="AV93" s="297"/>
      <c r="AW93" s="297"/>
      <c r="AX93" s="297"/>
      <c r="AY93" s="297"/>
      <c r="AZ93" s="297"/>
      <c r="BA93" s="297"/>
      <c r="BB93" s="297"/>
      <c r="BC93" s="297"/>
      <c r="BD93" s="297"/>
      <c r="BE93" s="297"/>
      <c r="BF93" s="297"/>
      <c r="BG93" s="297"/>
      <c r="BH93" s="297"/>
      <c r="BI93" s="297"/>
      <c r="BJ93" s="297"/>
      <c r="BK93" s="297"/>
      <c r="BL93" s="297" t="str">
        <f>"      " &amp; TEXT(AE93,"#0.00%") &amp; " " &amp; "점검결과 개선" &amp; "(PL)" &amp; " " &amp; IF(P93="","",TEXT(P93,"M/D-")) &amp; IF(Q93="","",TEXT(Q93,"M/D")) &amp; " "</f>
        <v xml:space="preserve">      100.00% 점검결과 개선(PL) 9/15-10/3 </v>
      </c>
      <c r="BM93" s="297"/>
      <c r="BN93" s="297"/>
      <c r="BO93" s="297"/>
      <c r="BP93" s="297"/>
      <c r="BQ93" s="297"/>
      <c r="BR93" s="297"/>
      <c r="BS93" s="297"/>
      <c r="BT93" s="297"/>
      <c r="BU93" s="297"/>
      <c r="BV93" s="297"/>
      <c r="BW93" s="297"/>
      <c r="BX93" s="297"/>
      <c r="BY93" s="297"/>
      <c r="BZ93" s="297"/>
      <c r="CA93" s="297"/>
      <c r="CB93" s="297"/>
      <c r="CC93" s="297"/>
      <c r="CD93" s="297"/>
      <c r="CE93" s="297"/>
      <c r="CF93" s="297"/>
      <c r="CG93" s="297"/>
    </row>
    <row r="94" spans="1:85" ht="12" customHeight="1" outlineLevel="3">
      <c r="A94" s="288"/>
      <c r="B94" s="288" t="s">
        <v>2334</v>
      </c>
      <c r="C94" s="288">
        <v>4</v>
      </c>
      <c r="D94" s="291" t="s">
        <v>1690</v>
      </c>
      <c r="E94" s="246"/>
      <c r="F94" s="246"/>
      <c r="G94" s="246"/>
      <c r="H94" s="246" t="s">
        <v>1554</v>
      </c>
      <c r="I94" s="246"/>
      <c r="J94" s="246"/>
      <c r="K94" s="246"/>
      <c r="L94" s="246"/>
      <c r="M94" s="246"/>
      <c r="N94" s="246"/>
      <c r="O94" s="246"/>
      <c r="P94" s="248">
        <v>45866</v>
      </c>
      <c r="Q94" s="248">
        <v>45933</v>
      </c>
      <c r="R94" s="246"/>
      <c r="S94" s="247">
        <v>5.5</v>
      </c>
      <c r="T94" s="247">
        <v>5.5</v>
      </c>
      <c r="U94" s="247">
        <v>48</v>
      </c>
      <c r="V94" s="247">
        <v>48</v>
      </c>
      <c r="W94" s="248"/>
      <c r="X94" s="248"/>
      <c r="Y94" s="265">
        <v>0</v>
      </c>
      <c r="Z94" s="266">
        <v>0</v>
      </c>
      <c r="AA94" s="247"/>
      <c r="AB94" s="246"/>
      <c r="AC94" s="263"/>
      <c r="AD94" s="240">
        <v>1</v>
      </c>
      <c r="AE94" s="241">
        <v>1</v>
      </c>
      <c r="AF94" s="296"/>
      <c r="AG94" s="297"/>
      <c r="AH94" s="297"/>
      <c r="AI94" s="297"/>
      <c r="AJ94" s="297"/>
      <c r="AK94" s="297"/>
      <c r="AL94" s="297"/>
      <c r="AM94" s="297"/>
      <c r="AN94" s="297"/>
      <c r="AO94" s="297"/>
      <c r="AP94" s="297"/>
      <c r="AQ94" s="297"/>
      <c r="AR94" s="297"/>
      <c r="AS94" s="297"/>
      <c r="AT94" s="297"/>
      <c r="AU94" s="297"/>
      <c r="AV94" s="297"/>
      <c r="AW94" s="297"/>
      <c r="AX94" s="297"/>
      <c r="AY94" s="297"/>
      <c r="AZ94" s="297"/>
      <c r="BA94" s="297"/>
      <c r="BB94" s="297"/>
      <c r="BC94" s="297"/>
      <c r="BD94" s="297"/>
      <c r="BE94" s="297"/>
      <c r="BF94" s="297"/>
      <c r="BG94" s="297"/>
      <c r="BH94" s="297"/>
      <c r="BI94" s="297"/>
      <c r="BJ94" s="297"/>
      <c r="BK94" s="297"/>
      <c r="BL94" s="297" t="str">
        <f>"      " &amp; TEXT(AE94,"#0.00%") &amp; " " &amp; "보안 점검" &amp; " " &amp; IF(P94="","",TEXT(P94,"M/D-")) &amp; IF(Q94="","",TEXT(Q94,"M/D")) &amp; " "</f>
        <v xml:space="preserve">      100.00% 보안 점검 7/28-10/3 </v>
      </c>
      <c r="BM94" s="297"/>
      <c r="BN94" s="297"/>
      <c r="BO94" s="297"/>
      <c r="BP94" s="297"/>
      <c r="BQ94" s="297"/>
      <c r="BR94" s="297"/>
      <c r="BS94" s="297"/>
      <c r="BT94" s="297"/>
      <c r="BU94" s="297"/>
      <c r="BV94" s="297"/>
      <c r="BW94" s="297"/>
      <c r="BX94" s="297"/>
      <c r="BY94" s="297"/>
      <c r="BZ94" s="297"/>
      <c r="CA94" s="297"/>
      <c r="CB94" s="297"/>
      <c r="CC94" s="297"/>
      <c r="CD94" s="297"/>
      <c r="CE94" s="297"/>
      <c r="CF94" s="297"/>
      <c r="CG94" s="297"/>
    </row>
    <row r="95" spans="1:85" ht="12" customHeight="1" outlineLevel="4">
      <c r="A95" s="288"/>
      <c r="B95" s="288"/>
      <c r="C95" s="288">
        <v>5</v>
      </c>
      <c r="D95" s="291" t="s">
        <v>1691</v>
      </c>
      <c r="E95" s="246"/>
      <c r="F95" s="246"/>
      <c r="G95" s="246"/>
      <c r="H95" s="246"/>
      <c r="I95" s="314" t="s">
        <v>2479</v>
      </c>
      <c r="J95" s="314"/>
      <c r="K95" s="314"/>
      <c r="L95" s="314"/>
      <c r="M95" s="314"/>
      <c r="N95" s="314"/>
      <c r="O95" s="244" t="s">
        <v>2246</v>
      </c>
      <c r="P95" s="248">
        <v>45866</v>
      </c>
      <c r="Q95" s="248">
        <v>45870</v>
      </c>
      <c r="R95" s="246"/>
      <c r="S95" s="247">
        <v>0.5</v>
      </c>
      <c r="T95" s="247">
        <v>0.5</v>
      </c>
      <c r="U95" s="247">
        <v>5</v>
      </c>
      <c r="V95" s="247">
        <v>5</v>
      </c>
      <c r="W95" s="248"/>
      <c r="X95" s="248"/>
      <c r="Y95" s="265"/>
      <c r="Z95" s="266">
        <v>0</v>
      </c>
      <c r="AA95" s="247">
        <v>0.1</v>
      </c>
      <c r="AB95" s="246" t="s">
        <v>1719</v>
      </c>
      <c r="AC95" s="263"/>
      <c r="AD95" s="240">
        <v>1</v>
      </c>
      <c r="AE95" s="304">
        <v>1</v>
      </c>
      <c r="AF95" s="296"/>
      <c r="AG95" s="297"/>
      <c r="AH95" s="297"/>
      <c r="AI95" s="297"/>
      <c r="AJ95" s="297"/>
      <c r="AK95" s="297"/>
      <c r="AL95" s="297"/>
      <c r="AM95" s="297"/>
      <c r="AN95" s="297"/>
      <c r="AO95" s="297"/>
      <c r="AP95" s="297"/>
      <c r="AQ95" s="297"/>
      <c r="AR95" s="297"/>
      <c r="AS95" s="297"/>
      <c r="AT95" s="297"/>
      <c r="AU95" s="297"/>
      <c r="AV95" s="297"/>
      <c r="AW95" s="297"/>
      <c r="AX95" s="297"/>
      <c r="AY95" s="297"/>
      <c r="AZ95" s="297"/>
      <c r="BA95" s="297"/>
      <c r="BB95" s="297"/>
      <c r="BC95" s="297" t="str">
        <f>"      " &amp; TEXT(AE95,"#0.00%") &amp; " " &amp; "1차 보안점검 계획수립/ 수행" &amp; "(서정만님)" &amp; " " &amp; IF(P95="","",TEXT(P95,"M/D-")) &amp; IF(Q95="","",TEXT(Q95,"M/D")) &amp; " "</f>
        <v xml:space="preserve">      100.00% 1차 보안점검 계획수립/ 수행(서정만님) 7/28-8/1 </v>
      </c>
      <c r="BD95" s="297"/>
      <c r="BE95" s="297"/>
      <c r="BF95" s="297"/>
      <c r="BG95" s="297"/>
      <c r="BH95" s="297"/>
      <c r="BI95" s="297"/>
      <c r="BJ95" s="297"/>
      <c r="BK95" s="297"/>
      <c r="BL95" s="297"/>
      <c r="BM95" s="297"/>
      <c r="BN95" s="297"/>
      <c r="BO95" s="297"/>
      <c r="BP95" s="297"/>
      <c r="BQ95" s="297"/>
      <c r="BR95" s="297"/>
      <c r="BS95" s="297"/>
      <c r="BT95" s="297"/>
      <c r="BU95" s="297"/>
      <c r="BV95" s="297"/>
      <c r="BW95" s="297"/>
      <c r="BX95" s="297"/>
      <c r="BY95" s="297"/>
      <c r="BZ95" s="297"/>
      <c r="CA95" s="297"/>
      <c r="CB95" s="297"/>
      <c r="CC95" s="297"/>
      <c r="CD95" s="297"/>
      <c r="CE95" s="297"/>
      <c r="CF95" s="297"/>
      <c r="CG95" s="297"/>
    </row>
    <row r="96" spans="1:85" ht="12" customHeight="1" outlineLevel="4">
      <c r="A96" s="288"/>
      <c r="B96" s="288"/>
      <c r="C96" s="288">
        <v>5</v>
      </c>
      <c r="D96" s="291" t="s">
        <v>1692</v>
      </c>
      <c r="E96" s="246"/>
      <c r="F96" s="246"/>
      <c r="G96" s="246"/>
      <c r="H96" s="246"/>
      <c r="I96" s="314" t="s">
        <v>2212</v>
      </c>
      <c r="J96" s="314"/>
      <c r="K96" s="314"/>
      <c r="L96" s="314"/>
      <c r="M96" s="314"/>
      <c r="N96" s="314"/>
      <c r="O96" s="314"/>
      <c r="P96" s="248">
        <v>45873</v>
      </c>
      <c r="Q96" s="248">
        <v>45878</v>
      </c>
      <c r="R96" s="246"/>
      <c r="S96" s="247">
        <v>2.5</v>
      </c>
      <c r="T96" s="247">
        <v>2.5</v>
      </c>
      <c r="U96" s="247">
        <v>5</v>
      </c>
      <c r="V96" s="247">
        <v>5</v>
      </c>
      <c r="W96" s="248"/>
      <c r="X96" s="248"/>
      <c r="Y96" s="265"/>
      <c r="Z96" s="266">
        <v>0</v>
      </c>
      <c r="AA96" s="247">
        <v>0.5</v>
      </c>
      <c r="AB96" s="246" t="s">
        <v>1720</v>
      </c>
      <c r="AC96" s="263"/>
      <c r="AD96" s="240">
        <v>1</v>
      </c>
      <c r="AE96" s="304">
        <v>1</v>
      </c>
      <c r="AF96" s="296"/>
      <c r="AG96" s="297"/>
      <c r="AH96" s="297"/>
      <c r="AI96" s="297"/>
      <c r="AJ96" s="297"/>
      <c r="AK96" s="297"/>
      <c r="AL96" s="297"/>
      <c r="AM96" s="297"/>
      <c r="AN96" s="297"/>
      <c r="AO96" s="297"/>
      <c r="AP96" s="297"/>
      <c r="AQ96" s="297"/>
      <c r="AR96" s="297"/>
      <c r="AS96" s="297"/>
      <c r="AT96" s="297"/>
      <c r="AU96" s="297"/>
      <c r="AV96" s="297"/>
      <c r="AW96" s="297"/>
      <c r="AX96" s="297"/>
      <c r="AY96" s="297"/>
      <c r="AZ96" s="297"/>
      <c r="BA96" s="297"/>
      <c r="BB96" s="297"/>
      <c r="BC96" s="297"/>
      <c r="BD96" s="297"/>
      <c r="BE96" s="297" t="str">
        <f>"" &amp; TEXT(AE96,"#0.00%") &amp; " " &amp; "1차 점검결과 개선" &amp; "(PL)" &amp; " " &amp; IF(P96="","",TEXT(P96,"M/D-")) &amp; IF(Q96="","",TEXT(Q96,"M/D")) &amp; " "</f>
        <v xml:space="preserve">100.00% 1차 점검결과 개선(PL) 8/4-8/9 </v>
      </c>
      <c r="BF96" s="297"/>
      <c r="BG96" s="297"/>
      <c r="BH96" s="297"/>
      <c r="BI96" s="297"/>
      <c r="BJ96" s="297"/>
      <c r="BK96" s="297"/>
      <c r="BL96" s="297"/>
      <c r="BM96" s="297"/>
      <c r="BN96" s="297"/>
      <c r="BO96" s="297"/>
      <c r="BP96" s="297"/>
      <c r="BQ96" s="297"/>
      <c r="BR96" s="297"/>
      <c r="BS96" s="297"/>
      <c r="BT96" s="297"/>
      <c r="BU96" s="297"/>
      <c r="BV96" s="297"/>
      <c r="BW96" s="297"/>
      <c r="BX96" s="297"/>
      <c r="BY96" s="297"/>
      <c r="BZ96" s="297"/>
      <c r="CA96" s="297"/>
      <c r="CB96" s="297"/>
      <c r="CC96" s="297"/>
      <c r="CD96" s="297"/>
      <c r="CE96" s="297"/>
      <c r="CF96" s="297"/>
      <c r="CG96" s="297"/>
    </row>
    <row r="97" spans="1:85" ht="12" customHeight="1" outlineLevel="4">
      <c r="A97" s="288"/>
      <c r="B97" s="288"/>
      <c r="C97" s="288">
        <v>5</v>
      </c>
      <c r="D97" s="291" t="s">
        <v>1693</v>
      </c>
      <c r="E97" s="246"/>
      <c r="F97" s="246"/>
      <c r="G97" s="246"/>
      <c r="H97" s="246"/>
      <c r="I97" s="314" t="s">
        <v>2480</v>
      </c>
      <c r="J97" s="314"/>
      <c r="K97" s="314"/>
      <c r="L97" s="314"/>
      <c r="M97" s="314"/>
      <c r="N97" s="314"/>
      <c r="O97" s="244" t="s">
        <v>2246</v>
      </c>
      <c r="P97" s="248">
        <v>45922</v>
      </c>
      <c r="Q97" s="248">
        <v>45926</v>
      </c>
      <c r="R97" s="246"/>
      <c r="S97" s="247">
        <v>0.5</v>
      </c>
      <c r="T97" s="247">
        <v>0.5</v>
      </c>
      <c r="U97" s="247">
        <v>5</v>
      </c>
      <c r="V97" s="247">
        <v>5</v>
      </c>
      <c r="W97" s="248"/>
      <c r="X97" s="248"/>
      <c r="Y97" s="265"/>
      <c r="Z97" s="266">
        <v>0</v>
      </c>
      <c r="AA97" s="247">
        <v>0.1</v>
      </c>
      <c r="AB97" s="246" t="s">
        <v>1719</v>
      </c>
      <c r="AC97" s="263"/>
      <c r="AD97" s="240">
        <v>1</v>
      </c>
      <c r="AE97" s="330">
        <v>1</v>
      </c>
      <c r="AF97" s="296"/>
      <c r="AG97" s="297"/>
      <c r="AH97" s="297"/>
      <c r="AI97" s="297"/>
      <c r="AJ97" s="297"/>
      <c r="AK97" s="297"/>
      <c r="AL97" s="297"/>
      <c r="AM97" s="297"/>
      <c r="AN97" s="297"/>
      <c r="AO97" s="297"/>
      <c r="AP97" s="297"/>
      <c r="AQ97" s="297"/>
      <c r="AR97" s="297"/>
      <c r="AS97" s="297"/>
      <c r="AT97" s="297"/>
      <c r="AU97" s="297"/>
      <c r="AV97" s="297"/>
      <c r="AW97" s="297"/>
      <c r="AX97" s="297"/>
      <c r="AY97" s="297"/>
      <c r="AZ97" s="297"/>
      <c r="BA97" s="297"/>
      <c r="BB97" s="297"/>
      <c r="BC97" s="297"/>
      <c r="BD97" s="297"/>
      <c r="BE97" s="297"/>
      <c r="BF97" s="297"/>
      <c r="BG97" s="297"/>
      <c r="BH97" s="297"/>
      <c r="BI97" s="297"/>
      <c r="BJ97" s="297"/>
      <c r="BK97" s="297" t="str">
        <f>"      " &amp; TEXT(AE97,"#0.00%") &amp; " " &amp; "2차 보안점검 계획수립/ 수행" &amp; "(서정만님)" &amp; " " &amp; IF(P97="","",TEXT(P97,"M/D-")) &amp; IF(Q97="","",TEXT(Q97,"M/D")) &amp; " "</f>
        <v xml:space="preserve">      100.00% 2차 보안점검 계획수립/ 수행(서정만님) 9/22-9/26 </v>
      </c>
      <c r="BL97" s="297"/>
      <c r="BM97" s="297"/>
      <c r="BN97" s="297"/>
      <c r="BO97" s="297"/>
      <c r="BP97" s="297"/>
      <c r="BQ97" s="297"/>
      <c r="BR97" s="297"/>
      <c r="BS97" s="297"/>
      <c r="BT97" s="297"/>
      <c r="BU97" s="297"/>
      <c r="BV97" s="297"/>
      <c r="BW97" s="297"/>
      <c r="BX97" s="297"/>
      <c r="BY97" s="297"/>
      <c r="BZ97" s="297"/>
      <c r="CA97" s="297"/>
      <c r="CB97" s="297"/>
      <c r="CC97" s="297"/>
      <c r="CD97" s="297"/>
      <c r="CE97" s="297"/>
      <c r="CF97" s="297"/>
      <c r="CG97" s="297"/>
    </row>
    <row r="98" spans="1:85" ht="12" customHeight="1" outlineLevel="4">
      <c r="A98" s="288"/>
      <c r="B98" s="288"/>
      <c r="C98" s="288">
        <v>5</v>
      </c>
      <c r="D98" s="291" t="s">
        <v>2335</v>
      </c>
      <c r="E98" s="246"/>
      <c r="F98" s="246"/>
      <c r="G98" s="246"/>
      <c r="H98" s="246"/>
      <c r="I98" s="314" t="s">
        <v>2211</v>
      </c>
      <c r="J98" s="314"/>
      <c r="K98" s="314"/>
      <c r="L98" s="314"/>
      <c r="M98" s="314"/>
      <c r="N98" s="314"/>
      <c r="O98" s="314"/>
      <c r="P98" s="248">
        <v>45929</v>
      </c>
      <c r="Q98" s="248">
        <v>45933</v>
      </c>
      <c r="R98" s="246"/>
      <c r="S98" s="247">
        <v>2</v>
      </c>
      <c r="T98" s="247">
        <v>2</v>
      </c>
      <c r="U98" s="247">
        <v>4</v>
      </c>
      <c r="V98" s="247">
        <v>4</v>
      </c>
      <c r="W98" s="248"/>
      <c r="X98" s="248"/>
      <c r="Y98" s="265"/>
      <c r="Z98" s="266">
        <v>0</v>
      </c>
      <c r="AA98" s="247">
        <v>0.5</v>
      </c>
      <c r="AB98" s="246" t="s">
        <v>1720</v>
      </c>
      <c r="AC98" s="263"/>
      <c r="AD98" s="240">
        <v>1</v>
      </c>
      <c r="AE98" s="304">
        <v>1</v>
      </c>
      <c r="AF98" s="296"/>
      <c r="AG98" s="297"/>
      <c r="AH98" s="297"/>
      <c r="AI98" s="297"/>
      <c r="AJ98" s="297"/>
      <c r="AK98" s="297"/>
      <c r="AL98" s="297"/>
      <c r="AM98" s="297"/>
      <c r="AN98" s="297"/>
      <c r="AO98" s="297"/>
      <c r="AP98" s="297"/>
      <c r="AQ98" s="297"/>
      <c r="AR98" s="297"/>
      <c r="AS98" s="297"/>
      <c r="AT98" s="297"/>
      <c r="AU98" s="297"/>
      <c r="AV98" s="297"/>
      <c r="AW98" s="297"/>
      <c r="AX98" s="297"/>
      <c r="AY98" s="297"/>
      <c r="AZ98" s="297"/>
      <c r="BA98" s="297"/>
      <c r="BB98" s="297"/>
      <c r="BC98" s="297"/>
      <c r="BD98" s="297"/>
      <c r="BE98" s="297"/>
      <c r="BF98" s="297"/>
      <c r="BG98" s="297"/>
      <c r="BH98" s="297"/>
      <c r="BI98" s="297"/>
      <c r="BJ98" s="297"/>
      <c r="BK98" s="297"/>
      <c r="BL98" s="297" t="str">
        <f>"      " &amp; TEXT(AE98,"#0.00%") &amp; " " &amp; "2차 점검결과 개선" &amp; "(PL)" &amp; " " &amp; IF(P98="","",TEXT(P98,"M/D-")) &amp; IF(Q98="","",TEXT(Q98,"M/D")) &amp; " "</f>
        <v xml:space="preserve">      100.00% 2차 점검결과 개선(PL) 9/29-10/3 </v>
      </c>
      <c r="BM98" s="297"/>
      <c r="BN98" s="297"/>
      <c r="BO98" s="297"/>
      <c r="BP98" s="297"/>
      <c r="BQ98" s="297"/>
      <c r="BR98" s="297"/>
      <c r="BS98" s="297"/>
      <c r="BT98" s="297"/>
      <c r="BU98" s="297"/>
      <c r="BV98" s="297"/>
      <c r="BW98" s="297"/>
      <c r="BX98" s="297"/>
      <c r="BY98" s="297"/>
      <c r="BZ98" s="297"/>
      <c r="CA98" s="297"/>
      <c r="CB98" s="297"/>
      <c r="CC98" s="297"/>
      <c r="CD98" s="297"/>
      <c r="CE98" s="297"/>
      <c r="CF98" s="297"/>
      <c r="CG98" s="297"/>
    </row>
    <row r="99" spans="1:85" ht="12" customHeight="1" outlineLevel="1">
      <c r="A99" s="288"/>
      <c r="B99" s="288" t="s">
        <v>2334</v>
      </c>
      <c r="C99" s="288">
        <v>2</v>
      </c>
      <c r="D99" s="291" t="s">
        <v>1432</v>
      </c>
      <c r="E99" s="246"/>
      <c r="F99" s="246" t="s">
        <v>1559</v>
      </c>
      <c r="G99" s="246"/>
      <c r="H99" s="246"/>
      <c r="I99" s="246"/>
      <c r="J99" s="246"/>
      <c r="K99" s="246"/>
      <c r="L99" s="246"/>
      <c r="M99" s="246"/>
      <c r="N99" s="246"/>
      <c r="O99" s="246"/>
      <c r="P99" s="248">
        <v>46058</v>
      </c>
      <c r="Q99" s="248">
        <v>46066</v>
      </c>
      <c r="R99" s="246"/>
      <c r="S99" s="247">
        <v>5.2</v>
      </c>
      <c r="T99" s="247">
        <v>5.2</v>
      </c>
      <c r="U99" s="247">
        <v>7</v>
      </c>
      <c r="V99" s="247">
        <v>7</v>
      </c>
      <c r="W99" s="248"/>
      <c r="X99" s="248"/>
      <c r="Y99" s="265">
        <v>0</v>
      </c>
      <c r="Z99" s="266">
        <v>0</v>
      </c>
      <c r="AA99" s="247"/>
      <c r="AB99" s="246"/>
      <c r="AC99" s="263"/>
      <c r="AD99" s="240">
        <v>1</v>
      </c>
      <c r="AE99" s="241">
        <v>1</v>
      </c>
      <c r="AF99" s="296"/>
      <c r="AG99" s="297"/>
      <c r="AH99" s="297"/>
      <c r="AI99" s="297"/>
      <c r="AJ99" s="297"/>
      <c r="AK99" s="297"/>
      <c r="AL99" s="297"/>
      <c r="AM99" s="297"/>
      <c r="AN99" s="297"/>
      <c r="AO99" s="297"/>
      <c r="AP99" s="297"/>
      <c r="AQ99" s="297"/>
      <c r="AR99" s="297"/>
      <c r="AS99" s="297"/>
      <c r="AT99" s="297"/>
      <c r="AU99" s="297"/>
      <c r="AV99" s="297"/>
      <c r="AW99" s="297"/>
      <c r="AX99" s="297"/>
      <c r="AY99" s="297"/>
      <c r="AZ99" s="297"/>
      <c r="BA99" s="297"/>
      <c r="BB99" s="297"/>
      <c r="BC99" s="297"/>
      <c r="BD99" s="297"/>
      <c r="BE99" s="297"/>
      <c r="BF99" s="297"/>
      <c r="BG99" s="297"/>
      <c r="BH99" s="297"/>
      <c r="BI99" s="297"/>
      <c r="BJ99" s="297"/>
      <c r="BK99" s="297"/>
      <c r="BL99" s="297"/>
      <c r="BM99" s="297"/>
      <c r="BN99" s="297"/>
      <c r="BO99" s="297"/>
      <c r="BP99" s="297"/>
      <c r="BQ99" s="297"/>
      <c r="BR99" s="297"/>
      <c r="BS99" s="297"/>
      <c r="BT99" s="297"/>
      <c r="BU99" s="297"/>
      <c r="BV99" s="297"/>
      <c r="BW99" s="297"/>
      <c r="BX99" s="297"/>
      <c r="BY99" s="297"/>
      <c r="BZ99" s="297"/>
      <c r="CA99" s="297"/>
      <c r="CB99" s="297"/>
      <c r="CC99" s="297"/>
      <c r="CD99" s="297"/>
      <c r="CE99" s="297" t="str">
        <f>"      " &amp; TEXT(AE99,"#0.00%") &amp; " " &amp; "프로젝트 구축 종료" &amp; " " &amp; IF(P99="","",TEXT(P99,"M/D-")) &amp; IF(Q99="","",TEXT(Q99,"M/D")) &amp; " "</f>
        <v xml:space="preserve">      100.00% 프로젝트 구축 종료 2/5-2/13 </v>
      </c>
      <c r="CF99" s="297"/>
      <c r="CG99" s="297"/>
    </row>
    <row r="100" spans="1:85" ht="12" customHeight="1" outlineLevel="2">
      <c r="A100" s="288"/>
      <c r="B100" s="288" t="s">
        <v>2334</v>
      </c>
      <c r="C100" s="288">
        <v>3</v>
      </c>
      <c r="D100" s="291" t="s">
        <v>1430</v>
      </c>
      <c r="E100" s="246"/>
      <c r="F100" s="246"/>
      <c r="G100" s="246" t="s">
        <v>1560</v>
      </c>
      <c r="H100" s="246"/>
      <c r="I100" s="246"/>
      <c r="J100" s="246"/>
      <c r="K100" s="246"/>
      <c r="L100" s="246"/>
      <c r="M100" s="246"/>
      <c r="N100" s="246"/>
      <c r="O100" s="246"/>
      <c r="P100" s="248">
        <v>46058</v>
      </c>
      <c r="Q100" s="248">
        <v>46066</v>
      </c>
      <c r="R100" s="246"/>
      <c r="S100" s="247">
        <v>5.2</v>
      </c>
      <c r="T100" s="247">
        <v>5.2</v>
      </c>
      <c r="U100" s="247">
        <v>7</v>
      </c>
      <c r="V100" s="247">
        <v>7</v>
      </c>
      <c r="W100" s="248"/>
      <c r="X100" s="248"/>
      <c r="Y100" s="265">
        <v>0</v>
      </c>
      <c r="Z100" s="266">
        <v>0</v>
      </c>
      <c r="AA100" s="247"/>
      <c r="AB100" s="246"/>
      <c r="AC100" s="263"/>
      <c r="AD100" s="240">
        <v>1</v>
      </c>
      <c r="AE100" s="241">
        <v>1</v>
      </c>
      <c r="AF100" s="296"/>
      <c r="AG100" s="297"/>
      <c r="AH100" s="297"/>
      <c r="AI100" s="297"/>
      <c r="AJ100" s="297"/>
      <c r="AK100" s="297"/>
      <c r="AL100" s="297"/>
      <c r="AM100" s="297"/>
      <c r="AN100" s="297"/>
      <c r="AO100" s="297"/>
      <c r="AP100" s="297"/>
      <c r="AQ100" s="297"/>
      <c r="AR100" s="297"/>
      <c r="AS100" s="297"/>
      <c r="AT100" s="297"/>
      <c r="AU100" s="297"/>
      <c r="AV100" s="297"/>
      <c r="AW100" s="297"/>
      <c r="AX100" s="297"/>
      <c r="AY100" s="297"/>
      <c r="AZ100" s="297"/>
      <c r="BA100" s="297"/>
      <c r="BB100" s="297"/>
      <c r="BC100" s="297"/>
      <c r="BD100" s="297"/>
      <c r="BE100" s="297"/>
      <c r="BF100" s="297"/>
      <c r="BG100" s="297"/>
      <c r="BH100" s="297"/>
      <c r="BI100" s="297"/>
      <c r="BJ100" s="297"/>
      <c r="BK100" s="297"/>
      <c r="BL100" s="297"/>
      <c r="BM100" s="297"/>
      <c r="BN100" s="297"/>
      <c r="BO100" s="297"/>
      <c r="BP100" s="297"/>
      <c r="BQ100" s="297"/>
      <c r="BR100" s="297"/>
      <c r="BS100" s="297"/>
      <c r="BT100" s="297"/>
      <c r="BU100" s="297"/>
      <c r="BV100" s="297"/>
      <c r="BW100" s="297"/>
      <c r="BX100" s="297"/>
      <c r="BY100" s="297"/>
      <c r="BZ100" s="297"/>
      <c r="CA100" s="297"/>
      <c r="CB100" s="297"/>
      <c r="CC100" s="297"/>
      <c r="CD100" s="297"/>
      <c r="CE100" s="297" t="str">
        <f>"      " &amp; TEXT(AE100,"#0.00%") &amp; " " &amp; "검수" &amp; " " &amp; IF(P100="","",TEXT(P100,"M/D-")) &amp; IF(Q100="","",TEXT(Q100,"M/D")) &amp; " "</f>
        <v xml:space="preserve">      100.00% 검수 2/5-2/13 </v>
      </c>
      <c r="CF100" s="297"/>
      <c r="CG100" s="297"/>
    </row>
    <row r="101" spans="1:85" ht="12" customHeight="1" outlineLevel="3">
      <c r="A101" s="288"/>
      <c r="B101" s="288"/>
      <c r="C101" s="288">
        <v>4</v>
      </c>
      <c r="D101" s="291" t="s">
        <v>1694</v>
      </c>
      <c r="E101" s="246"/>
      <c r="F101" s="246"/>
      <c r="G101" s="246"/>
      <c r="H101" s="246" t="s">
        <v>1561</v>
      </c>
      <c r="I101" s="246"/>
      <c r="J101" s="246"/>
      <c r="K101" s="246"/>
      <c r="L101" s="246"/>
      <c r="M101" s="246"/>
      <c r="N101" s="246"/>
      <c r="O101" s="246"/>
      <c r="P101" s="248">
        <v>46058</v>
      </c>
      <c r="Q101" s="248">
        <v>46059</v>
      </c>
      <c r="R101" s="246"/>
      <c r="S101" s="247">
        <v>0.2</v>
      </c>
      <c r="T101" s="247">
        <v>0.2</v>
      </c>
      <c r="U101" s="247">
        <v>2</v>
      </c>
      <c r="V101" s="247">
        <v>2</v>
      </c>
      <c r="W101" s="248"/>
      <c r="X101" s="248"/>
      <c r="Y101" s="265"/>
      <c r="Z101" s="266">
        <v>0</v>
      </c>
      <c r="AA101" s="247">
        <v>0.1</v>
      </c>
      <c r="AB101" s="246" t="s">
        <v>1717</v>
      </c>
      <c r="AC101" s="263" t="s">
        <v>1721</v>
      </c>
      <c r="AD101" s="240">
        <v>1</v>
      </c>
      <c r="AE101" s="304">
        <v>1</v>
      </c>
      <c r="AF101" s="296"/>
      <c r="AG101" s="297"/>
      <c r="AH101" s="297"/>
      <c r="AI101" s="297"/>
      <c r="AJ101" s="297"/>
      <c r="AK101" s="297"/>
      <c r="AL101" s="297"/>
      <c r="AM101" s="297"/>
      <c r="AN101" s="297"/>
      <c r="AO101" s="297"/>
      <c r="AP101" s="297"/>
      <c r="AQ101" s="297"/>
      <c r="AR101" s="297"/>
      <c r="AS101" s="297"/>
      <c r="AT101" s="297"/>
      <c r="AU101" s="297"/>
      <c r="AV101" s="297"/>
      <c r="AW101" s="297"/>
      <c r="AX101" s="297"/>
      <c r="AY101" s="297"/>
      <c r="AZ101" s="297"/>
      <c r="BA101" s="297"/>
      <c r="BB101" s="297"/>
      <c r="BC101" s="297"/>
      <c r="BD101" s="297"/>
      <c r="BE101" s="297"/>
      <c r="BF101" s="297"/>
      <c r="BG101" s="297"/>
      <c r="BH101" s="297"/>
      <c r="BI101" s="297"/>
      <c r="BJ101" s="297"/>
      <c r="BK101" s="297"/>
      <c r="BL101" s="297"/>
      <c r="BM101" s="297"/>
      <c r="BN101" s="297"/>
      <c r="BO101" s="297"/>
      <c r="BP101" s="297"/>
      <c r="BQ101" s="297"/>
      <c r="BR101" s="297"/>
      <c r="BS101" s="297"/>
      <c r="BT101" s="297"/>
      <c r="BU101" s="297"/>
      <c r="BV101" s="297"/>
      <c r="BW101" s="297"/>
      <c r="BX101" s="297"/>
      <c r="BY101" s="297"/>
      <c r="BZ101" s="297"/>
      <c r="CA101" s="297"/>
      <c r="CB101" s="297"/>
      <c r="CC101" s="297"/>
      <c r="CD101" s="297" t="str">
        <f>"      " &amp; TEXT(AE101,"#0.00%") &amp; " " &amp; "검수 요청" &amp; "(오승헌님)" &amp; " " &amp; IF(P101="","",TEXT(P101,"M/D-")) &amp; IF(Q101="","",TEXT(Q101,"M/D")) &amp; " "</f>
        <v xml:space="preserve">      100.00% 검수 요청(오승헌님) 2/5-2/6 </v>
      </c>
      <c r="CE101" s="297"/>
      <c r="CF101" s="297"/>
      <c r="CG101" s="297"/>
    </row>
    <row r="102" spans="1:85" ht="12" customHeight="1" outlineLevel="3">
      <c r="A102" s="288"/>
      <c r="B102" s="288"/>
      <c r="C102" s="288">
        <v>4</v>
      </c>
      <c r="D102" s="291" t="s">
        <v>1695</v>
      </c>
      <c r="E102" s="246"/>
      <c r="F102" s="246"/>
      <c r="G102" s="246"/>
      <c r="H102" s="246" t="s">
        <v>1562</v>
      </c>
      <c r="I102" s="246"/>
      <c r="J102" s="246"/>
      <c r="K102" s="246"/>
      <c r="L102" s="246"/>
      <c r="M102" s="246"/>
      <c r="N102" s="246"/>
      <c r="O102" s="246"/>
      <c r="P102" s="248">
        <v>46062</v>
      </c>
      <c r="Q102" s="248">
        <v>46066</v>
      </c>
      <c r="R102" s="246"/>
      <c r="S102" s="247">
        <v>5</v>
      </c>
      <c r="T102" s="247">
        <v>5</v>
      </c>
      <c r="U102" s="247">
        <v>5</v>
      </c>
      <c r="V102" s="247">
        <v>5</v>
      </c>
      <c r="W102" s="248"/>
      <c r="X102" s="248"/>
      <c r="Y102" s="265"/>
      <c r="Z102" s="266">
        <v>0</v>
      </c>
      <c r="AA102" s="247">
        <v>1</v>
      </c>
      <c r="AB102" s="246" t="s">
        <v>1717</v>
      </c>
      <c r="AC102" s="263"/>
      <c r="AD102" s="240">
        <v>1</v>
      </c>
      <c r="AE102" s="304">
        <v>1</v>
      </c>
      <c r="AF102" s="296"/>
      <c r="AG102" s="297"/>
      <c r="AH102" s="297"/>
      <c r="AI102" s="297"/>
      <c r="AJ102" s="297"/>
      <c r="AK102" s="297"/>
      <c r="AL102" s="297"/>
      <c r="AM102" s="297"/>
      <c r="AN102" s="297"/>
      <c r="AO102" s="297"/>
      <c r="AP102" s="297"/>
      <c r="AQ102" s="297"/>
      <c r="AR102" s="297"/>
      <c r="AS102" s="297"/>
      <c r="AT102" s="297"/>
      <c r="AU102" s="297"/>
      <c r="AV102" s="297"/>
      <c r="AW102" s="297"/>
      <c r="AX102" s="297"/>
      <c r="AY102" s="297"/>
      <c r="AZ102" s="297"/>
      <c r="BA102" s="297"/>
      <c r="BB102" s="297"/>
      <c r="BC102" s="297"/>
      <c r="BD102" s="297"/>
      <c r="BE102" s="297"/>
      <c r="BF102" s="297"/>
      <c r="BG102" s="297"/>
      <c r="BH102" s="297"/>
      <c r="BI102" s="297"/>
      <c r="BJ102" s="297"/>
      <c r="BK102" s="297"/>
      <c r="BL102" s="297"/>
      <c r="BM102" s="297"/>
      <c r="BN102" s="297"/>
      <c r="BO102" s="297"/>
      <c r="BP102" s="297"/>
      <c r="BQ102" s="297"/>
      <c r="BR102" s="297"/>
      <c r="BS102" s="297"/>
      <c r="BT102" s="297"/>
      <c r="BU102" s="297"/>
      <c r="BV102" s="297"/>
      <c r="BW102" s="297"/>
      <c r="BX102" s="297"/>
      <c r="BY102" s="297"/>
      <c r="BZ102" s="297"/>
      <c r="CA102" s="297"/>
      <c r="CB102" s="297"/>
      <c r="CC102" s="297"/>
      <c r="CD102" s="297"/>
      <c r="CE102" s="297" t="str">
        <f>"      " &amp; TEXT(AE102,"#0.00%") &amp; " " &amp; "검수 완료" &amp; "(오승헌님)" &amp; " " &amp; IF(P102="","",TEXT(P102,"M/D-")) &amp; IF(Q102="","",TEXT(Q102,"M/D")) &amp; " "</f>
        <v xml:space="preserve">      100.00% 검수 완료(오승헌님) 2/9-2/13 </v>
      </c>
      <c r="CF102" s="297"/>
      <c r="CG102" s="297"/>
    </row>
    <row r="103" spans="1:85" ht="12" customHeight="1">
      <c r="A103" s="288"/>
      <c r="B103" s="288" t="s">
        <v>2334</v>
      </c>
      <c r="C103" s="288">
        <v>1</v>
      </c>
      <c r="D103" s="291" t="s">
        <v>774</v>
      </c>
      <c r="E103" s="246" t="s">
        <v>1773</v>
      </c>
      <c r="F103" s="246"/>
      <c r="G103" s="246"/>
      <c r="H103" s="246"/>
      <c r="I103" s="246"/>
      <c r="J103" s="246"/>
      <c r="K103" s="246"/>
      <c r="L103" s="246"/>
      <c r="M103" s="246"/>
      <c r="N103" s="246"/>
      <c r="O103" s="246"/>
      <c r="P103" s="248">
        <v>45705</v>
      </c>
      <c r="Q103" s="248">
        <v>45975</v>
      </c>
      <c r="R103" s="246"/>
      <c r="S103" s="247">
        <v>1062.5</v>
      </c>
      <c r="T103" s="247">
        <v>1062.5</v>
      </c>
      <c r="U103" s="247">
        <v>184</v>
      </c>
      <c r="V103" s="247">
        <v>184</v>
      </c>
      <c r="W103" s="248"/>
      <c r="X103" s="248"/>
      <c r="Y103" s="265">
        <v>0</v>
      </c>
      <c r="Z103" s="266">
        <v>0</v>
      </c>
      <c r="AA103" s="247"/>
      <c r="AB103" s="246"/>
      <c r="AC103" s="263"/>
      <c r="AD103" s="240">
        <v>1</v>
      </c>
      <c r="AE103" s="241">
        <v>1</v>
      </c>
      <c r="AF103" s="296"/>
      <c r="AG103" s="297"/>
      <c r="AH103" s="297"/>
      <c r="AI103" s="297"/>
      <c r="AJ103" s="297"/>
      <c r="AK103" s="297"/>
      <c r="AL103" s="297"/>
      <c r="AM103" s="297"/>
      <c r="AN103" s="297"/>
      <c r="AO103" s="297"/>
      <c r="AP103" s="297"/>
      <c r="AQ103" s="297"/>
      <c r="AR103" s="297"/>
      <c r="AS103" s="297"/>
      <c r="AT103" s="297"/>
      <c r="AU103" s="297"/>
      <c r="AV103" s="297"/>
      <c r="AW103" s="297"/>
      <c r="AX103" s="297"/>
      <c r="AY103" s="297"/>
      <c r="AZ103" s="297"/>
      <c r="BA103" s="297"/>
      <c r="BB103" s="297"/>
      <c r="BC103" s="297"/>
      <c r="BD103" s="297"/>
      <c r="BE103" s="297"/>
      <c r="BF103" s="297"/>
      <c r="BG103" s="297"/>
      <c r="BH103" s="297"/>
      <c r="BI103" s="297"/>
      <c r="BJ103" s="297"/>
      <c r="BK103" s="297"/>
      <c r="BL103" s="297"/>
      <c r="BM103" s="297"/>
      <c r="BN103" s="297"/>
      <c r="BO103" s="297"/>
      <c r="BP103" s="297"/>
      <c r="BQ103" s="297"/>
      <c r="BR103" s="297" t="str">
        <f>"      " &amp; TEXT(AE103,"#0.00%") &amp; " " &amp; "인프라/아키텍처" &amp; " " &amp; IF(P103="","",TEXT(P103,"M/D-")) &amp; IF(Q103="","",TEXT(Q103,"M/D")) &amp; " "</f>
        <v xml:space="preserve">      100.00% 인프라/아키텍처 2/17-11/14 </v>
      </c>
      <c r="BS103" s="297"/>
      <c r="BT103" s="297"/>
      <c r="BU103" s="297"/>
      <c r="BV103" s="297"/>
      <c r="BW103" s="297"/>
      <c r="BX103" s="297"/>
      <c r="BY103" s="297"/>
      <c r="BZ103" s="297"/>
      <c r="CA103" s="297"/>
      <c r="CB103" s="297"/>
      <c r="CC103" s="297"/>
      <c r="CD103" s="297"/>
      <c r="CE103" s="297"/>
      <c r="CF103" s="297"/>
      <c r="CG103" s="297"/>
    </row>
    <row r="104" spans="1:85" ht="12" customHeight="1" outlineLevel="1">
      <c r="A104" s="288"/>
      <c r="B104" s="288" t="s">
        <v>2334</v>
      </c>
      <c r="C104" s="288">
        <v>2</v>
      </c>
      <c r="D104" s="291" t="s">
        <v>1436</v>
      </c>
      <c r="E104" s="246"/>
      <c r="F104" s="246" t="s">
        <v>1424</v>
      </c>
      <c r="G104" s="246"/>
      <c r="H104" s="246"/>
      <c r="I104" s="246"/>
      <c r="J104" s="246"/>
      <c r="K104" s="246"/>
      <c r="L104" s="246"/>
      <c r="M104" s="246"/>
      <c r="N104" s="246"/>
      <c r="O104" s="246"/>
      <c r="P104" s="248">
        <v>45705</v>
      </c>
      <c r="Q104" s="248">
        <v>45730</v>
      </c>
      <c r="R104" s="246"/>
      <c r="S104" s="247">
        <v>44</v>
      </c>
      <c r="T104" s="247">
        <v>44</v>
      </c>
      <c r="U104" s="247">
        <v>19</v>
      </c>
      <c r="V104" s="247">
        <v>19</v>
      </c>
      <c r="W104" s="248"/>
      <c r="X104" s="248"/>
      <c r="Y104" s="265">
        <v>0</v>
      </c>
      <c r="Z104" s="266">
        <v>0</v>
      </c>
      <c r="AA104" s="247"/>
      <c r="AB104" s="246"/>
      <c r="AC104" s="263"/>
      <c r="AD104" s="240">
        <v>1</v>
      </c>
      <c r="AE104" s="241">
        <v>1</v>
      </c>
      <c r="AF104" s="296"/>
      <c r="AG104" s="297"/>
      <c r="AH104" s="297"/>
      <c r="AI104" s="297" t="str">
        <f>"      " &amp; TEXT(AE104,"#0.00%") &amp; " " &amp; "분석" &amp; " " &amp; IF(P104="","",TEXT(P104,"M/D-")) &amp; IF(Q104="","",TEXT(Q104,"M/D")) &amp; " "</f>
        <v xml:space="preserve">      100.00% 분석 2/17-3/14 </v>
      </c>
      <c r="AJ104" s="297"/>
      <c r="AK104" s="297"/>
      <c r="AL104" s="297"/>
      <c r="AM104" s="297"/>
      <c r="AN104" s="297"/>
      <c r="AO104" s="297"/>
      <c r="AP104" s="297"/>
      <c r="AQ104" s="297"/>
      <c r="AR104" s="297"/>
      <c r="AS104" s="297"/>
      <c r="AT104" s="297"/>
      <c r="AU104" s="297"/>
      <c r="AV104" s="297"/>
      <c r="AW104" s="297"/>
      <c r="AX104" s="297"/>
      <c r="AY104" s="297"/>
      <c r="AZ104" s="297"/>
      <c r="BA104" s="297"/>
      <c r="BB104" s="297"/>
      <c r="BC104" s="297"/>
      <c r="BD104" s="297"/>
      <c r="BE104" s="297"/>
      <c r="BF104" s="297"/>
      <c r="BG104" s="297"/>
      <c r="BH104" s="297"/>
      <c r="BI104" s="297"/>
      <c r="BJ104" s="297"/>
      <c r="BK104" s="297"/>
      <c r="BL104" s="297"/>
      <c r="BM104" s="297"/>
      <c r="BN104" s="297"/>
      <c r="BO104" s="297"/>
      <c r="BP104" s="297"/>
      <c r="BQ104" s="297"/>
      <c r="BR104" s="297"/>
      <c r="BS104" s="297"/>
      <c r="BT104" s="297"/>
      <c r="BU104" s="297"/>
      <c r="BV104" s="297"/>
      <c r="BW104" s="297"/>
      <c r="BX104" s="297"/>
      <c r="BY104" s="297"/>
      <c r="BZ104" s="297"/>
      <c r="CA104" s="297"/>
      <c r="CB104" s="297"/>
      <c r="CC104" s="297"/>
      <c r="CD104" s="297"/>
      <c r="CE104" s="297"/>
      <c r="CF104" s="297"/>
      <c r="CG104" s="297"/>
    </row>
    <row r="105" spans="1:85" ht="12" customHeight="1" outlineLevel="2">
      <c r="A105" s="288"/>
      <c r="B105" s="288" t="s">
        <v>2334</v>
      </c>
      <c r="C105" s="288">
        <v>3</v>
      </c>
      <c r="D105" s="291" t="s">
        <v>1437</v>
      </c>
      <c r="E105" s="246"/>
      <c r="F105" s="246"/>
      <c r="G105" s="246" t="s">
        <v>1737</v>
      </c>
      <c r="H105" s="246"/>
      <c r="I105" s="246"/>
      <c r="J105" s="246"/>
      <c r="K105" s="246"/>
      <c r="L105" s="246"/>
      <c r="M105" s="246"/>
      <c r="N105" s="246"/>
      <c r="O105" s="246"/>
      <c r="P105" s="248">
        <v>45712</v>
      </c>
      <c r="Q105" s="248">
        <v>45730</v>
      </c>
      <c r="R105" s="246"/>
      <c r="S105" s="247">
        <v>11.5</v>
      </c>
      <c r="T105" s="247">
        <v>11.5</v>
      </c>
      <c r="U105" s="247">
        <v>14</v>
      </c>
      <c r="V105" s="247">
        <v>14</v>
      </c>
      <c r="W105" s="248"/>
      <c r="X105" s="248"/>
      <c r="Y105" s="265">
        <v>0</v>
      </c>
      <c r="Z105" s="266">
        <v>0</v>
      </c>
      <c r="AA105" s="247"/>
      <c r="AB105" s="246"/>
      <c r="AC105" s="263"/>
      <c r="AD105" s="240">
        <v>1</v>
      </c>
      <c r="AE105" s="241">
        <v>1</v>
      </c>
      <c r="AF105" s="296"/>
      <c r="AG105" s="297"/>
      <c r="AH105" s="297"/>
      <c r="AI105" s="297" t="str">
        <f>"      " &amp; TEXT(AE105,"#0.00%") &amp; " " &amp; "어플리케이션 아키텍처" &amp; " " &amp; IF(P105="","",TEXT(P105,"M/D-")) &amp; IF(Q105="","",TEXT(Q105,"M/D")) &amp; " "</f>
        <v xml:space="preserve">      100.00% 어플리케이션 아키텍처 2/24-3/14 </v>
      </c>
      <c r="AJ105" s="297"/>
      <c r="AK105" s="297"/>
      <c r="AL105" s="297"/>
      <c r="AM105" s="297"/>
      <c r="AN105" s="297"/>
      <c r="AO105" s="297"/>
      <c r="AP105" s="297"/>
      <c r="AQ105" s="297"/>
      <c r="AR105" s="297"/>
      <c r="AS105" s="297"/>
      <c r="AT105" s="297"/>
      <c r="AU105" s="297"/>
      <c r="AV105" s="297"/>
      <c r="AW105" s="297"/>
      <c r="AX105" s="297"/>
      <c r="AY105" s="297"/>
      <c r="AZ105" s="297"/>
      <c r="BA105" s="297"/>
      <c r="BB105" s="297"/>
      <c r="BC105" s="297"/>
      <c r="BD105" s="297"/>
      <c r="BE105" s="297"/>
      <c r="BF105" s="297"/>
      <c r="BG105" s="297"/>
      <c r="BH105" s="297"/>
      <c r="BI105" s="297"/>
      <c r="BJ105" s="297"/>
      <c r="BK105" s="297"/>
      <c r="BL105" s="297"/>
      <c r="BM105" s="297"/>
      <c r="BN105" s="297"/>
      <c r="BO105" s="297"/>
      <c r="BP105" s="297"/>
      <c r="BQ105" s="297"/>
      <c r="BR105" s="297"/>
      <c r="BS105" s="297"/>
      <c r="BT105" s="297"/>
      <c r="BU105" s="297"/>
      <c r="BV105" s="297"/>
      <c r="BW105" s="297"/>
      <c r="BX105" s="297"/>
      <c r="BY105" s="297"/>
      <c r="BZ105" s="297"/>
      <c r="CA105" s="297"/>
      <c r="CB105" s="297"/>
      <c r="CC105" s="297"/>
      <c r="CD105" s="297"/>
      <c r="CE105" s="297"/>
      <c r="CF105" s="297"/>
      <c r="CG105" s="297"/>
    </row>
    <row r="106" spans="1:85" ht="12" customHeight="1" outlineLevel="3">
      <c r="A106" s="288"/>
      <c r="B106" s="288"/>
      <c r="C106" s="288">
        <v>4</v>
      </c>
      <c r="D106" s="291" t="s">
        <v>1774</v>
      </c>
      <c r="E106" s="246"/>
      <c r="F106" s="246"/>
      <c r="G106" s="246"/>
      <c r="H106" s="246" t="s">
        <v>1731</v>
      </c>
      <c r="I106" s="246"/>
      <c r="J106" s="246"/>
      <c r="K106" s="246"/>
      <c r="L106" s="246"/>
      <c r="M106" s="246"/>
      <c r="N106" s="246"/>
      <c r="O106" s="246"/>
      <c r="P106" s="248">
        <v>45712</v>
      </c>
      <c r="Q106" s="248">
        <v>45730</v>
      </c>
      <c r="R106" s="246"/>
      <c r="S106" s="247">
        <v>7</v>
      </c>
      <c r="T106" s="247">
        <v>7</v>
      </c>
      <c r="U106" s="247">
        <v>14</v>
      </c>
      <c r="V106" s="247">
        <v>14</v>
      </c>
      <c r="W106" s="248"/>
      <c r="X106" s="248"/>
      <c r="Y106" s="265"/>
      <c r="Z106" s="266">
        <v>0</v>
      </c>
      <c r="AA106" s="247">
        <v>0.5</v>
      </c>
      <c r="AB106" s="246" t="s">
        <v>1971</v>
      </c>
      <c r="AC106" s="263"/>
      <c r="AD106" s="240">
        <v>1</v>
      </c>
      <c r="AE106" s="304">
        <v>1</v>
      </c>
      <c r="AF106" s="296"/>
      <c r="AG106" s="297"/>
      <c r="AH106" s="297"/>
      <c r="AI106" s="297" t="str">
        <f>"      " &amp; TEXT(AE106,"#0.00%") &amp; " " &amp; "어플리케이션(시스템) 요구사항 분석" &amp; "(강상욱님)" &amp; " " &amp; IF(P106="","",TEXT(P106,"M/D-")) &amp; IF(Q106="","",TEXT(Q106,"M/D")) &amp; " "</f>
        <v xml:space="preserve">      100.00% 어플리케이션(시스템) 요구사항 분석(강상욱님) 2/24-3/14 </v>
      </c>
      <c r="AJ106" s="297"/>
      <c r="AK106" s="297"/>
      <c r="AL106" s="297"/>
      <c r="AM106" s="297"/>
      <c r="AN106" s="297"/>
      <c r="AO106" s="297"/>
      <c r="AP106" s="297"/>
      <c r="AQ106" s="297"/>
      <c r="AR106" s="297"/>
      <c r="AS106" s="297"/>
      <c r="AT106" s="297"/>
      <c r="AU106" s="297"/>
      <c r="AV106" s="297"/>
      <c r="AW106" s="297"/>
      <c r="AX106" s="297"/>
      <c r="AY106" s="297"/>
      <c r="AZ106" s="297"/>
      <c r="BA106" s="297"/>
      <c r="BB106" s="297"/>
      <c r="BC106" s="297"/>
      <c r="BD106" s="297"/>
      <c r="BE106" s="297"/>
      <c r="BF106" s="297"/>
      <c r="BG106" s="297"/>
      <c r="BH106" s="297"/>
      <c r="BI106" s="297"/>
      <c r="BJ106" s="297"/>
      <c r="BK106" s="297"/>
      <c r="BL106" s="297"/>
      <c r="BM106" s="297"/>
      <c r="BN106" s="297"/>
      <c r="BO106" s="297"/>
      <c r="BP106" s="297"/>
      <c r="BQ106" s="297"/>
      <c r="BR106" s="297"/>
      <c r="BS106" s="297"/>
      <c r="BT106" s="297"/>
      <c r="BU106" s="297"/>
      <c r="BV106" s="297"/>
      <c r="BW106" s="297"/>
      <c r="BX106" s="297"/>
      <c r="BY106" s="297"/>
      <c r="BZ106" s="297"/>
      <c r="CA106" s="297"/>
      <c r="CB106" s="297"/>
      <c r="CC106" s="297"/>
      <c r="CD106" s="297"/>
      <c r="CE106" s="297"/>
      <c r="CF106" s="297"/>
      <c r="CG106" s="297"/>
    </row>
    <row r="107" spans="1:85" ht="12" customHeight="1" outlineLevel="3">
      <c r="A107" s="288"/>
      <c r="B107" s="288"/>
      <c r="C107" s="288">
        <v>4</v>
      </c>
      <c r="D107" s="291" t="s">
        <v>1775</v>
      </c>
      <c r="E107" s="246"/>
      <c r="F107" s="246"/>
      <c r="G107" s="246"/>
      <c r="H107" s="246" t="s">
        <v>1733</v>
      </c>
      <c r="I107" s="246"/>
      <c r="J107" s="246"/>
      <c r="K107" s="246"/>
      <c r="L107" s="246"/>
      <c r="M107" s="246"/>
      <c r="N107" s="246"/>
      <c r="O107" s="246"/>
      <c r="P107" s="248">
        <v>45719</v>
      </c>
      <c r="Q107" s="248">
        <v>45730</v>
      </c>
      <c r="R107" s="246"/>
      <c r="S107" s="247">
        <v>4.5</v>
      </c>
      <c r="T107" s="247">
        <v>4.5</v>
      </c>
      <c r="U107" s="247">
        <v>9</v>
      </c>
      <c r="V107" s="247">
        <v>9</v>
      </c>
      <c r="W107" s="248"/>
      <c r="X107" s="248"/>
      <c r="Y107" s="265"/>
      <c r="Z107" s="266">
        <v>0</v>
      </c>
      <c r="AA107" s="247">
        <v>0.5</v>
      </c>
      <c r="AB107" s="246" t="s">
        <v>1971</v>
      </c>
      <c r="AC107" s="263"/>
      <c r="AD107" s="240">
        <v>1</v>
      </c>
      <c r="AE107" s="304">
        <v>1</v>
      </c>
      <c r="AF107" s="296"/>
      <c r="AG107" s="297"/>
      <c r="AH107" s="297"/>
      <c r="AI107" s="297" t="str">
        <f>"      " &amp; TEXT(AE107,"#0.00%") &amp; " " &amp; "Framework 요구사항 분석" &amp; "(강상욱님)" &amp; " " &amp; IF(P107="","",TEXT(P107,"M/D-")) &amp; IF(Q107="","",TEXT(Q107,"M/D")) &amp; " "</f>
        <v xml:space="preserve">      100.00% Framework 요구사항 분석(강상욱님) 3/3-3/14 </v>
      </c>
      <c r="AJ107" s="297"/>
      <c r="AK107" s="297"/>
      <c r="AL107" s="297"/>
      <c r="AM107" s="297"/>
      <c r="AN107" s="297"/>
      <c r="AO107" s="297"/>
      <c r="AP107" s="297"/>
      <c r="AQ107" s="297"/>
      <c r="AR107" s="297"/>
      <c r="AS107" s="297"/>
      <c r="AT107" s="297"/>
      <c r="AU107" s="297"/>
      <c r="AV107" s="297"/>
      <c r="AW107" s="297"/>
      <c r="AX107" s="297"/>
      <c r="AY107" s="297"/>
      <c r="AZ107" s="297"/>
      <c r="BA107" s="297"/>
      <c r="BB107" s="297"/>
      <c r="BC107" s="297"/>
      <c r="BD107" s="297"/>
      <c r="BE107" s="297"/>
      <c r="BF107" s="297"/>
      <c r="BG107" s="297"/>
      <c r="BH107" s="297"/>
      <c r="BI107" s="297"/>
      <c r="BJ107" s="297"/>
      <c r="BK107" s="297"/>
      <c r="BL107" s="297"/>
      <c r="BM107" s="297"/>
      <c r="BN107" s="297"/>
      <c r="BO107" s="297"/>
      <c r="BP107" s="297"/>
      <c r="BQ107" s="297"/>
      <c r="BR107" s="297"/>
      <c r="BS107" s="297"/>
      <c r="BT107" s="297"/>
      <c r="BU107" s="297"/>
      <c r="BV107" s="297"/>
      <c r="BW107" s="297"/>
      <c r="BX107" s="297"/>
      <c r="BY107" s="297"/>
      <c r="BZ107" s="297"/>
      <c r="CA107" s="297"/>
      <c r="CB107" s="297"/>
      <c r="CC107" s="297"/>
      <c r="CD107" s="297"/>
      <c r="CE107" s="297"/>
      <c r="CF107" s="297"/>
      <c r="CG107" s="297"/>
    </row>
    <row r="108" spans="1:85" ht="12" customHeight="1" outlineLevel="2">
      <c r="A108" s="288"/>
      <c r="B108" s="288" t="s">
        <v>2334</v>
      </c>
      <c r="C108" s="288">
        <v>3</v>
      </c>
      <c r="D108" s="291" t="s">
        <v>1438</v>
      </c>
      <c r="E108" s="246"/>
      <c r="F108" s="246"/>
      <c r="G108" s="245" t="s">
        <v>2048</v>
      </c>
      <c r="H108" s="246"/>
      <c r="I108" s="246"/>
      <c r="J108" s="246"/>
      <c r="K108" s="246"/>
      <c r="L108" s="246"/>
      <c r="M108" s="246"/>
      <c r="N108" s="246"/>
      <c r="O108" s="246"/>
      <c r="P108" s="248">
        <v>45705</v>
      </c>
      <c r="Q108" s="248">
        <v>45730</v>
      </c>
      <c r="R108" s="246"/>
      <c r="S108" s="247">
        <v>32.5</v>
      </c>
      <c r="T108" s="247">
        <v>32.5</v>
      </c>
      <c r="U108" s="247">
        <v>19</v>
      </c>
      <c r="V108" s="247">
        <v>19</v>
      </c>
      <c r="W108" s="248"/>
      <c r="X108" s="248"/>
      <c r="Y108" s="265">
        <v>0</v>
      </c>
      <c r="Z108" s="266">
        <v>0</v>
      </c>
      <c r="AA108" s="247"/>
      <c r="AB108" s="246"/>
      <c r="AC108" s="263"/>
      <c r="AD108" s="240">
        <v>1</v>
      </c>
      <c r="AE108" s="241">
        <v>1</v>
      </c>
      <c r="AF108" s="296"/>
      <c r="AG108" s="297"/>
      <c r="AH108" s="297"/>
      <c r="AI108" s="297" t="str">
        <f>"      " &amp; TEXT(AE108,"#0.00%") &amp; " " &amp; "공통" &amp; " " &amp; IF(P108="","",TEXT(P108,"M/D-")) &amp; IF(Q108="","",TEXT(Q108,"M/D")) &amp; " "</f>
        <v xml:space="preserve">      100.00% 공통 2/17-3/14 </v>
      </c>
      <c r="AJ108" s="297"/>
      <c r="AK108" s="297"/>
      <c r="AL108" s="297"/>
      <c r="AM108" s="297"/>
      <c r="AN108" s="297"/>
      <c r="AO108" s="297"/>
      <c r="AP108" s="297"/>
      <c r="AQ108" s="297"/>
      <c r="AR108" s="297"/>
      <c r="AS108" s="297"/>
      <c r="AT108" s="297"/>
      <c r="AU108" s="297"/>
      <c r="AV108" s="297"/>
      <c r="AW108" s="297"/>
      <c r="AX108" s="297"/>
      <c r="AY108" s="297"/>
      <c r="AZ108" s="297"/>
      <c r="BA108" s="297"/>
      <c r="BB108" s="297"/>
      <c r="BC108" s="297"/>
      <c r="BD108" s="297"/>
      <c r="BE108" s="297"/>
      <c r="BF108" s="297"/>
      <c r="BG108" s="297"/>
      <c r="BH108" s="297"/>
      <c r="BI108" s="297"/>
      <c r="BJ108" s="297"/>
      <c r="BK108" s="297"/>
      <c r="BL108" s="297"/>
      <c r="BM108" s="297"/>
      <c r="BN108" s="297"/>
      <c r="BO108" s="297"/>
      <c r="BP108" s="297"/>
      <c r="BQ108" s="297"/>
      <c r="BR108" s="297"/>
      <c r="BS108" s="297"/>
      <c r="BT108" s="297"/>
      <c r="BU108" s="297"/>
      <c r="BV108" s="297"/>
      <c r="BW108" s="297"/>
      <c r="BX108" s="297"/>
      <c r="BY108" s="297"/>
      <c r="BZ108" s="297"/>
      <c r="CA108" s="297"/>
      <c r="CB108" s="297"/>
      <c r="CC108" s="297"/>
      <c r="CD108" s="297"/>
      <c r="CE108" s="297"/>
      <c r="CF108" s="297"/>
      <c r="CG108" s="297"/>
    </row>
    <row r="109" spans="1:85" ht="12" customHeight="1" outlineLevel="3">
      <c r="A109" s="288"/>
      <c r="B109" s="288"/>
      <c r="C109" s="288">
        <v>4</v>
      </c>
      <c r="D109" s="313" t="s">
        <v>1439</v>
      </c>
      <c r="E109" s="314"/>
      <c r="F109" s="314"/>
      <c r="G109" s="314"/>
      <c r="H109" s="314" t="s">
        <v>2189</v>
      </c>
      <c r="I109" s="314"/>
      <c r="J109" s="314"/>
      <c r="K109" s="314"/>
      <c r="L109" s="314"/>
      <c r="M109" s="314"/>
      <c r="N109" s="314"/>
      <c r="O109" s="314" t="s">
        <v>2186</v>
      </c>
      <c r="P109" s="248">
        <v>45705</v>
      </c>
      <c r="Q109" s="248">
        <v>45730</v>
      </c>
      <c r="R109" s="246"/>
      <c r="S109" s="247">
        <v>19</v>
      </c>
      <c r="T109" s="247">
        <v>19</v>
      </c>
      <c r="U109" s="247">
        <v>19</v>
      </c>
      <c r="V109" s="247">
        <v>19</v>
      </c>
      <c r="W109" s="248"/>
      <c r="X109" s="248"/>
      <c r="Y109" s="265"/>
      <c r="Z109" s="266">
        <v>0</v>
      </c>
      <c r="AA109" s="247">
        <v>1</v>
      </c>
      <c r="AB109" s="246" t="s">
        <v>1971</v>
      </c>
      <c r="AC109" s="312" t="s">
        <v>2192</v>
      </c>
      <c r="AD109" s="240">
        <v>1</v>
      </c>
      <c r="AE109" s="304">
        <v>1</v>
      </c>
      <c r="AF109" s="296"/>
      <c r="AG109" s="297"/>
      <c r="AH109" s="297"/>
      <c r="AI109" s="297" t="str">
        <f>"      " &amp; TEXT(AE109,"#0.00%") &amp; " " &amp; "요구사항 분석 및 용어정의" &amp; "(강상욱님)" &amp; " " &amp; IF(P109="","",TEXT(P109,"M/D-")) &amp; IF(Q109="","",TEXT(Q109,"M/D")) &amp; " "</f>
        <v xml:space="preserve">      100.00% 요구사항 분석 및 용어정의(강상욱님) 2/17-3/14 </v>
      </c>
      <c r="AJ109" s="297"/>
      <c r="AK109" s="297"/>
      <c r="AL109" s="297"/>
      <c r="AM109" s="297"/>
      <c r="AN109" s="297"/>
      <c r="AO109" s="297"/>
      <c r="AP109" s="297"/>
      <c r="AQ109" s="297"/>
      <c r="AR109" s="297"/>
      <c r="AS109" s="297"/>
      <c r="AT109" s="297"/>
      <c r="AU109" s="297"/>
      <c r="AV109" s="297"/>
      <c r="AW109" s="297"/>
      <c r="AX109" s="297"/>
      <c r="AY109" s="297"/>
      <c r="AZ109" s="297"/>
      <c r="BA109" s="297"/>
      <c r="BB109" s="297"/>
      <c r="BC109" s="297"/>
      <c r="BD109" s="297"/>
      <c r="BE109" s="297"/>
      <c r="BF109" s="297"/>
      <c r="BG109" s="297"/>
      <c r="BH109" s="297"/>
      <c r="BI109" s="297"/>
      <c r="BJ109" s="297"/>
      <c r="BK109" s="297"/>
      <c r="BL109" s="297"/>
      <c r="BM109" s="297"/>
      <c r="BN109" s="297"/>
      <c r="BO109" s="297"/>
      <c r="BP109" s="297"/>
      <c r="BQ109" s="297"/>
      <c r="BR109" s="297"/>
      <c r="BS109" s="297"/>
      <c r="BT109" s="297"/>
      <c r="BU109" s="297"/>
      <c r="BV109" s="297"/>
      <c r="BW109" s="297"/>
      <c r="BX109" s="297"/>
      <c r="BY109" s="297"/>
      <c r="BZ109" s="297"/>
      <c r="CA109" s="297"/>
      <c r="CB109" s="297"/>
      <c r="CC109" s="297"/>
      <c r="CD109" s="297"/>
      <c r="CE109" s="297"/>
      <c r="CF109" s="297"/>
      <c r="CG109" s="297"/>
    </row>
    <row r="110" spans="1:85" ht="12" customHeight="1" outlineLevel="3">
      <c r="A110" s="288"/>
      <c r="B110" s="288"/>
      <c r="C110" s="288">
        <v>4</v>
      </c>
      <c r="D110" s="291" t="s">
        <v>1440</v>
      </c>
      <c r="E110" s="246"/>
      <c r="F110" s="246"/>
      <c r="G110" s="246"/>
      <c r="H110" s="246" t="s">
        <v>1732</v>
      </c>
      <c r="I110" s="246"/>
      <c r="J110" s="246"/>
      <c r="K110" s="246"/>
      <c r="L110" s="246"/>
      <c r="M110" s="246"/>
      <c r="N110" s="246"/>
      <c r="O110" s="246"/>
      <c r="P110" s="248">
        <v>45719</v>
      </c>
      <c r="Q110" s="248">
        <v>45730</v>
      </c>
      <c r="R110" s="246"/>
      <c r="S110" s="247">
        <v>4.5</v>
      </c>
      <c r="T110" s="247">
        <v>4.5</v>
      </c>
      <c r="U110" s="247">
        <v>9</v>
      </c>
      <c r="V110" s="247">
        <v>9</v>
      </c>
      <c r="W110" s="248"/>
      <c r="X110" s="248"/>
      <c r="Y110" s="265"/>
      <c r="Z110" s="266">
        <v>0</v>
      </c>
      <c r="AA110" s="247">
        <v>0.5</v>
      </c>
      <c r="AB110" s="246" t="s">
        <v>1971</v>
      </c>
      <c r="AC110" s="263"/>
      <c r="AD110" s="240">
        <v>1</v>
      </c>
      <c r="AE110" s="304">
        <v>1</v>
      </c>
      <c r="AF110" s="296"/>
      <c r="AG110" s="297"/>
      <c r="AH110" s="297"/>
      <c r="AI110" s="297" t="str">
        <f>"      " &amp; TEXT(AE110,"#0.00%") &amp; " " &amp; "CICD 요구사항 분석" &amp; "(강상욱님)" &amp; " " &amp; IF(P110="","",TEXT(P110,"M/D-")) &amp; IF(Q110="","",TEXT(Q110,"M/D")) &amp; " "</f>
        <v xml:space="preserve">      100.00% CICD 요구사항 분석(강상욱님) 3/3-3/14 </v>
      </c>
      <c r="AJ110" s="297"/>
      <c r="AK110" s="297"/>
      <c r="AL110" s="297"/>
      <c r="AM110" s="297"/>
      <c r="AN110" s="297"/>
      <c r="AO110" s="297"/>
      <c r="AP110" s="297"/>
      <c r="AQ110" s="297"/>
      <c r="AR110" s="297"/>
      <c r="AS110" s="297"/>
      <c r="AT110" s="297"/>
      <c r="AU110" s="297"/>
      <c r="AV110" s="297"/>
      <c r="AW110" s="297"/>
      <c r="AX110" s="297"/>
      <c r="AY110" s="297"/>
      <c r="AZ110" s="297"/>
      <c r="BA110" s="297"/>
      <c r="BB110" s="297"/>
      <c r="BC110" s="297"/>
      <c r="BD110" s="297"/>
      <c r="BE110" s="297"/>
      <c r="BF110" s="297"/>
      <c r="BG110" s="297"/>
      <c r="BH110" s="297"/>
      <c r="BI110" s="297"/>
      <c r="BJ110" s="297"/>
      <c r="BK110" s="297"/>
      <c r="BL110" s="297"/>
      <c r="BM110" s="297"/>
      <c r="BN110" s="297"/>
      <c r="BO110" s="297"/>
      <c r="BP110" s="297"/>
      <c r="BQ110" s="297"/>
      <c r="BR110" s="297"/>
      <c r="BS110" s="297"/>
      <c r="BT110" s="297"/>
      <c r="BU110" s="297"/>
      <c r="BV110" s="297"/>
      <c r="BW110" s="297"/>
      <c r="BX110" s="297"/>
      <c r="BY110" s="297"/>
      <c r="BZ110" s="297"/>
      <c r="CA110" s="297"/>
      <c r="CB110" s="297"/>
      <c r="CC110" s="297"/>
      <c r="CD110" s="297"/>
      <c r="CE110" s="297"/>
      <c r="CF110" s="297"/>
      <c r="CG110" s="297"/>
    </row>
    <row r="111" spans="1:85" ht="12" customHeight="1" outlineLevel="3">
      <c r="A111" s="288"/>
      <c r="B111" s="288"/>
      <c r="C111" s="288">
        <v>4</v>
      </c>
      <c r="D111" s="291" t="s">
        <v>1776</v>
      </c>
      <c r="E111" s="246"/>
      <c r="F111" s="246"/>
      <c r="G111" s="246"/>
      <c r="H111" s="246" t="s">
        <v>1729</v>
      </c>
      <c r="I111" s="246"/>
      <c r="J111" s="246"/>
      <c r="K111" s="246"/>
      <c r="L111" s="246"/>
      <c r="M111" s="246"/>
      <c r="N111" s="246"/>
      <c r="O111" s="246"/>
      <c r="P111" s="248">
        <v>45719</v>
      </c>
      <c r="Q111" s="248">
        <v>45730</v>
      </c>
      <c r="R111" s="246"/>
      <c r="S111" s="247">
        <v>9</v>
      </c>
      <c r="T111" s="247">
        <v>9</v>
      </c>
      <c r="U111" s="247">
        <v>9</v>
      </c>
      <c r="V111" s="247">
        <v>9</v>
      </c>
      <c r="W111" s="248"/>
      <c r="X111" s="248"/>
      <c r="Y111" s="265"/>
      <c r="Z111" s="266">
        <v>0</v>
      </c>
      <c r="AA111" s="247">
        <v>1</v>
      </c>
      <c r="AB111" s="246" t="s">
        <v>1971</v>
      </c>
      <c r="AC111" s="263"/>
      <c r="AD111" s="240">
        <v>1</v>
      </c>
      <c r="AE111" s="304">
        <v>1</v>
      </c>
      <c r="AF111" s="296"/>
      <c r="AG111" s="297"/>
      <c r="AH111" s="297"/>
      <c r="AI111" s="297" t="str">
        <f>"      " &amp; TEXT(AE111,"#0.00%") &amp; " " &amp; "클라우드 서비스 요구사항 및 To-Be 방향성 정의" &amp; "(강상욱님)" &amp; " " &amp; IF(P111="","",TEXT(P111,"M/D-")) &amp; IF(Q111="","",TEXT(Q111,"M/D")) &amp; " "</f>
        <v xml:space="preserve">      100.00% 클라우드 서비스 요구사항 및 To-Be 방향성 정의(강상욱님) 3/3-3/14 </v>
      </c>
      <c r="AJ111" s="297"/>
      <c r="AK111" s="297"/>
      <c r="AL111" s="297"/>
      <c r="AM111" s="297"/>
      <c r="AN111" s="297"/>
      <c r="AO111" s="297"/>
      <c r="AP111" s="297"/>
      <c r="AQ111" s="297"/>
      <c r="AR111" s="297"/>
      <c r="AS111" s="297"/>
      <c r="AT111" s="297"/>
      <c r="AU111" s="297"/>
      <c r="AV111" s="297"/>
      <c r="AW111" s="297"/>
      <c r="AX111" s="297"/>
      <c r="AY111" s="297"/>
      <c r="AZ111" s="297"/>
      <c r="BA111" s="297"/>
      <c r="BB111" s="297"/>
      <c r="BC111" s="297"/>
      <c r="BD111" s="297"/>
      <c r="BE111" s="297"/>
      <c r="BF111" s="297"/>
      <c r="BG111" s="297"/>
      <c r="BH111" s="297"/>
      <c r="BI111" s="297"/>
      <c r="BJ111" s="297"/>
      <c r="BK111" s="297"/>
      <c r="BL111" s="297"/>
      <c r="BM111" s="297"/>
      <c r="BN111" s="297"/>
      <c r="BO111" s="297"/>
      <c r="BP111" s="297"/>
      <c r="BQ111" s="297"/>
      <c r="BR111" s="297"/>
      <c r="BS111" s="297"/>
      <c r="BT111" s="297"/>
      <c r="BU111" s="297"/>
      <c r="BV111" s="297"/>
      <c r="BW111" s="297"/>
      <c r="BX111" s="297"/>
      <c r="BY111" s="297"/>
      <c r="BZ111" s="297"/>
      <c r="CA111" s="297"/>
      <c r="CB111" s="297"/>
      <c r="CC111" s="297"/>
      <c r="CD111" s="297"/>
      <c r="CE111" s="297"/>
      <c r="CF111" s="297"/>
      <c r="CG111" s="297"/>
    </row>
    <row r="112" spans="1:85" ht="12.75" customHeight="1" outlineLevel="1">
      <c r="A112" s="288"/>
      <c r="B112" s="288" t="s">
        <v>2334</v>
      </c>
      <c r="C112" s="288">
        <v>2</v>
      </c>
      <c r="D112" s="291" t="s">
        <v>1462</v>
      </c>
      <c r="E112" s="246"/>
      <c r="F112" s="246" t="s">
        <v>1427</v>
      </c>
      <c r="G112" s="246"/>
      <c r="H112" s="246"/>
      <c r="I112" s="246"/>
      <c r="J112" s="246"/>
      <c r="K112" s="246"/>
      <c r="L112" s="246"/>
      <c r="M112" s="246"/>
      <c r="N112" s="246"/>
      <c r="O112" s="246"/>
      <c r="P112" s="248">
        <v>45726</v>
      </c>
      <c r="Q112" s="248">
        <v>45765</v>
      </c>
      <c r="R112" s="246"/>
      <c r="S112" s="247">
        <v>236</v>
      </c>
      <c r="T112" s="247">
        <v>236</v>
      </c>
      <c r="U112" s="247">
        <v>30</v>
      </c>
      <c r="V112" s="247">
        <v>30</v>
      </c>
      <c r="W112" s="248"/>
      <c r="X112" s="248"/>
      <c r="Y112" s="265">
        <v>0</v>
      </c>
      <c r="Z112" s="266">
        <v>0</v>
      </c>
      <c r="AA112" s="247"/>
      <c r="AB112" s="246"/>
      <c r="AC112" s="263"/>
      <c r="AD112" s="240">
        <v>1</v>
      </c>
      <c r="AE112" s="241">
        <v>1</v>
      </c>
      <c r="AF112" s="296"/>
      <c r="AG112" s="297"/>
      <c r="AH112" s="297"/>
      <c r="AI112" s="297"/>
      <c r="AJ112" s="297"/>
      <c r="AK112" s="297"/>
      <c r="AL112" s="297"/>
      <c r="AM112" s="297"/>
      <c r="AN112" s="297" t="str">
        <f>"      " &amp; TEXT(AE112,"#0.00%") &amp; " " &amp; "설계" &amp; " " &amp; IF(P112="","",TEXT(P112,"M/D-")) &amp; IF(Q112="","",TEXT(Q112,"M/D")) &amp; " "</f>
        <v xml:space="preserve">      100.00% 설계 3/10-4/18 </v>
      </c>
      <c r="AO112" s="297"/>
      <c r="AP112" s="297"/>
      <c r="AQ112" s="297"/>
      <c r="AR112" s="297"/>
      <c r="AS112" s="297"/>
      <c r="AT112" s="297"/>
      <c r="AU112" s="297"/>
      <c r="AV112" s="297"/>
      <c r="AW112" s="297"/>
      <c r="AX112" s="297"/>
      <c r="AY112" s="297"/>
      <c r="AZ112" s="297"/>
      <c r="BA112" s="297"/>
      <c r="BB112" s="297"/>
      <c r="BC112" s="297"/>
      <c r="BD112" s="297"/>
      <c r="BE112" s="297"/>
      <c r="BF112" s="297"/>
      <c r="BG112" s="297"/>
      <c r="BH112" s="297"/>
      <c r="BI112" s="297"/>
      <c r="BJ112" s="297"/>
      <c r="BK112" s="297"/>
      <c r="BL112" s="297"/>
      <c r="BM112" s="297"/>
      <c r="BN112" s="297"/>
      <c r="BO112" s="297"/>
      <c r="BP112" s="297"/>
      <c r="BQ112" s="297"/>
      <c r="BR112" s="297"/>
      <c r="BS112" s="297"/>
      <c r="BT112" s="297"/>
      <c r="BU112" s="297"/>
      <c r="BV112" s="297"/>
      <c r="BW112" s="297"/>
      <c r="BX112" s="297"/>
      <c r="BY112" s="297"/>
      <c r="BZ112" s="297"/>
      <c r="CA112" s="297"/>
      <c r="CB112" s="297"/>
      <c r="CC112" s="297"/>
      <c r="CD112" s="297"/>
      <c r="CE112" s="297"/>
      <c r="CF112" s="297"/>
      <c r="CG112" s="297"/>
    </row>
    <row r="113" spans="1:85" ht="12" customHeight="1" outlineLevel="2">
      <c r="A113" s="288"/>
      <c r="B113" s="288" t="s">
        <v>2334</v>
      </c>
      <c r="C113" s="288">
        <v>3</v>
      </c>
      <c r="D113" s="291" t="s">
        <v>1448</v>
      </c>
      <c r="E113" s="246"/>
      <c r="F113" s="246"/>
      <c r="G113" s="246" t="s">
        <v>1734</v>
      </c>
      <c r="H113" s="246"/>
      <c r="I113" s="246"/>
      <c r="J113" s="246"/>
      <c r="K113" s="246"/>
      <c r="L113" s="246"/>
      <c r="M113" s="246"/>
      <c r="N113" s="246"/>
      <c r="O113" s="246"/>
      <c r="P113" s="248">
        <v>45726</v>
      </c>
      <c r="Q113" s="248">
        <v>45744</v>
      </c>
      <c r="R113" s="246"/>
      <c r="S113" s="247">
        <v>105</v>
      </c>
      <c r="T113" s="247">
        <v>105</v>
      </c>
      <c r="U113" s="247">
        <v>15</v>
      </c>
      <c r="V113" s="247">
        <v>15</v>
      </c>
      <c r="W113" s="248"/>
      <c r="X113" s="248"/>
      <c r="Y113" s="265">
        <v>0</v>
      </c>
      <c r="Z113" s="266">
        <v>0</v>
      </c>
      <c r="AA113" s="247"/>
      <c r="AB113" s="246"/>
      <c r="AC113" s="263"/>
      <c r="AD113" s="240">
        <v>1</v>
      </c>
      <c r="AE113" s="241">
        <v>1</v>
      </c>
      <c r="AF113" s="296"/>
      <c r="AG113" s="297"/>
      <c r="AH113" s="297"/>
      <c r="AI113" s="297"/>
      <c r="AJ113" s="297"/>
      <c r="AK113" s="297" t="str">
        <f>"      " &amp; TEXT(AE113,"#0.00%") &amp; " " &amp; "클라우드 아키텍처 " &amp; " " &amp; IF(P113="","",TEXT(P113,"M/D-")) &amp; IF(Q113="","",TEXT(Q113,"M/D")) &amp; " "</f>
        <v xml:space="preserve">      100.00% 클라우드 아키텍처  3/10-3/28 </v>
      </c>
      <c r="AL113" s="297"/>
      <c r="AM113" s="297"/>
      <c r="AN113" s="297"/>
      <c r="AO113" s="297"/>
      <c r="AP113" s="297"/>
      <c r="AQ113" s="297"/>
      <c r="AR113" s="297"/>
      <c r="AS113" s="297"/>
      <c r="AT113" s="297"/>
      <c r="AU113" s="297"/>
      <c r="AV113" s="297"/>
      <c r="AW113" s="297"/>
      <c r="AX113" s="297"/>
      <c r="AY113" s="297"/>
      <c r="AZ113" s="297"/>
      <c r="BA113" s="297"/>
      <c r="BB113" s="297"/>
      <c r="BC113" s="297"/>
      <c r="BD113" s="297"/>
      <c r="BE113" s="297"/>
      <c r="BF113" s="297"/>
      <c r="BG113" s="297"/>
      <c r="BH113" s="297"/>
      <c r="BI113" s="297"/>
      <c r="BJ113" s="297"/>
      <c r="BK113" s="297"/>
      <c r="BL113" s="297"/>
      <c r="BM113" s="297"/>
      <c r="BN113" s="297"/>
      <c r="BO113" s="297"/>
      <c r="BP113" s="297"/>
      <c r="BQ113" s="297"/>
      <c r="BR113" s="297"/>
      <c r="BS113" s="297"/>
      <c r="BT113" s="297"/>
      <c r="BU113" s="297"/>
      <c r="BV113" s="297"/>
      <c r="BW113" s="297"/>
      <c r="BX113" s="297"/>
      <c r="BY113" s="297"/>
      <c r="BZ113" s="297"/>
      <c r="CA113" s="297"/>
      <c r="CB113" s="297"/>
      <c r="CC113" s="297"/>
      <c r="CD113" s="297"/>
      <c r="CE113" s="297"/>
      <c r="CF113" s="297"/>
      <c r="CG113" s="297"/>
    </row>
    <row r="114" spans="1:85" s="308" customFormat="1" ht="12" customHeight="1" outlineLevel="3">
      <c r="A114" s="305"/>
      <c r="B114" s="305"/>
      <c r="C114" s="305">
        <v>4</v>
      </c>
      <c r="D114" s="257" t="s">
        <v>1777</v>
      </c>
      <c r="E114" s="244"/>
      <c r="F114" s="244"/>
      <c r="G114" s="244"/>
      <c r="H114" s="244" t="s">
        <v>2088</v>
      </c>
      <c r="I114" s="244"/>
      <c r="J114" s="244"/>
      <c r="K114" s="244"/>
      <c r="L114" s="244"/>
      <c r="M114" s="244"/>
      <c r="N114" s="244"/>
      <c r="O114" s="244"/>
      <c r="P114" s="243">
        <v>45726</v>
      </c>
      <c r="Q114" s="243">
        <v>45744</v>
      </c>
      <c r="R114" s="244"/>
      <c r="S114" s="242">
        <v>15</v>
      </c>
      <c r="T114" s="242">
        <v>15</v>
      </c>
      <c r="U114" s="242">
        <v>15</v>
      </c>
      <c r="V114" s="242">
        <v>15</v>
      </c>
      <c r="W114" s="243"/>
      <c r="X114" s="243"/>
      <c r="Y114" s="251"/>
      <c r="Z114" s="252">
        <v>0</v>
      </c>
      <c r="AA114" s="242">
        <v>1</v>
      </c>
      <c r="AB114" s="244" t="s">
        <v>1972</v>
      </c>
      <c r="AC114" s="255"/>
      <c r="AD114" s="239">
        <v>1</v>
      </c>
      <c r="AE114" s="304">
        <v>1</v>
      </c>
      <c r="AF114" s="296"/>
      <c r="AG114" s="297"/>
      <c r="AH114" s="297"/>
      <c r="AI114" s="297"/>
      <c r="AJ114" s="297"/>
      <c r="AK114" s="297" t="str">
        <f>"      " &amp; TEXT(AE114,"#0.00%") &amp; " " &amp; "기본 설계 원칙 정의" &amp; "(이석호님)" &amp; " " &amp; IF(P114="","",TEXT(P114,"M/D-")) &amp; IF(Q114="","",TEXT(Q114,"M/D")) &amp; " "</f>
        <v xml:space="preserve">      100.00% 기본 설계 원칙 정의(이석호님) 3/10-3/28 </v>
      </c>
      <c r="AL114" s="297"/>
      <c r="AM114" s="297"/>
      <c r="AN114" s="297"/>
      <c r="AO114" s="297"/>
      <c r="AP114" s="297"/>
      <c r="AQ114" s="297"/>
      <c r="AR114" s="297"/>
      <c r="AS114" s="297"/>
      <c r="AT114" s="297"/>
      <c r="AU114" s="297"/>
      <c r="AV114" s="297"/>
      <c r="AW114" s="297"/>
      <c r="AX114" s="297"/>
      <c r="AY114" s="297"/>
      <c r="AZ114" s="297"/>
      <c r="BA114" s="297"/>
      <c r="BB114" s="297"/>
      <c r="BC114" s="297"/>
      <c r="BD114" s="297"/>
      <c r="BE114" s="297"/>
      <c r="BF114" s="297"/>
      <c r="BG114" s="297"/>
      <c r="BH114" s="297"/>
      <c r="BI114" s="297"/>
      <c r="BJ114" s="297"/>
      <c r="BK114" s="297"/>
      <c r="BL114" s="297"/>
      <c r="BM114" s="297"/>
      <c r="BN114" s="297"/>
      <c r="BO114" s="297"/>
      <c r="BP114" s="297"/>
      <c r="BQ114" s="297"/>
      <c r="BR114" s="297"/>
      <c r="BS114" s="297"/>
      <c r="BT114" s="297"/>
      <c r="BU114" s="297"/>
      <c r="BV114" s="297"/>
      <c r="BW114" s="297"/>
      <c r="BX114" s="297"/>
      <c r="BY114" s="297"/>
      <c r="BZ114" s="297"/>
      <c r="CA114" s="297"/>
      <c r="CB114" s="297"/>
      <c r="CC114" s="297"/>
      <c r="CD114" s="297"/>
      <c r="CE114" s="297"/>
      <c r="CF114" s="297"/>
      <c r="CG114" s="297"/>
    </row>
    <row r="115" spans="1:85" s="308" customFormat="1" ht="12" customHeight="1" outlineLevel="3">
      <c r="A115" s="305"/>
      <c r="B115" s="305"/>
      <c r="C115" s="305">
        <v>4</v>
      </c>
      <c r="D115" s="257" t="s">
        <v>1778</v>
      </c>
      <c r="E115" s="244"/>
      <c r="F115" s="244"/>
      <c r="G115" s="244"/>
      <c r="H115" s="244" t="s">
        <v>2089</v>
      </c>
      <c r="I115" s="244"/>
      <c r="J115" s="244"/>
      <c r="K115" s="244"/>
      <c r="L115" s="244"/>
      <c r="M115" s="244"/>
      <c r="N115" s="244"/>
      <c r="O115" s="244"/>
      <c r="P115" s="243">
        <v>45726</v>
      </c>
      <c r="Q115" s="243">
        <v>45744</v>
      </c>
      <c r="R115" s="244"/>
      <c r="S115" s="242">
        <v>15</v>
      </c>
      <c r="T115" s="242">
        <v>15</v>
      </c>
      <c r="U115" s="242">
        <v>15</v>
      </c>
      <c r="V115" s="242">
        <v>15</v>
      </c>
      <c r="W115" s="243"/>
      <c r="X115" s="243"/>
      <c r="Y115" s="251"/>
      <c r="Z115" s="252">
        <v>0</v>
      </c>
      <c r="AA115" s="242">
        <v>1</v>
      </c>
      <c r="AB115" s="244" t="s">
        <v>1972</v>
      </c>
      <c r="AC115" s="255"/>
      <c r="AD115" s="239">
        <v>1</v>
      </c>
      <c r="AE115" s="304">
        <v>1</v>
      </c>
      <c r="AF115" s="296"/>
      <c r="AG115" s="297"/>
      <c r="AH115" s="297"/>
      <c r="AI115" s="297"/>
      <c r="AJ115" s="297"/>
      <c r="AK115" s="297" t="str">
        <f>"      " &amp; TEXT(AE115,"#0.00%") &amp; " " &amp; "자원 Naming Rule 정의" &amp; "(이석호님)" &amp; " " &amp; IF(P115="","",TEXT(P115,"M/D-")) &amp; IF(Q115="","",TEXT(Q115,"M/D")) &amp; " "</f>
        <v xml:space="preserve">      100.00% 자원 Naming Rule 정의(이석호님) 3/10-3/28 </v>
      </c>
      <c r="AL115" s="297"/>
      <c r="AM115" s="297"/>
      <c r="AN115" s="297"/>
      <c r="AO115" s="297"/>
      <c r="AP115" s="297"/>
      <c r="AQ115" s="297"/>
      <c r="AR115" s="297"/>
      <c r="AS115" s="297"/>
      <c r="AT115" s="297"/>
      <c r="AU115" s="297"/>
      <c r="AV115" s="297"/>
      <c r="AW115" s="297"/>
      <c r="AX115" s="297"/>
      <c r="AY115" s="297"/>
      <c r="AZ115" s="297"/>
      <c r="BA115" s="297"/>
      <c r="BB115" s="297"/>
      <c r="BC115" s="297"/>
      <c r="BD115" s="297"/>
      <c r="BE115" s="297"/>
      <c r="BF115" s="297"/>
      <c r="BG115" s="297"/>
      <c r="BH115" s="297"/>
      <c r="BI115" s="297"/>
      <c r="BJ115" s="297"/>
      <c r="BK115" s="297"/>
      <c r="BL115" s="297"/>
      <c r="BM115" s="297"/>
      <c r="BN115" s="297"/>
      <c r="BO115" s="297"/>
      <c r="BP115" s="297"/>
      <c r="BQ115" s="297"/>
      <c r="BR115" s="297"/>
      <c r="BS115" s="297"/>
      <c r="BT115" s="297"/>
      <c r="BU115" s="297"/>
      <c r="BV115" s="297"/>
      <c r="BW115" s="297"/>
      <c r="BX115" s="297"/>
      <c r="BY115" s="297"/>
      <c r="BZ115" s="297"/>
      <c r="CA115" s="297"/>
      <c r="CB115" s="297"/>
      <c r="CC115" s="297"/>
      <c r="CD115" s="297"/>
      <c r="CE115" s="297"/>
      <c r="CF115" s="297"/>
      <c r="CG115" s="297"/>
    </row>
    <row r="116" spans="1:85" s="308" customFormat="1" ht="12" customHeight="1" outlineLevel="3">
      <c r="A116" s="305"/>
      <c r="B116" s="305"/>
      <c r="C116" s="305">
        <v>4</v>
      </c>
      <c r="D116" s="257" t="s">
        <v>2336</v>
      </c>
      <c r="E116" s="244"/>
      <c r="F116" s="244"/>
      <c r="G116" s="244"/>
      <c r="H116" s="244" t="s">
        <v>2090</v>
      </c>
      <c r="I116" s="244"/>
      <c r="J116" s="244"/>
      <c r="K116" s="244"/>
      <c r="L116" s="244"/>
      <c r="M116" s="244"/>
      <c r="N116" s="244"/>
      <c r="O116" s="244"/>
      <c r="P116" s="243">
        <v>45726</v>
      </c>
      <c r="Q116" s="243">
        <v>45744</v>
      </c>
      <c r="R116" s="244"/>
      <c r="S116" s="242">
        <v>15</v>
      </c>
      <c r="T116" s="242">
        <v>15</v>
      </c>
      <c r="U116" s="242">
        <v>15</v>
      </c>
      <c r="V116" s="242">
        <v>15</v>
      </c>
      <c r="W116" s="243"/>
      <c r="X116" s="243"/>
      <c r="Y116" s="251"/>
      <c r="Z116" s="252">
        <v>0</v>
      </c>
      <c r="AA116" s="242">
        <v>1</v>
      </c>
      <c r="AB116" s="244" t="s">
        <v>1972</v>
      </c>
      <c r="AC116" s="255"/>
      <c r="AD116" s="239">
        <v>1</v>
      </c>
      <c r="AE116" s="304">
        <v>1</v>
      </c>
      <c r="AF116" s="296"/>
      <c r="AG116" s="297"/>
      <c r="AH116" s="297"/>
      <c r="AI116" s="297"/>
      <c r="AJ116" s="297"/>
      <c r="AK116" s="297" t="str">
        <f>"      " &amp; TEXT(AE116,"#0.00%") &amp; " " &amp; "네트워크 및 보안 설계" &amp; "(이석호님)" &amp; " " &amp; IF(P116="","",TEXT(P116,"M/D-")) &amp; IF(Q116="","",TEXT(Q116,"M/D")) &amp; " "</f>
        <v xml:space="preserve">      100.00% 네트워크 및 보안 설계(이석호님) 3/10-3/28 </v>
      </c>
      <c r="AL116" s="297"/>
      <c r="AM116" s="297"/>
      <c r="AN116" s="297"/>
      <c r="AO116" s="297"/>
      <c r="AP116" s="297"/>
      <c r="AQ116" s="297"/>
      <c r="AR116" s="297"/>
      <c r="AS116" s="297"/>
      <c r="AT116" s="297"/>
      <c r="AU116" s="297"/>
      <c r="AV116" s="297"/>
      <c r="AW116" s="297"/>
      <c r="AX116" s="297"/>
      <c r="AY116" s="297"/>
      <c r="AZ116" s="297"/>
      <c r="BA116" s="297"/>
      <c r="BB116" s="297"/>
      <c r="BC116" s="297"/>
      <c r="BD116" s="297"/>
      <c r="BE116" s="297"/>
      <c r="BF116" s="297"/>
      <c r="BG116" s="297"/>
      <c r="BH116" s="297"/>
      <c r="BI116" s="297"/>
      <c r="BJ116" s="297"/>
      <c r="BK116" s="297"/>
      <c r="BL116" s="297"/>
      <c r="BM116" s="297"/>
      <c r="BN116" s="297"/>
      <c r="BO116" s="297"/>
      <c r="BP116" s="297"/>
      <c r="BQ116" s="297"/>
      <c r="BR116" s="297"/>
      <c r="BS116" s="297"/>
      <c r="BT116" s="297"/>
      <c r="BU116" s="297"/>
      <c r="BV116" s="297"/>
      <c r="BW116" s="297"/>
      <c r="BX116" s="297"/>
      <c r="BY116" s="297"/>
      <c r="BZ116" s="297"/>
      <c r="CA116" s="297"/>
      <c r="CB116" s="297"/>
      <c r="CC116" s="297"/>
      <c r="CD116" s="297"/>
      <c r="CE116" s="297"/>
      <c r="CF116" s="297"/>
      <c r="CG116" s="297"/>
    </row>
    <row r="117" spans="1:85" s="308" customFormat="1" ht="12" customHeight="1" outlineLevel="3">
      <c r="A117" s="305"/>
      <c r="B117" s="305"/>
      <c r="C117" s="305">
        <v>4</v>
      </c>
      <c r="D117" s="257" t="s">
        <v>2337</v>
      </c>
      <c r="E117" s="244"/>
      <c r="F117" s="244"/>
      <c r="G117" s="244"/>
      <c r="H117" s="244" t="s">
        <v>2091</v>
      </c>
      <c r="I117" s="244"/>
      <c r="J117" s="244"/>
      <c r="K117" s="244"/>
      <c r="L117" s="244"/>
      <c r="M117" s="244"/>
      <c r="N117" s="244"/>
      <c r="O117" s="244"/>
      <c r="P117" s="243">
        <v>45726</v>
      </c>
      <c r="Q117" s="243">
        <v>45744</v>
      </c>
      <c r="R117" s="244"/>
      <c r="S117" s="242">
        <v>15</v>
      </c>
      <c r="T117" s="242">
        <v>15</v>
      </c>
      <c r="U117" s="242">
        <v>15</v>
      </c>
      <c r="V117" s="242">
        <v>15</v>
      </c>
      <c r="W117" s="243"/>
      <c r="X117" s="243"/>
      <c r="Y117" s="251"/>
      <c r="Z117" s="252">
        <v>0</v>
      </c>
      <c r="AA117" s="242">
        <v>1</v>
      </c>
      <c r="AB117" s="244" t="s">
        <v>1972</v>
      </c>
      <c r="AC117" s="255"/>
      <c r="AD117" s="239">
        <v>1</v>
      </c>
      <c r="AE117" s="304">
        <v>1</v>
      </c>
      <c r="AF117" s="296"/>
      <c r="AG117" s="297"/>
      <c r="AH117" s="297"/>
      <c r="AI117" s="297"/>
      <c r="AJ117" s="297"/>
      <c r="AK117" s="297" t="str">
        <f>"      " &amp; TEXT(AE117,"#0.00%") &amp; " " &amp; "ECS 구성 설계" &amp; "(이석호님)" &amp; " " &amp; IF(P117="","",TEXT(P117,"M/D-")) &amp; IF(Q117="","",TEXT(Q117,"M/D")) &amp; " "</f>
        <v xml:space="preserve">      100.00% ECS 구성 설계(이석호님) 3/10-3/28 </v>
      </c>
      <c r="AL117" s="297"/>
      <c r="AM117" s="297"/>
      <c r="AN117" s="297"/>
      <c r="AO117" s="297"/>
      <c r="AP117" s="297"/>
      <c r="AQ117" s="297"/>
      <c r="AR117" s="297"/>
      <c r="AS117" s="297"/>
      <c r="AT117" s="297"/>
      <c r="AU117" s="297"/>
      <c r="AV117" s="297"/>
      <c r="AW117" s="297"/>
      <c r="AX117" s="297"/>
      <c r="AY117" s="297"/>
      <c r="AZ117" s="297"/>
      <c r="BA117" s="297"/>
      <c r="BB117" s="297"/>
      <c r="BC117" s="297"/>
      <c r="BD117" s="297"/>
      <c r="BE117" s="297"/>
      <c r="BF117" s="297"/>
      <c r="BG117" s="297"/>
      <c r="BH117" s="297"/>
      <c r="BI117" s="297"/>
      <c r="BJ117" s="297"/>
      <c r="BK117" s="297"/>
      <c r="BL117" s="297"/>
      <c r="BM117" s="297"/>
      <c r="BN117" s="297"/>
      <c r="BO117" s="297"/>
      <c r="BP117" s="297"/>
      <c r="BQ117" s="297"/>
      <c r="BR117" s="297"/>
      <c r="BS117" s="297"/>
      <c r="BT117" s="297"/>
      <c r="BU117" s="297"/>
      <c r="BV117" s="297"/>
      <c r="BW117" s="297"/>
      <c r="BX117" s="297"/>
      <c r="BY117" s="297"/>
      <c r="BZ117" s="297"/>
      <c r="CA117" s="297"/>
      <c r="CB117" s="297"/>
      <c r="CC117" s="297"/>
      <c r="CD117" s="297"/>
      <c r="CE117" s="297"/>
      <c r="CF117" s="297"/>
      <c r="CG117" s="297"/>
    </row>
    <row r="118" spans="1:85" s="308" customFormat="1" ht="12" customHeight="1" outlineLevel="3">
      <c r="A118" s="305"/>
      <c r="B118" s="305"/>
      <c r="C118" s="305">
        <v>4</v>
      </c>
      <c r="D118" s="257" t="s">
        <v>2338</v>
      </c>
      <c r="E118" s="244"/>
      <c r="F118" s="244"/>
      <c r="G118" s="244"/>
      <c r="H118" s="244" t="s">
        <v>2092</v>
      </c>
      <c r="I118" s="244"/>
      <c r="J118" s="244"/>
      <c r="K118" s="244"/>
      <c r="L118" s="244"/>
      <c r="M118" s="244"/>
      <c r="N118" s="244"/>
      <c r="O118" s="244"/>
      <c r="P118" s="243">
        <v>45726</v>
      </c>
      <c r="Q118" s="243">
        <v>45744</v>
      </c>
      <c r="R118" s="244"/>
      <c r="S118" s="242">
        <v>15</v>
      </c>
      <c r="T118" s="242">
        <v>15</v>
      </c>
      <c r="U118" s="242">
        <v>15</v>
      </c>
      <c r="V118" s="242">
        <v>15</v>
      </c>
      <c r="W118" s="243"/>
      <c r="X118" s="243"/>
      <c r="Y118" s="251"/>
      <c r="Z118" s="252">
        <v>0</v>
      </c>
      <c r="AA118" s="242">
        <v>1</v>
      </c>
      <c r="AB118" s="244" t="s">
        <v>1972</v>
      </c>
      <c r="AC118" s="255"/>
      <c r="AD118" s="239">
        <v>1</v>
      </c>
      <c r="AE118" s="304">
        <v>1</v>
      </c>
      <c r="AF118" s="296"/>
      <c r="AG118" s="297"/>
      <c r="AH118" s="297"/>
      <c r="AI118" s="297"/>
      <c r="AJ118" s="297"/>
      <c r="AK118" s="297" t="str">
        <f>"      " &amp; TEXT(AE118,"#0.00%") &amp; " " &amp; "AuroraDB 구성 설계" &amp; "(이석호님)" &amp; " " &amp; IF(P118="","",TEXT(P118,"M/D-")) &amp; IF(Q118="","",TEXT(Q118,"M/D")) &amp; " "</f>
        <v xml:space="preserve">      100.00% AuroraDB 구성 설계(이석호님) 3/10-3/28 </v>
      </c>
      <c r="AL118" s="297"/>
      <c r="AM118" s="297"/>
      <c r="AN118" s="297"/>
      <c r="AO118" s="297"/>
      <c r="AP118" s="297"/>
      <c r="AQ118" s="297"/>
      <c r="AR118" s="297"/>
      <c r="AS118" s="297"/>
      <c r="AT118" s="297"/>
      <c r="AU118" s="297"/>
      <c r="AV118" s="297"/>
      <c r="AW118" s="297"/>
      <c r="AX118" s="297"/>
      <c r="AY118" s="297"/>
      <c r="AZ118" s="297"/>
      <c r="BA118" s="297"/>
      <c r="BB118" s="297"/>
      <c r="BC118" s="297"/>
      <c r="BD118" s="297"/>
      <c r="BE118" s="297"/>
      <c r="BF118" s="297"/>
      <c r="BG118" s="297"/>
      <c r="BH118" s="297"/>
      <c r="BI118" s="297"/>
      <c r="BJ118" s="297"/>
      <c r="BK118" s="297"/>
      <c r="BL118" s="297"/>
      <c r="BM118" s="297"/>
      <c r="BN118" s="297"/>
      <c r="BO118" s="297"/>
      <c r="BP118" s="297"/>
      <c r="BQ118" s="297"/>
      <c r="BR118" s="297"/>
      <c r="BS118" s="297"/>
      <c r="BT118" s="297"/>
      <c r="BU118" s="297"/>
      <c r="BV118" s="297"/>
      <c r="BW118" s="297"/>
      <c r="BX118" s="297"/>
      <c r="BY118" s="297"/>
      <c r="BZ118" s="297"/>
      <c r="CA118" s="297"/>
      <c r="CB118" s="297"/>
      <c r="CC118" s="297"/>
      <c r="CD118" s="297"/>
      <c r="CE118" s="297"/>
      <c r="CF118" s="297"/>
      <c r="CG118" s="297"/>
    </row>
    <row r="119" spans="1:85" s="308" customFormat="1" ht="12" customHeight="1" outlineLevel="3">
      <c r="A119" s="305"/>
      <c r="B119" s="305"/>
      <c r="C119" s="305">
        <v>4</v>
      </c>
      <c r="D119" s="257" t="s">
        <v>2339</v>
      </c>
      <c r="E119" s="244"/>
      <c r="F119" s="244"/>
      <c r="G119" s="244"/>
      <c r="H119" s="244" t="s">
        <v>2093</v>
      </c>
      <c r="I119" s="244"/>
      <c r="J119" s="244"/>
      <c r="K119" s="244"/>
      <c r="L119" s="244"/>
      <c r="M119" s="244"/>
      <c r="N119" s="244"/>
      <c r="O119" s="244"/>
      <c r="P119" s="243">
        <v>45726</v>
      </c>
      <c r="Q119" s="243">
        <v>45744</v>
      </c>
      <c r="R119" s="244"/>
      <c r="S119" s="242">
        <v>15</v>
      </c>
      <c r="T119" s="242">
        <v>15</v>
      </c>
      <c r="U119" s="242">
        <v>15</v>
      </c>
      <c r="V119" s="242">
        <v>15</v>
      </c>
      <c r="W119" s="243"/>
      <c r="X119" s="243"/>
      <c r="Y119" s="251"/>
      <c r="Z119" s="252">
        <v>0</v>
      </c>
      <c r="AA119" s="242">
        <v>1</v>
      </c>
      <c r="AB119" s="244" t="s">
        <v>1972</v>
      </c>
      <c r="AC119" s="255"/>
      <c r="AD119" s="239">
        <v>1</v>
      </c>
      <c r="AE119" s="304">
        <v>1</v>
      </c>
      <c r="AF119" s="296"/>
      <c r="AG119" s="297"/>
      <c r="AH119" s="297"/>
      <c r="AI119" s="297"/>
      <c r="AJ119" s="297"/>
      <c r="AK119" s="297" t="str">
        <f>"      " &amp; TEXT(AE119,"#0.00%") &amp; " " &amp; "AWS Account 설계 (운영/개발)" &amp; "(이석호님)" &amp; " " &amp; IF(P119="","",TEXT(P119,"M/D-")) &amp; IF(Q119="","",TEXT(Q119,"M/D")) &amp; " "</f>
        <v xml:space="preserve">      100.00% AWS Account 설계 (운영/개발)(이석호님) 3/10-3/28 </v>
      </c>
      <c r="AL119" s="297"/>
      <c r="AM119" s="297"/>
      <c r="AN119" s="297"/>
      <c r="AO119" s="297"/>
      <c r="AP119" s="297"/>
      <c r="AQ119" s="297"/>
      <c r="AR119" s="297"/>
      <c r="AS119" s="297"/>
      <c r="AT119" s="297"/>
      <c r="AU119" s="297"/>
      <c r="AV119" s="297"/>
      <c r="AW119" s="297"/>
      <c r="AX119" s="297"/>
      <c r="AY119" s="297"/>
      <c r="AZ119" s="297"/>
      <c r="BA119" s="297"/>
      <c r="BB119" s="297"/>
      <c r="BC119" s="297"/>
      <c r="BD119" s="297"/>
      <c r="BE119" s="297"/>
      <c r="BF119" s="297"/>
      <c r="BG119" s="297"/>
      <c r="BH119" s="297"/>
      <c r="BI119" s="297"/>
      <c r="BJ119" s="297"/>
      <c r="BK119" s="297"/>
      <c r="BL119" s="297"/>
      <c r="BM119" s="297"/>
      <c r="BN119" s="297"/>
      <c r="BO119" s="297"/>
      <c r="BP119" s="297"/>
      <c r="BQ119" s="297"/>
      <c r="BR119" s="297"/>
      <c r="BS119" s="297"/>
      <c r="BT119" s="297"/>
      <c r="BU119" s="297"/>
      <c r="BV119" s="297"/>
      <c r="BW119" s="297"/>
      <c r="BX119" s="297"/>
      <c r="BY119" s="297"/>
      <c r="BZ119" s="297"/>
      <c r="CA119" s="297"/>
      <c r="CB119" s="297"/>
      <c r="CC119" s="297"/>
      <c r="CD119" s="297"/>
      <c r="CE119" s="297"/>
      <c r="CF119" s="297"/>
      <c r="CG119" s="297"/>
    </row>
    <row r="120" spans="1:85" s="308" customFormat="1" ht="12" customHeight="1" outlineLevel="3">
      <c r="A120" s="305"/>
      <c r="B120" s="305"/>
      <c r="C120" s="305">
        <v>4</v>
      </c>
      <c r="D120" s="257" t="s">
        <v>2340</v>
      </c>
      <c r="E120" s="244"/>
      <c r="F120" s="244"/>
      <c r="G120" s="244"/>
      <c r="H120" s="244" t="s">
        <v>2094</v>
      </c>
      <c r="I120" s="244"/>
      <c r="J120" s="244"/>
      <c r="K120" s="244"/>
      <c r="L120" s="244"/>
      <c r="M120" s="244"/>
      <c r="N120" s="244"/>
      <c r="O120" s="244"/>
      <c r="P120" s="243">
        <v>45726</v>
      </c>
      <c r="Q120" s="243">
        <v>45744</v>
      </c>
      <c r="R120" s="244"/>
      <c r="S120" s="242">
        <v>15</v>
      </c>
      <c r="T120" s="242">
        <v>15</v>
      </c>
      <c r="U120" s="242">
        <v>15</v>
      </c>
      <c r="V120" s="242">
        <v>15</v>
      </c>
      <c r="W120" s="243"/>
      <c r="X120" s="243"/>
      <c r="Y120" s="251"/>
      <c r="Z120" s="252">
        <v>0</v>
      </c>
      <c r="AA120" s="242">
        <v>1</v>
      </c>
      <c r="AB120" s="244" t="s">
        <v>1972</v>
      </c>
      <c r="AC120" s="255"/>
      <c r="AD120" s="239">
        <v>1</v>
      </c>
      <c r="AE120" s="304">
        <v>1</v>
      </c>
      <c r="AF120" s="296"/>
      <c r="AG120" s="297"/>
      <c r="AH120" s="297"/>
      <c r="AI120" s="297"/>
      <c r="AJ120" s="297"/>
      <c r="AK120" s="297" t="str">
        <f>"      " &amp; TEXT(AE120,"#0.00%") &amp; " " &amp; "IAM 유저 및 Role 정의" &amp; "(이석호님)" &amp; " " &amp; IF(P120="","",TEXT(P120,"M/D-")) &amp; IF(Q120="","",TEXT(Q120,"M/D")) &amp; " "</f>
        <v xml:space="preserve">      100.00% IAM 유저 및 Role 정의(이석호님) 3/10-3/28 </v>
      </c>
      <c r="AL120" s="297"/>
      <c r="AM120" s="297"/>
      <c r="AN120" s="297"/>
      <c r="AO120" s="297"/>
      <c r="AP120" s="297"/>
      <c r="AQ120" s="297"/>
      <c r="AR120" s="297"/>
      <c r="AS120" s="297"/>
      <c r="AT120" s="297"/>
      <c r="AU120" s="297"/>
      <c r="AV120" s="297"/>
      <c r="AW120" s="297"/>
      <c r="AX120" s="297"/>
      <c r="AY120" s="297"/>
      <c r="AZ120" s="297"/>
      <c r="BA120" s="297"/>
      <c r="BB120" s="297"/>
      <c r="BC120" s="297"/>
      <c r="BD120" s="297"/>
      <c r="BE120" s="297"/>
      <c r="BF120" s="297"/>
      <c r="BG120" s="297"/>
      <c r="BH120" s="297"/>
      <c r="BI120" s="297"/>
      <c r="BJ120" s="297"/>
      <c r="BK120" s="297"/>
      <c r="BL120" s="297"/>
      <c r="BM120" s="297"/>
      <c r="BN120" s="297"/>
      <c r="BO120" s="297"/>
      <c r="BP120" s="297"/>
      <c r="BQ120" s="297"/>
      <c r="BR120" s="297"/>
      <c r="BS120" s="297"/>
      <c r="BT120" s="297"/>
      <c r="BU120" s="297"/>
      <c r="BV120" s="297"/>
      <c r="BW120" s="297"/>
      <c r="BX120" s="297"/>
      <c r="BY120" s="297"/>
      <c r="BZ120" s="297"/>
      <c r="CA120" s="297"/>
      <c r="CB120" s="297"/>
      <c r="CC120" s="297"/>
      <c r="CD120" s="297"/>
      <c r="CE120" s="297"/>
      <c r="CF120" s="297"/>
      <c r="CG120" s="297"/>
    </row>
    <row r="121" spans="1:85" ht="12" customHeight="1" outlineLevel="2">
      <c r="A121" s="288"/>
      <c r="B121" s="288" t="s">
        <v>2334</v>
      </c>
      <c r="C121" s="288">
        <v>3</v>
      </c>
      <c r="D121" s="257" t="s">
        <v>1449</v>
      </c>
      <c r="E121" s="244"/>
      <c r="F121" s="244"/>
      <c r="G121" s="244" t="s">
        <v>1737</v>
      </c>
      <c r="H121" s="244"/>
      <c r="I121" s="244"/>
      <c r="J121" s="244"/>
      <c r="K121" s="244"/>
      <c r="L121" s="244"/>
      <c r="M121" s="244"/>
      <c r="N121" s="244"/>
      <c r="O121" s="244"/>
      <c r="P121" s="243">
        <v>45726</v>
      </c>
      <c r="Q121" s="243">
        <v>45751</v>
      </c>
      <c r="R121" s="244"/>
      <c r="S121" s="242">
        <v>46</v>
      </c>
      <c r="T121" s="242">
        <v>46</v>
      </c>
      <c r="U121" s="242">
        <v>20</v>
      </c>
      <c r="V121" s="242">
        <v>20</v>
      </c>
      <c r="W121" s="243"/>
      <c r="X121" s="243"/>
      <c r="Y121" s="251">
        <v>0</v>
      </c>
      <c r="Z121" s="252">
        <v>0</v>
      </c>
      <c r="AA121" s="242"/>
      <c r="AB121" s="244"/>
      <c r="AC121" s="255"/>
      <c r="AD121" s="239">
        <v>1</v>
      </c>
      <c r="AE121" s="241">
        <v>1</v>
      </c>
      <c r="AF121" s="296"/>
      <c r="AG121" s="297"/>
      <c r="AH121" s="297"/>
      <c r="AI121" s="297"/>
      <c r="AJ121" s="297"/>
      <c r="AK121" s="297"/>
      <c r="AL121" s="297" t="str">
        <f>"      " &amp; TEXT(AE121,"#0.00%") &amp; " " &amp; "어플리케이션 아키텍처" &amp; " " &amp; IF(P121="","",TEXT(P121,"M/D-")) &amp; IF(Q121="","",TEXT(Q121,"M/D")) &amp; " "</f>
        <v xml:space="preserve">      100.00% 어플리케이션 아키텍처 3/10-4/4 </v>
      </c>
      <c r="AM121" s="297"/>
      <c r="AN121" s="297"/>
      <c r="AO121" s="297"/>
      <c r="AP121" s="297"/>
      <c r="AQ121" s="297"/>
      <c r="AR121" s="297"/>
      <c r="AS121" s="297"/>
      <c r="AT121" s="297"/>
      <c r="AU121" s="297"/>
      <c r="AV121" s="297"/>
      <c r="AW121" s="297"/>
      <c r="AX121" s="297"/>
      <c r="AY121" s="297"/>
      <c r="AZ121" s="297"/>
      <c r="BA121" s="297"/>
      <c r="BB121" s="297"/>
      <c r="BC121" s="297"/>
      <c r="BD121" s="297"/>
      <c r="BE121" s="297"/>
      <c r="BF121" s="297"/>
      <c r="BG121" s="297"/>
      <c r="BH121" s="297"/>
      <c r="BI121" s="297"/>
      <c r="BJ121" s="297"/>
      <c r="BK121" s="297"/>
      <c r="BL121" s="297"/>
      <c r="BM121" s="297"/>
      <c r="BN121" s="297"/>
      <c r="BO121" s="297"/>
      <c r="BP121" s="297"/>
      <c r="BQ121" s="297"/>
      <c r="BR121" s="297"/>
      <c r="BS121" s="297"/>
      <c r="BT121" s="297"/>
      <c r="BU121" s="297"/>
      <c r="BV121" s="297"/>
      <c r="BW121" s="297"/>
      <c r="BX121" s="297"/>
      <c r="BY121" s="297"/>
      <c r="BZ121" s="297"/>
      <c r="CA121" s="297"/>
      <c r="CB121" s="297"/>
      <c r="CC121" s="297"/>
      <c r="CD121" s="297"/>
      <c r="CE121" s="297"/>
      <c r="CF121" s="297"/>
      <c r="CG121" s="297"/>
    </row>
    <row r="122" spans="1:85" ht="12" customHeight="1" outlineLevel="3">
      <c r="A122" s="288"/>
      <c r="B122" s="288"/>
      <c r="C122" s="288">
        <v>4</v>
      </c>
      <c r="D122" s="257" t="s">
        <v>1450</v>
      </c>
      <c r="E122" s="244"/>
      <c r="F122" s="244"/>
      <c r="G122" s="244"/>
      <c r="H122" s="244" t="s">
        <v>1738</v>
      </c>
      <c r="I122" s="244"/>
      <c r="J122" s="244"/>
      <c r="K122" s="244"/>
      <c r="L122" s="244"/>
      <c r="M122" s="244"/>
      <c r="N122" s="244"/>
      <c r="O122" s="244"/>
      <c r="P122" s="243">
        <v>45726</v>
      </c>
      <c r="Q122" s="243">
        <v>45744</v>
      </c>
      <c r="R122" s="244"/>
      <c r="S122" s="242">
        <v>15</v>
      </c>
      <c r="T122" s="242">
        <v>15</v>
      </c>
      <c r="U122" s="242">
        <v>15</v>
      </c>
      <c r="V122" s="242">
        <v>15</v>
      </c>
      <c r="W122" s="243"/>
      <c r="X122" s="243"/>
      <c r="Y122" s="251"/>
      <c r="Z122" s="252">
        <v>0</v>
      </c>
      <c r="AA122" s="242">
        <v>1</v>
      </c>
      <c r="AB122" s="244" t="s">
        <v>1971</v>
      </c>
      <c r="AC122" s="255"/>
      <c r="AD122" s="239">
        <v>1</v>
      </c>
      <c r="AE122" s="304">
        <v>1</v>
      </c>
      <c r="AF122" s="296"/>
      <c r="AG122" s="297"/>
      <c r="AH122" s="297"/>
      <c r="AI122" s="297"/>
      <c r="AJ122" s="297"/>
      <c r="AK122" s="297" t="str">
        <f>"      " &amp; TEXT(AE122,"#0.00%") &amp; " " &amp; "아키텍처 설계" &amp; "(강상욱님)" &amp; " " &amp; IF(P122="","",TEXT(P122,"M/D-")) &amp; IF(Q122="","",TEXT(Q122,"M/D")) &amp; " "</f>
        <v xml:space="preserve">      100.00% 아키텍처 설계(강상욱님) 3/10-3/28 </v>
      </c>
      <c r="AL122" s="297"/>
      <c r="AM122" s="297"/>
      <c r="AN122" s="297"/>
      <c r="AO122" s="297"/>
      <c r="AP122" s="297"/>
      <c r="AQ122" s="297"/>
      <c r="AR122" s="297"/>
      <c r="AS122" s="297"/>
      <c r="AT122" s="297"/>
      <c r="AU122" s="297"/>
      <c r="AV122" s="297"/>
      <c r="AW122" s="297"/>
      <c r="AX122" s="297"/>
      <c r="AY122" s="297"/>
      <c r="AZ122" s="297"/>
      <c r="BA122" s="297"/>
      <c r="BB122" s="297"/>
      <c r="BC122" s="297"/>
      <c r="BD122" s="297"/>
      <c r="BE122" s="297"/>
      <c r="BF122" s="297"/>
      <c r="BG122" s="297"/>
      <c r="BH122" s="297"/>
      <c r="BI122" s="297"/>
      <c r="BJ122" s="297"/>
      <c r="BK122" s="297"/>
      <c r="BL122" s="297"/>
      <c r="BM122" s="297"/>
      <c r="BN122" s="297"/>
      <c r="BO122" s="297"/>
      <c r="BP122" s="297"/>
      <c r="BQ122" s="297"/>
      <c r="BR122" s="297"/>
      <c r="BS122" s="297"/>
      <c r="BT122" s="297"/>
      <c r="BU122" s="297"/>
      <c r="BV122" s="297"/>
      <c r="BW122" s="297"/>
      <c r="BX122" s="297"/>
      <c r="BY122" s="297"/>
      <c r="BZ122" s="297"/>
      <c r="CA122" s="297"/>
      <c r="CB122" s="297"/>
      <c r="CC122" s="297"/>
      <c r="CD122" s="297"/>
      <c r="CE122" s="297"/>
      <c r="CF122" s="297"/>
      <c r="CG122" s="297"/>
    </row>
    <row r="123" spans="1:85" ht="12" customHeight="1" outlineLevel="3">
      <c r="A123" s="288"/>
      <c r="B123" s="288"/>
      <c r="C123" s="288">
        <v>4</v>
      </c>
      <c r="D123" s="257" t="s">
        <v>1451</v>
      </c>
      <c r="E123" s="244"/>
      <c r="F123" s="244"/>
      <c r="G123" s="249"/>
      <c r="H123" s="244" t="s">
        <v>1739</v>
      </c>
      <c r="I123" s="244"/>
      <c r="J123" s="244"/>
      <c r="K123" s="244"/>
      <c r="L123" s="244"/>
      <c r="M123" s="244"/>
      <c r="N123" s="244"/>
      <c r="O123" s="244"/>
      <c r="P123" s="243">
        <v>45726</v>
      </c>
      <c r="Q123" s="243">
        <v>45744</v>
      </c>
      <c r="R123" s="244"/>
      <c r="S123" s="242">
        <v>15</v>
      </c>
      <c r="T123" s="242">
        <v>15</v>
      </c>
      <c r="U123" s="242">
        <v>15</v>
      </c>
      <c r="V123" s="242">
        <v>15</v>
      </c>
      <c r="W123" s="243"/>
      <c r="X123" s="243"/>
      <c r="Y123" s="251"/>
      <c r="Z123" s="252">
        <v>0</v>
      </c>
      <c r="AA123" s="242">
        <v>1</v>
      </c>
      <c r="AB123" s="244" t="s">
        <v>1971</v>
      </c>
      <c r="AC123" s="255"/>
      <c r="AD123" s="239">
        <v>1</v>
      </c>
      <c r="AE123" s="304">
        <v>1</v>
      </c>
      <c r="AF123" s="296"/>
      <c r="AG123" s="297"/>
      <c r="AH123" s="297"/>
      <c r="AI123" s="297"/>
      <c r="AJ123" s="297"/>
      <c r="AK123" s="297" t="str">
        <f>"      " &amp; TEXT(AE123,"#0.00%") &amp; " " &amp; "어플리케이션(시스템) 설계" &amp; "(강상욱님)" &amp; " " &amp; IF(P123="","",TEXT(P123,"M/D-")) &amp; IF(Q123="","",TEXT(Q123,"M/D")) &amp; " "</f>
        <v xml:space="preserve">      100.00% 어플리케이션(시스템) 설계(강상욱님) 3/10-3/28 </v>
      </c>
      <c r="AL123" s="297"/>
      <c r="AM123" s="297"/>
      <c r="AN123" s="297"/>
      <c r="AO123" s="297"/>
      <c r="AP123" s="297"/>
      <c r="AQ123" s="297"/>
      <c r="AR123" s="297"/>
      <c r="AS123" s="297"/>
      <c r="AT123" s="297"/>
      <c r="AU123" s="297"/>
      <c r="AV123" s="297"/>
      <c r="AW123" s="297"/>
      <c r="AX123" s="297"/>
      <c r="AY123" s="297"/>
      <c r="AZ123" s="297"/>
      <c r="BA123" s="297"/>
      <c r="BB123" s="297"/>
      <c r="BC123" s="297"/>
      <c r="BD123" s="297"/>
      <c r="BE123" s="297"/>
      <c r="BF123" s="297"/>
      <c r="BG123" s="297"/>
      <c r="BH123" s="297"/>
      <c r="BI123" s="297"/>
      <c r="BJ123" s="297"/>
      <c r="BK123" s="297"/>
      <c r="BL123" s="297"/>
      <c r="BM123" s="297"/>
      <c r="BN123" s="297"/>
      <c r="BO123" s="297"/>
      <c r="BP123" s="297"/>
      <c r="BQ123" s="297"/>
      <c r="BR123" s="297"/>
      <c r="BS123" s="297"/>
      <c r="BT123" s="297"/>
      <c r="BU123" s="297"/>
      <c r="BV123" s="297"/>
      <c r="BW123" s="297"/>
      <c r="BX123" s="297"/>
      <c r="BY123" s="297"/>
      <c r="BZ123" s="297"/>
      <c r="CA123" s="297"/>
      <c r="CB123" s="297"/>
      <c r="CC123" s="297"/>
      <c r="CD123" s="297"/>
      <c r="CE123" s="297"/>
      <c r="CF123" s="297"/>
      <c r="CG123" s="297"/>
    </row>
    <row r="124" spans="1:85" s="308" customFormat="1" ht="12" customHeight="1" outlineLevel="3">
      <c r="A124" s="305"/>
      <c r="B124" s="305"/>
      <c r="C124" s="305">
        <v>4</v>
      </c>
      <c r="D124" s="257" t="s">
        <v>2341</v>
      </c>
      <c r="E124" s="244"/>
      <c r="F124" s="244"/>
      <c r="G124" s="249"/>
      <c r="H124" s="244" t="s">
        <v>2095</v>
      </c>
      <c r="I124" s="244"/>
      <c r="J124" s="244"/>
      <c r="K124" s="244"/>
      <c r="L124" s="244"/>
      <c r="M124" s="244"/>
      <c r="N124" s="244"/>
      <c r="O124" s="244"/>
      <c r="P124" s="243">
        <v>45740</v>
      </c>
      <c r="Q124" s="243">
        <v>45751</v>
      </c>
      <c r="R124" s="244"/>
      <c r="S124" s="242">
        <v>8</v>
      </c>
      <c r="T124" s="242">
        <v>8</v>
      </c>
      <c r="U124" s="242">
        <v>10</v>
      </c>
      <c r="V124" s="242">
        <v>10</v>
      </c>
      <c r="W124" s="243"/>
      <c r="X124" s="243"/>
      <c r="Y124" s="251"/>
      <c r="Z124" s="252">
        <v>0</v>
      </c>
      <c r="AA124" s="242">
        <v>0.8</v>
      </c>
      <c r="AB124" s="244" t="s">
        <v>1971</v>
      </c>
      <c r="AC124" s="255"/>
      <c r="AD124" s="239">
        <v>1</v>
      </c>
      <c r="AE124" s="304">
        <v>1</v>
      </c>
      <c r="AF124" s="296"/>
      <c r="AG124" s="297"/>
      <c r="AH124" s="297"/>
      <c r="AI124" s="297"/>
      <c r="AJ124" s="297"/>
      <c r="AK124" s="297"/>
      <c r="AL124" s="297" t="str">
        <f>"      " &amp; TEXT(AE124,"#0.00%") &amp; " " &amp; "배치 스케줄러 구성 설계" &amp; "(강상욱님)" &amp; " " &amp; IF(P124="","",TEXT(P124,"M/D-")) &amp; IF(Q124="","",TEXT(Q124,"M/D")) &amp; " "</f>
        <v xml:space="preserve">      100.00% 배치 스케줄러 구성 설계(강상욱님) 3/24-4/4 </v>
      </c>
      <c r="AM124" s="297"/>
      <c r="AN124" s="297"/>
      <c r="AO124" s="297"/>
      <c r="AP124" s="297"/>
      <c r="AQ124" s="297"/>
      <c r="AR124" s="297"/>
      <c r="AS124" s="297"/>
      <c r="AT124" s="297"/>
      <c r="AU124" s="297"/>
      <c r="AV124" s="297"/>
      <c r="AW124" s="297"/>
      <c r="AX124" s="297"/>
      <c r="AY124" s="297"/>
      <c r="AZ124" s="297"/>
      <c r="BA124" s="297"/>
      <c r="BB124" s="297"/>
      <c r="BC124" s="297"/>
      <c r="BD124" s="297"/>
      <c r="BE124" s="297"/>
      <c r="BF124" s="297"/>
      <c r="BG124" s="297"/>
      <c r="BH124" s="297"/>
      <c r="BI124" s="297"/>
      <c r="BJ124" s="297"/>
      <c r="BK124" s="297"/>
      <c r="BL124" s="297"/>
      <c r="BM124" s="297"/>
      <c r="BN124" s="297"/>
      <c r="BO124" s="297"/>
      <c r="BP124" s="297"/>
      <c r="BQ124" s="297"/>
      <c r="BR124" s="297"/>
      <c r="BS124" s="297"/>
      <c r="BT124" s="297"/>
      <c r="BU124" s="297"/>
      <c r="BV124" s="297"/>
      <c r="BW124" s="297"/>
      <c r="BX124" s="297"/>
      <c r="BY124" s="297"/>
      <c r="BZ124" s="297"/>
      <c r="CA124" s="297"/>
      <c r="CB124" s="297"/>
      <c r="CC124" s="297"/>
      <c r="CD124" s="297"/>
      <c r="CE124" s="297"/>
      <c r="CF124" s="297"/>
      <c r="CG124" s="297"/>
    </row>
    <row r="125" spans="1:85" s="308" customFormat="1" ht="12" customHeight="1" outlineLevel="3">
      <c r="A125" s="305"/>
      <c r="B125" s="305"/>
      <c r="C125" s="305">
        <v>4</v>
      </c>
      <c r="D125" s="257" t="s">
        <v>2342</v>
      </c>
      <c r="E125" s="244"/>
      <c r="F125" s="244"/>
      <c r="G125" s="249"/>
      <c r="H125" s="244" t="s">
        <v>2096</v>
      </c>
      <c r="I125" s="244"/>
      <c r="J125" s="244"/>
      <c r="K125" s="244"/>
      <c r="L125" s="244"/>
      <c r="M125" s="244"/>
      <c r="N125" s="244"/>
      <c r="O125" s="244"/>
      <c r="P125" s="243">
        <v>45740</v>
      </c>
      <c r="Q125" s="243">
        <v>45751</v>
      </c>
      <c r="R125" s="244"/>
      <c r="S125" s="242">
        <v>8</v>
      </c>
      <c r="T125" s="242">
        <v>8</v>
      </c>
      <c r="U125" s="242">
        <v>10</v>
      </c>
      <c r="V125" s="242">
        <v>10</v>
      </c>
      <c r="W125" s="243"/>
      <c r="X125" s="243"/>
      <c r="Y125" s="251"/>
      <c r="Z125" s="252">
        <v>0</v>
      </c>
      <c r="AA125" s="242">
        <v>0.8</v>
      </c>
      <c r="AB125" s="244" t="s">
        <v>1971</v>
      </c>
      <c r="AC125" s="255"/>
      <c r="AD125" s="239">
        <v>1</v>
      </c>
      <c r="AE125" s="304">
        <v>1</v>
      </c>
      <c r="AF125" s="296"/>
      <c r="AG125" s="297"/>
      <c r="AH125" s="297"/>
      <c r="AI125" s="297"/>
      <c r="AJ125" s="297"/>
      <c r="AK125" s="297"/>
      <c r="AL125" s="297" t="str">
        <f>"      " &amp; TEXT(AE125,"#0.00%") &amp; " " &amp; "API 인증 인가 설계" &amp; "(강상욱님)" &amp; " " &amp; IF(P125="","",TEXT(P125,"M/D-")) &amp; IF(Q125="","",TEXT(Q125,"M/D")) &amp; " "</f>
        <v xml:space="preserve">      100.00% API 인증 인가 설계(강상욱님) 3/24-4/4 </v>
      </c>
      <c r="AM125" s="297"/>
      <c r="AN125" s="297"/>
      <c r="AO125" s="297"/>
      <c r="AP125" s="297"/>
      <c r="AQ125" s="297"/>
      <c r="AR125" s="297"/>
      <c r="AS125" s="297"/>
      <c r="AT125" s="297"/>
      <c r="AU125" s="297"/>
      <c r="AV125" s="297"/>
      <c r="AW125" s="297"/>
      <c r="AX125" s="297"/>
      <c r="AY125" s="297"/>
      <c r="AZ125" s="297"/>
      <c r="BA125" s="297"/>
      <c r="BB125" s="297"/>
      <c r="BC125" s="297"/>
      <c r="BD125" s="297"/>
      <c r="BE125" s="297"/>
      <c r="BF125" s="297"/>
      <c r="BG125" s="297"/>
      <c r="BH125" s="297"/>
      <c r="BI125" s="297"/>
      <c r="BJ125" s="297"/>
      <c r="BK125" s="297"/>
      <c r="BL125" s="297"/>
      <c r="BM125" s="297"/>
      <c r="BN125" s="297"/>
      <c r="BO125" s="297"/>
      <c r="BP125" s="297"/>
      <c r="BQ125" s="297"/>
      <c r="BR125" s="297"/>
      <c r="BS125" s="297"/>
      <c r="BT125" s="297"/>
      <c r="BU125" s="297"/>
      <c r="BV125" s="297"/>
      <c r="BW125" s="297"/>
      <c r="BX125" s="297"/>
      <c r="BY125" s="297"/>
      <c r="BZ125" s="297"/>
      <c r="CA125" s="297"/>
      <c r="CB125" s="297"/>
      <c r="CC125" s="297"/>
      <c r="CD125" s="297"/>
      <c r="CE125" s="297"/>
      <c r="CF125" s="297"/>
      <c r="CG125" s="297"/>
    </row>
    <row r="126" spans="1:85" ht="12" customHeight="1" outlineLevel="2">
      <c r="A126" s="288"/>
      <c r="B126" s="288" t="s">
        <v>2334</v>
      </c>
      <c r="C126" s="288">
        <v>3</v>
      </c>
      <c r="D126" s="257" t="s">
        <v>1452</v>
      </c>
      <c r="E126" s="244"/>
      <c r="F126" s="244"/>
      <c r="G126" s="249" t="s">
        <v>2048</v>
      </c>
      <c r="H126" s="244"/>
      <c r="I126" s="244"/>
      <c r="J126" s="244"/>
      <c r="K126" s="244"/>
      <c r="L126" s="244"/>
      <c r="M126" s="244"/>
      <c r="N126" s="244"/>
      <c r="O126" s="244"/>
      <c r="P126" s="243">
        <v>45733</v>
      </c>
      <c r="Q126" s="243">
        <v>45765</v>
      </c>
      <c r="R126" s="244"/>
      <c r="S126" s="242">
        <v>85</v>
      </c>
      <c r="T126" s="242">
        <v>85</v>
      </c>
      <c r="U126" s="242">
        <v>25</v>
      </c>
      <c r="V126" s="242">
        <v>25</v>
      </c>
      <c r="W126" s="243"/>
      <c r="X126" s="243"/>
      <c r="Y126" s="251">
        <v>0</v>
      </c>
      <c r="Z126" s="252">
        <v>0</v>
      </c>
      <c r="AA126" s="242"/>
      <c r="AB126" s="244"/>
      <c r="AC126" s="255"/>
      <c r="AD126" s="239">
        <v>1</v>
      </c>
      <c r="AE126" s="241">
        <v>1</v>
      </c>
      <c r="AF126" s="296"/>
      <c r="AG126" s="297"/>
      <c r="AH126" s="297"/>
      <c r="AI126" s="297"/>
      <c r="AJ126" s="297"/>
      <c r="AK126" s="297"/>
      <c r="AL126" s="297"/>
      <c r="AM126" s="297"/>
      <c r="AN126" s="297" t="str">
        <f>"      " &amp; TEXT(AE126,"#0.00%") &amp; " " &amp; "공통" &amp; " " &amp; IF(P126="","",TEXT(P126,"M/D-")) &amp; IF(Q126="","",TEXT(Q126,"M/D")) &amp; " "</f>
        <v xml:space="preserve">      100.00% 공통 3/17-4/18 </v>
      </c>
      <c r="AO126" s="297"/>
      <c r="AP126" s="297"/>
      <c r="AQ126" s="297"/>
      <c r="AR126" s="297"/>
      <c r="AS126" s="297"/>
      <c r="AT126" s="297"/>
      <c r="AU126" s="297"/>
      <c r="AV126" s="297"/>
      <c r="AW126" s="297"/>
      <c r="AX126" s="297"/>
      <c r="AY126" s="297"/>
      <c r="AZ126" s="297"/>
      <c r="BA126" s="297"/>
      <c r="BB126" s="297"/>
      <c r="BC126" s="297"/>
      <c r="BD126" s="297"/>
      <c r="BE126" s="297"/>
      <c r="BF126" s="297"/>
      <c r="BG126" s="297"/>
      <c r="BH126" s="297"/>
      <c r="BI126" s="297"/>
      <c r="BJ126" s="297"/>
      <c r="BK126" s="297"/>
      <c r="BL126" s="297"/>
      <c r="BM126" s="297"/>
      <c r="BN126" s="297"/>
      <c r="BO126" s="297"/>
      <c r="BP126" s="297"/>
      <c r="BQ126" s="297"/>
      <c r="BR126" s="297"/>
      <c r="BS126" s="297"/>
      <c r="BT126" s="297"/>
      <c r="BU126" s="297"/>
      <c r="BV126" s="297"/>
      <c r="BW126" s="297"/>
      <c r="BX126" s="297"/>
      <c r="BY126" s="297"/>
      <c r="BZ126" s="297"/>
      <c r="CA126" s="297"/>
      <c r="CB126" s="297"/>
      <c r="CC126" s="297"/>
      <c r="CD126" s="297"/>
      <c r="CE126" s="297"/>
      <c r="CF126" s="297"/>
      <c r="CG126" s="297"/>
    </row>
    <row r="127" spans="1:85" s="308" customFormat="1" ht="12" customHeight="1" outlineLevel="3">
      <c r="A127" s="305"/>
      <c r="B127" s="305"/>
      <c r="C127" s="305">
        <v>4</v>
      </c>
      <c r="D127" s="257" t="s">
        <v>2049</v>
      </c>
      <c r="E127" s="244"/>
      <c r="F127" s="244"/>
      <c r="G127" s="244"/>
      <c r="H127" s="244" t="s">
        <v>2097</v>
      </c>
      <c r="I127" s="244"/>
      <c r="J127" s="244"/>
      <c r="K127" s="244"/>
      <c r="L127" s="244"/>
      <c r="M127" s="244"/>
      <c r="N127" s="244"/>
      <c r="O127" s="244"/>
      <c r="P127" s="243">
        <v>45733</v>
      </c>
      <c r="Q127" s="243">
        <v>45744</v>
      </c>
      <c r="R127" s="244"/>
      <c r="S127" s="242">
        <v>10</v>
      </c>
      <c r="T127" s="242">
        <v>10</v>
      </c>
      <c r="U127" s="242">
        <v>10</v>
      </c>
      <c r="V127" s="242">
        <v>10</v>
      </c>
      <c r="W127" s="243"/>
      <c r="X127" s="243"/>
      <c r="Y127" s="251"/>
      <c r="Z127" s="252">
        <v>0</v>
      </c>
      <c r="AA127" s="242">
        <v>1</v>
      </c>
      <c r="AB127" s="244" t="s">
        <v>1971</v>
      </c>
      <c r="AC127" s="255"/>
      <c r="AD127" s="239">
        <v>1</v>
      </c>
      <c r="AE127" s="304">
        <v>1</v>
      </c>
      <c r="AF127" s="296"/>
      <c r="AG127" s="297"/>
      <c r="AH127" s="297"/>
      <c r="AI127" s="297"/>
      <c r="AJ127" s="297"/>
      <c r="AK127" s="297" t="str">
        <f>"      " &amp; TEXT(AE127,"#0.00%") &amp; " " &amp; "전체 CICD 구조 설계" &amp; "(강상욱님)" &amp; " " &amp; IF(P127="","",TEXT(P127,"M/D-")) &amp; IF(Q127="","",TEXT(Q127,"M/D")) &amp; " "</f>
        <v xml:space="preserve">      100.00% 전체 CICD 구조 설계(강상욱님) 3/17-3/28 </v>
      </c>
      <c r="AL127" s="297"/>
      <c r="AM127" s="297"/>
      <c r="AN127" s="297"/>
      <c r="AO127" s="297"/>
      <c r="AP127" s="297"/>
      <c r="AQ127" s="297"/>
      <c r="AR127" s="297"/>
      <c r="AS127" s="297"/>
      <c r="AT127" s="297"/>
      <c r="AU127" s="297"/>
      <c r="AV127" s="297"/>
      <c r="AW127" s="297"/>
      <c r="AX127" s="297"/>
      <c r="AY127" s="297"/>
      <c r="AZ127" s="297"/>
      <c r="BA127" s="297"/>
      <c r="BB127" s="297"/>
      <c r="BC127" s="297"/>
      <c r="BD127" s="297"/>
      <c r="BE127" s="297"/>
      <c r="BF127" s="297"/>
      <c r="BG127" s="297"/>
      <c r="BH127" s="297"/>
      <c r="BI127" s="297"/>
      <c r="BJ127" s="297"/>
      <c r="BK127" s="297"/>
      <c r="BL127" s="297"/>
      <c r="BM127" s="297"/>
      <c r="BN127" s="297"/>
      <c r="BO127" s="297"/>
      <c r="BP127" s="297"/>
      <c r="BQ127" s="297"/>
      <c r="BR127" s="297"/>
      <c r="BS127" s="297"/>
      <c r="BT127" s="297"/>
      <c r="BU127" s="297"/>
      <c r="BV127" s="297"/>
      <c r="BW127" s="297"/>
      <c r="BX127" s="297"/>
      <c r="BY127" s="297"/>
      <c r="BZ127" s="297"/>
      <c r="CA127" s="297"/>
      <c r="CB127" s="297"/>
      <c r="CC127" s="297"/>
      <c r="CD127" s="297"/>
      <c r="CE127" s="297"/>
      <c r="CF127" s="297"/>
      <c r="CG127" s="297"/>
    </row>
    <row r="128" spans="1:85" s="308" customFormat="1" ht="12" customHeight="1" outlineLevel="3">
      <c r="A128" s="305"/>
      <c r="B128" s="305"/>
      <c r="C128" s="305">
        <v>4</v>
      </c>
      <c r="D128" s="257" t="s">
        <v>2050</v>
      </c>
      <c r="E128" s="244"/>
      <c r="F128" s="244"/>
      <c r="G128" s="244"/>
      <c r="H128" s="244" t="s">
        <v>2098</v>
      </c>
      <c r="I128" s="244"/>
      <c r="J128" s="244"/>
      <c r="K128" s="244"/>
      <c r="L128" s="244"/>
      <c r="M128" s="244"/>
      <c r="N128" s="244"/>
      <c r="O128" s="244"/>
      <c r="P128" s="243">
        <v>45733</v>
      </c>
      <c r="Q128" s="243">
        <v>45744</v>
      </c>
      <c r="R128" s="244"/>
      <c r="S128" s="242">
        <v>10</v>
      </c>
      <c r="T128" s="242">
        <v>10</v>
      </c>
      <c r="U128" s="242">
        <v>10</v>
      </c>
      <c r="V128" s="242">
        <v>10</v>
      </c>
      <c r="W128" s="243"/>
      <c r="X128" s="243"/>
      <c r="Y128" s="251"/>
      <c r="Z128" s="252">
        <v>0</v>
      </c>
      <c r="AA128" s="242">
        <v>1</v>
      </c>
      <c r="AB128" s="244" t="s">
        <v>1971</v>
      </c>
      <c r="AC128" s="255"/>
      <c r="AD128" s="239">
        <v>1</v>
      </c>
      <c r="AE128" s="304">
        <v>1</v>
      </c>
      <c r="AF128" s="296"/>
      <c r="AG128" s="297"/>
      <c r="AH128" s="297"/>
      <c r="AI128" s="297"/>
      <c r="AJ128" s="297"/>
      <c r="AK128" s="297" t="str">
        <f>"      " &amp; TEXT(AE128,"#0.00%") &amp; " " &amp; "GitLab Runner  구성 설계" &amp; "(강상욱님)" &amp; " " &amp; IF(P128="","",TEXT(P128,"M/D-")) &amp; IF(Q128="","",TEXT(Q128,"M/D")) &amp; " "</f>
        <v xml:space="preserve">      100.00% GitLab Runner  구성 설계(강상욱님) 3/17-3/28 </v>
      </c>
      <c r="AL128" s="297"/>
      <c r="AM128" s="297"/>
      <c r="AN128" s="297"/>
      <c r="AO128" s="297"/>
      <c r="AP128" s="297"/>
      <c r="AQ128" s="297"/>
      <c r="AR128" s="297"/>
      <c r="AS128" s="297"/>
      <c r="AT128" s="297"/>
      <c r="AU128" s="297"/>
      <c r="AV128" s="297"/>
      <c r="AW128" s="297"/>
      <c r="AX128" s="297"/>
      <c r="AY128" s="297"/>
      <c r="AZ128" s="297"/>
      <c r="BA128" s="297"/>
      <c r="BB128" s="297"/>
      <c r="BC128" s="297"/>
      <c r="BD128" s="297"/>
      <c r="BE128" s="297"/>
      <c r="BF128" s="297"/>
      <c r="BG128" s="297"/>
      <c r="BH128" s="297"/>
      <c r="BI128" s="297"/>
      <c r="BJ128" s="297"/>
      <c r="BK128" s="297"/>
      <c r="BL128" s="297"/>
      <c r="BM128" s="297"/>
      <c r="BN128" s="297"/>
      <c r="BO128" s="297"/>
      <c r="BP128" s="297"/>
      <c r="BQ128" s="297"/>
      <c r="BR128" s="297"/>
      <c r="BS128" s="297"/>
      <c r="BT128" s="297"/>
      <c r="BU128" s="297"/>
      <c r="BV128" s="297"/>
      <c r="BW128" s="297"/>
      <c r="BX128" s="297"/>
      <c r="BY128" s="297"/>
      <c r="BZ128" s="297"/>
      <c r="CA128" s="297"/>
      <c r="CB128" s="297"/>
      <c r="CC128" s="297"/>
      <c r="CD128" s="297"/>
      <c r="CE128" s="297"/>
      <c r="CF128" s="297"/>
      <c r="CG128" s="297"/>
    </row>
    <row r="129" spans="1:85" s="308" customFormat="1" ht="12" customHeight="1" outlineLevel="3">
      <c r="A129" s="305"/>
      <c r="B129" s="305"/>
      <c r="C129" s="305">
        <v>4</v>
      </c>
      <c r="D129" s="257" t="s">
        <v>2051</v>
      </c>
      <c r="E129" s="244"/>
      <c r="F129" s="244"/>
      <c r="G129" s="244"/>
      <c r="H129" s="244" t="s">
        <v>2100</v>
      </c>
      <c r="I129" s="244"/>
      <c r="J129" s="244"/>
      <c r="K129" s="244"/>
      <c r="L129" s="244"/>
      <c r="M129" s="244"/>
      <c r="N129" s="244"/>
      <c r="O129" s="244"/>
      <c r="P129" s="243">
        <v>45733</v>
      </c>
      <c r="Q129" s="243">
        <v>45751</v>
      </c>
      <c r="R129" s="244"/>
      <c r="S129" s="242">
        <v>15</v>
      </c>
      <c r="T129" s="242">
        <v>15</v>
      </c>
      <c r="U129" s="242">
        <v>15</v>
      </c>
      <c r="V129" s="242">
        <v>15</v>
      </c>
      <c r="W129" s="243"/>
      <c r="X129" s="243"/>
      <c r="Y129" s="251"/>
      <c r="Z129" s="252">
        <v>0</v>
      </c>
      <c r="AA129" s="242">
        <v>1</v>
      </c>
      <c r="AB129" s="244" t="s">
        <v>1972</v>
      </c>
      <c r="AC129" s="255"/>
      <c r="AD129" s="239">
        <v>1</v>
      </c>
      <c r="AE129" s="304">
        <v>1</v>
      </c>
      <c r="AF129" s="296"/>
      <c r="AG129" s="297"/>
      <c r="AH129" s="297"/>
      <c r="AI129" s="297"/>
      <c r="AJ129" s="297"/>
      <c r="AK129" s="297"/>
      <c r="AL129" s="297" t="str">
        <f>"      " &amp; TEXT(AE129,"#0.00%") &amp; " " &amp; "네트워크 및 보안로그 구성안" &amp; "(이석호님)" &amp; " " &amp; IF(P129="","",TEXT(P129,"M/D-")) &amp; IF(Q129="","",TEXT(Q129,"M/D")) &amp; " "</f>
        <v xml:space="preserve">      100.00% 네트워크 및 보안로그 구성안(이석호님) 3/17-4/4 </v>
      </c>
      <c r="AM129" s="297"/>
      <c r="AN129" s="297"/>
      <c r="AO129" s="297"/>
      <c r="AP129" s="297"/>
      <c r="AQ129" s="297"/>
      <c r="AR129" s="297"/>
      <c r="AS129" s="297"/>
      <c r="AT129" s="297"/>
      <c r="AU129" s="297"/>
      <c r="AV129" s="297"/>
      <c r="AW129" s="297"/>
      <c r="AX129" s="297"/>
      <c r="AY129" s="297"/>
      <c r="AZ129" s="297"/>
      <c r="BA129" s="297"/>
      <c r="BB129" s="297"/>
      <c r="BC129" s="297"/>
      <c r="BD129" s="297"/>
      <c r="BE129" s="297"/>
      <c r="BF129" s="297"/>
      <c r="BG129" s="297"/>
      <c r="BH129" s="297"/>
      <c r="BI129" s="297"/>
      <c r="BJ129" s="297"/>
      <c r="BK129" s="297"/>
      <c r="BL129" s="297"/>
      <c r="BM129" s="297"/>
      <c r="BN129" s="297"/>
      <c r="BO129" s="297"/>
      <c r="BP129" s="297"/>
      <c r="BQ129" s="297"/>
      <c r="BR129" s="297"/>
      <c r="BS129" s="297"/>
      <c r="BT129" s="297"/>
      <c r="BU129" s="297"/>
      <c r="BV129" s="297"/>
      <c r="BW129" s="297"/>
      <c r="BX129" s="297"/>
      <c r="BY129" s="297"/>
      <c r="BZ129" s="297"/>
      <c r="CA129" s="297"/>
      <c r="CB129" s="297"/>
      <c r="CC129" s="297"/>
      <c r="CD129" s="297"/>
      <c r="CE129" s="297"/>
      <c r="CF129" s="297"/>
      <c r="CG129" s="297"/>
    </row>
    <row r="130" spans="1:85" ht="12" customHeight="1" outlineLevel="3">
      <c r="A130" s="288"/>
      <c r="B130" s="288"/>
      <c r="C130" s="288">
        <v>4</v>
      </c>
      <c r="D130" s="257" t="s">
        <v>2343</v>
      </c>
      <c r="E130" s="244"/>
      <c r="F130" s="244"/>
      <c r="G130" s="244"/>
      <c r="H130" s="244" t="s">
        <v>2099</v>
      </c>
      <c r="I130" s="244"/>
      <c r="J130" s="244"/>
      <c r="K130" s="244"/>
      <c r="L130" s="244"/>
      <c r="M130" s="244"/>
      <c r="N130" s="244"/>
      <c r="O130" s="244"/>
      <c r="P130" s="243">
        <v>45740</v>
      </c>
      <c r="Q130" s="243">
        <v>45751</v>
      </c>
      <c r="R130" s="244"/>
      <c r="S130" s="242">
        <v>10</v>
      </c>
      <c r="T130" s="242">
        <v>10</v>
      </c>
      <c r="U130" s="242">
        <v>10</v>
      </c>
      <c r="V130" s="242">
        <v>10</v>
      </c>
      <c r="W130" s="243"/>
      <c r="X130" s="243"/>
      <c r="Y130" s="251"/>
      <c r="Z130" s="252">
        <v>0</v>
      </c>
      <c r="AA130" s="242">
        <v>1</v>
      </c>
      <c r="AB130" s="244" t="s">
        <v>2047</v>
      </c>
      <c r="AC130" s="255"/>
      <c r="AD130" s="239">
        <v>1</v>
      </c>
      <c r="AE130" s="304">
        <v>1</v>
      </c>
      <c r="AF130" s="296"/>
      <c r="AG130" s="297"/>
      <c r="AH130" s="297"/>
      <c r="AI130" s="297"/>
      <c r="AJ130" s="297"/>
      <c r="AK130" s="297"/>
      <c r="AL130" s="297" t="str">
        <f>"      " &amp; TEXT(AE130,"#0.00%") &amp; " " &amp; "ECR 구성 설계" &amp; "(강상욱님, 이석호님)" &amp; " " &amp; IF(P130="","",TEXT(P130,"M/D-")) &amp; IF(Q130="","",TEXT(Q130,"M/D")) &amp; " "</f>
        <v xml:space="preserve">      100.00% ECR 구성 설계(강상욱님, 이석호님) 3/24-4/4 </v>
      </c>
      <c r="AM130" s="297"/>
      <c r="AN130" s="297"/>
      <c r="AO130" s="297"/>
      <c r="AP130" s="297"/>
      <c r="AQ130" s="297"/>
      <c r="AR130" s="297"/>
      <c r="AS130" s="297"/>
      <c r="AT130" s="297"/>
      <c r="AU130" s="297"/>
      <c r="AV130" s="297"/>
      <c r="AW130" s="297"/>
      <c r="AX130" s="297"/>
      <c r="AY130" s="297"/>
      <c r="AZ130" s="297"/>
      <c r="BA130" s="297"/>
      <c r="BB130" s="297"/>
      <c r="BC130" s="297"/>
      <c r="BD130" s="297"/>
      <c r="BE130" s="297"/>
      <c r="BF130" s="297"/>
      <c r="BG130" s="297"/>
      <c r="BH130" s="297"/>
      <c r="BI130" s="297"/>
      <c r="BJ130" s="297"/>
      <c r="BK130" s="297"/>
      <c r="BL130" s="297"/>
      <c r="BM130" s="297"/>
      <c r="BN130" s="297"/>
      <c r="BO130" s="297"/>
      <c r="BP130" s="297"/>
      <c r="BQ130" s="297"/>
      <c r="BR130" s="297"/>
      <c r="BS130" s="297"/>
      <c r="BT130" s="297"/>
      <c r="BU130" s="297"/>
      <c r="BV130" s="297"/>
      <c r="BW130" s="297"/>
      <c r="BX130" s="297"/>
      <c r="BY130" s="297"/>
      <c r="BZ130" s="297"/>
      <c r="CA130" s="297"/>
      <c r="CB130" s="297"/>
      <c r="CC130" s="297"/>
      <c r="CD130" s="297"/>
      <c r="CE130" s="297"/>
      <c r="CF130" s="297"/>
      <c r="CG130" s="297"/>
    </row>
    <row r="131" spans="1:85" s="308" customFormat="1" ht="12" customHeight="1" outlineLevel="3">
      <c r="A131" s="305"/>
      <c r="B131" s="305"/>
      <c r="C131" s="305">
        <v>4</v>
      </c>
      <c r="D131" s="257" t="s">
        <v>2344</v>
      </c>
      <c r="E131" s="244"/>
      <c r="F131" s="244"/>
      <c r="G131" s="244"/>
      <c r="H131" s="244" t="s">
        <v>1741</v>
      </c>
      <c r="I131" s="244"/>
      <c r="J131" s="244"/>
      <c r="K131" s="244"/>
      <c r="L131" s="244"/>
      <c r="M131" s="244"/>
      <c r="N131" s="244"/>
      <c r="O131" s="244"/>
      <c r="P131" s="243">
        <v>45747</v>
      </c>
      <c r="Q131" s="243">
        <v>45758</v>
      </c>
      <c r="R131" s="244"/>
      <c r="S131" s="242">
        <v>10</v>
      </c>
      <c r="T131" s="242">
        <v>10</v>
      </c>
      <c r="U131" s="242">
        <v>10</v>
      </c>
      <c r="V131" s="242">
        <v>10</v>
      </c>
      <c r="W131" s="243"/>
      <c r="X131" s="243"/>
      <c r="Y131" s="251"/>
      <c r="Z131" s="252">
        <v>0</v>
      </c>
      <c r="AA131" s="242">
        <v>1</v>
      </c>
      <c r="AB131" s="244" t="s">
        <v>2047</v>
      </c>
      <c r="AC131" s="255"/>
      <c r="AD131" s="239">
        <v>1</v>
      </c>
      <c r="AE131" s="304">
        <v>1</v>
      </c>
      <c r="AF131" s="296"/>
      <c r="AG131" s="297"/>
      <c r="AH131" s="297"/>
      <c r="AI131" s="297"/>
      <c r="AJ131" s="297"/>
      <c r="AK131" s="297"/>
      <c r="AL131" s="297"/>
      <c r="AM131" s="297" t="str">
        <f>"      " &amp; TEXT(AE131,"#0.00%") &amp; " " &amp; "로깅 설계" &amp; "(강상욱님, 이석호님)" &amp; " " &amp; IF(P131="","",TEXT(P131,"M/D-")) &amp; IF(Q131="","",TEXT(Q131,"M/D")) &amp; " "</f>
        <v xml:space="preserve">      100.00% 로깅 설계(강상욱님, 이석호님) 3/31-4/11 </v>
      </c>
      <c r="AN131" s="297"/>
      <c r="AO131" s="297"/>
      <c r="AP131" s="297"/>
      <c r="AQ131" s="297"/>
      <c r="AR131" s="297"/>
      <c r="AS131" s="297"/>
      <c r="AT131" s="297"/>
      <c r="AU131" s="297"/>
      <c r="AV131" s="297"/>
      <c r="AW131" s="297"/>
      <c r="AX131" s="297"/>
      <c r="AY131" s="297"/>
      <c r="AZ131" s="297"/>
      <c r="BA131" s="297"/>
      <c r="BB131" s="297"/>
      <c r="BC131" s="297"/>
      <c r="BD131" s="297"/>
      <c r="BE131" s="297"/>
      <c r="BF131" s="297"/>
      <c r="BG131" s="297"/>
      <c r="BH131" s="297"/>
      <c r="BI131" s="297"/>
      <c r="BJ131" s="297"/>
      <c r="BK131" s="297"/>
      <c r="BL131" s="297"/>
      <c r="BM131" s="297"/>
      <c r="BN131" s="297"/>
      <c r="BO131" s="297"/>
      <c r="BP131" s="297"/>
      <c r="BQ131" s="297"/>
      <c r="BR131" s="297"/>
      <c r="BS131" s="297"/>
      <c r="BT131" s="297"/>
      <c r="BU131" s="297"/>
      <c r="BV131" s="297"/>
      <c r="BW131" s="297"/>
      <c r="BX131" s="297"/>
      <c r="BY131" s="297"/>
      <c r="BZ131" s="297"/>
      <c r="CA131" s="297"/>
      <c r="CB131" s="297"/>
      <c r="CC131" s="297"/>
      <c r="CD131" s="297"/>
      <c r="CE131" s="297"/>
      <c r="CF131" s="297"/>
      <c r="CG131" s="297"/>
    </row>
    <row r="132" spans="1:85" s="308" customFormat="1" ht="12" customHeight="1" outlineLevel="3">
      <c r="A132" s="305"/>
      <c r="B132" s="305"/>
      <c r="C132" s="305">
        <v>4</v>
      </c>
      <c r="D132" s="257" t="s">
        <v>2345</v>
      </c>
      <c r="E132" s="244"/>
      <c r="F132" s="244"/>
      <c r="G132" s="244"/>
      <c r="H132" s="244" t="s">
        <v>2101</v>
      </c>
      <c r="I132" s="244"/>
      <c r="J132" s="244"/>
      <c r="K132" s="244"/>
      <c r="L132" s="244"/>
      <c r="M132" s="244"/>
      <c r="N132" s="244"/>
      <c r="O132" s="244"/>
      <c r="P132" s="243">
        <v>45747</v>
      </c>
      <c r="Q132" s="243">
        <v>45765</v>
      </c>
      <c r="R132" s="244"/>
      <c r="S132" s="242">
        <v>15</v>
      </c>
      <c r="T132" s="242">
        <v>15</v>
      </c>
      <c r="U132" s="242">
        <v>15</v>
      </c>
      <c r="V132" s="242">
        <v>15</v>
      </c>
      <c r="W132" s="243"/>
      <c r="X132" s="243"/>
      <c r="Y132" s="251"/>
      <c r="Z132" s="252">
        <v>0</v>
      </c>
      <c r="AA132" s="242">
        <v>1</v>
      </c>
      <c r="AB132" s="244" t="s">
        <v>1972</v>
      </c>
      <c r="AC132" s="255"/>
      <c r="AD132" s="239">
        <v>1</v>
      </c>
      <c r="AE132" s="304">
        <v>1</v>
      </c>
      <c r="AF132" s="296"/>
      <c r="AG132" s="297"/>
      <c r="AH132" s="297"/>
      <c r="AI132" s="297"/>
      <c r="AJ132" s="297"/>
      <c r="AK132" s="297"/>
      <c r="AL132" s="297"/>
      <c r="AM132" s="297"/>
      <c r="AN132" s="297" t="str">
        <f>"      " &amp; TEXT(AE132,"#0.00%") &amp; " " &amp; "ECS / DB 모니터링 구성안" &amp; "(이석호님)" &amp; " " &amp; IF(P132="","",TEXT(P132,"M/D-")) &amp; IF(Q132="","",TEXT(Q132,"M/D")) &amp; " "</f>
        <v xml:space="preserve">      100.00% ECS / DB 모니터링 구성안(이석호님) 3/31-4/18 </v>
      </c>
      <c r="AO132" s="297"/>
      <c r="AP132" s="297"/>
      <c r="AQ132" s="297"/>
      <c r="AR132" s="297"/>
      <c r="AS132" s="297"/>
      <c r="AT132" s="297"/>
      <c r="AU132" s="297"/>
      <c r="AV132" s="297"/>
      <c r="AW132" s="297"/>
      <c r="AX132" s="297"/>
      <c r="AY132" s="297"/>
      <c r="AZ132" s="297"/>
      <c r="BA132" s="297"/>
      <c r="BB132" s="297"/>
      <c r="BC132" s="297"/>
      <c r="BD132" s="297"/>
      <c r="BE132" s="297"/>
      <c r="BF132" s="297"/>
      <c r="BG132" s="297"/>
      <c r="BH132" s="297"/>
      <c r="BI132" s="297"/>
      <c r="BJ132" s="297"/>
      <c r="BK132" s="297"/>
      <c r="BL132" s="297"/>
      <c r="BM132" s="297"/>
      <c r="BN132" s="297"/>
      <c r="BO132" s="297"/>
      <c r="BP132" s="297"/>
      <c r="BQ132" s="297"/>
      <c r="BR132" s="297"/>
      <c r="BS132" s="297"/>
      <c r="BT132" s="297"/>
      <c r="BU132" s="297"/>
      <c r="BV132" s="297"/>
      <c r="BW132" s="297"/>
      <c r="BX132" s="297"/>
      <c r="BY132" s="297"/>
      <c r="BZ132" s="297"/>
      <c r="CA132" s="297"/>
      <c r="CB132" s="297"/>
      <c r="CC132" s="297"/>
      <c r="CD132" s="297"/>
      <c r="CE132" s="297"/>
      <c r="CF132" s="297"/>
      <c r="CG132" s="297"/>
    </row>
    <row r="133" spans="1:85" s="308" customFormat="1" ht="12" customHeight="1" outlineLevel="3">
      <c r="A133" s="305"/>
      <c r="B133" s="305"/>
      <c r="C133" s="305">
        <v>4</v>
      </c>
      <c r="D133" s="313" t="s">
        <v>2346</v>
      </c>
      <c r="E133" s="314"/>
      <c r="F133" s="314"/>
      <c r="G133" s="314"/>
      <c r="H133" s="314" t="s">
        <v>2102</v>
      </c>
      <c r="I133" s="314"/>
      <c r="J133" s="314"/>
      <c r="K133" s="314"/>
      <c r="L133" s="314"/>
      <c r="M133" s="314"/>
      <c r="N133" s="314"/>
      <c r="O133" s="314"/>
      <c r="P133" s="243">
        <v>45747</v>
      </c>
      <c r="Q133" s="243">
        <v>45765</v>
      </c>
      <c r="R133" s="244"/>
      <c r="S133" s="242">
        <v>15</v>
      </c>
      <c r="T133" s="242">
        <v>15</v>
      </c>
      <c r="U133" s="242">
        <v>15</v>
      </c>
      <c r="V133" s="242">
        <v>15</v>
      </c>
      <c r="W133" s="243"/>
      <c r="X133" s="243"/>
      <c r="Y133" s="251"/>
      <c r="Z133" s="252">
        <v>0</v>
      </c>
      <c r="AA133" s="242">
        <v>1</v>
      </c>
      <c r="AB133" s="244" t="s">
        <v>1972</v>
      </c>
      <c r="AC133" s="311" t="s">
        <v>2193</v>
      </c>
      <c r="AD133" s="239">
        <v>1</v>
      </c>
      <c r="AE133" s="304">
        <v>1</v>
      </c>
      <c r="AF133" s="296"/>
      <c r="AG133" s="297"/>
      <c r="AH133" s="297"/>
      <c r="AI133" s="297"/>
      <c r="AJ133" s="297"/>
      <c r="AK133" s="297"/>
      <c r="AL133" s="297"/>
      <c r="AM133" s="297"/>
      <c r="AN133" s="297" t="str">
        <f>"      " &amp; TEXT(AE133,"#0.00%") &amp; " " &amp; "POS/키오스크 모니터링 구성안" &amp; "(이석호님)" &amp; " " &amp; IF(P133="","",TEXT(P133,"M/D-")) &amp; IF(Q133="","",TEXT(Q133,"M/D")) &amp; " "</f>
        <v xml:space="preserve">      100.00% POS/키오스크 모니터링 구성안(이석호님) 3/31-4/18 </v>
      </c>
      <c r="AO133" s="297"/>
      <c r="AP133" s="297"/>
      <c r="AQ133" s="297"/>
      <c r="AR133" s="297"/>
      <c r="AS133" s="297"/>
      <c r="AT133" s="297"/>
      <c r="AU133" s="297"/>
      <c r="AV133" s="297"/>
      <c r="AW133" s="297"/>
      <c r="AX133" s="297"/>
      <c r="AY133" s="297"/>
      <c r="AZ133" s="297"/>
      <c r="BA133" s="297"/>
      <c r="BB133" s="297"/>
      <c r="BC133" s="297"/>
      <c r="BD133" s="297"/>
      <c r="BE133" s="297"/>
      <c r="BF133" s="297"/>
      <c r="BG133" s="297"/>
      <c r="BH133" s="297"/>
      <c r="BI133" s="297"/>
      <c r="BJ133" s="297"/>
      <c r="BK133" s="297"/>
      <c r="BL133" s="297"/>
      <c r="BM133" s="297"/>
      <c r="BN133" s="297"/>
      <c r="BO133" s="297"/>
      <c r="BP133" s="297"/>
      <c r="BQ133" s="297"/>
      <c r="BR133" s="297"/>
      <c r="BS133" s="297"/>
      <c r="BT133" s="297"/>
      <c r="BU133" s="297"/>
      <c r="BV133" s="297"/>
      <c r="BW133" s="297"/>
      <c r="BX133" s="297"/>
      <c r="BY133" s="297"/>
      <c r="BZ133" s="297"/>
      <c r="CA133" s="297"/>
      <c r="CB133" s="297"/>
      <c r="CC133" s="297"/>
      <c r="CD133" s="297"/>
      <c r="CE133" s="297"/>
      <c r="CF133" s="297"/>
      <c r="CG133" s="297"/>
    </row>
    <row r="134" spans="1:85" ht="12" customHeight="1" outlineLevel="1">
      <c r="A134" s="288"/>
      <c r="B134" s="288" t="s">
        <v>2334</v>
      </c>
      <c r="C134" s="288">
        <v>2</v>
      </c>
      <c r="D134" s="257" t="s">
        <v>1463</v>
      </c>
      <c r="E134" s="244"/>
      <c r="F134" s="250" t="s">
        <v>1743</v>
      </c>
      <c r="G134" s="244"/>
      <c r="H134" s="244"/>
      <c r="I134" s="244"/>
      <c r="J134" s="244"/>
      <c r="K134" s="244"/>
      <c r="L134" s="244"/>
      <c r="M134" s="244"/>
      <c r="N134" s="244"/>
      <c r="O134" s="244"/>
      <c r="P134" s="243">
        <v>45726</v>
      </c>
      <c r="Q134" s="243">
        <v>45863</v>
      </c>
      <c r="R134" s="244"/>
      <c r="S134" s="242">
        <v>503</v>
      </c>
      <c r="T134" s="242">
        <v>503</v>
      </c>
      <c r="U134" s="242">
        <v>96</v>
      </c>
      <c r="V134" s="242">
        <v>96</v>
      </c>
      <c r="W134" s="243"/>
      <c r="X134" s="243"/>
      <c r="Y134" s="251">
        <v>0</v>
      </c>
      <c r="Z134" s="252">
        <v>0</v>
      </c>
      <c r="AA134" s="242"/>
      <c r="AB134" s="244"/>
      <c r="AC134" s="255"/>
      <c r="AD134" s="239">
        <v>1</v>
      </c>
      <c r="AE134" s="241">
        <v>1</v>
      </c>
      <c r="AF134" s="296"/>
      <c r="AG134" s="297"/>
      <c r="AH134" s="297"/>
      <c r="AI134" s="297"/>
      <c r="AJ134" s="297"/>
      <c r="AK134" s="297"/>
      <c r="AL134" s="297"/>
      <c r="AM134" s="297"/>
      <c r="AN134" s="297"/>
      <c r="AO134" s="297"/>
      <c r="AP134" s="297"/>
      <c r="AQ134" s="297"/>
      <c r="AR134" s="297"/>
      <c r="AS134" s="297"/>
      <c r="AT134" s="297"/>
      <c r="AU134" s="297"/>
      <c r="AV134" s="297"/>
      <c r="AW134" s="297"/>
      <c r="AX134" s="297"/>
      <c r="AY134" s="297"/>
      <c r="AZ134" s="297"/>
      <c r="BA134" s="297"/>
      <c r="BB134" s="297" t="str">
        <f>"      " &amp; TEXT(AE134,"#0.00%") &amp; " " &amp; "구축" &amp; " " &amp; IF(P134="","",TEXT(P134,"M/D-")) &amp; IF(Q134="","",TEXT(Q134,"M/D")) &amp; " "</f>
        <v xml:space="preserve">      100.00% 구축 3/10-7/25 </v>
      </c>
      <c r="BC134" s="297"/>
      <c r="BD134" s="297"/>
      <c r="BE134" s="297"/>
      <c r="BF134" s="297"/>
      <c r="BG134" s="297"/>
      <c r="BH134" s="297"/>
      <c r="BI134" s="297"/>
      <c r="BJ134" s="297"/>
      <c r="BK134" s="297"/>
      <c r="BL134" s="297"/>
      <c r="BM134" s="297"/>
      <c r="BN134" s="297"/>
      <c r="BO134" s="297"/>
      <c r="BP134" s="297"/>
      <c r="BQ134" s="297"/>
      <c r="BR134" s="297"/>
      <c r="BS134" s="297"/>
      <c r="BT134" s="297"/>
      <c r="BU134" s="297"/>
      <c r="BV134" s="297"/>
      <c r="BW134" s="297"/>
      <c r="BX134" s="297"/>
      <c r="BY134" s="297"/>
      <c r="BZ134" s="297"/>
      <c r="CA134" s="297"/>
      <c r="CB134" s="297"/>
      <c r="CC134" s="297"/>
      <c r="CD134" s="297"/>
      <c r="CE134" s="297"/>
      <c r="CF134" s="297"/>
      <c r="CG134" s="297"/>
    </row>
    <row r="135" spans="1:85" ht="12" customHeight="1" outlineLevel="2">
      <c r="A135" s="288"/>
      <c r="B135" s="288" t="s">
        <v>2334</v>
      </c>
      <c r="C135" s="288">
        <v>3</v>
      </c>
      <c r="D135" s="257" t="s">
        <v>1453</v>
      </c>
      <c r="E135" s="244"/>
      <c r="F135" s="244"/>
      <c r="G135" s="244" t="s">
        <v>1744</v>
      </c>
      <c r="H135" s="244"/>
      <c r="I135" s="244"/>
      <c r="J135" s="244"/>
      <c r="K135" s="244"/>
      <c r="L135" s="244"/>
      <c r="M135" s="244"/>
      <c r="N135" s="244"/>
      <c r="O135" s="244"/>
      <c r="P135" s="243">
        <v>45726</v>
      </c>
      <c r="Q135" s="243">
        <v>45813</v>
      </c>
      <c r="R135" s="244"/>
      <c r="S135" s="242">
        <v>304</v>
      </c>
      <c r="T135" s="242">
        <v>304</v>
      </c>
      <c r="U135" s="242">
        <v>61</v>
      </c>
      <c r="V135" s="242">
        <v>61</v>
      </c>
      <c r="W135" s="243"/>
      <c r="X135" s="243"/>
      <c r="Y135" s="251">
        <v>0</v>
      </c>
      <c r="Z135" s="252">
        <v>0</v>
      </c>
      <c r="AA135" s="242"/>
      <c r="AB135" s="244"/>
      <c r="AC135" s="255"/>
      <c r="AD135" s="239">
        <v>1</v>
      </c>
      <c r="AE135" s="241">
        <v>1</v>
      </c>
      <c r="AF135" s="296"/>
      <c r="AG135" s="297"/>
      <c r="AH135" s="297"/>
      <c r="AI135" s="297"/>
      <c r="AJ135" s="297"/>
      <c r="AK135" s="297"/>
      <c r="AL135" s="297"/>
      <c r="AM135" s="297"/>
      <c r="AN135" s="297"/>
      <c r="AO135" s="297"/>
      <c r="AP135" s="297"/>
      <c r="AQ135" s="297"/>
      <c r="AR135" s="297"/>
      <c r="AS135" s="297"/>
      <c r="AT135" s="297"/>
      <c r="AU135" s="297" t="str">
        <f>"     " &amp; TEXT(AE135,"#0.00%") &amp; " " &amp; "개발 환경" &amp; " " &amp; IF(P135="","",TEXT(P135,"M/D-")) &amp; IF(Q135="","",TEXT(Q135,"M/D")) &amp; " "</f>
        <v xml:space="preserve">     100.00% 개발 환경 3/10-6/5 </v>
      </c>
      <c r="AV135" s="297"/>
      <c r="AW135" s="297"/>
      <c r="AX135" s="297"/>
      <c r="AY135" s="297"/>
      <c r="AZ135" s="297"/>
      <c r="BA135" s="297"/>
      <c r="BB135" s="297"/>
      <c r="BC135" s="297"/>
      <c r="BD135" s="297"/>
      <c r="BE135" s="297"/>
      <c r="BF135" s="297"/>
      <c r="BG135" s="297"/>
      <c r="BH135" s="297"/>
      <c r="BI135" s="297"/>
      <c r="BJ135" s="297"/>
      <c r="BK135" s="297"/>
      <c r="BL135" s="297"/>
      <c r="BM135" s="297"/>
      <c r="BN135" s="297"/>
      <c r="BO135" s="297"/>
      <c r="BP135" s="297"/>
      <c r="BQ135" s="297"/>
      <c r="BR135" s="297"/>
      <c r="BS135" s="297"/>
      <c r="BT135" s="297"/>
      <c r="BU135" s="297"/>
      <c r="BV135" s="297"/>
      <c r="BW135" s="297"/>
      <c r="BX135" s="297"/>
      <c r="BY135" s="297"/>
      <c r="BZ135" s="297"/>
      <c r="CA135" s="297"/>
      <c r="CB135" s="297"/>
      <c r="CC135" s="297"/>
      <c r="CD135" s="297"/>
      <c r="CE135" s="297"/>
      <c r="CF135" s="297"/>
      <c r="CG135" s="297"/>
    </row>
    <row r="136" spans="1:85" ht="12" customHeight="1" outlineLevel="3">
      <c r="A136" s="288"/>
      <c r="B136" s="288" t="s">
        <v>2334</v>
      </c>
      <c r="C136" s="288">
        <v>4</v>
      </c>
      <c r="D136" s="257" t="s">
        <v>1454</v>
      </c>
      <c r="E136" s="244"/>
      <c r="F136" s="244"/>
      <c r="G136" s="244"/>
      <c r="H136" s="244" t="s">
        <v>1755</v>
      </c>
      <c r="I136" s="244"/>
      <c r="J136" s="244"/>
      <c r="K136" s="244"/>
      <c r="L136" s="244"/>
      <c r="M136" s="244"/>
      <c r="N136" s="244"/>
      <c r="O136" s="244"/>
      <c r="P136" s="243">
        <v>45726</v>
      </c>
      <c r="Q136" s="243">
        <v>45765</v>
      </c>
      <c r="R136" s="244"/>
      <c r="S136" s="242">
        <v>95</v>
      </c>
      <c r="T136" s="242">
        <v>95</v>
      </c>
      <c r="U136" s="242">
        <v>30</v>
      </c>
      <c r="V136" s="242">
        <v>30</v>
      </c>
      <c r="W136" s="243"/>
      <c r="X136" s="243"/>
      <c r="Y136" s="251">
        <v>0</v>
      </c>
      <c r="Z136" s="252">
        <v>0</v>
      </c>
      <c r="AA136" s="242"/>
      <c r="AB136" s="244"/>
      <c r="AC136" s="255"/>
      <c r="AD136" s="239">
        <v>1</v>
      </c>
      <c r="AE136" s="241">
        <v>1</v>
      </c>
      <c r="AF136" s="296"/>
      <c r="AG136" s="297"/>
      <c r="AH136" s="297"/>
      <c r="AI136" s="297"/>
      <c r="AJ136" s="297"/>
      <c r="AK136" s="297"/>
      <c r="AL136" s="297"/>
      <c r="AM136" s="297"/>
      <c r="AN136" s="297" t="str">
        <f>"      " &amp; TEXT(AE136,"#0.00%") &amp; " " &amp; "클라우드 서비스 구성 " &amp; " " &amp; IF(P136="","",TEXT(P136,"M/D-")) &amp; IF(Q136="","",TEXT(Q136,"M/D")) &amp; " "</f>
        <v xml:space="preserve">      100.00% 클라우드 서비스 구성  3/10-4/18 </v>
      </c>
      <c r="AO136" s="297"/>
      <c r="AP136" s="297"/>
      <c r="AQ136" s="297"/>
      <c r="AR136" s="297"/>
      <c r="AS136" s="297"/>
      <c r="AT136" s="297"/>
      <c r="AU136" s="297"/>
      <c r="AV136" s="297"/>
      <c r="AW136" s="297"/>
      <c r="AX136" s="297"/>
      <c r="AY136" s="297"/>
      <c r="AZ136" s="297"/>
      <c r="BA136" s="297"/>
      <c r="BB136" s="297"/>
      <c r="BC136" s="297"/>
      <c r="BD136" s="297"/>
      <c r="BE136" s="297"/>
      <c r="BF136" s="297"/>
      <c r="BG136" s="297"/>
      <c r="BH136" s="297"/>
      <c r="BI136" s="297"/>
      <c r="BJ136" s="297"/>
      <c r="BK136" s="297"/>
      <c r="BL136" s="297"/>
      <c r="BM136" s="297"/>
      <c r="BN136" s="297"/>
      <c r="BO136" s="297"/>
      <c r="BP136" s="297"/>
      <c r="BQ136" s="297"/>
      <c r="BR136" s="297"/>
      <c r="BS136" s="297"/>
      <c r="BT136" s="297"/>
      <c r="BU136" s="297"/>
      <c r="BV136" s="297"/>
      <c r="BW136" s="297"/>
      <c r="BX136" s="297"/>
      <c r="BY136" s="297"/>
      <c r="BZ136" s="297"/>
      <c r="CA136" s="297"/>
      <c r="CB136" s="297"/>
      <c r="CC136" s="297"/>
      <c r="CD136" s="297"/>
      <c r="CE136" s="297"/>
      <c r="CF136" s="297"/>
      <c r="CG136" s="297"/>
    </row>
    <row r="137" spans="1:85" ht="12" customHeight="1" outlineLevel="4">
      <c r="A137" s="288"/>
      <c r="B137" s="288"/>
      <c r="C137" s="288">
        <v>5</v>
      </c>
      <c r="D137" s="257" t="s">
        <v>2017</v>
      </c>
      <c r="E137" s="244"/>
      <c r="F137" s="244"/>
      <c r="G137" s="244"/>
      <c r="H137" s="244"/>
      <c r="I137" s="244" t="s">
        <v>1756</v>
      </c>
      <c r="J137" s="244"/>
      <c r="K137" s="244"/>
      <c r="L137" s="244"/>
      <c r="M137" s="244"/>
      <c r="N137" s="244"/>
      <c r="O137" s="244" t="s">
        <v>2246</v>
      </c>
      <c r="P137" s="243">
        <v>45726</v>
      </c>
      <c r="Q137" s="243">
        <v>45737</v>
      </c>
      <c r="R137" s="244"/>
      <c r="S137" s="242">
        <v>20</v>
      </c>
      <c r="T137" s="242">
        <v>20</v>
      </c>
      <c r="U137" s="242">
        <v>10</v>
      </c>
      <c r="V137" s="242">
        <v>10</v>
      </c>
      <c r="W137" s="243"/>
      <c r="X137" s="243"/>
      <c r="Y137" s="251"/>
      <c r="Z137" s="252">
        <v>0</v>
      </c>
      <c r="AA137" s="242">
        <v>2</v>
      </c>
      <c r="AB137" s="244" t="s">
        <v>1972</v>
      </c>
      <c r="AC137" s="255"/>
      <c r="AD137" s="239">
        <v>1</v>
      </c>
      <c r="AE137" s="304">
        <v>1</v>
      </c>
      <c r="AF137" s="296"/>
      <c r="AG137" s="297"/>
      <c r="AH137" s="297"/>
      <c r="AI137" s="297"/>
      <c r="AJ137" s="297" t="str">
        <f>"      " &amp; TEXT(AE137,"#0.00%") &amp; " " &amp; "네트워크 및 보안 구성" &amp; "(이석호님)" &amp; " " &amp; IF(P137="","",TEXT(P137,"M/D-")) &amp; IF(Q137="","",TEXT(Q137,"M/D")) &amp; " "</f>
        <v xml:space="preserve">      100.00% 네트워크 및 보안 구성(이석호님) 3/10-3/21 </v>
      </c>
      <c r="AK137" s="297"/>
      <c r="AL137" s="297"/>
      <c r="AM137" s="297"/>
      <c r="AN137" s="297"/>
      <c r="AO137" s="297"/>
      <c r="AP137" s="297"/>
      <c r="AQ137" s="297"/>
      <c r="AR137" s="297"/>
      <c r="AS137" s="297"/>
      <c r="AT137" s="297"/>
      <c r="AU137" s="297"/>
      <c r="AV137" s="297"/>
      <c r="AW137" s="297"/>
      <c r="AX137" s="297"/>
      <c r="AY137" s="297"/>
      <c r="AZ137" s="297"/>
      <c r="BA137" s="297"/>
      <c r="BB137" s="297"/>
      <c r="BC137" s="297"/>
      <c r="BD137" s="297"/>
      <c r="BE137" s="297"/>
      <c r="BF137" s="297"/>
      <c r="BG137" s="297"/>
      <c r="BH137" s="297"/>
      <c r="BI137" s="297"/>
      <c r="BJ137" s="297"/>
      <c r="BK137" s="297"/>
      <c r="BL137" s="297"/>
      <c r="BM137" s="297"/>
      <c r="BN137" s="297"/>
      <c r="BO137" s="297"/>
      <c r="BP137" s="297"/>
      <c r="BQ137" s="297"/>
      <c r="BR137" s="297"/>
      <c r="BS137" s="297"/>
      <c r="BT137" s="297"/>
      <c r="BU137" s="297"/>
      <c r="BV137" s="297"/>
      <c r="BW137" s="297"/>
      <c r="BX137" s="297"/>
      <c r="BY137" s="297"/>
      <c r="BZ137" s="297"/>
      <c r="CA137" s="297"/>
      <c r="CB137" s="297"/>
      <c r="CC137" s="297"/>
      <c r="CD137" s="297"/>
      <c r="CE137" s="297"/>
      <c r="CF137" s="297"/>
      <c r="CG137" s="297"/>
    </row>
    <row r="138" spans="1:85" s="308" customFormat="1" ht="12" customHeight="1" outlineLevel="4">
      <c r="A138" s="305"/>
      <c r="B138" s="305"/>
      <c r="C138" s="305">
        <v>5</v>
      </c>
      <c r="D138" s="313" t="s">
        <v>2018</v>
      </c>
      <c r="E138" s="314"/>
      <c r="F138" s="314"/>
      <c r="G138" s="314"/>
      <c r="H138" s="314"/>
      <c r="I138" s="314" t="s">
        <v>1757</v>
      </c>
      <c r="J138" s="314"/>
      <c r="K138" s="314"/>
      <c r="L138" s="314"/>
      <c r="M138" s="314"/>
      <c r="N138" s="314"/>
      <c r="O138" s="314" t="s">
        <v>2246</v>
      </c>
      <c r="P138" s="319">
        <v>45733</v>
      </c>
      <c r="Q138" s="319">
        <v>45751</v>
      </c>
      <c r="R138" s="314"/>
      <c r="S138" s="320">
        <v>30</v>
      </c>
      <c r="T138" s="320">
        <v>30</v>
      </c>
      <c r="U138" s="320">
        <v>15</v>
      </c>
      <c r="V138" s="320">
        <v>15</v>
      </c>
      <c r="W138" s="319"/>
      <c r="X138" s="319"/>
      <c r="Y138" s="324"/>
      <c r="Z138" s="325">
        <v>0</v>
      </c>
      <c r="AA138" s="320">
        <v>2</v>
      </c>
      <c r="AB138" s="314" t="s">
        <v>1972</v>
      </c>
      <c r="AC138" s="321"/>
      <c r="AD138" s="326">
        <v>1</v>
      </c>
      <c r="AE138" s="304">
        <v>1</v>
      </c>
      <c r="AF138" s="296"/>
      <c r="AG138" s="297"/>
      <c r="AH138" s="297"/>
      <c r="AI138" s="297"/>
      <c r="AJ138" s="297"/>
      <c r="AK138" s="297"/>
      <c r="AL138" s="297" t="str">
        <f>"      " &amp; TEXT(AE138,"#0.00%") &amp; " " &amp; "ECS 구성 " &amp; "(이석호님)" &amp; " " &amp; IF(P138="","",TEXT(P138,"M/D-")) &amp; IF(Q138="","",TEXT(Q138,"M/D")) &amp; " "</f>
        <v xml:space="preserve">      100.00% ECS 구성 (이석호님) 3/17-4/4 </v>
      </c>
      <c r="AM138" s="297"/>
      <c r="AN138" s="297"/>
      <c r="AO138" s="297"/>
      <c r="AP138" s="297"/>
      <c r="AQ138" s="297"/>
      <c r="AR138" s="297"/>
      <c r="AS138" s="297"/>
      <c r="AT138" s="297"/>
      <c r="AU138" s="297"/>
      <c r="AV138" s="297"/>
      <c r="AW138" s="297"/>
      <c r="AX138" s="297"/>
      <c r="AY138" s="297"/>
      <c r="AZ138" s="297"/>
      <c r="BA138" s="297"/>
      <c r="BB138" s="297"/>
      <c r="BC138" s="297"/>
      <c r="BD138" s="297"/>
      <c r="BE138" s="297"/>
      <c r="BF138" s="297"/>
      <c r="BG138" s="297"/>
      <c r="BH138" s="297"/>
      <c r="BI138" s="297"/>
      <c r="BJ138" s="297"/>
      <c r="BK138" s="297"/>
      <c r="BL138" s="297"/>
      <c r="BM138" s="297"/>
      <c r="BN138" s="297"/>
      <c r="BO138" s="297"/>
      <c r="BP138" s="297"/>
      <c r="BQ138" s="297"/>
      <c r="BR138" s="297"/>
      <c r="BS138" s="297"/>
      <c r="BT138" s="297"/>
      <c r="BU138" s="297"/>
      <c r="BV138" s="297"/>
      <c r="BW138" s="297"/>
      <c r="BX138" s="297"/>
      <c r="BY138" s="297"/>
      <c r="BZ138" s="297"/>
      <c r="CA138" s="297"/>
      <c r="CB138" s="297"/>
      <c r="CC138" s="297"/>
      <c r="CD138" s="297"/>
      <c r="CE138" s="297"/>
      <c r="CF138" s="297"/>
      <c r="CG138" s="297"/>
    </row>
    <row r="139" spans="1:85" ht="12" customHeight="1" outlineLevel="4">
      <c r="A139" s="288"/>
      <c r="B139" s="288"/>
      <c r="C139" s="288">
        <v>5</v>
      </c>
      <c r="D139" s="313" t="s">
        <v>2019</v>
      </c>
      <c r="E139" s="314"/>
      <c r="F139" s="314"/>
      <c r="G139" s="314"/>
      <c r="H139" s="314"/>
      <c r="I139" s="314" t="s">
        <v>1758</v>
      </c>
      <c r="J139" s="314"/>
      <c r="K139" s="314"/>
      <c r="L139" s="314"/>
      <c r="M139" s="314"/>
      <c r="N139" s="314"/>
      <c r="O139" s="314"/>
      <c r="P139" s="319">
        <v>45733</v>
      </c>
      <c r="Q139" s="319">
        <v>45744</v>
      </c>
      <c r="R139" s="314"/>
      <c r="S139" s="320">
        <v>20</v>
      </c>
      <c r="T139" s="320">
        <v>20</v>
      </c>
      <c r="U139" s="320">
        <v>10</v>
      </c>
      <c r="V139" s="320">
        <v>10</v>
      </c>
      <c r="W139" s="319"/>
      <c r="X139" s="319"/>
      <c r="Y139" s="324"/>
      <c r="Z139" s="325">
        <v>0</v>
      </c>
      <c r="AA139" s="320">
        <v>2</v>
      </c>
      <c r="AB139" s="314" t="s">
        <v>1972</v>
      </c>
      <c r="AC139" s="321"/>
      <c r="AD139" s="326">
        <v>1</v>
      </c>
      <c r="AE139" s="304">
        <v>1</v>
      </c>
      <c r="AF139" s="296"/>
      <c r="AG139" s="297"/>
      <c r="AH139" s="297"/>
      <c r="AI139" s="297"/>
      <c r="AJ139" s="297"/>
      <c r="AK139" s="297" t="str">
        <f>"      " &amp; TEXT(AE139,"#0.00%") &amp; " " &amp; "Database 구성 (Aurora PostgreSQL)" &amp; "(이석호님)" &amp; " " &amp; IF(P139="","",TEXT(P139,"M/D-")) &amp; IF(Q139="","",TEXT(Q139,"M/D")) &amp; " "</f>
        <v xml:space="preserve">      100.00% Database 구성 (Aurora PostgreSQL)(이석호님) 3/17-3/28 </v>
      </c>
      <c r="AL139" s="297"/>
      <c r="AM139" s="297"/>
      <c r="AN139" s="297"/>
      <c r="AO139" s="297"/>
      <c r="AP139" s="297"/>
      <c r="AQ139" s="297"/>
      <c r="AR139" s="297"/>
      <c r="AS139" s="297"/>
      <c r="AT139" s="297"/>
      <c r="AU139" s="297"/>
      <c r="AV139" s="297"/>
      <c r="AW139" s="297"/>
      <c r="AX139" s="297"/>
      <c r="AY139" s="297"/>
      <c r="AZ139" s="297"/>
      <c r="BA139" s="297"/>
      <c r="BB139" s="297"/>
      <c r="BC139" s="297"/>
      <c r="BD139" s="297"/>
      <c r="BE139" s="297"/>
      <c r="BF139" s="297"/>
      <c r="BG139" s="297"/>
      <c r="BH139" s="297"/>
      <c r="BI139" s="297"/>
      <c r="BJ139" s="297"/>
      <c r="BK139" s="297"/>
      <c r="BL139" s="297"/>
      <c r="BM139" s="297"/>
      <c r="BN139" s="297"/>
      <c r="BO139" s="297"/>
      <c r="BP139" s="297"/>
      <c r="BQ139" s="297"/>
      <c r="BR139" s="297"/>
      <c r="BS139" s="297"/>
      <c r="BT139" s="297"/>
      <c r="BU139" s="297"/>
      <c r="BV139" s="297"/>
      <c r="BW139" s="297"/>
      <c r="BX139" s="297"/>
      <c r="BY139" s="297"/>
      <c r="BZ139" s="297"/>
      <c r="CA139" s="297"/>
      <c r="CB139" s="297"/>
      <c r="CC139" s="297"/>
      <c r="CD139" s="297"/>
      <c r="CE139" s="297"/>
      <c r="CF139" s="297"/>
      <c r="CG139" s="297"/>
    </row>
    <row r="140" spans="1:85" s="308" customFormat="1" ht="12" customHeight="1" outlineLevel="4">
      <c r="A140" s="305"/>
      <c r="B140" s="305"/>
      <c r="C140" s="305">
        <v>5</v>
      </c>
      <c r="D140" s="313" t="s">
        <v>2020</v>
      </c>
      <c r="E140" s="314"/>
      <c r="F140" s="314"/>
      <c r="G140" s="314"/>
      <c r="H140" s="314"/>
      <c r="I140" s="314" t="s">
        <v>2103</v>
      </c>
      <c r="J140" s="314"/>
      <c r="K140" s="314"/>
      <c r="L140" s="314"/>
      <c r="M140" s="314"/>
      <c r="N140" s="314"/>
      <c r="O140" s="314" t="s">
        <v>2246</v>
      </c>
      <c r="P140" s="319">
        <v>45747</v>
      </c>
      <c r="Q140" s="319">
        <v>45765</v>
      </c>
      <c r="R140" s="314"/>
      <c r="S140" s="320">
        <v>15</v>
      </c>
      <c r="T140" s="320">
        <v>15</v>
      </c>
      <c r="U140" s="320">
        <v>15</v>
      </c>
      <c r="V140" s="320">
        <v>15</v>
      </c>
      <c r="W140" s="319"/>
      <c r="X140" s="319"/>
      <c r="Y140" s="324"/>
      <c r="Z140" s="325">
        <v>0</v>
      </c>
      <c r="AA140" s="320">
        <v>1</v>
      </c>
      <c r="AB140" s="314" t="s">
        <v>2047</v>
      </c>
      <c r="AC140" s="321"/>
      <c r="AD140" s="326">
        <v>1</v>
      </c>
      <c r="AE140" s="304">
        <v>1</v>
      </c>
      <c r="AF140" s="296"/>
      <c r="AG140" s="297"/>
      <c r="AH140" s="297"/>
      <c r="AI140" s="297"/>
      <c r="AJ140" s="297"/>
      <c r="AK140" s="297"/>
      <c r="AL140" s="297"/>
      <c r="AM140" s="297"/>
      <c r="AN140" s="297" t="str">
        <f>"      " &amp; TEXT(AE140,"#0.00%") &amp; " " &amp; "ECR 구성" &amp; "(강상욱님, 이석호님)" &amp; " " &amp; IF(P140="","",TEXT(P140,"M/D-")) &amp; IF(Q140="","",TEXT(Q140,"M/D")) &amp; " "</f>
        <v xml:space="preserve">      100.00% ECR 구성(강상욱님, 이석호님) 3/31-4/18 </v>
      </c>
      <c r="AO140" s="297"/>
      <c r="AP140" s="297"/>
      <c r="AQ140" s="297"/>
      <c r="AR140" s="297"/>
      <c r="AS140" s="297"/>
      <c r="AT140" s="297"/>
      <c r="AU140" s="297"/>
      <c r="AV140" s="297"/>
      <c r="AW140" s="297"/>
      <c r="AX140" s="297"/>
      <c r="AY140" s="297"/>
      <c r="AZ140" s="297"/>
      <c r="BA140" s="297"/>
      <c r="BB140" s="297"/>
      <c r="BC140" s="297"/>
      <c r="BD140" s="297"/>
      <c r="BE140" s="297"/>
      <c r="BF140" s="297"/>
      <c r="BG140" s="297"/>
      <c r="BH140" s="297"/>
      <c r="BI140" s="297"/>
      <c r="BJ140" s="297"/>
      <c r="BK140" s="297"/>
      <c r="BL140" s="297"/>
      <c r="BM140" s="297"/>
      <c r="BN140" s="297"/>
      <c r="BO140" s="297"/>
      <c r="BP140" s="297"/>
      <c r="BQ140" s="297"/>
      <c r="BR140" s="297"/>
      <c r="BS140" s="297"/>
      <c r="BT140" s="297"/>
      <c r="BU140" s="297"/>
      <c r="BV140" s="297"/>
      <c r="BW140" s="297"/>
      <c r="BX140" s="297"/>
      <c r="BY140" s="297"/>
      <c r="BZ140" s="297"/>
      <c r="CA140" s="297"/>
      <c r="CB140" s="297"/>
      <c r="CC140" s="297"/>
      <c r="CD140" s="297"/>
      <c r="CE140" s="297"/>
      <c r="CF140" s="297"/>
      <c r="CG140" s="297"/>
    </row>
    <row r="141" spans="1:85" s="308" customFormat="1" ht="12" customHeight="1" outlineLevel="4">
      <c r="A141" s="305"/>
      <c r="B141" s="305"/>
      <c r="C141" s="305">
        <v>5</v>
      </c>
      <c r="D141" s="313" t="s">
        <v>2021</v>
      </c>
      <c r="E141" s="314"/>
      <c r="F141" s="314"/>
      <c r="G141" s="314"/>
      <c r="H141" s="314"/>
      <c r="I141" s="314" t="s">
        <v>2104</v>
      </c>
      <c r="J141" s="314"/>
      <c r="K141" s="314"/>
      <c r="L141" s="314"/>
      <c r="M141" s="314"/>
      <c r="N141" s="314"/>
      <c r="O141" s="314"/>
      <c r="P141" s="319">
        <v>45754</v>
      </c>
      <c r="Q141" s="319">
        <v>45765</v>
      </c>
      <c r="R141" s="314"/>
      <c r="S141" s="320">
        <v>10</v>
      </c>
      <c r="T141" s="320">
        <v>10</v>
      </c>
      <c r="U141" s="320">
        <v>10</v>
      </c>
      <c r="V141" s="320">
        <v>10</v>
      </c>
      <c r="W141" s="319"/>
      <c r="X141" s="319"/>
      <c r="Y141" s="324"/>
      <c r="Z141" s="325">
        <v>0</v>
      </c>
      <c r="AA141" s="320">
        <v>1</v>
      </c>
      <c r="AB141" s="314" t="s">
        <v>2047</v>
      </c>
      <c r="AC141" s="321"/>
      <c r="AD141" s="326">
        <v>1</v>
      </c>
      <c r="AE141" s="304">
        <v>1</v>
      </c>
      <c r="AF141" s="296"/>
      <c r="AG141" s="297"/>
      <c r="AH141" s="297"/>
      <c r="AI141" s="297"/>
      <c r="AJ141" s="297"/>
      <c r="AK141" s="297"/>
      <c r="AL141" s="297"/>
      <c r="AM141" s="297"/>
      <c r="AN141" s="297" t="str">
        <f>"      " &amp; TEXT(AE141,"#0.00%") &amp; " " &amp; "S3 구성" &amp; "(강상욱님, 이석호님)" &amp; " " &amp; IF(P141="","",TEXT(P141,"M/D-")) &amp; IF(Q141="","",TEXT(Q141,"M/D")) &amp; " "</f>
        <v xml:space="preserve">      100.00% S3 구성(강상욱님, 이석호님) 4/7-4/18 </v>
      </c>
      <c r="AO141" s="297"/>
      <c r="AP141" s="297"/>
      <c r="AQ141" s="297"/>
      <c r="AR141" s="297"/>
      <c r="AS141" s="297"/>
      <c r="AT141" s="297"/>
      <c r="AU141" s="297"/>
      <c r="AV141" s="297"/>
      <c r="AW141" s="297"/>
      <c r="AX141" s="297"/>
      <c r="AY141" s="297"/>
      <c r="AZ141" s="297"/>
      <c r="BA141" s="297"/>
      <c r="BB141" s="297"/>
      <c r="BC141" s="297"/>
      <c r="BD141" s="297"/>
      <c r="BE141" s="297"/>
      <c r="BF141" s="297"/>
      <c r="BG141" s="297"/>
      <c r="BH141" s="297"/>
      <c r="BI141" s="297"/>
      <c r="BJ141" s="297"/>
      <c r="BK141" s="297"/>
      <c r="BL141" s="297"/>
      <c r="BM141" s="297"/>
      <c r="BN141" s="297"/>
      <c r="BO141" s="297"/>
      <c r="BP141" s="297"/>
      <c r="BQ141" s="297"/>
      <c r="BR141" s="297"/>
      <c r="BS141" s="297"/>
      <c r="BT141" s="297"/>
      <c r="BU141" s="297"/>
      <c r="BV141" s="297"/>
      <c r="BW141" s="297"/>
      <c r="BX141" s="297"/>
      <c r="BY141" s="297"/>
      <c r="BZ141" s="297"/>
      <c r="CA141" s="297"/>
      <c r="CB141" s="297"/>
      <c r="CC141" s="297"/>
      <c r="CD141" s="297"/>
      <c r="CE141" s="297"/>
      <c r="CF141" s="297"/>
      <c r="CG141" s="297"/>
    </row>
    <row r="142" spans="1:85" ht="12" customHeight="1" outlineLevel="3">
      <c r="A142" s="288"/>
      <c r="B142" s="288" t="s">
        <v>2334</v>
      </c>
      <c r="C142" s="288">
        <v>4</v>
      </c>
      <c r="D142" s="257" t="s">
        <v>1455</v>
      </c>
      <c r="E142" s="244"/>
      <c r="F142" s="244"/>
      <c r="G142" s="244"/>
      <c r="H142" s="244" t="s">
        <v>1745</v>
      </c>
      <c r="I142" s="244"/>
      <c r="J142" s="244"/>
      <c r="K142" s="244"/>
      <c r="L142" s="244"/>
      <c r="M142" s="244"/>
      <c r="N142" s="244"/>
      <c r="O142" s="244"/>
      <c r="P142" s="243">
        <v>45733</v>
      </c>
      <c r="Q142" s="243">
        <v>45765</v>
      </c>
      <c r="R142" s="244"/>
      <c r="S142" s="242">
        <v>50</v>
      </c>
      <c r="T142" s="242">
        <v>50</v>
      </c>
      <c r="U142" s="242">
        <v>25</v>
      </c>
      <c r="V142" s="242">
        <v>25</v>
      </c>
      <c r="W142" s="243"/>
      <c r="X142" s="243"/>
      <c r="Y142" s="251">
        <v>0</v>
      </c>
      <c r="Z142" s="252">
        <v>0</v>
      </c>
      <c r="AA142" s="242"/>
      <c r="AB142" s="244"/>
      <c r="AC142" s="255"/>
      <c r="AD142" s="239">
        <v>1</v>
      </c>
      <c r="AE142" s="241">
        <v>1</v>
      </c>
      <c r="AF142" s="296"/>
      <c r="AG142" s="297"/>
      <c r="AH142" s="297"/>
      <c r="AI142" s="297"/>
      <c r="AJ142" s="297"/>
      <c r="AK142" s="297"/>
      <c r="AL142" s="297"/>
      <c r="AM142" s="297"/>
      <c r="AN142" s="297" t="str">
        <f>"      " &amp; TEXT(AE142,"#0.00%") &amp; " " &amp; "어플리케이션 구성" &amp; " " &amp; IF(P142="","",TEXT(P142,"M/D-")) &amp; IF(Q142="","",TEXT(Q142,"M/D")) &amp; " "</f>
        <v xml:space="preserve">      100.00% 어플리케이션 구성 3/17-4/18 </v>
      </c>
      <c r="AO142" s="297"/>
      <c r="AP142" s="297"/>
      <c r="AQ142" s="297"/>
      <c r="AR142" s="297"/>
      <c r="AS142" s="297"/>
      <c r="AT142" s="297"/>
      <c r="AU142" s="297"/>
      <c r="AV142" s="297"/>
      <c r="AW142" s="297"/>
      <c r="AX142" s="297"/>
      <c r="AY142" s="297"/>
      <c r="AZ142" s="297"/>
      <c r="BA142" s="297"/>
      <c r="BB142" s="297"/>
      <c r="BC142" s="297"/>
      <c r="BD142" s="297"/>
      <c r="BE142" s="297"/>
      <c r="BF142" s="297"/>
      <c r="BG142" s="297"/>
      <c r="BH142" s="297"/>
      <c r="BI142" s="297"/>
      <c r="BJ142" s="297"/>
      <c r="BK142" s="297"/>
      <c r="BL142" s="297"/>
      <c r="BM142" s="297"/>
      <c r="BN142" s="297"/>
      <c r="BO142" s="297"/>
      <c r="BP142" s="297"/>
      <c r="BQ142" s="297"/>
      <c r="BR142" s="297"/>
      <c r="BS142" s="297"/>
      <c r="BT142" s="297"/>
      <c r="BU142" s="297"/>
      <c r="BV142" s="297"/>
      <c r="BW142" s="297"/>
      <c r="BX142" s="297"/>
      <c r="BY142" s="297"/>
      <c r="BZ142" s="297"/>
      <c r="CA142" s="297"/>
      <c r="CB142" s="297"/>
      <c r="CC142" s="297"/>
      <c r="CD142" s="297"/>
      <c r="CE142" s="297"/>
      <c r="CF142" s="297"/>
      <c r="CG142" s="297"/>
    </row>
    <row r="143" spans="1:85" ht="12" customHeight="1" outlineLevel="4">
      <c r="A143" s="288"/>
      <c r="B143" s="288"/>
      <c r="C143" s="288">
        <v>5</v>
      </c>
      <c r="D143" s="257" t="s">
        <v>1456</v>
      </c>
      <c r="E143" s="244"/>
      <c r="F143" s="244"/>
      <c r="G143" s="244"/>
      <c r="H143" s="244"/>
      <c r="I143" s="244" t="s">
        <v>2071</v>
      </c>
      <c r="J143" s="244"/>
      <c r="K143" s="244"/>
      <c r="L143" s="244"/>
      <c r="M143" s="244"/>
      <c r="N143" s="244"/>
      <c r="O143" s="244"/>
      <c r="P143" s="243">
        <v>45733</v>
      </c>
      <c r="Q143" s="243">
        <v>45744</v>
      </c>
      <c r="R143" s="244"/>
      <c r="S143" s="242">
        <v>10</v>
      </c>
      <c r="T143" s="242">
        <v>10</v>
      </c>
      <c r="U143" s="242">
        <v>10</v>
      </c>
      <c r="V143" s="242">
        <v>10</v>
      </c>
      <c r="W143" s="243"/>
      <c r="X143" s="243"/>
      <c r="Y143" s="251"/>
      <c r="Z143" s="252">
        <v>0</v>
      </c>
      <c r="AA143" s="242">
        <v>1</v>
      </c>
      <c r="AB143" s="244" t="s">
        <v>1971</v>
      </c>
      <c r="AC143" s="255"/>
      <c r="AD143" s="239">
        <v>1</v>
      </c>
      <c r="AE143" s="304">
        <v>1</v>
      </c>
      <c r="AF143" s="296"/>
      <c r="AG143" s="297"/>
      <c r="AH143" s="297"/>
      <c r="AI143" s="297"/>
      <c r="AJ143" s="297"/>
      <c r="AK143" s="297" t="str">
        <f>"      " &amp; TEXT(AE143,"#0.00%") &amp; " " &amp; "POS 관리시스템 FE" &amp; "(강상욱님)" &amp; " " &amp; IF(P143="","",TEXT(P143,"M/D-")) &amp; IF(Q143="","",TEXT(Q143,"M/D")) &amp; " "</f>
        <v xml:space="preserve">      100.00% POS 관리시스템 FE(강상욱님) 3/17-3/28 </v>
      </c>
      <c r="AL143" s="297"/>
      <c r="AM143" s="297"/>
      <c r="AN143" s="297"/>
      <c r="AO143" s="297"/>
      <c r="AP143" s="297"/>
      <c r="AQ143" s="297"/>
      <c r="AR143" s="297"/>
      <c r="AS143" s="297"/>
      <c r="AT143" s="297"/>
      <c r="AU143" s="297"/>
      <c r="AV143" s="297"/>
      <c r="AW143" s="297"/>
      <c r="AX143" s="297"/>
      <c r="AY143" s="297"/>
      <c r="AZ143" s="297"/>
      <c r="BA143" s="297"/>
      <c r="BB143" s="297"/>
      <c r="BC143" s="297"/>
      <c r="BD143" s="297"/>
      <c r="BE143" s="297"/>
      <c r="BF143" s="297"/>
      <c r="BG143" s="297"/>
      <c r="BH143" s="297"/>
      <c r="BI143" s="297"/>
      <c r="BJ143" s="297"/>
      <c r="BK143" s="297"/>
      <c r="BL143" s="297"/>
      <c r="BM143" s="297"/>
      <c r="BN143" s="297"/>
      <c r="BO143" s="297"/>
      <c r="BP143" s="297"/>
      <c r="BQ143" s="297"/>
      <c r="BR143" s="297"/>
      <c r="BS143" s="297"/>
      <c r="BT143" s="297"/>
      <c r="BU143" s="297"/>
      <c r="BV143" s="297"/>
      <c r="BW143" s="297"/>
      <c r="BX143" s="297"/>
      <c r="BY143" s="297"/>
      <c r="BZ143" s="297"/>
      <c r="CA143" s="297"/>
      <c r="CB143" s="297"/>
      <c r="CC143" s="297"/>
      <c r="CD143" s="297"/>
      <c r="CE143" s="297"/>
      <c r="CF143" s="297"/>
      <c r="CG143" s="297"/>
    </row>
    <row r="144" spans="1:85" ht="12" customHeight="1" outlineLevel="4">
      <c r="A144" s="288"/>
      <c r="B144" s="288"/>
      <c r="C144" s="288">
        <v>5</v>
      </c>
      <c r="D144" s="257" t="s">
        <v>1457</v>
      </c>
      <c r="E144" s="244"/>
      <c r="F144" s="244"/>
      <c r="G144" s="244"/>
      <c r="H144" s="244"/>
      <c r="I144" s="244" t="s">
        <v>2072</v>
      </c>
      <c r="J144" s="244"/>
      <c r="K144" s="244"/>
      <c r="L144" s="244"/>
      <c r="M144" s="244"/>
      <c r="N144" s="244"/>
      <c r="O144" s="244"/>
      <c r="P144" s="243">
        <v>45740</v>
      </c>
      <c r="Q144" s="243">
        <v>45751</v>
      </c>
      <c r="R144" s="244"/>
      <c r="S144" s="242">
        <v>10</v>
      </c>
      <c r="T144" s="242">
        <v>10</v>
      </c>
      <c r="U144" s="242">
        <v>10</v>
      </c>
      <c r="V144" s="242">
        <v>10</v>
      </c>
      <c r="W144" s="243"/>
      <c r="X144" s="243"/>
      <c r="Y144" s="251"/>
      <c r="Z144" s="252">
        <v>0</v>
      </c>
      <c r="AA144" s="242">
        <v>1</v>
      </c>
      <c r="AB144" s="244" t="s">
        <v>1971</v>
      </c>
      <c r="AC144" s="255"/>
      <c r="AD144" s="239">
        <v>1</v>
      </c>
      <c r="AE144" s="304">
        <v>1</v>
      </c>
      <c r="AF144" s="296"/>
      <c r="AG144" s="297"/>
      <c r="AH144" s="297"/>
      <c r="AI144" s="297"/>
      <c r="AJ144" s="297"/>
      <c r="AK144" s="297"/>
      <c r="AL144" s="297" t="str">
        <f>"      " &amp; TEXT(AE144,"#0.00%") &amp; " " &amp; "POS 관리시스템 BE" &amp; "(강상욱님)" &amp; " " &amp; IF(P144="","",TEXT(P144,"M/D-")) &amp; IF(Q144="","",TEXT(Q144,"M/D")) &amp; " "</f>
        <v xml:space="preserve">      100.00% POS 관리시스템 BE(강상욱님) 3/24-4/4 </v>
      </c>
      <c r="AM144" s="297"/>
      <c r="AN144" s="297"/>
      <c r="AO144" s="297"/>
      <c r="AP144" s="297"/>
      <c r="AQ144" s="297"/>
      <c r="AR144" s="297"/>
      <c r="AS144" s="297"/>
      <c r="AT144" s="297"/>
      <c r="AU144" s="297"/>
      <c r="AV144" s="297"/>
      <c r="AW144" s="297"/>
      <c r="AX144" s="297"/>
      <c r="AY144" s="297"/>
      <c r="AZ144" s="297"/>
      <c r="BA144" s="297"/>
      <c r="BB144" s="297"/>
      <c r="BC144" s="297"/>
      <c r="BD144" s="297"/>
      <c r="BE144" s="297"/>
      <c r="BF144" s="297"/>
      <c r="BG144" s="297"/>
      <c r="BH144" s="297"/>
      <c r="BI144" s="297"/>
      <c r="BJ144" s="297"/>
      <c r="BK144" s="297"/>
      <c r="BL144" s="297"/>
      <c r="BM144" s="297"/>
      <c r="BN144" s="297"/>
      <c r="BO144" s="297"/>
      <c r="BP144" s="297"/>
      <c r="BQ144" s="297"/>
      <c r="BR144" s="297"/>
      <c r="BS144" s="297"/>
      <c r="BT144" s="297"/>
      <c r="BU144" s="297"/>
      <c r="BV144" s="297"/>
      <c r="BW144" s="297"/>
      <c r="BX144" s="297"/>
      <c r="BY144" s="297"/>
      <c r="BZ144" s="297"/>
      <c r="CA144" s="297"/>
      <c r="CB144" s="297"/>
      <c r="CC144" s="297"/>
      <c r="CD144" s="297"/>
      <c r="CE144" s="297"/>
      <c r="CF144" s="297"/>
      <c r="CG144" s="297"/>
    </row>
    <row r="145" spans="1:85" ht="12" customHeight="1" outlineLevel="4">
      <c r="A145" s="288"/>
      <c r="B145" s="288"/>
      <c r="C145" s="288">
        <v>5</v>
      </c>
      <c r="D145" s="257" t="s">
        <v>1458</v>
      </c>
      <c r="E145" s="244"/>
      <c r="F145" s="244"/>
      <c r="G145" s="244"/>
      <c r="H145" s="244"/>
      <c r="I145" s="244" t="s">
        <v>2079</v>
      </c>
      <c r="J145" s="244"/>
      <c r="K145" s="244"/>
      <c r="L145" s="244"/>
      <c r="M145" s="244"/>
      <c r="N145" s="244"/>
      <c r="O145" s="244"/>
      <c r="P145" s="243">
        <v>45740</v>
      </c>
      <c r="Q145" s="243">
        <v>45751</v>
      </c>
      <c r="R145" s="244"/>
      <c r="S145" s="242">
        <v>10</v>
      </c>
      <c r="T145" s="242">
        <v>10</v>
      </c>
      <c r="U145" s="242">
        <v>10</v>
      </c>
      <c r="V145" s="242">
        <v>10</v>
      </c>
      <c r="W145" s="243"/>
      <c r="X145" s="243"/>
      <c r="Y145" s="251"/>
      <c r="Z145" s="252">
        <v>0</v>
      </c>
      <c r="AA145" s="242">
        <v>1</v>
      </c>
      <c r="AB145" s="244" t="s">
        <v>1971</v>
      </c>
      <c r="AC145" s="255"/>
      <c r="AD145" s="239">
        <v>1</v>
      </c>
      <c r="AE145" s="304">
        <v>1</v>
      </c>
      <c r="AF145" s="296"/>
      <c r="AG145" s="297"/>
      <c r="AH145" s="297"/>
      <c r="AI145" s="297"/>
      <c r="AJ145" s="297"/>
      <c r="AK145" s="297"/>
      <c r="AL145" s="297" t="str">
        <f>"      " &amp; TEXT(AE145,"#0.00%") &amp; " " &amp; "POS 관리 API BE" &amp; "(강상욱님)" &amp; " " &amp; IF(P145="","",TEXT(P145,"M/D-")) &amp; IF(Q145="","",TEXT(Q145,"M/D")) &amp; " "</f>
        <v xml:space="preserve">      100.00% POS 관리 API BE(강상욱님) 3/24-4/4 </v>
      </c>
      <c r="AM145" s="297"/>
      <c r="AN145" s="297"/>
      <c r="AO145" s="297"/>
      <c r="AP145" s="297"/>
      <c r="AQ145" s="297"/>
      <c r="AR145" s="297"/>
      <c r="AS145" s="297"/>
      <c r="AT145" s="297"/>
      <c r="AU145" s="297"/>
      <c r="AV145" s="297"/>
      <c r="AW145" s="297"/>
      <c r="AX145" s="297"/>
      <c r="AY145" s="297"/>
      <c r="AZ145" s="297"/>
      <c r="BA145" s="297"/>
      <c r="BB145" s="297"/>
      <c r="BC145" s="297"/>
      <c r="BD145" s="297"/>
      <c r="BE145" s="297"/>
      <c r="BF145" s="297"/>
      <c r="BG145" s="297"/>
      <c r="BH145" s="297"/>
      <c r="BI145" s="297"/>
      <c r="BJ145" s="297"/>
      <c r="BK145" s="297"/>
      <c r="BL145" s="297"/>
      <c r="BM145" s="297"/>
      <c r="BN145" s="297"/>
      <c r="BO145" s="297"/>
      <c r="BP145" s="297"/>
      <c r="BQ145" s="297"/>
      <c r="BR145" s="297"/>
      <c r="BS145" s="297"/>
      <c r="BT145" s="297"/>
      <c r="BU145" s="297"/>
      <c r="BV145" s="297"/>
      <c r="BW145" s="297"/>
      <c r="BX145" s="297"/>
      <c r="BY145" s="297"/>
      <c r="BZ145" s="297"/>
      <c r="CA145" s="297"/>
      <c r="CB145" s="297"/>
      <c r="CC145" s="297"/>
      <c r="CD145" s="297"/>
      <c r="CE145" s="297"/>
      <c r="CF145" s="297"/>
      <c r="CG145" s="297"/>
    </row>
    <row r="146" spans="1:85" ht="12" customHeight="1" outlineLevel="4">
      <c r="A146" s="288"/>
      <c r="B146" s="288"/>
      <c r="C146" s="288">
        <v>5</v>
      </c>
      <c r="D146" s="257" t="s">
        <v>2347</v>
      </c>
      <c r="E146" s="244"/>
      <c r="F146" s="244"/>
      <c r="G146" s="244"/>
      <c r="H146" s="244"/>
      <c r="I146" s="244" t="s">
        <v>2073</v>
      </c>
      <c r="J146" s="244"/>
      <c r="K146" s="244"/>
      <c r="L146" s="244"/>
      <c r="M146" s="244"/>
      <c r="N146" s="244"/>
      <c r="O146" s="244"/>
      <c r="P146" s="243">
        <v>45754</v>
      </c>
      <c r="Q146" s="243">
        <v>45765</v>
      </c>
      <c r="R146" s="244"/>
      <c r="S146" s="242">
        <v>10</v>
      </c>
      <c r="T146" s="242">
        <v>10</v>
      </c>
      <c r="U146" s="242">
        <v>10</v>
      </c>
      <c r="V146" s="242">
        <v>10</v>
      </c>
      <c r="W146" s="243"/>
      <c r="X146" s="243"/>
      <c r="Y146" s="251"/>
      <c r="Z146" s="252">
        <v>0</v>
      </c>
      <c r="AA146" s="242">
        <v>1</v>
      </c>
      <c r="AB146" s="244" t="s">
        <v>1971</v>
      </c>
      <c r="AC146" s="255"/>
      <c r="AD146" s="239">
        <v>1</v>
      </c>
      <c r="AE146" s="304">
        <v>1</v>
      </c>
      <c r="AF146" s="296"/>
      <c r="AG146" s="297"/>
      <c r="AH146" s="297"/>
      <c r="AI146" s="297"/>
      <c r="AJ146" s="297"/>
      <c r="AK146" s="297"/>
      <c r="AL146" s="297"/>
      <c r="AM146" s="297"/>
      <c r="AN146" s="297" t="str">
        <f>"      " &amp; TEXT(AE146,"#0.00%") &amp; " " &amp; "POS 관리 Batch BE" &amp; "(강상욱님)" &amp; " " &amp; IF(P146="","",TEXT(P146,"M/D-")) &amp; IF(Q146="","",TEXT(Q146,"M/D")) &amp; " "</f>
        <v xml:space="preserve">      100.00% POS 관리 Batch BE(강상욱님) 4/7-4/18 </v>
      </c>
      <c r="AO146" s="297"/>
      <c r="AP146" s="297"/>
      <c r="AQ146" s="297"/>
      <c r="AR146" s="297"/>
      <c r="AS146" s="297"/>
      <c r="AT146" s="297"/>
      <c r="AU146" s="297"/>
      <c r="AV146" s="297"/>
      <c r="AW146" s="297"/>
      <c r="AX146" s="297"/>
      <c r="AY146" s="297"/>
      <c r="AZ146" s="297"/>
      <c r="BA146" s="297"/>
      <c r="BB146" s="297"/>
      <c r="BC146" s="297"/>
      <c r="BD146" s="297"/>
      <c r="BE146" s="297"/>
      <c r="BF146" s="297"/>
      <c r="BG146" s="297"/>
      <c r="BH146" s="297"/>
      <c r="BI146" s="297"/>
      <c r="BJ146" s="297"/>
      <c r="BK146" s="297"/>
      <c r="BL146" s="297"/>
      <c r="BM146" s="297"/>
      <c r="BN146" s="297"/>
      <c r="BO146" s="297"/>
      <c r="BP146" s="297"/>
      <c r="BQ146" s="297"/>
      <c r="BR146" s="297"/>
      <c r="BS146" s="297"/>
      <c r="BT146" s="297"/>
      <c r="BU146" s="297"/>
      <c r="BV146" s="297"/>
      <c r="BW146" s="297"/>
      <c r="BX146" s="297"/>
      <c r="BY146" s="297"/>
      <c r="BZ146" s="297"/>
      <c r="CA146" s="297"/>
      <c r="CB146" s="297"/>
      <c r="CC146" s="297"/>
      <c r="CD146" s="297"/>
      <c r="CE146" s="297"/>
      <c r="CF146" s="297"/>
      <c r="CG146" s="297"/>
    </row>
    <row r="147" spans="1:85" ht="12" customHeight="1" outlineLevel="4">
      <c r="A147" s="288"/>
      <c r="B147" s="288"/>
      <c r="C147" s="288">
        <v>5</v>
      </c>
      <c r="D147" s="257" t="s">
        <v>2348</v>
      </c>
      <c r="E147" s="244"/>
      <c r="F147" s="244"/>
      <c r="G147" s="244"/>
      <c r="H147" s="244"/>
      <c r="I147" s="244" t="s">
        <v>2074</v>
      </c>
      <c r="J147" s="244"/>
      <c r="K147" s="244"/>
      <c r="L147" s="244"/>
      <c r="M147" s="244"/>
      <c r="N147" s="244"/>
      <c r="O147" s="244"/>
      <c r="P147" s="243">
        <v>45754</v>
      </c>
      <c r="Q147" s="243">
        <v>45765</v>
      </c>
      <c r="R147" s="244"/>
      <c r="S147" s="242">
        <v>10</v>
      </c>
      <c r="T147" s="242">
        <v>10</v>
      </c>
      <c r="U147" s="242">
        <v>10</v>
      </c>
      <c r="V147" s="242">
        <v>10</v>
      </c>
      <c r="W147" s="243"/>
      <c r="X147" s="243"/>
      <c r="Y147" s="251"/>
      <c r="Z147" s="252">
        <v>0</v>
      </c>
      <c r="AA147" s="242">
        <v>1</v>
      </c>
      <c r="AB147" s="244" t="s">
        <v>1971</v>
      </c>
      <c r="AC147" s="255"/>
      <c r="AD147" s="239">
        <v>1</v>
      </c>
      <c r="AE147" s="304">
        <v>1</v>
      </c>
      <c r="AF147" s="296"/>
      <c r="AG147" s="297"/>
      <c r="AH147" s="297"/>
      <c r="AI147" s="297"/>
      <c r="AJ147" s="297"/>
      <c r="AK147" s="297"/>
      <c r="AL147" s="297"/>
      <c r="AM147" s="297"/>
      <c r="AN147" s="297" t="str">
        <f>"      " &amp; TEXT(AE147,"#0.00%") &amp; " " &amp; "영업관리 API BE" &amp; "(강상욱님)" &amp; " " &amp; IF(P147="","",TEXT(P147,"M/D-")) &amp; IF(Q147="","",TEXT(Q147,"M/D")) &amp; " "</f>
        <v xml:space="preserve">      100.00% 영업관리 API BE(강상욱님) 4/7-4/18 </v>
      </c>
      <c r="AO147" s="297"/>
      <c r="AP147" s="297"/>
      <c r="AQ147" s="297"/>
      <c r="AR147" s="297"/>
      <c r="AS147" s="297"/>
      <c r="AT147" s="297"/>
      <c r="AU147" s="297"/>
      <c r="AV147" s="297"/>
      <c r="AW147" s="297"/>
      <c r="AX147" s="297"/>
      <c r="AY147" s="297"/>
      <c r="AZ147" s="297"/>
      <c r="BA147" s="297"/>
      <c r="BB147" s="297"/>
      <c r="BC147" s="297"/>
      <c r="BD147" s="297"/>
      <c r="BE147" s="297"/>
      <c r="BF147" s="297"/>
      <c r="BG147" s="297"/>
      <c r="BH147" s="297"/>
      <c r="BI147" s="297"/>
      <c r="BJ147" s="297"/>
      <c r="BK147" s="297"/>
      <c r="BL147" s="297"/>
      <c r="BM147" s="297"/>
      <c r="BN147" s="297"/>
      <c r="BO147" s="297"/>
      <c r="BP147" s="297"/>
      <c r="BQ147" s="297"/>
      <c r="BR147" s="297"/>
      <c r="BS147" s="297"/>
      <c r="BT147" s="297"/>
      <c r="BU147" s="297"/>
      <c r="BV147" s="297"/>
      <c r="BW147" s="297"/>
      <c r="BX147" s="297"/>
      <c r="BY147" s="297"/>
      <c r="BZ147" s="297"/>
      <c r="CA147" s="297"/>
      <c r="CB147" s="297"/>
      <c r="CC147" s="297"/>
      <c r="CD147" s="297"/>
      <c r="CE147" s="297"/>
      <c r="CF147" s="297"/>
      <c r="CG147" s="297"/>
    </row>
    <row r="148" spans="1:85" ht="12" customHeight="1" outlineLevel="3">
      <c r="A148" s="288"/>
      <c r="B148" s="288" t="s">
        <v>2334</v>
      </c>
      <c r="C148" s="288">
        <v>4</v>
      </c>
      <c r="D148" s="313" t="s">
        <v>2026</v>
      </c>
      <c r="E148" s="314"/>
      <c r="F148" s="314"/>
      <c r="G148" s="314"/>
      <c r="H148" s="314" t="s">
        <v>1759</v>
      </c>
      <c r="I148" s="314"/>
      <c r="J148" s="314"/>
      <c r="K148" s="314"/>
      <c r="L148" s="314"/>
      <c r="M148" s="314"/>
      <c r="N148" s="314"/>
      <c r="O148" s="314"/>
      <c r="P148" s="319">
        <v>45747</v>
      </c>
      <c r="Q148" s="319">
        <v>45779</v>
      </c>
      <c r="R148" s="314"/>
      <c r="S148" s="320">
        <v>99</v>
      </c>
      <c r="T148" s="320">
        <v>99</v>
      </c>
      <c r="U148" s="320">
        <v>24</v>
      </c>
      <c r="V148" s="320">
        <v>24</v>
      </c>
      <c r="W148" s="319"/>
      <c r="X148" s="319"/>
      <c r="Y148" s="324">
        <v>0</v>
      </c>
      <c r="Z148" s="325">
        <v>0</v>
      </c>
      <c r="AA148" s="320"/>
      <c r="AB148" s="314"/>
      <c r="AC148" s="321"/>
      <c r="AD148" s="326">
        <v>1</v>
      </c>
      <c r="AE148" s="241">
        <v>1</v>
      </c>
      <c r="AF148" s="296"/>
      <c r="AG148" s="297"/>
      <c r="AH148" s="297"/>
      <c r="AI148" s="297"/>
      <c r="AJ148" s="297"/>
      <c r="AK148" s="297"/>
      <c r="AL148" s="297"/>
      <c r="AM148" s="297"/>
      <c r="AN148" s="297"/>
      <c r="AO148" s="297"/>
      <c r="AP148" s="297" t="str">
        <f>"      " &amp; TEXT(AE148,"#0.00%") &amp; " " &amp; "CICD" &amp; " " &amp; IF(P148="","",TEXT(P148,"M/D-")) &amp; IF(Q148="","",TEXT(Q148,"M/D")) &amp; " "</f>
        <v xml:space="preserve">      100.00% CICD 3/31-5/2 </v>
      </c>
      <c r="AQ148" s="297"/>
      <c r="AR148" s="297"/>
      <c r="AS148" s="297"/>
      <c r="AT148" s="297"/>
      <c r="AU148" s="297"/>
      <c r="AV148" s="297"/>
      <c r="AW148" s="297"/>
      <c r="AX148" s="297"/>
      <c r="AY148" s="297"/>
      <c r="AZ148" s="297"/>
      <c r="BA148" s="297"/>
      <c r="BB148" s="297"/>
      <c r="BC148" s="297"/>
      <c r="BD148" s="297"/>
      <c r="BE148" s="297"/>
      <c r="BF148" s="297"/>
      <c r="BG148" s="297"/>
      <c r="BH148" s="297"/>
      <c r="BI148" s="297"/>
      <c r="BJ148" s="297"/>
      <c r="BK148" s="297"/>
      <c r="BL148" s="297"/>
      <c r="BM148" s="297"/>
      <c r="BN148" s="297"/>
      <c r="BO148" s="297"/>
      <c r="BP148" s="297"/>
      <c r="BQ148" s="297"/>
      <c r="BR148" s="297"/>
      <c r="BS148" s="297"/>
      <c r="BT148" s="297"/>
      <c r="BU148" s="297"/>
      <c r="BV148" s="297"/>
      <c r="BW148" s="297"/>
      <c r="BX148" s="297"/>
      <c r="BY148" s="297"/>
      <c r="BZ148" s="297"/>
      <c r="CA148" s="297"/>
      <c r="CB148" s="297"/>
      <c r="CC148" s="297"/>
      <c r="CD148" s="297"/>
      <c r="CE148" s="297"/>
      <c r="CF148" s="297"/>
      <c r="CG148" s="297"/>
    </row>
    <row r="149" spans="1:85" ht="12" customHeight="1" outlineLevel="4">
      <c r="A149" s="288"/>
      <c r="B149" s="288"/>
      <c r="C149" s="288">
        <v>5</v>
      </c>
      <c r="D149" s="313" t="s">
        <v>2027</v>
      </c>
      <c r="E149" s="314"/>
      <c r="F149" s="314"/>
      <c r="G149" s="314"/>
      <c r="H149" s="314"/>
      <c r="I149" s="314" t="s">
        <v>2075</v>
      </c>
      <c r="J149" s="314"/>
      <c r="K149" s="314"/>
      <c r="L149" s="314"/>
      <c r="M149" s="314"/>
      <c r="N149" s="314"/>
      <c r="O149" s="314" t="s">
        <v>2246</v>
      </c>
      <c r="P149" s="319">
        <v>45747</v>
      </c>
      <c r="Q149" s="319">
        <v>45765</v>
      </c>
      <c r="R149" s="314"/>
      <c r="S149" s="320">
        <v>15</v>
      </c>
      <c r="T149" s="320">
        <v>15</v>
      </c>
      <c r="U149" s="320">
        <v>15</v>
      </c>
      <c r="V149" s="320">
        <v>15</v>
      </c>
      <c r="W149" s="319"/>
      <c r="X149" s="319"/>
      <c r="Y149" s="324"/>
      <c r="Z149" s="325">
        <v>0</v>
      </c>
      <c r="AA149" s="320">
        <v>1</v>
      </c>
      <c r="AB149" s="314" t="s">
        <v>1971</v>
      </c>
      <c r="AC149" s="321"/>
      <c r="AD149" s="326">
        <v>1</v>
      </c>
      <c r="AE149" s="304">
        <v>1</v>
      </c>
      <c r="AF149" s="296"/>
      <c r="AG149" s="297"/>
      <c r="AH149" s="297"/>
      <c r="AI149" s="297"/>
      <c r="AJ149" s="297"/>
      <c r="AK149" s="297"/>
      <c r="AL149" s="297"/>
      <c r="AM149" s="297"/>
      <c r="AN149" s="297" t="str">
        <f>"      " &amp; TEXT(AE149,"#0.00%") &amp; " " &amp; "POS 관리 시스템 FE  (신성통상)" &amp; "(강상욱님)" &amp; " " &amp; IF(P149="","",TEXT(P149,"M/D-")) &amp; IF(Q149="","",TEXT(Q149,"M/D")) &amp; " "</f>
        <v xml:space="preserve">      100.00% POS 관리 시스템 FE  (신성통상)(강상욱님) 3/31-4/18 </v>
      </c>
      <c r="AO149" s="297"/>
      <c r="AP149" s="297"/>
      <c r="AQ149" s="297"/>
      <c r="AR149" s="297"/>
      <c r="AS149" s="297"/>
      <c r="AT149" s="297"/>
      <c r="AU149" s="297"/>
      <c r="AV149" s="297"/>
      <c r="AW149" s="297"/>
      <c r="AX149" s="297"/>
      <c r="AY149" s="297"/>
      <c r="AZ149" s="297"/>
      <c r="BA149" s="297"/>
      <c r="BB149" s="297"/>
      <c r="BC149" s="297"/>
      <c r="BD149" s="297"/>
      <c r="BE149" s="297"/>
      <c r="BF149" s="297"/>
      <c r="BG149" s="297"/>
      <c r="BH149" s="297"/>
      <c r="BI149" s="297"/>
      <c r="BJ149" s="297"/>
      <c r="BK149" s="297"/>
      <c r="BL149" s="297"/>
      <c r="BM149" s="297"/>
      <c r="BN149" s="297"/>
      <c r="BO149" s="297"/>
      <c r="BP149" s="297"/>
      <c r="BQ149" s="297"/>
      <c r="BR149" s="297"/>
      <c r="BS149" s="297"/>
      <c r="BT149" s="297"/>
      <c r="BU149" s="297"/>
      <c r="BV149" s="297"/>
      <c r="BW149" s="297"/>
      <c r="BX149" s="297"/>
      <c r="BY149" s="297"/>
      <c r="BZ149" s="297"/>
      <c r="CA149" s="297"/>
      <c r="CB149" s="297"/>
      <c r="CC149" s="297"/>
      <c r="CD149" s="297"/>
      <c r="CE149" s="297"/>
      <c r="CF149" s="297"/>
      <c r="CG149" s="297"/>
    </row>
    <row r="150" spans="1:85" ht="12" customHeight="1" outlineLevel="4">
      <c r="A150" s="288"/>
      <c r="B150" s="288"/>
      <c r="C150" s="288">
        <v>5</v>
      </c>
      <c r="D150" s="313" t="s">
        <v>2028</v>
      </c>
      <c r="E150" s="314"/>
      <c r="F150" s="314"/>
      <c r="G150" s="314"/>
      <c r="H150" s="314"/>
      <c r="I150" s="314" t="s">
        <v>2076</v>
      </c>
      <c r="J150" s="314"/>
      <c r="K150" s="314"/>
      <c r="L150" s="314"/>
      <c r="M150" s="314"/>
      <c r="N150" s="314"/>
      <c r="O150" s="314" t="s">
        <v>2246</v>
      </c>
      <c r="P150" s="319">
        <v>45747</v>
      </c>
      <c r="Q150" s="319">
        <v>45765</v>
      </c>
      <c r="R150" s="314"/>
      <c r="S150" s="320">
        <v>15</v>
      </c>
      <c r="T150" s="320">
        <v>15</v>
      </c>
      <c r="U150" s="320">
        <v>15</v>
      </c>
      <c r="V150" s="320">
        <v>15</v>
      </c>
      <c r="W150" s="319"/>
      <c r="X150" s="319"/>
      <c r="Y150" s="324"/>
      <c r="Z150" s="325">
        <v>0</v>
      </c>
      <c r="AA150" s="320">
        <v>1</v>
      </c>
      <c r="AB150" s="314" t="s">
        <v>1971</v>
      </c>
      <c r="AC150" s="321"/>
      <c r="AD150" s="326">
        <v>1</v>
      </c>
      <c r="AE150" s="304">
        <v>1</v>
      </c>
      <c r="AF150" s="296"/>
      <c r="AG150" s="297"/>
      <c r="AH150" s="297"/>
      <c r="AI150" s="297"/>
      <c r="AJ150" s="297"/>
      <c r="AK150" s="297"/>
      <c r="AL150" s="297"/>
      <c r="AM150" s="297"/>
      <c r="AN150" s="297" t="str">
        <f>"      " &amp; TEXT(AE150,"#0.00%") &amp; " " &amp; "POS 관리 시스템 FE  (에이션패션)" &amp; "(강상욱님)" &amp; " " &amp; IF(P150="","",TEXT(P150,"M/D-")) &amp; IF(Q150="","",TEXT(Q150,"M/D")) &amp; " "</f>
        <v xml:space="preserve">      100.00% POS 관리 시스템 FE  (에이션패션)(강상욱님) 3/31-4/18 </v>
      </c>
      <c r="AO150" s="297"/>
      <c r="AP150" s="297"/>
      <c r="AQ150" s="297"/>
      <c r="AR150" s="297"/>
      <c r="AS150" s="297"/>
      <c r="AT150" s="297"/>
      <c r="AU150" s="297"/>
      <c r="AV150" s="297"/>
      <c r="AW150" s="297"/>
      <c r="AX150" s="297"/>
      <c r="AY150" s="297"/>
      <c r="AZ150" s="297"/>
      <c r="BA150" s="297"/>
      <c r="BB150" s="297"/>
      <c r="BC150" s="297"/>
      <c r="BD150" s="297"/>
      <c r="BE150" s="297"/>
      <c r="BF150" s="297"/>
      <c r="BG150" s="297"/>
      <c r="BH150" s="297"/>
      <c r="BI150" s="297"/>
      <c r="BJ150" s="297"/>
      <c r="BK150" s="297"/>
      <c r="BL150" s="297"/>
      <c r="BM150" s="297"/>
      <c r="BN150" s="297"/>
      <c r="BO150" s="297"/>
      <c r="BP150" s="297"/>
      <c r="BQ150" s="297"/>
      <c r="BR150" s="297"/>
      <c r="BS150" s="297"/>
      <c r="BT150" s="297"/>
      <c r="BU150" s="297"/>
      <c r="BV150" s="297"/>
      <c r="BW150" s="297"/>
      <c r="BX150" s="297"/>
      <c r="BY150" s="297"/>
      <c r="BZ150" s="297"/>
      <c r="CA150" s="297"/>
      <c r="CB150" s="297"/>
      <c r="CC150" s="297"/>
      <c r="CD150" s="297"/>
      <c r="CE150" s="297"/>
      <c r="CF150" s="297"/>
      <c r="CG150" s="297"/>
    </row>
    <row r="151" spans="1:85" s="308" customFormat="1" ht="12" customHeight="1" outlineLevel="4">
      <c r="A151" s="305"/>
      <c r="B151" s="305"/>
      <c r="C151" s="305">
        <v>5</v>
      </c>
      <c r="D151" s="313" t="s">
        <v>2029</v>
      </c>
      <c r="E151" s="314"/>
      <c r="F151" s="314"/>
      <c r="G151" s="314"/>
      <c r="H151" s="314"/>
      <c r="I151" s="314" t="s">
        <v>2077</v>
      </c>
      <c r="J151" s="314"/>
      <c r="K151" s="314"/>
      <c r="L151" s="314"/>
      <c r="M151" s="314"/>
      <c r="N151" s="314"/>
      <c r="O151" s="314" t="s">
        <v>2246</v>
      </c>
      <c r="P151" s="319">
        <v>45747</v>
      </c>
      <c r="Q151" s="319">
        <v>45765</v>
      </c>
      <c r="R151" s="314"/>
      <c r="S151" s="320">
        <v>15</v>
      </c>
      <c r="T151" s="320">
        <v>15</v>
      </c>
      <c r="U151" s="320">
        <v>15</v>
      </c>
      <c r="V151" s="320">
        <v>15</v>
      </c>
      <c r="W151" s="319"/>
      <c r="X151" s="319"/>
      <c r="Y151" s="324"/>
      <c r="Z151" s="325">
        <v>0</v>
      </c>
      <c r="AA151" s="320">
        <v>1</v>
      </c>
      <c r="AB151" s="314" t="s">
        <v>1971</v>
      </c>
      <c r="AC151" s="321"/>
      <c r="AD151" s="326">
        <v>1</v>
      </c>
      <c r="AE151" s="304">
        <v>1</v>
      </c>
      <c r="AF151" s="296"/>
      <c r="AG151" s="297"/>
      <c r="AH151" s="297"/>
      <c r="AI151" s="297"/>
      <c r="AJ151" s="297"/>
      <c r="AK151" s="297"/>
      <c r="AL151" s="297"/>
      <c r="AM151" s="297"/>
      <c r="AN151" s="297" t="str">
        <f>"      " &amp; TEXT(AE151,"#0.00%") &amp; " " &amp; "POS 관리 시스템 BE (신성통상)" &amp; "(강상욱님)" &amp; " " &amp; IF(P151="","",TEXT(P151,"M/D-")) &amp; IF(Q151="","",TEXT(Q151,"M/D")) &amp; " "</f>
        <v xml:space="preserve">      100.00% POS 관리 시스템 BE (신성통상)(강상욱님) 3/31-4/18 </v>
      </c>
      <c r="AO151" s="297"/>
      <c r="AP151" s="297"/>
      <c r="AQ151" s="297"/>
      <c r="AR151" s="297"/>
      <c r="AS151" s="297"/>
      <c r="AT151" s="297"/>
      <c r="AU151" s="297"/>
      <c r="AV151" s="297"/>
      <c r="AW151" s="297"/>
      <c r="AX151" s="297"/>
      <c r="AY151" s="297"/>
      <c r="AZ151" s="297"/>
      <c r="BA151" s="297"/>
      <c r="BB151" s="297"/>
      <c r="BC151" s="297"/>
      <c r="BD151" s="297"/>
      <c r="BE151" s="297"/>
      <c r="BF151" s="297"/>
      <c r="BG151" s="297"/>
      <c r="BH151" s="297"/>
      <c r="BI151" s="297"/>
      <c r="BJ151" s="297"/>
      <c r="BK151" s="297"/>
      <c r="BL151" s="297"/>
      <c r="BM151" s="297"/>
      <c r="BN151" s="297"/>
      <c r="BO151" s="297"/>
      <c r="BP151" s="297"/>
      <c r="BQ151" s="297"/>
      <c r="BR151" s="297"/>
      <c r="BS151" s="297"/>
      <c r="BT151" s="297"/>
      <c r="BU151" s="297"/>
      <c r="BV151" s="297"/>
      <c r="BW151" s="297"/>
      <c r="BX151" s="297"/>
      <c r="BY151" s="297"/>
      <c r="BZ151" s="297"/>
      <c r="CA151" s="297"/>
      <c r="CB151" s="297"/>
      <c r="CC151" s="297"/>
      <c r="CD151" s="297"/>
      <c r="CE151" s="297"/>
      <c r="CF151" s="297"/>
      <c r="CG151" s="297"/>
    </row>
    <row r="152" spans="1:85" s="308" customFormat="1" ht="12" customHeight="1" outlineLevel="4">
      <c r="A152" s="305"/>
      <c r="B152" s="305"/>
      <c r="C152" s="305">
        <v>5</v>
      </c>
      <c r="D152" s="313" t="s">
        <v>2030</v>
      </c>
      <c r="E152" s="314"/>
      <c r="F152" s="314"/>
      <c r="G152" s="314"/>
      <c r="H152" s="314"/>
      <c r="I152" s="314" t="s">
        <v>2078</v>
      </c>
      <c r="J152" s="314"/>
      <c r="K152" s="314"/>
      <c r="L152" s="314"/>
      <c r="M152" s="314"/>
      <c r="N152" s="314"/>
      <c r="O152" s="314" t="s">
        <v>2246</v>
      </c>
      <c r="P152" s="319">
        <v>45747</v>
      </c>
      <c r="Q152" s="319">
        <v>45765</v>
      </c>
      <c r="R152" s="314"/>
      <c r="S152" s="320">
        <v>15</v>
      </c>
      <c r="T152" s="320">
        <v>15</v>
      </c>
      <c r="U152" s="320">
        <v>15</v>
      </c>
      <c r="V152" s="320">
        <v>15</v>
      </c>
      <c r="W152" s="319"/>
      <c r="X152" s="319"/>
      <c r="Y152" s="324"/>
      <c r="Z152" s="325">
        <v>0</v>
      </c>
      <c r="AA152" s="320">
        <v>1</v>
      </c>
      <c r="AB152" s="314" t="s">
        <v>1971</v>
      </c>
      <c r="AC152" s="321"/>
      <c r="AD152" s="326">
        <v>1</v>
      </c>
      <c r="AE152" s="304">
        <v>1</v>
      </c>
      <c r="AF152" s="296"/>
      <c r="AG152" s="297"/>
      <c r="AH152" s="297"/>
      <c r="AI152" s="297"/>
      <c r="AJ152" s="297"/>
      <c r="AK152" s="297"/>
      <c r="AL152" s="297"/>
      <c r="AM152" s="297"/>
      <c r="AN152" s="297" t="str">
        <f>"      " &amp; TEXT(AE152,"#0.00%") &amp; " " &amp; "POS 관리시스템 BE (에이션패션)" &amp; "(강상욱님)" &amp; " " &amp; IF(P152="","",TEXT(P152,"M/D-")) &amp; IF(Q152="","",TEXT(Q152,"M/D")) &amp; " "</f>
        <v xml:space="preserve">      100.00% POS 관리시스템 BE (에이션패션)(강상욱님) 3/31-4/18 </v>
      </c>
      <c r="AO152" s="297"/>
      <c r="AP152" s="297"/>
      <c r="AQ152" s="297"/>
      <c r="AR152" s="297"/>
      <c r="AS152" s="297"/>
      <c r="AT152" s="297"/>
      <c r="AU152" s="297"/>
      <c r="AV152" s="297"/>
      <c r="AW152" s="297"/>
      <c r="AX152" s="297"/>
      <c r="AY152" s="297"/>
      <c r="AZ152" s="297"/>
      <c r="BA152" s="297"/>
      <c r="BB152" s="297"/>
      <c r="BC152" s="297"/>
      <c r="BD152" s="297"/>
      <c r="BE152" s="297"/>
      <c r="BF152" s="297"/>
      <c r="BG152" s="297"/>
      <c r="BH152" s="297"/>
      <c r="BI152" s="297"/>
      <c r="BJ152" s="297"/>
      <c r="BK152" s="297"/>
      <c r="BL152" s="297"/>
      <c r="BM152" s="297"/>
      <c r="BN152" s="297"/>
      <c r="BO152" s="297"/>
      <c r="BP152" s="297"/>
      <c r="BQ152" s="297"/>
      <c r="BR152" s="297"/>
      <c r="BS152" s="297"/>
      <c r="BT152" s="297"/>
      <c r="BU152" s="297"/>
      <c r="BV152" s="297"/>
      <c r="BW152" s="297"/>
      <c r="BX152" s="297"/>
      <c r="BY152" s="297"/>
      <c r="BZ152" s="297"/>
      <c r="CA152" s="297"/>
      <c r="CB152" s="297"/>
      <c r="CC152" s="297"/>
      <c r="CD152" s="297"/>
      <c r="CE152" s="297"/>
      <c r="CF152" s="297"/>
      <c r="CG152" s="297"/>
    </row>
    <row r="153" spans="1:85" s="308" customFormat="1" ht="12" customHeight="1" outlineLevel="4">
      <c r="A153" s="305"/>
      <c r="B153" s="305"/>
      <c r="C153" s="305">
        <v>5</v>
      </c>
      <c r="D153" s="313" t="s">
        <v>2031</v>
      </c>
      <c r="E153" s="314"/>
      <c r="F153" s="314"/>
      <c r="G153" s="314"/>
      <c r="H153" s="314"/>
      <c r="I153" s="314" t="s">
        <v>2079</v>
      </c>
      <c r="J153" s="314"/>
      <c r="K153" s="314"/>
      <c r="L153" s="314"/>
      <c r="M153" s="314"/>
      <c r="N153" s="314"/>
      <c r="O153" s="314" t="s">
        <v>2246</v>
      </c>
      <c r="P153" s="319">
        <v>45754</v>
      </c>
      <c r="Q153" s="319">
        <v>45765</v>
      </c>
      <c r="R153" s="314"/>
      <c r="S153" s="320">
        <v>10</v>
      </c>
      <c r="T153" s="320">
        <v>10</v>
      </c>
      <c r="U153" s="320">
        <v>10</v>
      </c>
      <c r="V153" s="320">
        <v>10</v>
      </c>
      <c r="W153" s="319"/>
      <c r="X153" s="319"/>
      <c r="Y153" s="324"/>
      <c r="Z153" s="325">
        <v>0</v>
      </c>
      <c r="AA153" s="320">
        <v>1</v>
      </c>
      <c r="AB153" s="314" t="s">
        <v>1971</v>
      </c>
      <c r="AC153" s="321"/>
      <c r="AD153" s="326">
        <v>1</v>
      </c>
      <c r="AE153" s="304">
        <v>1</v>
      </c>
      <c r="AF153" s="296"/>
      <c r="AG153" s="297"/>
      <c r="AH153" s="297"/>
      <c r="AI153" s="297"/>
      <c r="AJ153" s="297"/>
      <c r="AK153" s="297"/>
      <c r="AL153" s="297"/>
      <c r="AM153" s="297"/>
      <c r="AN153" s="297" t="str">
        <f>"      " &amp; TEXT(AE153,"#0.00%") &amp; " " &amp; "POS 관리 API BE" &amp; "(강상욱님)" &amp; " " &amp; IF(P153="","",TEXT(P153,"M/D-")) &amp; IF(Q153="","",TEXT(Q153,"M/D")) &amp; " "</f>
        <v xml:space="preserve">      100.00% POS 관리 API BE(강상욱님) 4/7-4/18 </v>
      </c>
      <c r="AO153" s="297"/>
      <c r="AP153" s="297"/>
      <c r="AQ153" s="297"/>
      <c r="AR153" s="297"/>
      <c r="AS153" s="297"/>
      <c r="AT153" s="297"/>
      <c r="AU153" s="297"/>
      <c r="AV153" s="297"/>
      <c r="AW153" s="297"/>
      <c r="AX153" s="297"/>
      <c r="AY153" s="297"/>
      <c r="AZ153" s="297"/>
      <c r="BA153" s="297"/>
      <c r="BB153" s="297"/>
      <c r="BC153" s="297"/>
      <c r="BD153" s="297"/>
      <c r="BE153" s="297"/>
      <c r="BF153" s="297"/>
      <c r="BG153" s="297"/>
      <c r="BH153" s="297"/>
      <c r="BI153" s="297"/>
      <c r="BJ153" s="297"/>
      <c r="BK153" s="297"/>
      <c r="BL153" s="297"/>
      <c r="BM153" s="297"/>
      <c r="BN153" s="297"/>
      <c r="BO153" s="297"/>
      <c r="BP153" s="297"/>
      <c r="BQ153" s="297"/>
      <c r="BR153" s="297"/>
      <c r="BS153" s="297"/>
      <c r="BT153" s="297"/>
      <c r="BU153" s="297"/>
      <c r="BV153" s="297"/>
      <c r="BW153" s="297"/>
      <c r="BX153" s="297"/>
      <c r="BY153" s="297"/>
      <c r="BZ153" s="297"/>
      <c r="CA153" s="297"/>
      <c r="CB153" s="297"/>
      <c r="CC153" s="297"/>
      <c r="CD153" s="297"/>
      <c r="CE153" s="297"/>
      <c r="CF153" s="297"/>
      <c r="CG153" s="297"/>
    </row>
    <row r="154" spans="1:85" s="308" customFormat="1" ht="12" customHeight="1" outlineLevel="4">
      <c r="A154" s="305"/>
      <c r="B154" s="305"/>
      <c r="C154" s="305">
        <v>5</v>
      </c>
      <c r="D154" s="313" t="s">
        <v>2349</v>
      </c>
      <c r="E154" s="314"/>
      <c r="F154" s="314"/>
      <c r="G154" s="314"/>
      <c r="H154" s="314"/>
      <c r="I154" s="314" t="s">
        <v>2074</v>
      </c>
      <c r="J154" s="314"/>
      <c r="K154" s="314"/>
      <c r="L154" s="314"/>
      <c r="M154" s="314"/>
      <c r="N154" s="314"/>
      <c r="O154" s="314" t="s">
        <v>2246</v>
      </c>
      <c r="P154" s="319">
        <v>45754</v>
      </c>
      <c r="Q154" s="319">
        <v>45765</v>
      </c>
      <c r="R154" s="314"/>
      <c r="S154" s="320">
        <v>10</v>
      </c>
      <c r="T154" s="320">
        <v>10</v>
      </c>
      <c r="U154" s="320">
        <v>10</v>
      </c>
      <c r="V154" s="320">
        <v>10</v>
      </c>
      <c r="W154" s="319"/>
      <c r="X154" s="319"/>
      <c r="Y154" s="324"/>
      <c r="Z154" s="325">
        <v>0</v>
      </c>
      <c r="AA154" s="320">
        <v>1</v>
      </c>
      <c r="AB154" s="314" t="s">
        <v>1971</v>
      </c>
      <c r="AC154" s="321"/>
      <c r="AD154" s="326">
        <v>1</v>
      </c>
      <c r="AE154" s="304">
        <v>1</v>
      </c>
      <c r="AF154" s="296"/>
      <c r="AG154" s="297"/>
      <c r="AH154" s="297"/>
      <c r="AI154" s="297"/>
      <c r="AJ154" s="297"/>
      <c r="AK154" s="297"/>
      <c r="AL154" s="297"/>
      <c r="AM154" s="297"/>
      <c r="AN154" s="297" t="str">
        <f>"      " &amp; TEXT(AE154,"#0.00%") &amp; " " &amp; "영업관리 API BE" &amp; "(강상욱님)" &amp; " " &amp; IF(P154="","",TEXT(P154,"M/D-")) &amp; IF(Q154="","",TEXT(Q154,"M/D")) &amp; " "</f>
        <v xml:space="preserve">      100.00% 영업관리 API BE(강상욱님) 4/7-4/18 </v>
      </c>
      <c r="AO154" s="297"/>
      <c r="AP154" s="297"/>
      <c r="AQ154" s="297"/>
      <c r="AR154" s="297"/>
      <c r="AS154" s="297"/>
      <c r="AT154" s="297"/>
      <c r="AU154" s="297"/>
      <c r="AV154" s="297"/>
      <c r="AW154" s="297"/>
      <c r="AX154" s="297"/>
      <c r="AY154" s="297"/>
      <c r="AZ154" s="297"/>
      <c r="BA154" s="297"/>
      <c r="BB154" s="297"/>
      <c r="BC154" s="297"/>
      <c r="BD154" s="297"/>
      <c r="BE154" s="297"/>
      <c r="BF154" s="297"/>
      <c r="BG154" s="297"/>
      <c r="BH154" s="297"/>
      <c r="BI154" s="297"/>
      <c r="BJ154" s="297"/>
      <c r="BK154" s="297"/>
      <c r="BL154" s="297"/>
      <c r="BM154" s="297"/>
      <c r="BN154" s="297"/>
      <c r="BO154" s="297"/>
      <c r="BP154" s="297"/>
      <c r="BQ154" s="297"/>
      <c r="BR154" s="297"/>
      <c r="BS154" s="297"/>
      <c r="BT154" s="297"/>
      <c r="BU154" s="297"/>
      <c r="BV154" s="297"/>
      <c r="BW154" s="297"/>
      <c r="BX154" s="297"/>
      <c r="BY154" s="297"/>
      <c r="BZ154" s="297"/>
      <c r="CA154" s="297"/>
      <c r="CB154" s="297"/>
      <c r="CC154" s="297"/>
      <c r="CD154" s="297"/>
      <c r="CE154" s="297"/>
      <c r="CF154" s="297"/>
      <c r="CG154" s="297"/>
    </row>
    <row r="155" spans="1:85" s="308" customFormat="1" ht="12" customHeight="1" outlineLevel="4">
      <c r="A155" s="305"/>
      <c r="B155" s="305"/>
      <c r="C155" s="305">
        <v>5</v>
      </c>
      <c r="D155" s="313" t="s">
        <v>2350</v>
      </c>
      <c r="E155" s="314"/>
      <c r="F155" s="314"/>
      <c r="G155" s="314"/>
      <c r="H155" s="314"/>
      <c r="I155" s="314" t="s">
        <v>2073</v>
      </c>
      <c r="J155" s="314"/>
      <c r="K155" s="314"/>
      <c r="L155" s="314"/>
      <c r="M155" s="314"/>
      <c r="N155" s="314"/>
      <c r="O155" s="314" t="s">
        <v>2246</v>
      </c>
      <c r="P155" s="319">
        <v>45754</v>
      </c>
      <c r="Q155" s="319">
        <v>45765</v>
      </c>
      <c r="R155" s="314"/>
      <c r="S155" s="320">
        <v>10</v>
      </c>
      <c r="T155" s="320">
        <v>10</v>
      </c>
      <c r="U155" s="320">
        <v>10</v>
      </c>
      <c r="V155" s="320">
        <v>10</v>
      </c>
      <c r="W155" s="319"/>
      <c r="X155" s="319"/>
      <c r="Y155" s="324"/>
      <c r="Z155" s="325">
        <v>0</v>
      </c>
      <c r="AA155" s="320">
        <v>1</v>
      </c>
      <c r="AB155" s="314" t="s">
        <v>1971</v>
      </c>
      <c r="AC155" s="321"/>
      <c r="AD155" s="326">
        <v>1</v>
      </c>
      <c r="AE155" s="304">
        <v>1</v>
      </c>
      <c r="AF155" s="296"/>
      <c r="AG155" s="297"/>
      <c r="AH155" s="297"/>
      <c r="AI155" s="297"/>
      <c r="AJ155" s="297"/>
      <c r="AK155" s="297"/>
      <c r="AL155" s="297"/>
      <c r="AM155" s="297"/>
      <c r="AN155" s="297" t="str">
        <f>"      " &amp; TEXT(AE155,"#0.00%") &amp; " " &amp; "POS 관리 Batch BE" &amp; "(강상욱님)" &amp; " " &amp; IF(P155="","",TEXT(P155,"M/D-")) &amp; IF(Q155="","",TEXT(Q155,"M/D")) &amp; " "</f>
        <v xml:space="preserve">      100.00% POS 관리 Batch BE(강상욱님) 4/7-4/18 </v>
      </c>
      <c r="AO155" s="297"/>
      <c r="AP155" s="297"/>
      <c r="AQ155" s="297"/>
      <c r="AR155" s="297"/>
      <c r="AS155" s="297"/>
      <c r="AT155" s="297"/>
      <c r="AU155" s="297"/>
      <c r="AV155" s="297"/>
      <c r="AW155" s="297"/>
      <c r="AX155" s="297"/>
      <c r="AY155" s="297"/>
      <c r="AZ155" s="297"/>
      <c r="BA155" s="297"/>
      <c r="BB155" s="297"/>
      <c r="BC155" s="297"/>
      <c r="BD155" s="297"/>
      <c r="BE155" s="297"/>
      <c r="BF155" s="297"/>
      <c r="BG155" s="297"/>
      <c r="BH155" s="297"/>
      <c r="BI155" s="297"/>
      <c r="BJ155" s="297"/>
      <c r="BK155" s="297"/>
      <c r="BL155" s="297"/>
      <c r="BM155" s="297"/>
      <c r="BN155" s="297"/>
      <c r="BO155" s="297"/>
      <c r="BP155" s="297"/>
      <c r="BQ155" s="297"/>
      <c r="BR155" s="297"/>
      <c r="BS155" s="297"/>
      <c r="BT155" s="297"/>
      <c r="BU155" s="297"/>
      <c r="BV155" s="297"/>
      <c r="BW155" s="297"/>
      <c r="BX155" s="297"/>
      <c r="BY155" s="297"/>
      <c r="BZ155" s="297"/>
      <c r="CA155" s="297"/>
      <c r="CB155" s="297"/>
      <c r="CC155" s="297"/>
      <c r="CD155" s="297"/>
      <c r="CE155" s="297"/>
      <c r="CF155" s="297"/>
      <c r="CG155" s="297"/>
    </row>
    <row r="156" spans="1:85" s="308" customFormat="1" ht="12" customHeight="1" outlineLevel="4">
      <c r="A156" s="305"/>
      <c r="B156" s="305"/>
      <c r="C156" s="305">
        <v>5</v>
      </c>
      <c r="D156" s="313" t="s">
        <v>2351</v>
      </c>
      <c r="E156" s="314"/>
      <c r="F156" s="314"/>
      <c r="G156" s="314"/>
      <c r="H156" s="314"/>
      <c r="I156" s="314" t="s">
        <v>2105</v>
      </c>
      <c r="J156" s="314"/>
      <c r="K156" s="314"/>
      <c r="L156" s="314"/>
      <c r="M156" s="314"/>
      <c r="N156" s="314"/>
      <c r="O156" s="314" t="s">
        <v>2246</v>
      </c>
      <c r="P156" s="319">
        <v>45768</v>
      </c>
      <c r="Q156" s="319">
        <v>45779</v>
      </c>
      <c r="R156" s="314"/>
      <c r="S156" s="320">
        <v>9</v>
      </c>
      <c r="T156" s="320">
        <v>9</v>
      </c>
      <c r="U156" s="320">
        <v>9</v>
      </c>
      <c r="V156" s="320">
        <v>9</v>
      </c>
      <c r="W156" s="319"/>
      <c r="X156" s="319"/>
      <c r="Y156" s="324"/>
      <c r="Z156" s="325">
        <v>0</v>
      </c>
      <c r="AA156" s="320">
        <v>1</v>
      </c>
      <c r="AB156" s="314" t="s">
        <v>1971</v>
      </c>
      <c r="AC156" s="321"/>
      <c r="AD156" s="326">
        <v>1</v>
      </c>
      <c r="AE156" s="304">
        <v>1</v>
      </c>
      <c r="AF156" s="296"/>
      <c r="AG156" s="297"/>
      <c r="AH156" s="297"/>
      <c r="AI156" s="297"/>
      <c r="AJ156" s="297"/>
      <c r="AK156" s="297"/>
      <c r="AL156" s="297"/>
      <c r="AM156" s="297"/>
      <c r="AN156" s="297"/>
      <c r="AO156" s="297"/>
      <c r="AP156" s="297" t="str">
        <f>"      " &amp; TEXT(AE156,"#0.00%") &amp; " " &amp; "CS POS 시스템" &amp; "(강상욱님)" &amp; " " &amp; IF(P156="","",TEXT(P156,"M/D-")) &amp; IF(Q156="","",TEXT(Q156,"M/D")) &amp; " "</f>
        <v xml:space="preserve">      100.00% CS POS 시스템(강상욱님) 4/21-5/2 </v>
      </c>
      <c r="AQ156" s="297"/>
      <c r="AR156" s="297"/>
      <c r="AS156" s="297"/>
      <c r="AT156" s="297"/>
      <c r="AU156" s="297"/>
      <c r="AV156" s="297"/>
      <c r="AW156" s="297"/>
      <c r="AX156" s="297"/>
      <c r="AY156" s="297"/>
      <c r="AZ156" s="297"/>
      <c r="BA156" s="297"/>
      <c r="BB156" s="297"/>
      <c r="BC156" s="297"/>
      <c r="BD156" s="297"/>
      <c r="BE156" s="297"/>
      <c r="BF156" s="297"/>
      <c r="BG156" s="297"/>
      <c r="BH156" s="297"/>
      <c r="BI156" s="297"/>
      <c r="BJ156" s="297"/>
      <c r="BK156" s="297"/>
      <c r="BL156" s="297"/>
      <c r="BM156" s="297"/>
      <c r="BN156" s="297"/>
      <c r="BO156" s="297"/>
      <c r="BP156" s="297"/>
      <c r="BQ156" s="297"/>
      <c r="BR156" s="297"/>
      <c r="BS156" s="297"/>
      <c r="BT156" s="297"/>
      <c r="BU156" s="297"/>
      <c r="BV156" s="297"/>
      <c r="BW156" s="297"/>
      <c r="BX156" s="297"/>
      <c r="BY156" s="297"/>
      <c r="BZ156" s="297"/>
      <c r="CA156" s="297"/>
      <c r="CB156" s="297"/>
      <c r="CC156" s="297"/>
      <c r="CD156" s="297"/>
      <c r="CE156" s="297"/>
      <c r="CF156" s="297"/>
      <c r="CG156" s="297"/>
    </row>
    <row r="157" spans="1:85" ht="12" customHeight="1" outlineLevel="3">
      <c r="A157" s="288"/>
      <c r="B157" s="288" t="s">
        <v>2334</v>
      </c>
      <c r="C157" s="288">
        <v>4</v>
      </c>
      <c r="D157" s="257" t="s">
        <v>2032</v>
      </c>
      <c r="E157" s="244"/>
      <c r="F157" s="244"/>
      <c r="G157" s="244"/>
      <c r="H157" s="244" t="s">
        <v>1762</v>
      </c>
      <c r="I157" s="244"/>
      <c r="J157" s="244"/>
      <c r="K157" s="244"/>
      <c r="L157" s="244"/>
      <c r="M157" s="244"/>
      <c r="N157" s="244"/>
      <c r="O157" s="244"/>
      <c r="P157" s="243">
        <v>45761</v>
      </c>
      <c r="Q157" s="243">
        <v>45813</v>
      </c>
      <c r="R157" s="244"/>
      <c r="S157" s="242">
        <v>50</v>
      </c>
      <c r="T157" s="242">
        <v>50</v>
      </c>
      <c r="U157" s="242">
        <v>36</v>
      </c>
      <c r="V157" s="242">
        <v>36</v>
      </c>
      <c r="W157" s="243"/>
      <c r="X157" s="243"/>
      <c r="Y157" s="251">
        <v>0</v>
      </c>
      <c r="Z157" s="252">
        <v>0</v>
      </c>
      <c r="AA157" s="242"/>
      <c r="AB157" s="244"/>
      <c r="AC157" s="255"/>
      <c r="AD157" s="239">
        <v>1</v>
      </c>
      <c r="AE157" s="241">
        <v>1</v>
      </c>
      <c r="AF157" s="296"/>
      <c r="AG157" s="297"/>
      <c r="AH157" s="297"/>
      <c r="AI157" s="297"/>
      <c r="AJ157" s="297"/>
      <c r="AK157" s="297"/>
      <c r="AL157" s="297"/>
      <c r="AM157" s="297"/>
      <c r="AN157" s="297"/>
      <c r="AO157" s="297"/>
      <c r="AP157" s="297"/>
      <c r="AQ157" s="297"/>
      <c r="AR157" s="297"/>
      <c r="AS157" s="297"/>
      <c r="AT157" s="297"/>
      <c r="AU157" s="297" t="str">
        <f>"     " &amp; TEXT(AE157,"#0.00%") &amp; " " &amp; "로깅&amp;모니터링" &amp; " " &amp; IF(P157="","",TEXT(P157,"M/D-")) &amp; IF(Q157="","",TEXT(Q157,"M/D")) &amp; " "</f>
        <v xml:space="preserve">     100.00% 로깅&amp;모니터링 4/14-6/5 </v>
      </c>
      <c r="AV157" s="297"/>
      <c r="AW157" s="297"/>
      <c r="AX157" s="297"/>
      <c r="AY157" s="297"/>
      <c r="AZ157" s="297"/>
      <c r="BA157" s="297"/>
      <c r="BB157" s="297"/>
      <c r="BC157" s="297"/>
      <c r="BD157" s="297"/>
      <c r="BE157" s="297"/>
      <c r="BF157" s="297"/>
      <c r="BG157" s="297"/>
      <c r="BH157" s="297"/>
      <c r="BI157" s="297"/>
      <c r="BJ157" s="297"/>
      <c r="BK157" s="297"/>
      <c r="BL157" s="297"/>
      <c r="BM157" s="297"/>
      <c r="BN157" s="297"/>
      <c r="BO157" s="297"/>
      <c r="BP157" s="297"/>
      <c r="BQ157" s="297"/>
      <c r="BR157" s="297"/>
      <c r="BS157" s="297"/>
      <c r="BT157" s="297"/>
      <c r="BU157" s="297"/>
      <c r="BV157" s="297"/>
      <c r="BW157" s="297"/>
      <c r="BX157" s="297"/>
      <c r="BY157" s="297"/>
      <c r="BZ157" s="297"/>
      <c r="CA157" s="297"/>
      <c r="CB157" s="297"/>
      <c r="CC157" s="297"/>
      <c r="CD157" s="297"/>
      <c r="CE157" s="297"/>
      <c r="CF157" s="297"/>
      <c r="CG157" s="297"/>
    </row>
    <row r="158" spans="1:85" s="308" customFormat="1" ht="12" customHeight="1" outlineLevel="4">
      <c r="A158" s="305"/>
      <c r="B158" s="305"/>
      <c r="C158" s="305">
        <v>5</v>
      </c>
      <c r="D158" s="257" t="s">
        <v>2033</v>
      </c>
      <c r="E158" s="244"/>
      <c r="F158" s="244"/>
      <c r="G158" s="244"/>
      <c r="H158" s="244"/>
      <c r="I158" s="244" t="s">
        <v>2106</v>
      </c>
      <c r="J158" s="244"/>
      <c r="K158" s="244"/>
      <c r="L158" s="244"/>
      <c r="M158" s="244"/>
      <c r="N158" s="244"/>
      <c r="O158" s="244"/>
      <c r="P158" s="243">
        <v>45761</v>
      </c>
      <c r="Q158" s="243">
        <v>45779</v>
      </c>
      <c r="R158" s="244"/>
      <c r="S158" s="242">
        <v>14</v>
      </c>
      <c r="T158" s="242">
        <v>14</v>
      </c>
      <c r="U158" s="242">
        <v>14</v>
      </c>
      <c r="V158" s="242">
        <v>14</v>
      </c>
      <c r="W158" s="243"/>
      <c r="X158" s="243"/>
      <c r="Y158" s="251"/>
      <c r="Z158" s="252">
        <v>0</v>
      </c>
      <c r="AA158" s="242">
        <v>1</v>
      </c>
      <c r="AB158" s="244" t="s">
        <v>1972</v>
      </c>
      <c r="AC158" s="255"/>
      <c r="AD158" s="239">
        <v>1</v>
      </c>
      <c r="AE158" s="330">
        <v>1</v>
      </c>
      <c r="AF158" s="296"/>
      <c r="AG158" s="297"/>
      <c r="AH158" s="297"/>
      <c r="AI158" s="297"/>
      <c r="AJ158" s="297"/>
      <c r="AK158" s="297"/>
      <c r="AL158" s="297"/>
      <c r="AM158" s="297"/>
      <c r="AN158" s="297"/>
      <c r="AO158" s="297"/>
      <c r="AP158" s="297" t="str">
        <f>"      " &amp; TEXT(AE158,"#0.00%") &amp; " " &amp; "AWS 기본 모니터링 구성(CW/NW/보안)" &amp; "(이석호님)" &amp; " " &amp; IF(P158="","",TEXT(P158,"M/D-")) &amp; IF(Q158="","",TEXT(Q158,"M/D")) &amp; " "</f>
        <v xml:space="preserve">      100.00% AWS 기본 모니터링 구성(CW/NW/보안)(이석호님) 4/14-5/2 </v>
      </c>
      <c r="AQ158" s="297"/>
      <c r="AR158" s="297"/>
      <c r="AS158" s="297"/>
      <c r="AT158" s="297"/>
      <c r="AU158" s="297"/>
      <c r="AV158" s="297"/>
      <c r="AW158" s="297"/>
      <c r="AX158" s="297"/>
      <c r="AY158" s="297"/>
      <c r="AZ158" s="297"/>
      <c r="BA158" s="297"/>
      <c r="BB158" s="297"/>
      <c r="BC158" s="297"/>
      <c r="BD158" s="297"/>
      <c r="BE158" s="297"/>
      <c r="BF158" s="297"/>
      <c r="BG158" s="297"/>
      <c r="BH158" s="297"/>
      <c r="BI158" s="297"/>
      <c r="BJ158" s="297"/>
      <c r="BK158" s="297"/>
      <c r="BL158" s="297"/>
      <c r="BM158" s="297"/>
      <c r="BN158" s="297"/>
      <c r="BO158" s="297"/>
      <c r="BP158" s="297"/>
      <c r="BQ158" s="297"/>
      <c r="BR158" s="297"/>
      <c r="BS158" s="297"/>
      <c r="BT158" s="297"/>
      <c r="BU158" s="297"/>
      <c r="BV158" s="297"/>
      <c r="BW158" s="297"/>
      <c r="BX158" s="297"/>
      <c r="BY158" s="297"/>
      <c r="BZ158" s="297"/>
      <c r="CA158" s="297"/>
      <c r="CB158" s="297"/>
      <c r="CC158" s="297"/>
      <c r="CD158" s="297"/>
      <c r="CE158" s="297"/>
      <c r="CF158" s="297"/>
      <c r="CG158" s="297"/>
    </row>
    <row r="159" spans="1:85" ht="12" customHeight="1" outlineLevel="4">
      <c r="A159" s="288"/>
      <c r="B159" s="288"/>
      <c r="C159" s="288">
        <v>5</v>
      </c>
      <c r="D159" s="257" t="s">
        <v>2034</v>
      </c>
      <c r="E159" s="244"/>
      <c r="F159" s="244"/>
      <c r="G159" s="244"/>
      <c r="H159" s="244"/>
      <c r="I159" s="244" t="s">
        <v>1763</v>
      </c>
      <c r="J159" s="244"/>
      <c r="K159" s="244"/>
      <c r="L159" s="244"/>
      <c r="M159" s="244"/>
      <c r="N159" s="244"/>
      <c r="O159" s="244" t="s">
        <v>2246</v>
      </c>
      <c r="P159" s="243">
        <v>45761</v>
      </c>
      <c r="Q159" s="243">
        <v>45779</v>
      </c>
      <c r="R159" s="244"/>
      <c r="S159" s="242">
        <v>14</v>
      </c>
      <c r="T159" s="242">
        <v>14</v>
      </c>
      <c r="U159" s="242">
        <v>14</v>
      </c>
      <c r="V159" s="242">
        <v>14</v>
      </c>
      <c r="W159" s="243"/>
      <c r="X159" s="243"/>
      <c r="Y159" s="251"/>
      <c r="Z159" s="252">
        <v>0</v>
      </c>
      <c r="AA159" s="242">
        <v>1</v>
      </c>
      <c r="AB159" s="244" t="s">
        <v>1972</v>
      </c>
      <c r="AC159" s="255"/>
      <c r="AD159" s="239">
        <v>1</v>
      </c>
      <c r="AE159" s="330">
        <v>1</v>
      </c>
      <c r="AF159" s="296"/>
      <c r="AG159" s="297"/>
      <c r="AH159" s="297"/>
      <c r="AI159" s="297"/>
      <c r="AJ159" s="297"/>
      <c r="AK159" s="297"/>
      <c r="AL159" s="297"/>
      <c r="AM159" s="297"/>
      <c r="AN159" s="297"/>
      <c r="AO159" s="297"/>
      <c r="AP159" s="297" t="str">
        <f>"      " &amp; TEXT(AE159,"#0.00%") &amp; " " &amp; "제니퍼 구성" &amp; "(이석호님)" &amp; " " &amp; IF(P159="","",TEXT(P159,"M/D-")) &amp; IF(Q159="","",TEXT(Q159,"M/D")) &amp; " "</f>
        <v xml:space="preserve">      100.00% 제니퍼 구성(이석호님) 4/14-5/2 </v>
      </c>
      <c r="AQ159" s="297"/>
      <c r="AR159" s="297"/>
      <c r="AS159" s="297"/>
      <c r="AT159" s="297"/>
      <c r="AU159" s="297"/>
      <c r="AV159" s="297"/>
      <c r="AW159" s="297"/>
      <c r="AX159" s="297"/>
      <c r="AY159" s="297"/>
      <c r="AZ159" s="297"/>
      <c r="BA159" s="297"/>
      <c r="BB159" s="297"/>
      <c r="BC159" s="297"/>
      <c r="BD159" s="297"/>
      <c r="BE159" s="297"/>
      <c r="BF159" s="297"/>
      <c r="BG159" s="297"/>
      <c r="BH159" s="297"/>
      <c r="BI159" s="297"/>
      <c r="BJ159" s="297"/>
      <c r="BK159" s="297"/>
      <c r="BL159" s="297"/>
      <c r="BM159" s="297"/>
      <c r="BN159" s="297"/>
      <c r="BO159" s="297"/>
      <c r="BP159" s="297"/>
      <c r="BQ159" s="297"/>
      <c r="BR159" s="297"/>
      <c r="BS159" s="297"/>
      <c r="BT159" s="297"/>
      <c r="BU159" s="297"/>
      <c r="BV159" s="297"/>
      <c r="BW159" s="297"/>
      <c r="BX159" s="297"/>
      <c r="BY159" s="297"/>
      <c r="BZ159" s="297"/>
      <c r="CA159" s="297"/>
      <c r="CB159" s="297"/>
      <c r="CC159" s="297"/>
      <c r="CD159" s="297"/>
      <c r="CE159" s="297"/>
      <c r="CF159" s="297"/>
      <c r="CG159" s="297"/>
    </row>
    <row r="160" spans="1:85" ht="12" customHeight="1" outlineLevel="4">
      <c r="A160" s="288"/>
      <c r="B160" s="288"/>
      <c r="C160" s="288">
        <v>5</v>
      </c>
      <c r="D160" s="257" t="s">
        <v>2352</v>
      </c>
      <c r="E160" s="244"/>
      <c r="F160" s="244"/>
      <c r="G160" s="244"/>
      <c r="H160" s="244"/>
      <c r="I160" s="244" t="s">
        <v>2288</v>
      </c>
      <c r="J160" s="244"/>
      <c r="K160" s="244"/>
      <c r="L160" s="244"/>
      <c r="M160" s="244"/>
      <c r="N160" s="244"/>
      <c r="O160" s="244"/>
      <c r="P160" s="243">
        <v>45803</v>
      </c>
      <c r="Q160" s="243">
        <v>45813</v>
      </c>
      <c r="R160" s="244"/>
      <c r="S160" s="242">
        <v>8</v>
      </c>
      <c r="T160" s="242">
        <v>8</v>
      </c>
      <c r="U160" s="242">
        <v>8</v>
      </c>
      <c r="V160" s="242">
        <v>8</v>
      </c>
      <c r="W160" s="243"/>
      <c r="X160" s="243"/>
      <c r="Y160" s="251"/>
      <c r="Z160" s="252">
        <v>0</v>
      </c>
      <c r="AA160" s="242">
        <v>1</v>
      </c>
      <c r="AB160" s="244" t="s">
        <v>1972</v>
      </c>
      <c r="AC160" s="255"/>
      <c r="AD160" s="239">
        <v>1</v>
      </c>
      <c r="AE160" s="330">
        <v>1</v>
      </c>
      <c r="AF160" s="296"/>
      <c r="AG160" s="297"/>
      <c r="AH160" s="297"/>
      <c r="AI160" s="297"/>
      <c r="AJ160" s="297"/>
      <c r="AK160" s="297"/>
      <c r="AL160" s="297"/>
      <c r="AM160" s="297"/>
      <c r="AN160" s="297"/>
      <c r="AO160" s="297"/>
      <c r="AP160" s="297"/>
      <c r="AQ160" s="297"/>
      <c r="AR160" s="297"/>
      <c r="AS160" s="297"/>
      <c r="AT160" s="297"/>
      <c r="AU160" s="297" t="str">
        <f>"     " &amp; TEXT(AE160,"#0.00%") &amp; " " &amp; "Datadog 구성" &amp; "(이석호님)" &amp; " " &amp; IF(P160="","",TEXT(P160,"M/D-")) &amp; IF(Q160="","",TEXT(Q160,"M/D")) &amp; " "</f>
        <v xml:space="preserve">     100.00% Datadog 구성(이석호님) 5/26-6/5 </v>
      </c>
      <c r="AV160" s="297"/>
      <c r="AW160" s="297"/>
      <c r="AX160" s="297"/>
      <c r="AY160" s="297"/>
      <c r="AZ160" s="297"/>
      <c r="BA160" s="297"/>
      <c r="BB160" s="297"/>
      <c r="BC160" s="297"/>
      <c r="BD160" s="297"/>
      <c r="BE160" s="297"/>
      <c r="BF160" s="297"/>
      <c r="BG160" s="297"/>
      <c r="BH160" s="297"/>
      <c r="BI160" s="297"/>
      <c r="BJ160" s="297"/>
      <c r="BK160" s="297"/>
      <c r="BL160" s="297"/>
      <c r="BM160" s="297"/>
      <c r="BN160" s="297"/>
      <c r="BO160" s="297"/>
      <c r="BP160" s="297"/>
      <c r="BQ160" s="297"/>
      <c r="BR160" s="297"/>
      <c r="BS160" s="297"/>
      <c r="BT160" s="297"/>
      <c r="BU160" s="297"/>
      <c r="BV160" s="297"/>
      <c r="BW160" s="297"/>
      <c r="BX160" s="297"/>
      <c r="BY160" s="297"/>
      <c r="BZ160" s="297"/>
      <c r="CA160" s="297"/>
      <c r="CB160" s="297"/>
      <c r="CC160" s="297"/>
      <c r="CD160" s="297"/>
      <c r="CE160" s="297"/>
      <c r="CF160" s="297"/>
      <c r="CG160" s="297"/>
    </row>
    <row r="161" spans="1:85" ht="12" customHeight="1" outlineLevel="4">
      <c r="A161" s="288"/>
      <c r="B161" s="288"/>
      <c r="C161" s="288">
        <v>5</v>
      </c>
      <c r="D161" s="257" t="s">
        <v>2353</v>
      </c>
      <c r="E161" s="244"/>
      <c r="F161" s="244"/>
      <c r="G161" s="244"/>
      <c r="H161" s="244"/>
      <c r="I161" s="244" t="s">
        <v>1764</v>
      </c>
      <c r="J161" s="244"/>
      <c r="K161" s="244"/>
      <c r="L161" s="244"/>
      <c r="M161" s="244"/>
      <c r="N161" s="244"/>
      <c r="O161" s="244" t="s">
        <v>2246</v>
      </c>
      <c r="P161" s="243">
        <v>45761</v>
      </c>
      <c r="Q161" s="243">
        <v>45779</v>
      </c>
      <c r="R161" s="244"/>
      <c r="S161" s="242">
        <v>14</v>
      </c>
      <c r="T161" s="242">
        <v>14</v>
      </c>
      <c r="U161" s="242">
        <v>14</v>
      </c>
      <c r="V161" s="242">
        <v>14</v>
      </c>
      <c r="W161" s="243"/>
      <c r="X161" s="243"/>
      <c r="Y161" s="251"/>
      <c r="Z161" s="252">
        <v>0</v>
      </c>
      <c r="AA161" s="242">
        <v>1</v>
      </c>
      <c r="AB161" s="244"/>
      <c r="AC161" s="255"/>
      <c r="AD161" s="239">
        <v>1</v>
      </c>
      <c r="AE161" s="304">
        <v>1</v>
      </c>
      <c r="AF161" s="296"/>
      <c r="AG161" s="297"/>
      <c r="AH161" s="297"/>
      <c r="AI161" s="297"/>
      <c r="AJ161" s="297"/>
      <c r="AK161" s="297"/>
      <c r="AL161" s="297"/>
      <c r="AM161" s="297"/>
      <c r="AN161" s="297"/>
      <c r="AO161" s="297"/>
      <c r="AP161" s="297" t="str">
        <f>"      " &amp; TEXT(AE161,"#0.00%") &amp; " " &amp; "AWS OpenSearch 구성" &amp; " " &amp; IF(P161="","",TEXT(P161,"M/D-")) &amp; IF(Q161="","",TEXT(Q161,"M/D")) &amp; " "</f>
        <v xml:space="preserve">      100.00% AWS OpenSearch 구성 4/14-5/2 </v>
      </c>
      <c r="AQ161" s="297"/>
      <c r="AR161" s="297"/>
      <c r="AS161" s="297"/>
      <c r="AT161" s="297"/>
      <c r="AU161" s="297"/>
      <c r="AV161" s="297"/>
      <c r="AW161" s="297"/>
      <c r="AX161" s="297"/>
      <c r="AY161" s="297"/>
      <c r="AZ161" s="297"/>
      <c r="BA161" s="297"/>
      <c r="BB161" s="297"/>
      <c r="BC161" s="297"/>
      <c r="BD161" s="297"/>
      <c r="BE161" s="297"/>
      <c r="BF161" s="297"/>
      <c r="BG161" s="297"/>
      <c r="BH161" s="297"/>
      <c r="BI161" s="297"/>
      <c r="BJ161" s="297"/>
      <c r="BK161" s="297"/>
      <c r="BL161" s="297"/>
      <c r="BM161" s="297"/>
      <c r="BN161" s="297"/>
      <c r="BO161" s="297"/>
      <c r="BP161" s="297"/>
      <c r="BQ161" s="297"/>
      <c r="BR161" s="297"/>
      <c r="BS161" s="297"/>
      <c r="BT161" s="297"/>
      <c r="BU161" s="297"/>
      <c r="BV161" s="297"/>
      <c r="BW161" s="297"/>
      <c r="BX161" s="297"/>
      <c r="BY161" s="297"/>
      <c r="BZ161" s="297"/>
      <c r="CA161" s="297"/>
      <c r="CB161" s="297"/>
      <c r="CC161" s="297"/>
      <c r="CD161" s="297"/>
      <c r="CE161" s="297"/>
      <c r="CF161" s="297"/>
      <c r="CG161" s="297"/>
    </row>
    <row r="162" spans="1:85" ht="12" customHeight="1" outlineLevel="3">
      <c r="A162" s="288"/>
      <c r="B162" s="288" t="s">
        <v>2334</v>
      </c>
      <c r="C162" s="288">
        <v>4</v>
      </c>
      <c r="D162" s="257" t="s">
        <v>2354</v>
      </c>
      <c r="E162" s="244"/>
      <c r="F162" s="244"/>
      <c r="G162" s="244"/>
      <c r="H162" s="244" t="s">
        <v>2289</v>
      </c>
      <c r="I162" s="244"/>
      <c r="J162" s="244"/>
      <c r="K162" s="244"/>
      <c r="L162" s="244"/>
      <c r="M162" s="244"/>
      <c r="N162" s="244"/>
      <c r="O162" s="244"/>
      <c r="P162" s="243">
        <v>45796</v>
      </c>
      <c r="Q162" s="243">
        <v>45807</v>
      </c>
      <c r="R162" s="244"/>
      <c r="S162" s="242">
        <v>10</v>
      </c>
      <c r="T162" s="242">
        <v>10</v>
      </c>
      <c r="U162" s="242">
        <v>10</v>
      </c>
      <c r="V162" s="242">
        <v>10</v>
      </c>
      <c r="W162" s="243"/>
      <c r="X162" s="243"/>
      <c r="Y162" s="251">
        <v>0</v>
      </c>
      <c r="Z162" s="252">
        <v>0</v>
      </c>
      <c r="AA162" s="242"/>
      <c r="AB162" s="244"/>
      <c r="AC162" s="255"/>
      <c r="AD162" s="239">
        <v>1</v>
      </c>
      <c r="AE162" s="241">
        <v>1</v>
      </c>
      <c r="AF162" s="296"/>
      <c r="AG162" s="297"/>
      <c r="AH162" s="297"/>
      <c r="AI162" s="297"/>
      <c r="AJ162" s="297"/>
      <c r="AK162" s="297"/>
      <c r="AL162" s="297"/>
      <c r="AM162" s="297"/>
      <c r="AN162" s="297"/>
      <c r="AO162" s="297"/>
      <c r="AP162" s="297"/>
      <c r="AQ162" s="297"/>
      <c r="AR162" s="297"/>
      <c r="AS162" s="297"/>
      <c r="AT162" s="297" t="str">
        <f>"      " &amp; TEXT(AE162,"#0.00%") &amp; " " &amp; "API GW 방식 변경" &amp; " " &amp; IF(P162="","",TEXT(P162,"M/D-")) &amp; IF(Q162="","",TEXT(Q162,"M/D")) &amp; " "</f>
        <v xml:space="preserve">      100.00% API GW 방식 변경 5/19-5/30 </v>
      </c>
      <c r="AU162" s="297"/>
      <c r="AV162" s="297"/>
      <c r="AW162" s="297"/>
      <c r="AX162" s="297"/>
      <c r="AY162" s="297"/>
      <c r="AZ162" s="297"/>
      <c r="BA162" s="297"/>
      <c r="BB162" s="297"/>
      <c r="BC162" s="297"/>
      <c r="BD162" s="297"/>
      <c r="BE162" s="297"/>
      <c r="BF162" s="297"/>
      <c r="BG162" s="297"/>
      <c r="BH162" s="297"/>
      <c r="BI162" s="297"/>
      <c r="BJ162" s="297"/>
      <c r="BK162" s="297"/>
      <c r="BL162" s="297"/>
      <c r="BM162" s="297"/>
      <c r="BN162" s="297"/>
      <c r="BO162" s="297"/>
      <c r="BP162" s="297"/>
      <c r="BQ162" s="297"/>
      <c r="BR162" s="297"/>
      <c r="BS162" s="297"/>
      <c r="BT162" s="297"/>
      <c r="BU162" s="297"/>
      <c r="BV162" s="297"/>
      <c r="BW162" s="297"/>
      <c r="BX162" s="297"/>
      <c r="BY162" s="297"/>
      <c r="BZ162" s="297"/>
      <c r="CA162" s="297"/>
      <c r="CB162" s="297"/>
      <c r="CC162" s="297"/>
      <c r="CD162" s="297"/>
      <c r="CE162" s="297"/>
      <c r="CF162" s="297"/>
      <c r="CG162" s="297"/>
    </row>
    <row r="163" spans="1:85" ht="12" customHeight="1" outlineLevel="4">
      <c r="A163" s="288"/>
      <c r="B163" s="288"/>
      <c r="C163" s="288">
        <v>5</v>
      </c>
      <c r="D163" s="257" t="s">
        <v>2355</v>
      </c>
      <c r="E163" s="244"/>
      <c r="F163" s="244"/>
      <c r="G163" s="244"/>
      <c r="H163" s="244"/>
      <c r="I163" s="244" t="s">
        <v>2290</v>
      </c>
      <c r="J163" s="244"/>
      <c r="K163" s="244"/>
      <c r="L163" s="244"/>
      <c r="M163" s="244"/>
      <c r="N163" s="244"/>
      <c r="O163" s="244"/>
      <c r="P163" s="243">
        <v>45796</v>
      </c>
      <c r="Q163" s="243">
        <v>45800</v>
      </c>
      <c r="R163" s="244"/>
      <c r="S163" s="242">
        <v>5</v>
      </c>
      <c r="T163" s="242">
        <v>5</v>
      </c>
      <c r="U163" s="242">
        <v>5</v>
      </c>
      <c r="V163" s="242">
        <v>5</v>
      </c>
      <c r="W163" s="243"/>
      <c r="X163" s="243"/>
      <c r="Y163" s="251"/>
      <c r="Z163" s="252">
        <v>0</v>
      </c>
      <c r="AA163" s="242">
        <v>1</v>
      </c>
      <c r="AB163" s="244" t="s">
        <v>1971</v>
      </c>
      <c r="AC163" s="255"/>
      <c r="AD163" s="239">
        <v>1</v>
      </c>
      <c r="AE163" s="304">
        <v>1</v>
      </c>
      <c r="AF163" s="296"/>
      <c r="AG163" s="297"/>
      <c r="AH163" s="297"/>
      <c r="AI163" s="297"/>
      <c r="AJ163" s="297"/>
      <c r="AK163" s="297"/>
      <c r="AL163" s="297"/>
      <c r="AM163" s="297"/>
      <c r="AN163" s="297"/>
      <c r="AO163" s="297"/>
      <c r="AP163" s="297"/>
      <c r="AQ163" s="297"/>
      <c r="AR163" s="297"/>
      <c r="AS163" s="297" t="str">
        <f>"      " &amp; TEXT(AE163,"#0.00%") &amp; " " &amp; "POS 관리 &amp; 영업관리 API 설계변경 테스트 (API GW 방식) " &amp; "(강상욱님)" &amp; " " &amp; IF(P163="","",TEXT(P163,"M/D-")) &amp; IF(Q163="","",TEXT(Q163,"M/D")) &amp; " "</f>
        <v xml:space="preserve">      100.00% POS 관리 &amp; 영업관리 API 설계변경 테스트 (API GW 방식) (강상욱님) 5/19-5/23 </v>
      </c>
      <c r="AT163" s="297"/>
      <c r="AU163" s="297"/>
      <c r="AV163" s="297"/>
      <c r="AW163" s="297"/>
      <c r="AX163" s="297"/>
      <c r="AY163" s="297"/>
      <c r="AZ163" s="297"/>
      <c r="BA163" s="297"/>
      <c r="BB163" s="297"/>
      <c r="BC163" s="297"/>
      <c r="BD163" s="297"/>
      <c r="BE163" s="297"/>
      <c r="BF163" s="297"/>
      <c r="BG163" s="297"/>
      <c r="BH163" s="297"/>
      <c r="BI163" s="297"/>
      <c r="BJ163" s="297"/>
      <c r="BK163" s="297"/>
      <c r="BL163" s="297"/>
      <c r="BM163" s="297"/>
      <c r="BN163" s="297"/>
      <c r="BO163" s="297"/>
      <c r="BP163" s="297"/>
      <c r="BQ163" s="297"/>
      <c r="BR163" s="297"/>
      <c r="BS163" s="297"/>
      <c r="BT163" s="297"/>
      <c r="BU163" s="297"/>
      <c r="BV163" s="297"/>
      <c r="BW163" s="297"/>
      <c r="BX163" s="297"/>
      <c r="BY163" s="297"/>
      <c r="BZ163" s="297"/>
      <c r="CA163" s="297"/>
      <c r="CB163" s="297"/>
      <c r="CC163" s="297"/>
      <c r="CD163" s="297"/>
      <c r="CE163" s="297"/>
      <c r="CF163" s="297"/>
      <c r="CG163" s="297"/>
    </row>
    <row r="164" spans="1:85" ht="12" customHeight="1" outlineLevel="4">
      <c r="A164" s="288"/>
      <c r="B164" s="288"/>
      <c r="C164" s="288">
        <v>5</v>
      </c>
      <c r="D164" s="257" t="s">
        <v>2356</v>
      </c>
      <c r="E164" s="244"/>
      <c r="F164" s="244"/>
      <c r="G164" s="244"/>
      <c r="H164" s="244"/>
      <c r="I164" s="244" t="s">
        <v>2291</v>
      </c>
      <c r="J164" s="244"/>
      <c r="K164" s="244"/>
      <c r="L164" s="244"/>
      <c r="M164" s="244"/>
      <c r="N164" s="244"/>
      <c r="O164" s="244"/>
      <c r="P164" s="243">
        <v>45803</v>
      </c>
      <c r="Q164" s="243">
        <v>45807</v>
      </c>
      <c r="R164" s="244"/>
      <c r="S164" s="242">
        <v>5</v>
      </c>
      <c r="T164" s="242">
        <v>5</v>
      </c>
      <c r="U164" s="242">
        <v>5</v>
      </c>
      <c r="V164" s="242">
        <v>5</v>
      </c>
      <c r="W164" s="243"/>
      <c r="X164" s="243"/>
      <c r="Y164" s="251"/>
      <c r="Z164" s="252">
        <v>0</v>
      </c>
      <c r="AA164" s="242">
        <v>1</v>
      </c>
      <c r="AB164" s="244"/>
      <c r="AC164" s="255"/>
      <c r="AD164" s="239">
        <v>1</v>
      </c>
      <c r="AE164" s="304">
        <v>1</v>
      </c>
      <c r="AF164" s="296"/>
      <c r="AG164" s="297"/>
      <c r="AH164" s="297"/>
      <c r="AI164" s="297"/>
      <c r="AJ164" s="297"/>
      <c r="AK164" s="297"/>
      <c r="AL164" s="297"/>
      <c r="AM164" s="297"/>
      <c r="AN164" s="297"/>
      <c r="AO164" s="297"/>
      <c r="AP164" s="297"/>
      <c r="AQ164" s="297"/>
      <c r="AR164" s="297"/>
      <c r="AS164" s="297"/>
      <c r="AT164" s="297" t="str">
        <f>"      " &amp; TEXT(AE164,"#0.00%") &amp; " " &amp; "POS 관리 &amp; 영업관리 개발 환경 재구성" &amp; " " &amp; IF(P164="","",TEXT(P164,"M/D-")) &amp; IF(Q164="","",TEXT(Q164,"M/D")) &amp; " "</f>
        <v xml:space="preserve">      100.00% POS 관리 &amp; 영업관리 개발 환경 재구성 5/26-5/30 </v>
      </c>
      <c r="AU164" s="297"/>
      <c r="AV164" s="297"/>
      <c r="AW164" s="297"/>
      <c r="AX164" s="297"/>
      <c r="AY164" s="297"/>
      <c r="AZ164" s="297"/>
      <c r="BA164" s="297"/>
      <c r="BB164" s="297"/>
      <c r="BC164" s="297"/>
      <c r="BD164" s="297"/>
      <c r="BE164" s="297"/>
      <c r="BF164" s="297"/>
      <c r="BG164" s="297"/>
      <c r="BH164" s="297"/>
      <c r="BI164" s="297"/>
      <c r="BJ164" s="297"/>
      <c r="BK164" s="297"/>
      <c r="BL164" s="297"/>
      <c r="BM164" s="297"/>
      <c r="BN164" s="297"/>
      <c r="BO164" s="297"/>
      <c r="BP164" s="297"/>
      <c r="BQ164" s="297"/>
      <c r="BR164" s="297"/>
      <c r="BS164" s="297"/>
      <c r="BT164" s="297"/>
      <c r="BU164" s="297"/>
      <c r="BV164" s="297"/>
      <c r="BW164" s="297"/>
      <c r="BX164" s="297"/>
      <c r="BY164" s="297"/>
      <c r="BZ164" s="297"/>
      <c r="CA164" s="297"/>
      <c r="CB164" s="297"/>
      <c r="CC164" s="297"/>
      <c r="CD164" s="297"/>
      <c r="CE164" s="297"/>
      <c r="CF164" s="297"/>
      <c r="CG164" s="297"/>
    </row>
    <row r="165" spans="1:85" ht="12" customHeight="1" outlineLevel="2">
      <c r="A165" s="288"/>
      <c r="B165" s="288" t="s">
        <v>2334</v>
      </c>
      <c r="C165" s="288">
        <v>3</v>
      </c>
      <c r="D165" s="257" t="s">
        <v>1459</v>
      </c>
      <c r="E165" s="244"/>
      <c r="F165" s="244"/>
      <c r="G165" s="244" t="s">
        <v>2275</v>
      </c>
      <c r="H165" s="244"/>
      <c r="I165" s="244"/>
      <c r="J165" s="244"/>
      <c r="K165" s="244"/>
      <c r="L165" s="244"/>
      <c r="M165" s="244"/>
      <c r="N165" s="244"/>
      <c r="O165" s="244"/>
      <c r="P165" s="243">
        <v>45775</v>
      </c>
      <c r="Q165" s="243">
        <v>45786</v>
      </c>
      <c r="R165" s="244"/>
      <c r="S165" s="242">
        <v>24</v>
      </c>
      <c r="T165" s="242">
        <v>24</v>
      </c>
      <c r="U165" s="242">
        <v>8</v>
      </c>
      <c r="V165" s="242">
        <v>8</v>
      </c>
      <c r="W165" s="243"/>
      <c r="X165" s="243"/>
      <c r="Y165" s="251">
        <v>0</v>
      </c>
      <c r="Z165" s="252">
        <v>0</v>
      </c>
      <c r="AA165" s="242"/>
      <c r="AB165" s="244" t="s">
        <v>1971</v>
      </c>
      <c r="AC165" s="255"/>
      <c r="AD165" s="239">
        <v>1</v>
      </c>
      <c r="AE165" s="241">
        <v>1</v>
      </c>
      <c r="AF165" s="296"/>
      <c r="AG165" s="297"/>
      <c r="AH165" s="297"/>
      <c r="AI165" s="297"/>
      <c r="AJ165" s="297"/>
      <c r="AK165" s="297"/>
      <c r="AL165" s="297"/>
      <c r="AM165" s="297"/>
      <c r="AN165" s="297"/>
      <c r="AO165" s="297"/>
      <c r="AP165" s="297"/>
      <c r="AQ165" s="297" t="str">
        <f>"      " &amp; TEXT(AE165,"#0.00%") &amp; " " &amp; "연동 및 알람" &amp; "(강상욱님)" &amp; " " &amp; IF(P165="","",TEXT(P165,"M/D-")) &amp; IF(Q165="","",TEXT(Q165,"M/D")) &amp; " "</f>
        <v xml:space="preserve">      100.00% 연동 및 알람(강상욱님) 4/28-5/9 </v>
      </c>
      <c r="AR165" s="297"/>
      <c r="AS165" s="297"/>
      <c r="AT165" s="297"/>
      <c r="AU165" s="297"/>
      <c r="AV165" s="297"/>
      <c r="AW165" s="297"/>
      <c r="AX165" s="297"/>
      <c r="AY165" s="297"/>
      <c r="AZ165" s="297"/>
      <c r="BA165" s="297"/>
      <c r="BB165" s="297"/>
      <c r="BC165" s="297"/>
      <c r="BD165" s="297"/>
      <c r="BE165" s="297"/>
      <c r="BF165" s="297"/>
      <c r="BG165" s="297"/>
      <c r="BH165" s="297"/>
      <c r="BI165" s="297"/>
      <c r="BJ165" s="297"/>
      <c r="BK165" s="297"/>
      <c r="BL165" s="297"/>
      <c r="BM165" s="297"/>
      <c r="BN165" s="297"/>
      <c r="BO165" s="297"/>
      <c r="BP165" s="297"/>
      <c r="BQ165" s="297"/>
      <c r="BR165" s="297"/>
      <c r="BS165" s="297"/>
      <c r="BT165" s="297"/>
      <c r="BU165" s="297"/>
      <c r="BV165" s="297"/>
      <c r="BW165" s="297"/>
      <c r="BX165" s="297"/>
      <c r="BY165" s="297"/>
      <c r="BZ165" s="297"/>
      <c r="CA165" s="297"/>
      <c r="CB165" s="297"/>
      <c r="CC165" s="297"/>
      <c r="CD165" s="297"/>
      <c r="CE165" s="297"/>
      <c r="CF165" s="297"/>
      <c r="CG165" s="297"/>
    </row>
    <row r="166" spans="1:85" ht="12" customHeight="1" outlineLevel="3">
      <c r="A166" s="288"/>
      <c r="B166" s="288" t="s">
        <v>2334</v>
      </c>
      <c r="C166" s="288">
        <v>4</v>
      </c>
      <c r="D166" s="257" t="s">
        <v>1460</v>
      </c>
      <c r="E166" s="244"/>
      <c r="F166" s="244"/>
      <c r="G166" s="244"/>
      <c r="H166" s="244" t="s">
        <v>2273</v>
      </c>
      <c r="I166" s="244"/>
      <c r="J166" s="244"/>
      <c r="K166" s="244"/>
      <c r="L166" s="244"/>
      <c r="M166" s="244"/>
      <c r="N166" s="244"/>
      <c r="O166" s="244"/>
      <c r="P166" s="243">
        <v>45775</v>
      </c>
      <c r="Q166" s="243">
        <v>45786</v>
      </c>
      <c r="R166" s="244"/>
      <c r="S166" s="242">
        <v>8</v>
      </c>
      <c r="T166" s="242">
        <v>8</v>
      </c>
      <c r="U166" s="242">
        <v>8</v>
      </c>
      <c r="V166" s="242">
        <v>8</v>
      </c>
      <c r="W166" s="243"/>
      <c r="X166" s="243"/>
      <c r="Y166" s="251">
        <v>0</v>
      </c>
      <c r="Z166" s="252">
        <v>0</v>
      </c>
      <c r="AA166" s="242"/>
      <c r="AB166" s="244" t="s">
        <v>1971</v>
      </c>
      <c r="AC166" s="255"/>
      <c r="AD166" s="239">
        <v>1</v>
      </c>
      <c r="AE166" s="241">
        <v>1</v>
      </c>
      <c r="AF166" s="296"/>
      <c r="AG166" s="297"/>
      <c r="AH166" s="297"/>
      <c r="AI166" s="297"/>
      <c r="AJ166" s="297"/>
      <c r="AK166" s="297"/>
      <c r="AL166" s="297"/>
      <c r="AM166" s="297"/>
      <c r="AN166" s="297"/>
      <c r="AO166" s="297"/>
      <c r="AP166" s="297"/>
      <c r="AQ166" s="297" t="str">
        <f>"      " &amp; TEXT(AE166,"#0.00%") &amp; " " &amp; "연동" &amp; "(강상욱님)" &amp; " " &amp; IF(P166="","",TEXT(P166,"M/D-")) &amp; IF(Q166="","",TEXT(Q166,"M/D")) &amp; " "</f>
        <v xml:space="preserve">      100.00% 연동(강상욱님) 4/28-5/9 </v>
      </c>
      <c r="AR166" s="297"/>
      <c r="AS166" s="297"/>
      <c r="AT166" s="297"/>
      <c r="AU166" s="297"/>
      <c r="AV166" s="297"/>
      <c r="AW166" s="297"/>
      <c r="AX166" s="297"/>
      <c r="AY166" s="297"/>
      <c r="AZ166" s="297"/>
      <c r="BA166" s="297"/>
      <c r="BB166" s="297"/>
      <c r="BC166" s="297"/>
      <c r="BD166" s="297"/>
      <c r="BE166" s="297"/>
      <c r="BF166" s="297"/>
      <c r="BG166" s="297"/>
      <c r="BH166" s="297"/>
      <c r="BI166" s="297"/>
      <c r="BJ166" s="297"/>
      <c r="BK166" s="297"/>
      <c r="BL166" s="297"/>
      <c r="BM166" s="297"/>
      <c r="BN166" s="297"/>
      <c r="BO166" s="297"/>
      <c r="BP166" s="297"/>
      <c r="BQ166" s="297"/>
      <c r="BR166" s="297"/>
      <c r="BS166" s="297"/>
      <c r="BT166" s="297"/>
      <c r="BU166" s="297"/>
      <c r="BV166" s="297"/>
      <c r="BW166" s="297"/>
      <c r="BX166" s="297"/>
      <c r="BY166" s="297"/>
      <c r="BZ166" s="297"/>
      <c r="CA166" s="297"/>
      <c r="CB166" s="297"/>
      <c r="CC166" s="297"/>
      <c r="CD166" s="297"/>
      <c r="CE166" s="297"/>
      <c r="CF166" s="297"/>
      <c r="CG166" s="297"/>
    </row>
    <row r="167" spans="1:85" ht="12" customHeight="1" outlineLevel="4">
      <c r="A167" s="288"/>
      <c r="B167" s="288"/>
      <c r="C167" s="288">
        <v>5</v>
      </c>
      <c r="D167" s="257" t="s">
        <v>2035</v>
      </c>
      <c r="E167" s="244"/>
      <c r="F167" s="244"/>
      <c r="G167" s="244"/>
      <c r="H167" s="244"/>
      <c r="I167" s="244" t="s">
        <v>2274</v>
      </c>
      <c r="J167" s="244"/>
      <c r="K167" s="244"/>
      <c r="L167" s="244"/>
      <c r="M167" s="244"/>
      <c r="N167" s="244"/>
      <c r="O167" s="244" t="s">
        <v>2246</v>
      </c>
      <c r="P167" s="243">
        <v>45775</v>
      </c>
      <c r="Q167" s="243">
        <v>45786</v>
      </c>
      <c r="R167" s="244"/>
      <c r="S167" s="242">
        <v>8</v>
      </c>
      <c r="T167" s="242">
        <v>8</v>
      </c>
      <c r="U167" s="242">
        <v>8</v>
      </c>
      <c r="V167" s="242">
        <v>8</v>
      </c>
      <c r="W167" s="243"/>
      <c r="X167" s="243"/>
      <c r="Y167" s="251"/>
      <c r="Z167" s="252">
        <v>0</v>
      </c>
      <c r="AA167" s="242">
        <v>1</v>
      </c>
      <c r="AB167" s="244"/>
      <c r="AC167" s="255"/>
      <c r="AD167" s="239">
        <v>1</v>
      </c>
      <c r="AE167" s="304">
        <v>1</v>
      </c>
      <c r="AF167" s="296"/>
      <c r="AG167" s="297"/>
      <c r="AH167" s="297"/>
      <c r="AI167" s="297"/>
      <c r="AJ167" s="297"/>
      <c r="AK167" s="297"/>
      <c r="AL167" s="297"/>
      <c r="AM167" s="297"/>
      <c r="AN167" s="297"/>
      <c r="AO167" s="297"/>
      <c r="AP167" s="297"/>
      <c r="AQ167" s="297" t="str">
        <f>"      " &amp; TEXT(AE167,"#0.00%") &amp; " " &amp; "온라인몰API" &amp; " " &amp; IF(P167="","",TEXT(P167,"M/D-")) &amp; IF(Q167="","",TEXT(Q167,"M/D")) &amp; " "</f>
        <v xml:space="preserve">      100.00% 온라인몰API 4/28-5/9 </v>
      </c>
      <c r="AR167" s="297"/>
      <c r="AS167" s="297"/>
      <c r="AT167" s="297"/>
      <c r="AU167" s="297"/>
      <c r="AV167" s="297"/>
      <c r="AW167" s="297"/>
      <c r="AX167" s="297"/>
      <c r="AY167" s="297"/>
      <c r="AZ167" s="297"/>
      <c r="BA167" s="297"/>
      <c r="BB167" s="297"/>
      <c r="BC167" s="297"/>
      <c r="BD167" s="297"/>
      <c r="BE167" s="297"/>
      <c r="BF167" s="297"/>
      <c r="BG167" s="297"/>
      <c r="BH167" s="297"/>
      <c r="BI167" s="297"/>
      <c r="BJ167" s="297"/>
      <c r="BK167" s="297"/>
      <c r="BL167" s="297"/>
      <c r="BM167" s="297"/>
      <c r="BN167" s="297"/>
      <c r="BO167" s="297"/>
      <c r="BP167" s="297"/>
      <c r="BQ167" s="297"/>
      <c r="BR167" s="297"/>
      <c r="BS167" s="297"/>
      <c r="BT167" s="297"/>
      <c r="BU167" s="297"/>
      <c r="BV167" s="297"/>
      <c r="BW167" s="297"/>
      <c r="BX167" s="297"/>
      <c r="BY167" s="297"/>
      <c r="BZ167" s="297"/>
      <c r="CA167" s="297"/>
      <c r="CB167" s="297"/>
      <c r="CC167" s="297"/>
      <c r="CD167" s="297"/>
      <c r="CE167" s="297"/>
      <c r="CF167" s="297"/>
      <c r="CG167" s="297"/>
    </row>
    <row r="168" spans="1:85" ht="12" customHeight="1" outlineLevel="3">
      <c r="A168" s="288"/>
      <c r="B168" s="288" t="s">
        <v>2334</v>
      </c>
      <c r="C168" s="288">
        <v>4</v>
      </c>
      <c r="D168" s="257" t="s">
        <v>1461</v>
      </c>
      <c r="E168" s="244"/>
      <c r="F168" s="244"/>
      <c r="G168" s="244"/>
      <c r="H168" s="244" t="s">
        <v>2242</v>
      </c>
      <c r="I168" s="244"/>
      <c r="J168" s="244"/>
      <c r="K168" s="244"/>
      <c r="L168" s="244"/>
      <c r="M168" s="244"/>
      <c r="N168" s="244"/>
      <c r="O168" s="244"/>
      <c r="P168" s="243">
        <v>45775</v>
      </c>
      <c r="Q168" s="243">
        <v>45786</v>
      </c>
      <c r="R168" s="244"/>
      <c r="S168" s="242">
        <v>16</v>
      </c>
      <c r="T168" s="242">
        <v>16</v>
      </c>
      <c r="U168" s="242">
        <v>8</v>
      </c>
      <c r="V168" s="242">
        <v>8</v>
      </c>
      <c r="W168" s="243"/>
      <c r="X168" s="243"/>
      <c r="Y168" s="251">
        <v>0</v>
      </c>
      <c r="Z168" s="252">
        <v>0</v>
      </c>
      <c r="AA168" s="242"/>
      <c r="AB168" s="244" t="s">
        <v>1971</v>
      </c>
      <c r="AC168" s="255"/>
      <c r="AD168" s="239">
        <v>1</v>
      </c>
      <c r="AE168" s="241">
        <v>1</v>
      </c>
      <c r="AF168" s="296"/>
      <c r="AG168" s="297"/>
      <c r="AH168" s="297"/>
      <c r="AI168" s="297"/>
      <c r="AJ168" s="297"/>
      <c r="AK168" s="297"/>
      <c r="AL168" s="297"/>
      <c r="AM168" s="297"/>
      <c r="AN168" s="297"/>
      <c r="AO168" s="297"/>
      <c r="AP168" s="297"/>
      <c r="AQ168" s="297" t="str">
        <f>"      " &amp; TEXT(AE168,"#0.00%") &amp; " " &amp; "알람" &amp; "(강상욱님)" &amp; " " &amp; IF(P168="","",TEXT(P168,"M/D-")) &amp; IF(Q168="","",TEXT(Q168,"M/D")) &amp; " "</f>
        <v xml:space="preserve">      100.00% 알람(강상욱님) 4/28-5/9 </v>
      </c>
      <c r="AR168" s="297"/>
      <c r="AS168" s="297"/>
      <c r="AT168" s="297"/>
      <c r="AU168" s="297"/>
      <c r="AV168" s="297"/>
      <c r="AW168" s="297"/>
      <c r="AX168" s="297"/>
      <c r="AY168" s="297"/>
      <c r="AZ168" s="297"/>
      <c r="BA168" s="297"/>
      <c r="BB168" s="297"/>
      <c r="BC168" s="297"/>
      <c r="BD168" s="297"/>
      <c r="BE168" s="297"/>
      <c r="BF168" s="297"/>
      <c r="BG168" s="297"/>
      <c r="BH168" s="297"/>
      <c r="BI168" s="297"/>
      <c r="BJ168" s="297"/>
      <c r="BK168" s="297"/>
      <c r="BL168" s="297"/>
      <c r="BM168" s="297"/>
      <c r="BN168" s="297"/>
      <c r="BO168" s="297"/>
      <c r="BP168" s="297"/>
      <c r="BQ168" s="297"/>
      <c r="BR168" s="297"/>
      <c r="BS168" s="297"/>
      <c r="BT168" s="297"/>
      <c r="BU168" s="297"/>
      <c r="BV168" s="297"/>
      <c r="BW168" s="297"/>
      <c r="BX168" s="297"/>
      <c r="BY168" s="297"/>
      <c r="BZ168" s="297"/>
      <c r="CA168" s="297"/>
      <c r="CB168" s="297"/>
      <c r="CC168" s="297"/>
      <c r="CD168" s="297"/>
      <c r="CE168" s="297"/>
      <c r="CF168" s="297"/>
      <c r="CG168" s="297"/>
    </row>
    <row r="169" spans="1:85" ht="12" customHeight="1" outlineLevel="4">
      <c r="A169" s="288"/>
      <c r="B169" s="288"/>
      <c r="C169" s="288">
        <v>5</v>
      </c>
      <c r="D169" s="257" t="s">
        <v>2039</v>
      </c>
      <c r="E169" s="244"/>
      <c r="F169" s="244"/>
      <c r="G169" s="244"/>
      <c r="H169" s="244"/>
      <c r="I169" s="244" t="s">
        <v>2243</v>
      </c>
      <c r="J169" s="244"/>
      <c r="K169" s="244"/>
      <c r="L169" s="244"/>
      <c r="M169" s="244"/>
      <c r="N169" s="244"/>
      <c r="O169" s="244"/>
      <c r="P169" s="243">
        <v>45775</v>
      </c>
      <c r="Q169" s="243">
        <v>45786</v>
      </c>
      <c r="R169" s="244"/>
      <c r="S169" s="242">
        <v>8</v>
      </c>
      <c r="T169" s="242">
        <v>8</v>
      </c>
      <c r="U169" s="242">
        <v>8</v>
      </c>
      <c r="V169" s="242">
        <v>8</v>
      </c>
      <c r="W169" s="243"/>
      <c r="X169" s="243"/>
      <c r="Y169" s="251"/>
      <c r="Z169" s="252">
        <v>0</v>
      </c>
      <c r="AA169" s="242">
        <v>1</v>
      </c>
      <c r="AB169" s="244" t="s">
        <v>1971</v>
      </c>
      <c r="AC169" s="255"/>
      <c r="AD169" s="239">
        <v>1</v>
      </c>
      <c r="AE169" s="304">
        <v>1</v>
      </c>
      <c r="AF169" s="296"/>
      <c r="AG169" s="297"/>
      <c r="AH169" s="297"/>
      <c r="AI169" s="297"/>
      <c r="AJ169" s="297"/>
      <c r="AK169" s="297"/>
      <c r="AL169" s="297"/>
      <c r="AM169" s="297"/>
      <c r="AN169" s="297"/>
      <c r="AO169" s="297"/>
      <c r="AP169" s="297"/>
      <c r="AQ169" s="297" t="str">
        <f>"      " &amp; TEXT(AE169,"#0.00%") &amp; " " &amp; "슬랙" &amp; "(강상욱님)" &amp; " " &amp; IF(P169="","",TEXT(P169,"M/D-")) &amp; IF(Q169="","",TEXT(Q169,"M/D")) &amp; " "</f>
        <v xml:space="preserve">      100.00% 슬랙(강상욱님) 4/28-5/9 </v>
      </c>
      <c r="AR169" s="297"/>
      <c r="AS169" s="297"/>
      <c r="AT169" s="297"/>
      <c r="AU169" s="297"/>
      <c r="AV169" s="297"/>
      <c r="AW169" s="297"/>
      <c r="AX169" s="297"/>
      <c r="AY169" s="297"/>
      <c r="AZ169" s="297"/>
      <c r="BA169" s="297"/>
      <c r="BB169" s="297"/>
      <c r="BC169" s="297"/>
      <c r="BD169" s="297"/>
      <c r="BE169" s="297"/>
      <c r="BF169" s="297"/>
      <c r="BG169" s="297"/>
      <c r="BH169" s="297"/>
      <c r="BI169" s="297"/>
      <c r="BJ169" s="297"/>
      <c r="BK169" s="297"/>
      <c r="BL169" s="297"/>
      <c r="BM169" s="297"/>
      <c r="BN169" s="297"/>
      <c r="BO169" s="297"/>
      <c r="BP169" s="297"/>
      <c r="BQ169" s="297"/>
      <c r="BR169" s="297"/>
      <c r="BS169" s="297"/>
      <c r="BT169" s="297"/>
      <c r="BU169" s="297"/>
      <c r="BV169" s="297"/>
      <c r="BW169" s="297"/>
      <c r="BX169" s="297"/>
      <c r="BY169" s="297"/>
      <c r="BZ169" s="297"/>
      <c r="CA169" s="297"/>
      <c r="CB169" s="297"/>
      <c r="CC169" s="297"/>
      <c r="CD169" s="297"/>
      <c r="CE169" s="297"/>
      <c r="CF169" s="297"/>
      <c r="CG169" s="297"/>
    </row>
    <row r="170" spans="1:85" ht="12" customHeight="1" outlineLevel="4">
      <c r="A170" s="288"/>
      <c r="B170" s="288"/>
      <c r="C170" s="288">
        <v>5</v>
      </c>
      <c r="D170" s="257" t="s">
        <v>2040</v>
      </c>
      <c r="E170" s="244"/>
      <c r="F170" s="244"/>
      <c r="G170" s="244"/>
      <c r="H170" s="244"/>
      <c r="I170" s="244" t="s">
        <v>2244</v>
      </c>
      <c r="J170" s="244"/>
      <c r="K170" s="244"/>
      <c r="L170" s="244"/>
      <c r="M170" s="244"/>
      <c r="N170" s="244"/>
      <c r="O170" s="244" t="s">
        <v>2246</v>
      </c>
      <c r="P170" s="243">
        <v>45775</v>
      </c>
      <c r="Q170" s="243">
        <v>45786</v>
      </c>
      <c r="R170" s="244"/>
      <c r="S170" s="242">
        <v>8</v>
      </c>
      <c r="T170" s="242">
        <v>8</v>
      </c>
      <c r="U170" s="242">
        <v>8</v>
      </c>
      <c r="V170" s="242">
        <v>8</v>
      </c>
      <c r="W170" s="243"/>
      <c r="X170" s="243"/>
      <c r="Y170" s="251"/>
      <c r="Z170" s="252">
        <v>0</v>
      </c>
      <c r="AA170" s="242">
        <v>1</v>
      </c>
      <c r="AB170" s="244"/>
      <c r="AC170" s="255"/>
      <c r="AD170" s="239">
        <v>1</v>
      </c>
      <c r="AE170" s="304">
        <v>1</v>
      </c>
      <c r="AF170" s="296"/>
      <c r="AG170" s="297"/>
      <c r="AH170" s="297"/>
      <c r="AI170" s="297"/>
      <c r="AJ170" s="297"/>
      <c r="AK170" s="297"/>
      <c r="AL170" s="297"/>
      <c r="AM170" s="297"/>
      <c r="AN170" s="297"/>
      <c r="AO170" s="297"/>
      <c r="AP170" s="297"/>
      <c r="AQ170" s="297" t="str">
        <f>"      " &amp; TEXT(AE170,"#0.00%") &amp; " " &amp; "이메일" &amp; " " &amp; IF(P170="","",TEXT(P170,"M/D-")) &amp; IF(Q170="","",TEXT(Q170,"M/D")) &amp; " "</f>
        <v xml:space="preserve">      100.00% 이메일 4/28-5/9 </v>
      </c>
      <c r="AR170" s="297"/>
      <c r="AS170" s="297"/>
      <c r="AT170" s="297"/>
      <c r="AU170" s="297"/>
      <c r="AV170" s="297"/>
      <c r="AW170" s="297"/>
      <c r="AX170" s="297"/>
      <c r="AY170" s="297"/>
      <c r="AZ170" s="297"/>
      <c r="BA170" s="297"/>
      <c r="BB170" s="297"/>
      <c r="BC170" s="297"/>
      <c r="BD170" s="297"/>
      <c r="BE170" s="297"/>
      <c r="BF170" s="297"/>
      <c r="BG170" s="297"/>
      <c r="BH170" s="297"/>
      <c r="BI170" s="297"/>
      <c r="BJ170" s="297"/>
      <c r="BK170" s="297"/>
      <c r="BL170" s="297"/>
      <c r="BM170" s="297"/>
      <c r="BN170" s="297"/>
      <c r="BO170" s="297"/>
      <c r="BP170" s="297"/>
      <c r="BQ170" s="297"/>
      <c r="BR170" s="297"/>
      <c r="BS170" s="297"/>
      <c r="BT170" s="297"/>
      <c r="BU170" s="297"/>
      <c r="BV170" s="297"/>
      <c r="BW170" s="297"/>
      <c r="BX170" s="297"/>
      <c r="BY170" s="297"/>
      <c r="BZ170" s="297"/>
      <c r="CA170" s="297"/>
      <c r="CB170" s="297"/>
      <c r="CC170" s="297"/>
      <c r="CD170" s="297"/>
      <c r="CE170" s="297"/>
      <c r="CF170" s="297"/>
      <c r="CG170" s="297"/>
    </row>
    <row r="171" spans="1:85" ht="12" customHeight="1" outlineLevel="2">
      <c r="A171" s="288"/>
      <c r="B171" s="288" t="s">
        <v>2334</v>
      </c>
      <c r="C171" s="288">
        <v>3</v>
      </c>
      <c r="D171" s="257" t="s">
        <v>2357</v>
      </c>
      <c r="E171" s="244"/>
      <c r="F171" s="244"/>
      <c r="G171" s="244" t="s">
        <v>2245</v>
      </c>
      <c r="H171" s="244"/>
      <c r="I171" s="244"/>
      <c r="J171" s="244"/>
      <c r="K171" s="244"/>
      <c r="L171" s="244"/>
      <c r="M171" s="244"/>
      <c r="N171" s="244"/>
      <c r="O171" s="244"/>
      <c r="P171" s="243">
        <v>45789</v>
      </c>
      <c r="Q171" s="243">
        <v>45807</v>
      </c>
      <c r="R171" s="244"/>
      <c r="S171" s="242">
        <v>15</v>
      </c>
      <c r="T171" s="242">
        <v>15</v>
      </c>
      <c r="U171" s="242">
        <v>15</v>
      </c>
      <c r="V171" s="242">
        <v>15</v>
      </c>
      <c r="W171" s="243"/>
      <c r="X171" s="243"/>
      <c r="Y171" s="251">
        <v>0</v>
      </c>
      <c r="Z171" s="252">
        <v>0</v>
      </c>
      <c r="AA171" s="242"/>
      <c r="AB171" s="244"/>
      <c r="AC171" s="255"/>
      <c r="AD171" s="239">
        <v>1</v>
      </c>
      <c r="AE171" s="241">
        <v>1</v>
      </c>
      <c r="AF171" s="296"/>
      <c r="AG171" s="297"/>
      <c r="AH171" s="297"/>
      <c r="AI171" s="297"/>
      <c r="AJ171" s="297"/>
      <c r="AK171" s="297"/>
      <c r="AL171" s="297"/>
      <c r="AM171" s="297"/>
      <c r="AN171" s="297"/>
      <c r="AO171" s="297"/>
      <c r="AP171" s="297"/>
      <c r="AQ171" s="297"/>
      <c r="AR171" s="297"/>
      <c r="AS171" s="297"/>
      <c r="AT171" s="297" t="str">
        <f>"      " &amp; TEXT(AE171,"#0.00%") &amp; " " &amp; "소스검증" &amp; " " &amp; IF(P171="","",TEXT(P171,"M/D-")) &amp; IF(Q171="","",TEXT(Q171,"M/D")) &amp; " "</f>
        <v xml:space="preserve">      100.00% 소스검증 5/12-5/30 </v>
      </c>
      <c r="AU171" s="297"/>
      <c r="AV171" s="297"/>
      <c r="AW171" s="297"/>
      <c r="AX171" s="297"/>
      <c r="AY171" s="297"/>
      <c r="AZ171" s="297"/>
      <c r="BA171" s="297"/>
      <c r="BB171" s="297"/>
      <c r="BC171" s="297"/>
      <c r="BD171" s="297"/>
      <c r="BE171" s="297"/>
      <c r="BF171" s="297"/>
      <c r="BG171" s="297"/>
      <c r="BH171" s="297"/>
      <c r="BI171" s="297"/>
      <c r="BJ171" s="297"/>
      <c r="BK171" s="297"/>
      <c r="BL171" s="297"/>
      <c r="BM171" s="297"/>
      <c r="BN171" s="297"/>
      <c r="BO171" s="297"/>
      <c r="BP171" s="297"/>
      <c r="BQ171" s="297"/>
      <c r="BR171" s="297"/>
      <c r="BS171" s="297"/>
      <c r="BT171" s="297"/>
      <c r="BU171" s="297"/>
      <c r="BV171" s="297"/>
      <c r="BW171" s="297"/>
      <c r="BX171" s="297"/>
      <c r="BY171" s="297"/>
      <c r="BZ171" s="297"/>
      <c r="CA171" s="297"/>
      <c r="CB171" s="297"/>
      <c r="CC171" s="297"/>
      <c r="CD171" s="297"/>
      <c r="CE171" s="297"/>
      <c r="CF171" s="297"/>
      <c r="CG171" s="297"/>
    </row>
    <row r="172" spans="1:85" ht="12" customHeight="1" outlineLevel="3">
      <c r="A172" s="288"/>
      <c r="B172" s="288"/>
      <c r="C172" s="288">
        <v>4</v>
      </c>
      <c r="D172" s="257" t="s">
        <v>2358</v>
      </c>
      <c r="E172" s="244"/>
      <c r="F172" s="244"/>
      <c r="G172" s="244"/>
      <c r="H172" s="244" t="s">
        <v>1753</v>
      </c>
      <c r="I172" s="244"/>
      <c r="J172" s="244"/>
      <c r="K172" s="244"/>
      <c r="L172" s="244"/>
      <c r="M172" s="244"/>
      <c r="N172" s="244"/>
      <c r="O172" s="244"/>
      <c r="P172" s="243">
        <v>45789</v>
      </c>
      <c r="Q172" s="243">
        <v>45793</v>
      </c>
      <c r="R172" s="244"/>
      <c r="S172" s="242">
        <v>5</v>
      </c>
      <c r="T172" s="242">
        <v>5</v>
      </c>
      <c r="U172" s="242">
        <v>5</v>
      </c>
      <c r="V172" s="242">
        <v>5</v>
      </c>
      <c r="W172" s="243"/>
      <c r="X172" s="243"/>
      <c r="Y172" s="251"/>
      <c r="Z172" s="252">
        <v>0</v>
      </c>
      <c r="AA172" s="242">
        <v>1</v>
      </c>
      <c r="AB172" s="244" t="s">
        <v>1972</v>
      </c>
      <c r="AC172" s="255"/>
      <c r="AD172" s="239">
        <v>1</v>
      </c>
      <c r="AE172" s="304">
        <v>1</v>
      </c>
      <c r="AF172" s="296"/>
      <c r="AG172" s="297"/>
      <c r="AH172" s="297"/>
      <c r="AI172" s="297"/>
      <c r="AJ172" s="297"/>
      <c r="AK172" s="297"/>
      <c r="AL172" s="297"/>
      <c r="AM172" s="297"/>
      <c r="AN172" s="297"/>
      <c r="AO172" s="297"/>
      <c r="AP172" s="297"/>
      <c r="AQ172" s="297"/>
      <c r="AR172" s="297" t="str">
        <f>"      " &amp; TEXT(AE172,"#0.00%") &amp; " " &amp; "소나큐브 룰셋 적용" &amp; "(이석호님)" &amp; " " &amp; IF(P172="","",TEXT(P172,"M/D-")) &amp; IF(Q172="","",TEXT(Q172,"M/D")) &amp; " "</f>
        <v xml:space="preserve">      100.00% 소나큐브 룰셋 적용(이석호님) 5/12-5/16 </v>
      </c>
      <c r="AS172" s="297"/>
      <c r="AT172" s="297"/>
      <c r="AU172" s="297"/>
      <c r="AV172" s="297"/>
      <c r="AW172" s="297"/>
      <c r="AX172" s="297"/>
      <c r="AY172" s="297"/>
      <c r="AZ172" s="297"/>
      <c r="BA172" s="297"/>
      <c r="BB172" s="297"/>
      <c r="BC172" s="297"/>
      <c r="BD172" s="297"/>
      <c r="BE172" s="297"/>
      <c r="BF172" s="297"/>
      <c r="BG172" s="297"/>
      <c r="BH172" s="297"/>
      <c r="BI172" s="297"/>
      <c r="BJ172" s="297"/>
      <c r="BK172" s="297"/>
      <c r="BL172" s="297"/>
      <c r="BM172" s="297"/>
      <c r="BN172" s="297"/>
      <c r="BO172" s="297"/>
      <c r="BP172" s="297"/>
      <c r="BQ172" s="297"/>
      <c r="BR172" s="297"/>
      <c r="BS172" s="297"/>
      <c r="BT172" s="297"/>
      <c r="BU172" s="297"/>
      <c r="BV172" s="297"/>
      <c r="BW172" s="297"/>
      <c r="BX172" s="297"/>
      <c r="BY172" s="297"/>
      <c r="BZ172" s="297"/>
      <c r="CA172" s="297"/>
      <c r="CB172" s="297"/>
      <c r="CC172" s="297"/>
      <c r="CD172" s="297"/>
      <c r="CE172" s="297"/>
      <c r="CF172" s="297"/>
      <c r="CG172" s="297"/>
    </row>
    <row r="173" spans="1:85" ht="12" customHeight="1" outlineLevel="3">
      <c r="A173" s="288"/>
      <c r="B173" s="288"/>
      <c r="C173" s="288">
        <v>4</v>
      </c>
      <c r="D173" s="257" t="s">
        <v>2359</v>
      </c>
      <c r="E173" s="244"/>
      <c r="F173" s="244"/>
      <c r="G173" s="244"/>
      <c r="H173" s="244" t="s">
        <v>1754</v>
      </c>
      <c r="I173" s="244"/>
      <c r="J173" s="244"/>
      <c r="K173" s="244"/>
      <c r="L173" s="244"/>
      <c r="M173" s="244"/>
      <c r="N173" s="244"/>
      <c r="O173" s="244"/>
      <c r="P173" s="243">
        <v>45796</v>
      </c>
      <c r="Q173" s="243">
        <v>45807</v>
      </c>
      <c r="R173" s="244"/>
      <c r="S173" s="242">
        <v>10</v>
      </c>
      <c r="T173" s="242">
        <v>10</v>
      </c>
      <c r="U173" s="242">
        <v>10</v>
      </c>
      <c r="V173" s="242">
        <v>10</v>
      </c>
      <c r="W173" s="243"/>
      <c r="X173" s="243"/>
      <c r="Y173" s="251"/>
      <c r="Z173" s="252">
        <v>0</v>
      </c>
      <c r="AA173" s="242">
        <v>1</v>
      </c>
      <c r="AB173" s="244" t="s">
        <v>1972</v>
      </c>
      <c r="AC173" s="255"/>
      <c r="AD173" s="239">
        <v>1</v>
      </c>
      <c r="AE173" s="304">
        <v>1</v>
      </c>
      <c r="AF173" s="296"/>
      <c r="AG173" s="297"/>
      <c r="AH173" s="297"/>
      <c r="AI173" s="297"/>
      <c r="AJ173" s="297"/>
      <c r="AK173" s="297"/>
      <c r="AL173" s="297"/>
      <c r="AM173" s="297"/>
      <c r="AN173" s="297"/>
      <c r="AO173" s="297"/>
      <c r="AP173" s="297"/>
      <c r="AQ173" s="297"/>
      <c r="AR173" s="297"/>
      <c r="AS173" s="297"/>
      <c r="AT173" s="297" t="str">
        <f>"      " &amp; TEXT(AE173,"#0.00%") &amp; " " &amp; "소나큐브 점검" &amp; "(이석호님)" &amp; " " &amp; IF(P173="","",TEXT(P173,"M/D-")) &amp; IF(Q173="","",TEXT(Q173,"M/D")) &amp; " "</f>
        <v xml:space="preserve">      100.00% 소나큐브 점검(이석호님) 5/19-5/30 </v>
      </c>
      <c r="AU173" s="297"/>
      <c r="AV173" s="297"/>
      <c r="AW173" s="297"/>
      <c r="AX173" s="297"/>
      <c r="AY173" s="297"/>
      <c r="AZ173" s="297"/>
      <c r="BA173" s="297"/>
      <c r="BB173" s="297"/>
      <c r="BC173" s="297"/>
      <c r="BD173" s="297"/>
      <c r="BE173" s="297"/>
      <c r="BF173" s="297"/>
      <c r="BG173" s="297"/>
      <c r="BH173" s="297"/>
      <c r="BI173" s="297"/>
      <c r="BJ173" s="297"/>
      <c r="BK173" s="297"/>
      <c r="BL173" s="297"/>
      <c r="BM173" s="297"/>
      <c r="BN173" s="297"/>
      <c r="BO173" s="297"/>
      <c r="BP173" s="297"/>
      <c r="BQ173" s="297"/>
      <c r="BR173" s="297"/>
      <c r="BS173" s="297"/>
      <c r="BT173" s="297"/>
      <c r="BU173" s="297"/>
      <c r="BV173" s="297"/>
      <c r="BW173" s="297"/>
      <c r="BX173" s="297"/>
      <c r="BY173" s="297"/>
      <c r="BZ173" s="297"/>
      <c r="CA173" s="297"/>
      <c r="CB173" s="297"/>
      <c r="CC173" s="297"/>
      <c r="CD173" s="297"/>
      <c r="CE173" s="297"/>
      <c r="CF173" s="297"/>
      <c r="CG173" s="297"/>
    </row>
    <row r="174" spans="1:85" ht="12" customHeight="1" outlineLevel="2">
      <c r="A174" s="288"/>
      <c r="B174" s="288" t="s">
        <v>2334</v>
      </c>
      <c r="C174" s="288">
        <v>3</v>
      </c>
      <c r="D174" s="257" t="s">
        <v>2360</v>
      </c>
      <c r="E174" s="244"/>
      <c r="F174" s="244"/>
      <c r="G174" s="244" t="s">
        <v>1765</v>
      </c>
      <c r="H174" s="244"/>
      <c r="I174" s="244"/>
      <c r="J174" s="244"/>
      <c r="K174" s="244"/>
      <c r="L174" s="244"/>
      <c r="M174" s="244"/>
      <c r="N174" s="244"/>
      <c r="O174" s="244"/>
      <c r="P174" s="243">
        <v>45831</v>
      </c>
      <c r="Q174" s="243">
        <v>45863</v>
      </c>
      <c r="R174" s="244"/>
      <c r="S174" s="242">
        <v>160</v>
      </c>
      <c r="T174" s="242">
        <v>160</v>
      </c>
      <c r="U174" s="242">
        <v>25</v>
      </c>
      <c r="V174" s="242">
        <v>25</v>
      </c>
      <c r="W174" s="243"/>
      <c r="X174" s="243"/>
      <c r="Y174" s="251">
        <v>0</v>
      </c>
      <c r="Z174" s="252">
        <v>0</v>
      </c>
      <c r="AA174" s="242"/>
      <c r="AB174" s="244" t="s">
        <v>1972</v>
      </c>
      <c r="AC174" s="255"/>
      <c r="AD174" s="239">
        <v>1</v>
      </c>
      <c r="AE174" s="241">
        <v>1</v>
      </c>
      <c r="AF174" s="296"/>
      <c r="AG174" s="297"/>
      <c r="AH174" s="297"/>
      <c r="AI174" s="297"/>
      <c r="AJ174" s="297"/>
      <c r="AK174" s="297"/>
      <c r="AL174" s="297"/>
      <c r="AM174" s="297"/>
      <c r="AN174" s="297"/>
      <c r="AO174" s="297"/>
      <c r="AP174" s="297"/>
      <c r="AQ174" s="297"/>
      <c r="AR174" s="297"/>
      <c r="AS174" s="297"/>
      <c r="AT174" s="297"/>
      <c r="AU174" s="297"/>
      <c r="AV174" s="297"/>
      <c r="AW174" s="297"/>
      <c r="AX174" s="297"/>
      <c r="AY174" s="297"/>
      <c r="AZ174" s="297"/>
      <c r="BA174" s="297"/>
      <c r="BB174" s="297" t="str">
        <f>"      " &amp; TEXT(AE174,"#0.00%") &amp; " " &amp; "운영 환경" &amp; "(이석호님)" &amp; " " &amp; IF(P174="","",TEXT(P174,"M/D-")) &amp; IF(Q174="","",TEXT(Q174,"M/D")) &amp; " "</f>
        <v xml:space="preserve">      100.00% 운영 환경(이석호님) 6/23-7/25 </v>
      </c>
      <c r="BC174" s="297"/>
      <c r="BD174" s="297"/>
      <c r="BE174" s="297"/>
      <c r="BF174" s="297"/>
      <c r="BG174" s="297"/>
      <c r="BH174" s="297"/>
      <c r="BI174" s="297"/>
      <c r="BJ174" s="297"/>
      <c r="BK174" s="297"/>
      <c r="BL174" s="297"/>
      <c r="BM174" s="297"/>
      <c r="BN174" s="297"/>
      <c r="BO174" s="297"/>
      <c r="BP174" s="297"/>
      <c r="BQ174" s="297"/>
      <c r="BR174" s="297"/>
      <c r="BS174" s="297"/>
      <c r="BT174" s="297"/>
      <c r="BU174" s="297"/>
      <c r="BV174" s="297"/>
      <c r="BW174" s="297"/>
      <c r="BX174" s="297"/>
      <c r="BY174" s="297"/>
      <c r="BZ174" s="297"/>
      <c r="CA174" s="297"/>
      <c r="CB174" s="297"/>
      <c r="CC174" s="297"/>
      <c r="CD174" s="297"/>
      <c r="CE174" s="297"/>
      <c r="CF174" s="297"/>
      <c r="CG174" s="297"/>
    </row>
    <row r="175" spans="1:85" ht="12" customHeight="1" outlineLevel="3">
      <c r="A175" s="288"/>
      <c r="B175" s="288" t="s">
        <v>2334</v>
      </c>
      <c r="C175" s="288">
        <v>4</v>
      </c>
      <c r="D175" s="257" t="s">
        <v>2361</v>
      </c>
      <c r="E175" s="244"/>
      <c r="F175" s="244"/>
      <c r="G175" s="244"/>
      <c r="H175" s="244" t="s">
        <v>1755</v>
      </c>
      <c r="I175" s="244"/>
      <c r="J175" s="244"/>
      <c r="K175" s="244"/>
      <c r="L175" s="244"/>
      <c r="M175" s="244"/>
      <c r="N175" s="244"/>
      <c r="O175" s="244"/>
      <c r="P175" s="243">
        <v>45831</v>
      </c>
      <c r="Q175" s="243">
        <v>45863</v>
      </c>
      <c r="R175" s="244"/>
      <c r="S175" s="242">
        <v>50</v>
      </c>
      <c r="T175" s="242">
        <v>50</v>
      </c>
      <c r="U175" s="242">
        <v>25</v>
      </c>
      <c r="V175" s="242">
        <v>25</v>
      </c>
      <c r="W175" s="243"/>
      <c r="X175" s="243"/>
      <c r="Y175" s="251">
        <v>0</v>
      </c>
      <c r="Z175" s="252">
        <v>0</v>
      </c>
      <c r="AA175" s="242"/>
      <c r="AB175" s="244" t="s">
        <v>1972</v>
      </c>
      <c r="AC175" s="255"/>
      <c r="AD175" s="239">
        <v>1</v>
      </c>
      <c r="AE175" s="241">
        <v>1</v>
      </c>
      <c r="AF175" s="296"/>
      <c r="AG175" s="297"/>
      <c r="AH175" s="297"/>
      <c r="AI175" s="297"/>
      <c r="AJ175" s="297"/>
      <c r="AK175" s="297"/>
      <c r="AL175" s="297"/>
      <c r="AM175" s="297"/>
      <c r="AN175" s="297"/>
      <c r="AO175" s="297"/>
      <c r="AP175" s="297"/>
      <c r="AQ175" s="297"/>
      <c r="AR175" s="297"/>
      <c r="AS175" s="297"/>
      <c r="AT175" s="297"/>
      <c r="AU175" s="297"/>
      <c r="AV175" s="297"/>
      <c r="AW175" s="297"/>
      <c r="AX175" s="297"/>
      <c r="AY175" s="297"/>
      <c r="AZ175" s="297"/>
      <c r="BA175" s="297"/>
      <c r="BB175" s="297" t="str">
        <f>"      " &amp; TEXT(AE175,"#0.00%") &amp; " " &amp; "클라우드 서비스 구성 " &amp; "(이석호님)" &amp; " " &amp; IF(P175="","",TEXT(P175,"M/D-")) &amp; IF(Q175="","",TEXT(Q175,"M/D")) &amp; " "</f>
        <v xml:space="preserve">      100.00% 클라우드 서비스 구성 (이석호님) 6/23-7/25 </v>
      </c>
      <c r="BC175" s="297"/>
      <c r="BD175" s="297"/>
      <c r="BE175" s="297"/>
      <c r="BF175" s="297"/>
      <c r="BG175" s="297"/>
      <c r="BH175" s="297"/>
      <c r="BI175" s="297"/>
      <c r="BJ175" s="297"/>
      <c r="BK175" s="297"/>
      <c r="BL175" s="297"/>
      <c r="BM175" s="297"/>
      <c r="BN175" s="297"/>
      <c r="BO175" s="297"/>
      <c r="BP175" s="297"/>
      <c r="BQ175" s="297"/>
      <c r="BR175" s="297"/>
      <c r="BS175" s="297"/>
      <c r="BT175" s="297"/>
      <c r="BU175" s="297"/>
      <c r="BV175" s="297"/>
      <c r="BW175" s="297"/>
      <c r="BX175" s="297"/>
      <c r="BY175" s="297"/>
      <c r="BZ175" s="297"/>
      <c r="CA175" s="297"/>
      <c r="CB175" s="297"/>
      <c r="CC175" s="297"/>
      <c r="CD175" s="297"/>
      <c r="CE175" s="297"/>
      <c r="CF175" s="297"/>
      <c r="CG175" s="297"/>
    </row>
    <row r="176" spans="1:85" ht="12" customHeight="1" outlineLevel="4">
      <c r="A176" s="288"/>
      <c r="B176" s="288"/>
      <c r="C176" s="288">
        <v>5</v>
      </c>
      <c r="D176" s="257" t="s">
        <v>2362</v>
      </c>
      <c r="E176" s="244"/>
      <c r="F176" s="244"/>
      <c r="G176" s="244"/>
      <c r="H176" s="244"/>
      <c r="I176" s="244" t="s">
        <v>1756</v>
      </c>
      <c r="J176" s="244"/>
      <c r="K176" s="244"/>
      <c r="L176" s="244"/>
      <c r="M176" s="244"/>
      <c r="N176" s="244"/>
      <c r="O176" s="244" t="s">
        <v>2246</v>
      </c>
      <c r="P176" s="243">
        <v>45831</v>
      </c>
      <c r="Q176" s="243">
        <v>45842</v>
      </c>
      <c r="R176" s="244"/>
      <c r="S176" s="242">
        <v>10</v>
      </c>
      <c r="T176" s="242">
        <v>10</v>
      </c>
      <c r="U176" s="242">
        <v>10</v>
      </c>
      <c r="V176" s="242">
        <v>10</v>
      </c>
      <c r="W176" s="243"/>
      <c r="X176" s="243"/>
      <c r="Y176" s="251"/>
      <c r="Z176" s="252">
        <v>0</v>
      </c>
      <c r="AA176" s="242">
        <v>1</v>
      </c>
      <c r="AB176" s="244"/>
      <c r="AC176" s="255"/>
      <c r="AD176" s="239">
        <v>1</v>
      </c>
      <c r="AE176" s="330">
        <v>1</v>
      </c>
      <c r="AF176" s="296"/>
      <c r="AG176" s="297"/>
      <c r="AH176" s="297"/>
      <c r="AI176" s="297"/>
      <c r="AJ176" s="297"/>
      <c r="AK176" s="297"/>
      <c r="AL176" s="297"/>
      <c r="AM176" s="297"/>
      <c r="AN176" s="297"/>
      <c r="AO176" s="297"/>
      <c r="AP176" s="297"/>
      <c r="AQ176" s="297"/>
      <c r="AR176" s="297"/>
      <c r="AS176" s="297"/>
      <c r="AT176" s="297"/>
      <c r="AU176" s="297"/>
      <c r="AV176" s="297"/>
      <c r="AW176" s="297"/>
      <c r="AX176" s="297"/>
      <c r="AY176" s="297" t="str">
        <f>"      " &amp; TEXT(AE176,"#0.00%") &amp; " " &amp; "네트워크 및 보안 구성" &amp; " " &amp; IF(P176="","",TEXT(P176,"M/D-")) &amp; IF(Q176="","",TEXT(Q176,"M/D")) &amp; " "</f>
        <v xml:space="preserve">      100.00% 네트워크 및 보안 구성 6/23-7/4 </v>
      </c>
      <c r="AZ176" s="297"/>
      <c r="BA176" s="297"/>
      <c r="BB176" s="297"/>
      <c r="BC176" s="297"/>
      <c r="BD176" s="297"/>
      <c r="BE176" s="297"/>
      <c r="BF176" s="297"/>
      <c r="BG176" s="297"/>
      <c r="BH176" s="297"/>
      <c r="BI176" s="297"/>
      <c r="BJ176" s="297"/>
      <c r="BK176" s="297"/>
      <c r="BL176" s="297"/>
      <c r="BM176" s="297"/>
      <c r="BN176" s="297"/>
      <c r="BO176" s="297"/>
      <c r="BP176" s="297"/>
      <c r="BQ176" s="297"/>
      <c r="BR176" s="297"/>
      <c r="BS176" s="297"/>
      <c r="BT176" s="297"/>
      <c r="BU176" s="297"/>
      <c r="BV176" s="297"/>
      <c r="BW176" s="297"/>
      <c r="BX176" s="297"/>
      <c r="BY176" s="297"/>
      <c r="BZ176" s="297"/>
      <c r="CA176" s="297"/>
      <c r="CB176" s="297"/>
      <c r="CC176" s="297"/>
      <c r="CD176" s="297"/>
      <c r="CE176" s="297"/>
      <c r="CF176" s="297"/>
      <c r="CG176" s="297"/>
    </row>
    <row r="177" spans="1:85" s="323" customFormat="1" ht="12" customHeight="1" outlineLevel="4">
      <c r="A177" s="322"/>
      <c r="B177" s="322"/>
      <c r="C177" s="322">
        <v>5</v>
      </c>
      <c r="D177" s="313" t="s">
        <v>2363</v>
      </c>
      <c r="E177" s="314"/>
      <c r="F177" s="314"/>
      <c r="G177" s="314"/>
      <c r="H177" s="314"/>
      <c r="I177" s="314" t="s">
        <v>1757</v>
      </c>
      <c r="J177" s="314"/>
      <c r="K177" s="314"/>
      <c r="L177" s="314"/>
      <c r="M177" s="314"/>
      <c r="N177" s="314"/>
      <c r="O177" s="314" t="s">
        <v>2246</v>
      </c>
      <c r="P177" s="319">
        <v>45831</v>
      </c>
      <c r="Q177" s="319">
        <v>45849</v>
      </c>
      <c r="R177" s="314"/>
      <c r="S177" s="320">
        <v>15</v>
      </c>
      <c r="T177" s="320">
        <v>15</v>
      </c>
      <c r="U177" s="320">
        <v>15</v>
      </c>
      <c r="V177" s="320">
        <v>15</v>
      </c>
      <c r="W177" s="319"/>
      <c r="X177" s="319"/>
      <c r="Y177" s="324"/>
      <c r="Z177" s="325">
        <v>0</v>
      </c>
      <c r="AA177" s="320">
        <v>1</v>
      </c>
      <c r="AB177" s="314" t="s">
        <v>1971</v>
      </c>
      <c r="AC177" s="321"/>
      <c r="AD177" s="326">
        <v>1</v>
      </c>
      <c r="AE177" s="330">
        <v>1</v>
      </c>
      <c r="AF177" s="296"/>
      <c r="AG177" s="297"/>
      <c r="AH177" s="297"/>
      <c r="AI177" s="297"/>
      <c r="AJ177" s="297"/>
      <c r="AK177" s="297"/>
      <c r="AL177" s="297"/>
      <c r="AM177" s="297"/>
      <c r="AN177" s="297"/>
      <c r="AO177" s="297"/>
      <c r="AP177" s="297"/>
      <c r="AQ177" s="297"/>
      <c r="AR177" s="297"/>
      <c r="AS177" s="297"/>
      <c r="AT177" s="297"/>
      <c r="AU177" s="297"/>
      <c r="AV177" s="297"/>
      <c r="AW177" s="297"/>
      <c r="AX177" s="297"/>
      <c r="AY177" s="297"/>
      <c r="AZ177" s="297" t="str">
        <f>"      " &amp; TEXT(AE177,"#0.00%") &amp; " " &amp; "ECS 구성 " &amp; "(강상욱님)" &amp; " " &amp; IF(P177="","",TEXT(P177,"M/D-")) &amp; IF(Q177="","",TEXT(Q177,"M/D")) &amp; " "</f>
        <v xml:space="preserve">      100.00% ECS 구성 (강상욱님) 6/23-7/11 </v>
      </c>
      <c r="BA177" s="297"/>
      <c r="BB177" s="297"/>
      <c r="BC177" s="297"/>
      <c r="BD177" s="297"/>
      <c r="BE177" s="297"/>
      <c r="BF177" s="297"/>
      <c r="BG177" s="297"/>
      <c r="BH177" s="297"/>
      <c r="BI177" s="297"/>
      <c r="BJ177" s="297"/>
      <c r="BK177" s="297"/>
      <c r="BL177" s="297"/>
      <c r="BM177" s="297"/>
      <c r="BN177" s="297"/>
      <c r="BO177" s="297"/>
      <c r="BP177" s="297"/>
      <c r="BQ177" s="297"/>
      <c r="BR177" s="297"/>
      <c r="BS177" s="297"/>
      <c r="BT177" s="297"/>
      <c r="BU177" s="297"/>
      <c r="BV177" s="297"/>
      <c r="BW177" s="297"/>
      <c r="BX177" s="297"/>
      <c r="BY177" s="297"/>
      <c r="BZ177" s="297"/>
      <c r="CA177" s="297"/>
      <c r="CB177" s="297"/>
      <c r="CC177" s="297"/>
      <c r="CD177" s="297"/>
      <c r="CE177" s="297"/>
      <c r="CF177" s="297"/>
      <c r="CG177" s="297"/>
    </row>
    <row r="178" spans="1:85" s="323" customFormat="1" ht="12" customHeight="1" outlineLevel="4">
      <c r="A178" s="322"/>
      <c r="B178" s="322"/>
      <c r="C178" s="322">
        <v>5</v>
      </c>
      <c r="D178" s="313" t="s">
        <v>2364</v>
      </c>
      <c r="E178" s="314"/>
      <c r="F178" s="314"/>
      <c r="G178" s="314"/>
      <c r="H178" s="314"/>
      <c r="I178" s="314" t="s">
        <v>1758</v>
      </c>
      <c r="J178" s="314"/>
      <c r="K178" s="314"/>
      <c r="L178" s="314"/>
      <c r="M178" s="314"/>
      <c r="N178" s="314"/>
      <c r="O178" s="314"/>
      <c r="P178" s="319">
        <v>45831</v>
      </c>
      <c r="Q178" s="319">
        <v>45849</v>
      </c>
      <c r="R178" s="314"/>
      <c r="S178" s="320">
        <v>15</v>
      </c>
      <c r="T178" s="320">
        <v>15</v>
      </c>
      <c r="U178" s="320">
        <v>15</v>
      </c>
      <c r="V178" s="320">
        <v>15</v>
      </c>
      <c r="W178" s="319"/>
      <c r="X178" s="319"/>
      <c r="Y178" s="324"/>
      <c r="Z178" s="325">
        <v>0</v>
      </c>
      <c r="AA178" s="320">
        <v>1</v>
      </c>
      <c r="AB178" s="314" t="s">
        <v>1971</v>
      </c>
      <c r="AC178" s="321"/>
      <c r="AD178" s="326">
        <v>1</v>
      </c>
      <c r="AE178" s="330">
        <v>1</v>
      </c>
      <c r="AF178" s="296"/>
      <c r="AG178" s="297"/>
      <c r="AH178" s="297"/>
      <c r="AI178" s="297"/>
      <c r="AJ178" s="297"/>
      <c r="AK178" s="297"/>
      <c r="AL178" s="297"/>
      <c r="AM178" s="297"/>
      <c r="AN178" s="297"/>
      <c r="AO178" s="297"/>
      <c r="AP178" s="297"/>
      <c r="AQ178" s="297"/>
      <c r="AR178" s="297"/>
      <c r="AS178" s="297"/>
      <c r="AT178" s="297"/>
      <c r="AU178" s="297"/>
      <c r="AV178" s="297"/>
      <c r="AW178" s="297"/>
      <c r="AX178" s="297"/>
      <c r="AY178" s="297"/>
      <c r="AZ178" s="297" t="str">
        <f>"      " &amp; TEXT(AE178,"#0.00%") &amp; " " &amp; "Database 구성 (Aurora PostgreSQL)" &amp; "(강상욱님)" &amp; " " &amp; IF(P178="","",TEXT(P178,"M/D-")) &amp; IF(Q178="","",TEXT(Q178,"M/D")) &amp; " "</f>
        <v xml:space="preserve">      100.00% Database 구성 (Aurora PostgreSQL)(강상욱님) 6/23-7/11 </v>
      </c>
      <c r="BA178" s="297"/>
      <c r="BB178" s="297"/>
      <c r="BC178" s="297"/>
      <c r="BD178" s="297"/>
      <c r="BE178" s="297"/>
      <c r="BF178" s="297"/>
      <c r="BG178" s="297"/>
      <c r="BH178" s="297"/>
      <c r="BI178" s="297"/>
      <c r="BJ178" s="297"/>
      <c r="BK178" s="297"/>
      <c r="BL178" s="297"/>
      <c r="BM178" s="297"/>
      <c r="BN178" s="297"/>
      <c r="BO178" s="297"/>
      <c r="BP178" s="297"/>
      <c r="BQ178" s="297"/>
      <c r="BR178" s="297"/>
      <c r="BS178" s="297"/>
      <c r="BT178" s="297"/>
      <c r="BU178" s="297"/>
      <c r="BV178" s="297"/>
      <c r="BW178" s="297"/>
      <c r="BX178" s="297"/>
      <c r="BY178" s="297"/>
      <c r="BZ178" s="297"/>
      <c r="CA178" s="297"/>
      <c r="CB178" s="297"/>
      <c r="CC178" s="297"/>
      <c r="CD178" s="297"/>
      <c r="CE178" s="297"/>
      <c r="CF178" s="297"/>
      <c r="CG178" s="297"/>
    </row>
    <row r="179" spans="1:85" s="323" customFormat="1" ht="12" customHeight="1" outlineLevel="4">
      <c r="A179" s="322"/>
      <c r="B179" s="322"/>
      <c r="C179" s="322">
        <v>5</v>
      </c>
      <c r="D179" s="313" t="s">
        <v>2365</v>
      </c>
      <c r="E179" s="314"/>
      <c r="F179" s="314"/>
      <c r="G179" s="314"/>
      <c r="H179" s="314"/>
      <c r="I179" s="314" t="s">
        <v>1766</v>
      </c>
      <c r="J179" s="314"/>
      <c r="K179" s="314"/>
      <c r="L179" s="314"/>
      <c r="M179" s="314"/>
      <c r="N179" s="314"/>
      <c r="O179" s="314"/>
      <c r="P179" s="319">
        <v>45852</v>
      </c>
      <c r="Q179" s="319">
        <v>45863</v>
      </c>
      <c r="R179" s="314"/>
      <c r="S179" s="320">
        <v>10</v>
      </c>
      <c r="T179" s="320">
        <v>10</v>
      </c>
      <c r="U179" s="320">
        <v>10</v>
      </c>
      <c r="V179" s="320">
        <v>10</v>
      </c>
      <c r="W179" s="319"/>
      <c r="X179" s="319"/>
      <c r="Y179" s="324"/>
      <c r="Z179" s="325">
        <v>0</v>
      </c>
      <c r="AA179" s="320">
        <v>1</v>
      </c>
      <c r="AB179" s="314" t="s">
        <v>1971</v>
      </c>
      <c r="AC179" s="321"/>
      <c r="AD179" s="326">
        <v>1</v>
      </c>
      <c r="AE179" s="330">
        <v>1</v>
      </c>
      <c r="AF179" s="296"/>
      <c r="AG179" s="297"/>
      <c r="AH179" s="297"/>
      <c r="AI179" s="297"/>
      <c r="AJ179" s="297"/>
      <c r="AK179" s="297"/>
      <c r="AL179" s="297"/>
      <c r="AM179" s="297"/>
      <c r="AN179" s="297"/>
      <c r="AO179" s="297"/>
      <c r="AP179" s="297"/>
      <c r="AQ179" s="297"/>
      <c r="AR179" s="297"/>
      <c r="AS179" s="297"/>
      <c r="AT179" s="297"/>
      <c r="AU179" s="297"/>
      <c r="AV179" s="297"/>
      <c r="AW179" s="297"/>
      <c r="AX179" s="297"/>
      <c r="AY179" s="297"/>
      <c r="AZ179" s="297"/>
      <c r="BA179" s="297"/>
      <c r="BB179" s="297" t="str">
        <f>"      " &amp; TEXT(AE179,"#0.00%") &amp; " " &amp; "모니터링 및 백업 체계 구성 " &amp; "(강상욱님)" &amp; " " &amp; IF(P179="","",TEXT(P179,"M/D-")) &amp; IF(Q179="","",TEXT(Q179,"M/D")) &amp; " "</f>
        <v xml:space="preserve">      100.00% 모니터링 및 백업 체계 구성 (강상욱님) 7/14-7/25 </v>
      </c>
      <c r="BC179" s="297"/>
      <c r="BD179" s="297"/>
      <c r="BE179" s="297"/>
      <c r="BF179" s="297"/>
      <c r="BG179" s="297"/>
      <c r="BH179" s="297"/>
      <c r="BI179" s="297"/>
      <c r="BJ179" s="297"/>
      <c r="BK179" s="297"/>
      <c r="BL179" s="297"/>
      <c r="BM179" s="297"/>
      <c r="BN179" s="297"/>
      <c r="BO179" s="297"/>
      <c r="BP179" s="297"/>
      <c r="BQ179" s="297"/>
      <c r="BR179" s="297"/>
      <c r="BS179" s="297"/>
      <c r="BT179" s="297"/>
      <c r="BU179" s="297"/>
      <c r="BV179" s="297"/>
      <c r="BW179" s="297"/>
      <c r="BX179" s="297"/>
      <c r="BY179" s="297"/>
      <c r="BZ179" s="297"/>
      <c r="CA179" s="297"/>
      <c r="CB179" s="297"/>
      <c r="CC179" s="297"/>
      <c r="CD179" s="297"/>
      <c r="CE179" s="297"/>
      <c r="CF179" s="297"/>
      <c r="CG179" s="297"/>
    </row>
    <row r="180" spans="1:85" s="308" customFormat="1" ht="12" customHeight="1" outlineLevel="3">
      <c r="A180" s="305"/>
      <c r="B180" s="305" t="s">
        <v>2334</v>
      </c>
      <c r="C180" s="305">
        <v>4</v>
      </c>
      <c r="D180" s="313" t="s">
        <v>2366</v>
      </c>
      <c r="E180" s="314"/>
      <c r="F180" s="314"/>
      <c r="G180" s="314"/>
      <c r="H180" s="314" t="s">
        <v>1759</v>
      </c>
      <c r="I180" s="314"/>
      <c r="J180" s="314"/>
      <c r="K180" s="314"/>
      <c r="L180" s="314"/>
      <c r="M180" s="314"/>
      <c r="N180" s="314"/>
      <c r="O180" s="314"/>
      <c r="P180" s="319">
        <v>45845</v>
      </c>
      <c r="Q180" s="319">
        <v>45856</v>
      </c>
      <c r="R180" s="314"/>
      <c r="S180" s="320">
        <v>80</v>
      </c>
      <c r="T180" s="320">
        <v>80</v>
      </c>
      <c r="U180" s="320">
        <v>10</v>
      </c>
      <c r="V180" s="320">
        <v>10</v>
      </c>
      <c r="W180" s="319"/>
      <c r="X180" s="319"/>
      <c r="Y180" s="324">
        <v>0</v>
      </c>
      <c r="Z180" s="325">
        <v>0</v>
      </c>
      <c r="AA180" s="320"/>
      <c r="AB180" s="314" t="s">
        <v>2247</v>
      </c>
      <c r="AC180" s="321"/>
      <c r="AD180" s="326">
        <v>1</v>
      </c>
      <c r="AE180" s="241">
        <v>1</v>
      </c>
      <c r="AF180" s="296"/>
      <c r="AG180" s="297"/>
      <c r="AH180" s="297"/>
      <c r="AI180" s="297"/>
      <c r="AJ180" s="297"/>
      <c r="AK180" s="297"/>
      <c r="AL180" s="297"/>
      <c r="AM180" s="297"/>
      <c r="AN180" s="297"/>
      <c r="AO180" s="297"/>
      <c r="AP180" s="297"/>
      <c r="AQ180" s="297"/>
      <c r="AR180" s="297"/>
      <c r="AS180" s="297"/>
      <c r="AT180" s="297"/>
      <c r="AU180" s="297"/>
      <c r="AV180" s="297"/>
      <c r="AW180" s="297"/>
      <c r="AX180" s="297"/>
      <c r="AY180" s="297"/>
      <c r="AZ180" s="297"/>
      <c r="BA180" s="297" t="str">
        <f>"      " &amp; TEXT(AE180,"#0.00%") &amp; " " &amp; "CICD" &amp; "(강상욱)" &amp; " " &amp; IF(P180="","",TEXT(P180,"M/D-")) &amp; IF(Q180="","",TEXT(Q180,"M/D")) &amp; " "</f>
        <v xml:space="preserve">      100.00% CICD(강상욱) 7/7-7/18 </v>
      </c>
      <c r="BB180" s="297"/>
      <c r="BC180" s="297"/>
      <c r="BD180" s="297"/>
      <c r="BE180" s="297"/>
      <c r="BF180" s="297"/>
      <c r="BG180" s="297"/>
      <c r="BH180" s="297"/>
      <c r="BI180" s="297"/>
      <c r="BJ180" s="297"/>
      <c r="BK180" s="297"/>
      <c r="BL180" s="297"/>
      <c r="BM180" s="297"/>
      <c r="BN180" s="297"/>
      <c r="BO180" s="297"/>
      <c r="BP180" s="297"/>
      <c r="BQ180" s="297"/>
      <c r="BR180" s="297"/>
      <c r="BS180" s="297"/>
      <c r="BT180" s="297"/>
      <c r="BU180" s="297"/>
      <c r="BV180" s="297"/>
      <c r="BW180" s="297"/>
      <c r="BX180" s="297"/>
      <c r="BY180" s="297"/>
      <c r="BZ180" s="297"/>
      <c r="CA180" s="297"/>
      <c r="CB180" s="297"/>
      <c r="CC180" s="297"/>
      <c r="CD180" s="297"/>
      <c r="CE180" s="297"/>
      <c r="CF180" s="297"/>
      <c r="CG180" s="297"/>
    </row>
    <row r="181" spans="1:85" s="323" customFormat="1" ht="12" customHeight="1" outlineLevel="4">
      <c r="A181" s="322"/>
      <c r="B181" s="322"/>
      <c r="C181" s="322">
        <v>5</v>
      </c>
      <c r="D181" s="313" t="s">
        <v>2367</v>
      </c>
      <c r="E181" s="314"/>
      <c r="F181" s="314"/>
      <c r="G181" s="314"/>
      <c r="H181" s="314"/>
      <c r="I181" s="314" t="s">
        <v>2075</v>
      </c>
      <c r="J181" s="314"/>
      <c r="K181" s="314"/>
      <c r="L181" s="314"/>
      <c r="M181" s="314"/>
      <c r="N181" s="314"/>
      <c r="O181" s="314" t="s">
        <v>2246</v>
      </c>
      <c r="P181" s="319">
        <v>45845</v>
      </c>
      <c r="Q181" s="319">
        <v>45856</v>
      </c>
      <c r="R181" s="314"/>
      <c r="S181" s="320">
        <v>10</v>
      </c>
      <c r="T181" s="320">
        <v>10</v>
      </c>
      <c r="U181" s="320">
        <v>10</v>
      </c>
      <c r="V181" s="320">
        <v>10</v>
      </c>
      <c r="W181" s="319"/>
      <c r="X181" s="319"/>
      <c r="Y181" s="324"/>
      <c r="Z181" s="325">
        <v>0</v>
      </c>
      <c r="AA181" s="320">
        <v>1</v>
      </c>
      <c r="AB181" s="314" t="s">
        <v>1971</v>
      </c>
      <c r="AC181" s="321"/>
      <c r="AD181" s="326">
        <v>1</v>
      </c>
      <c r="AE181" s="330">
        <v>1</v>
      </c>
      <c r="AF181" s="296"/>
      <c r="AG181" s="297"/>
      <c r="AH181" s="297"/>
      <c r="AI181" s="297"/>
      <c r="AJ181" s="297"/>
      <c r="AK181" s="297"/>
      <c r="AL181" s="297"/>
      <c r="AM181" s="297"/>
      <c r="AN181" s="297"/>
      <c r="AO181" s="297"/>
      <c r="AP181" s="297"/>
      <c r="AQ181" s="297"/>
      <c r="AR181" s="297"/>
      <c r="AS181" s="297"/>
      <c r="AT181" s="297"/>
      <c r="AU181" s="297"/>
      <c r="AV181" s="297"/>
      <c r="AW181" s="297"/>
      <c r="AX181" s="297"/>
      <c r="AY181" s="297"/>
      <c r="AZ181" s="297"/>
      <c r="BA181" s="297" t="str">
        <f>"      " &amp; TEXT(AE181,"#0.00%") &amp; " " &amp; "POS 관리 시스템 FE  (신성통상)" &amp; "(강상욱님)" &amp; " " &amp; IF(P181="","",TEXT(P181,"M/D-")) &amp; IF(Q181="","",TEXT(Q181,"M/D")) &amp; " "</f>
        <v xml:space="preserve">      100.00% POS 관리 시스템 FE  (신성통상)(강상욱님) 7/7-7/18 </v>
      </c>
      <c r="BB181" s="297"/>
      <c r="BC181" s="297"/>
      <c r="BD181" s="297"/>
      <c r="BE181" s="297"/>
      <c r="BF181" s="297"/>
      <c r="BG181" s="297"/>
      <c r="BH181" s="297"/>
      <c r="BI181" s="297"/>
      <c r="BJ181" s="297"/>
      <c r="BK181" s="297"/>
      <c r="BL181" s="297"/>
      <c r="BM181" s="297"/>
      <c r="BN181" s="297"/>
      <c r="BO181" s="297"/>
      <c r="BP181" s="297"/>
      <c r="BQ181" s="297"/>
      <c r="BR181" s="297"/>
      <c r="BS181" s="297"/>
      <c r="BT181" s="297"/>
      <c r="BU181" s="297"/>
      <c r="BV181" s="297"/>
      <c r="BW181" s="297"/>
      <c r="BX181" s="297"/>
      <c r="BY181" s="297"/>
      <c r="BZ181" s="297"/>
      <c r="CA181" s="297"/>
      <c r="CB181" s="297"/>
      <c r="CC181" s="297"/>
      <c r="CD181" s="297"/>
      <c r="CE181" s="297"/>
      <c r="CF181" s="297"/>
      <c r="CG181" s="297"/>
    </row>
    <row r="182" spans="1:85" s="323" customFormat="1" ht="12" customHeight="1" outlineLevel="4">
      <c r="A182" s="322"/>
      <c r="B182" s="322"/>
      <c r="C182" s="322">
        <v>5</v>
      </c>
      <c r="D182" s="313" t="s">
        <v>2368</v>
      </c>
      <c r="E182" s="314"/>
      <c r="F182" s="314"/>
      <c r="G182" s="314"/>
      <c r="H182" s="314"/>
      <c r="I182" s="314" t="s">
        <v>2076</v>
      </c>
      <c r="J182" s="314"/>
      <c r="K182" s="314"/>
      <c r="L182" s="314"/>
      <c r="M182" s="314"/>
      <c r="N182" s="314"/>
      <c r="O182" s="314" t="s">
        <v>2246</v>
      </c>
      <c r="P182" s="319">
        <v>45845</v>
      </c>
      <c r="Q182" s="319">
        <v>45856</v>
      </c>
      <c r="R182" s="314"/>
      <c r="S182" s="320">
        <v>10</v>
      </c>
      <c r="T182" s="320">
        <v>10</v>
      </c>
      <c r="U182" s="320">
        <v>10</v>
      </c>
      <c r="V182" s="320">
        <v>10</v>
      </c>
      <c r="W182" s="319"/>
      <c r="X182" s="319"/>
      <c r="Y182" s="324"/>
      <c r="Z182" s="325">
        <v>0</v>
      </c>
      <c r="AA182" s="320">
        <v>1</v>
      </c>
      <c r="AB182" s="314" t="s">
        <v>1971</v>
      </c>
      <c r="AC182" s="321"/>
      <c r="AD182" s="326">
        <v>1</v>
      </c>
      <c r="AE182" s="330">
        <v>1</v>
      </c>
      <c r="AF182" s="296"/>
      <c r="AG182" s="297"/>
      <c r="AH182" s="297"/>
      <c r="AI182" s="297"/>
      <c r="AJ182" s="297"/>
      <c r="AK182" s="297"/>
      <c r="AL182" s="297"/>
      <c r="AM182" s="297"/>
      <c r="AN182" s="297"/>
      <c r="AO182" s="297"/>
      <c r="AP182" s="297"/>
      <c r="AQ182" s="297"/>
      <c r="AR182" s="297"/>
      <c r="AS182" s="297"/>
      <c r="AT182" s="297"/>
      <c r="AU182" s="297"/>
      <c r="AV182" s="297"/>
      <c r="AW182" s="297"/>
      <c r="AX182" s="297"/>
      <c r="AY182" s="297"/>
      <c r="AZ182" s="297"/>
      <c r="BA182" s="297" t="str">
        <f>"      " &amp; TEXT(AE182,"#0.00%") &amp; " " &amp; "POS 관리 시스템 FE  (에이션패션)" &amp; "(강상욱님)" &amp; " " &amp; IF(P182="","",TEXT(P182,"M/D-")) &amp; IF(Q182="","",TEXT(Q182,"M/D")) &amp; " "</f>
        <v xml:space="preserve">      100.00% POS 관리 시스템 FE  (에이션패션)(강상욱님) 7/7-7/18 </v>
      </c>
      <c r="BB182" s="297"/>
      <c r="BC182" s="297"/>
      <c r="BD182" s="297"/>
      <c r="BE182" s="297"/>
      <c r="BF182" s="297"/>
      <c r="BG182" s="297"/>
      <c r="BH182" s="297"/>
      <c r="BI182" s="297"/>
      <c r="BJ182" s="297"/>
      <c r="BK182" s="297"/>
      <c r="BL182" s="297"/>
      <c r="BM182" s="297"/>
      <c r="BN182" s="297"/>
      <c r="BO182" s="297"/>
      <c r="BP182" s="297"/>
      <c r="BQ182" s="297"/>
      <c r="BR182" s="297"/>
      <c r="BS182" s="297"/>
      <c r="BT182" s="297"/>
      <c r="BU182" s="297"/>
      <c r="BV182" s="297"/>
      <c r="BW182" s="297"/>
      <c r="BX182" s="297"/>
      <c r="BY182" s="297"/>
      <c r="BZ182" s="297"/>
      <c r="CA182" s="297"/>
      <c r="CB182" s="297"/>
      <c r="CC182" s="297"/>
      <c r="CD182" s="297"/>
      <c r="CE182" s="297"/>
      <c r="CF182" s="297"/>
      <c r="CG182" s="297"/>
    </row>
    <row r="183" spans="1:85" s="308" customFormat="1" ht="12" customHeight="1" outlineLevel="4">
      <c r="A183" s="305"/>
      <c r="B183" s="305"/>
      <c r="C183" s="305">
        <v>5</v>
      </c>
      <c r="D183" s="313" t="s">
        <v>2369</v>
      </c>
      <c r="E183" s="314"/>
      <c r="F183" s="314"/>
      <c r="G183" s="314"/>
      <c r="H183" s="314"/>
      <c r="I183" s="314" t="s">
        <v>2077</v>
      </c>
      <c r="J183" s="314"/>
      <c r="K183" s="314"/>
      <c r="L183" s="314"/>
      <c r="M183" s="314"/>
      <c r="N183" s="314"/>
      <c r="O183" s="314" t="s">
        <v>2246</v>
      </c>
      <c r="P183" s="319">
        <v>45845</v>
      </c>
      <c r="Q183" s="319">
        <v>45856</v>
      </c>
      <c r="R183" s="314"/>
      <c r="S183" s="320">
        <v>10</v>
      </c>
      <c r="T183" s="320">
        <v>10</v>
      </c>
      <c r="U183" s="320">
        <v>10</v>
      </c>
      <c r="V183" s="320">
        <v>10</v>
      </c>
      <c r="W183" s="319"/>
      <c r="X183" s="319"/>
      <c r="Y183" s="324"/>
      <c r="Z183" s="325">
        <v>0</v>
      </c>
      <c r="AA183" s="320">
        <v>1</v>
      </c>
      <c r="AB183" s="314" t="s">
        <v>2247</v>
      </c>
      <c r="AC183" s="321"/>
      <c r="AD183" s="326">
        <v>1</v>
      </c>
      <c r="AE183" s="330">
        <v>1</v>
      </c>
      <c r="AF183" s="296"/>
      <c r="AG183" s="297"/>
      <c r="AH183" s="297"/>
      <c r="AI183" s="297"/>
      <c r="AJ183" s="297"/>
      <c r="AK183" s="297"/>
      <c r="AL183" s="297"/>
      <c r="AM183" s="297"/>
      <c r="AN183" s="297"/>
      <c r="AO183" s="297"/>
      <c r="AP183" s="297"/>
      <c r="AQ183" s="297"/>
      <c r="AR183" s="297"/>
      <c r="AS183" s="297"/>
      <c r="AT183" s="297"/>
      <c r="AU183" s="297"/>
      <c r="AV183" s="297"/>
      <c r="AW183" s="297"/>
      <c r="AX183" s="297"/>
      <c r="AY183" s="297"/>
      <c r="AZ183" s="297"/>
      <c r="BA183" s="297" t="str">
        <f>"      " &amp; TEXT(AE183,"#0.00%") &amp; " " &amp; "POS 관리 시스템 BE (신성통상)" &amp; "(강상욱)" &amp; " " &amp; IF(P183="","",TEXT(P183,"M/D-")) &amp; IF(Q183="","",TEXT(Q183,"M/D")) &amp; " "</f>
        <v xml:space="preserve">      100.00% POS 관리 시스템 BE (신성통상)(강상욱) 7/7-7/18 </v>
      </c>
      <c r="BB183" s="297"/>
      <c r="BC183" s="297"/>
      <c r="BD183" s="297"/>
      <c r="BE183" s="297"/>
      <c r="BF183" s="297"/>
      <c r="BG183" s="297"/>
      <c r="BH183" s="297"/>
      <c r="BI183" s="297"/>
      <c r="BJ183" s="297"/>
      <c r="BK183" s="297"/>
      <c r="BL183" s="297"/>
      <c r="BM183" s="297"/>
      <c r="BN183" s="297"/>
      <c r="BO183" s="297"/>
      <c r="BP183" s="297"/>
      <c r="BQ183" s="297"/>
      <c r="BR183" s="297"/>
      <c r="BS183" s="297"/>
      <c r="BT183" s="297"/>
      <c r="BU183" s="297"/>
      <c r="BV183" s="297"/>
      <c r="BW183" s="297"/>
      <c r="BX183" s="297"/>
      <c r="BY183" s="297"/>
      <c r="BZ183" s="297"/>
      <c r="CA183" s="297"/>
      <c r="CB183" s="297"/>
      <c r="CC183" s="297"/>
      <c r="CD183" s="297"/>
      <c r="CE183" s="297"/>
      <c r="CF183" s="297"/>
      <c r="CG183" s="297"/>
    </row>
    <row r="184" spans="1:85" s="308" customFormat="1" ht="12" customHeight="1" outlineLevel="4">
      <c r="A184" s="305"/>
      <c r="B184" s="305"/>
      <c r="C184" s="305">
        <v>5</v>
      </c>
      <c r="D184" s="313" t="s">
        <v>2370</v>
      </c>
      <c r="E184" s="314"/>
      <c r="F184" s="314"/>
      <c r="G184" s="314"/>
      <c r="H184" s="314"/>
      <c r="I184" s="314" t="s">
        <v>2078</v>
      </c>
      <c r="J184" s="314"/>
      <c r="K184" s="314"/>
      <c r="L184" s="314"/>
      <c r="M184" s="314"/>
      <c r="N184" s="314"/>
      <c r="O184" s="314" t="s">
        <v>2246</v>
      </c>
      <c r="P184" s="319">
        <v>45845</v>
      </c>
      <c r="Q184" s="319">
        <v>45856</v>
      </c>
      <c r="R184" s="314"/>
      <c r="S184" s="320">
        <v>10</v>
      </c>
      <c r="T184" s="320">
        <v>10</v>
      </c>
      <c r="U184" s="320">
        <v>10</v>
      </c>
      <c r="V184" s="320">
        <v>10</v>
      </c>
      <c r="W184" s="319"/>
      <c r="X184" s="319"/>
      <c r="Y184" s="324"/>
      <c r="Z184" s="325">
        <v>0</v>
      </c>
      <c r="AA184" s="320">
        <v>1</v>
      </c>
      <c r="AB184" s="314" t="s">
        <v>2247</v>
      </c>
      <c r="AC184" s="321"/>
      <c r="AD184" s="326">
        <v>1</v>
      </c>
      <c r="AE184" s="330">
        <v>1</v>
      </c>
      <c r="AF184" s="296"/>
      <c r="AG184" s="297"/>
      <c r="AH184" s="297"/>
      <c r="AI184" s="297"/>
      <c r="AJ184" s="297"/>
      <c r="AK184" s="297"/>
      <c r="AL184" s="297"/>
      <c r="AM184" s="297"/>
      <c r="AN184" s="297"/>
      <c r="AO184" s="297"/>
      <c r="AP184" s="297"/>
      <c r="AQ184" s="297"/>
      <c r="AR184" s="297"/>
      <c r="AS184" s="297"/>
      <c r="AT184" s="297"/>
      <c r="AU184" s="297"/>
      <c r="AV184" s="297"/>
      <c r="AW184" s="297"/>
      <c r="AX184" s="297"/>
      <c r="AY184" s="297"/>
      <c r="AZ184" s="297"/>
      <c r="BA184" s="297" t="str">
        <f>"      " &amp; TEXT(AE184,"#0.00%") &amp; " " &amp; "POS 관리시스템 BE (에이션패션)" &amp; "(강상욱)" &amp; " " &amp; IF(P184="","",TEXT(P184,"M/D-")) &amp; IF(Q184="","",TEXT(Q184,"M/D")) &amp; " "</f>
        <v xml:space="preserve">      100.00% POS 관리시스템 BE (에이션패션)(강상욱) 7/7-7/18 </v>
      </c>
      <c r="BB184" s="297"/>
      <c r="BC184" s="297"/>
      <c r="BD184" s="297"/>
      <c r="BE184" s="297"/>
      <c r="BF184" s="297"/>
      <c r="BG184" s="297"/>
      <c r="BH184" s="297"/>
      <c r="BI184" s="297"/>
      <c r="BJ184" s="297"/>
      <c r="BK184" s="297"/>
      <c r="BL184" s="297"/>
      <c r="BM184" s="297"/>
      <c r="BN184" s="297"/>
      <c r="BO184" s="297"/>
      <c r="BP184" s="297"/>
      <c r="BQ184" s="297"/>
      <c r="BR184" s="297"/>
      <c r="BS184" s="297"/>
      <c r="BT184" s="297"/>
      <c r="BU184" s="297"/>
      <c r="BV184" s="297"/>
      <c r="BW184" s="297"/>
      <c r="BX184" s="297"/>
      <c r="BY184" s="297"/>
      <c r="BZ184" s="297"/>
      <c r="CA184" s="297"/>
      <c r="CB184" s="297"/>
      <c r="CC184" s="297"/>
      <c r="CD184" s="297"/>
      <c r="CE184" s="297"/>
      <c r="CF184" s="297"/>
      <c r="CG184" s="297"/>
    </row>
    <row r="185" spans="1:85" ht="12" customHeight="1" outlineLevel="4">
      <c r="A185" s="288"/>
      <c r="B185" s="288"/>
      <c r="C185" s="288">
        <v>5</v>
      </c>
      <c r="D185" s="258" t="s">
        <v>2371</v>
      </c>
      <c r="E185" s="244"/>
      <c r="F185" s="244"/>
      <c r="G185" s="244"/>
      <c r="H185" s="244"/>
      <c r="I185" s="244" t="s">
        <v>2079</v>
      </c>
      <c r="J185" s="244"/>
      <c r="K185" s="244"/>
      <c r="L185" s="244"/>
      <c r="M185" s="244"/>
      <c r="N185" s="244"/>
      <c r="O185" s="244" t="s">
        <v>2246</v>
      </c>
      <c r="P185" s="243">
        <v>45845</v>
      </c>
      <c r="Q185" s="243">
        <v>45856</v>
      </c>
      <c r="R185" s="244"/>
      <c r="S185" s="242">
        <v>10</v>
      </c>
      <c r="T185" s="242">
        <v>10</v>
      </c>
      <c r="U185" s="242">
        <v>10</v>
      </c>
      <c r="V185" s="242">
        <v>10</v>
      </c>
      <c r="W185" s="243"/>
      <c r="X185" s="243"/>
      <c r="Y185" s="251"/>
      <c r="Z185" s="252">
        <v>0</v>
      </c>
      <c r="AA185" s="242">
        <v>1</v>
      </c>
      <c r="AB185" s="244"/>
      <c r="AC185" s="255"/>
      <c r="AD185" s="239">
        <v>1</v>
      </c>
      <c r="AE185" s="330">
        <v>1</v>
      </c>
      <c r="AF185" s="296"/>
      <c r="AG185" s="297"/>
      <c r="AH185" s="297"/>
      <c r="AI185" s="297"/>
      <c r="AJ185" s="297"/>
      <c r="AK185" s="297"/>
      <c r="AL185" s="297"/>
      <c r="AM185" s="297"/>
      <c r="AN185" s="297"/>
      <c r="AO185" s="297"/>
      <c r="AP185" s="297"/>
      <c r="AQ185" s="297"/>
      <c r="AR185" s="297"/>
      <c r="AS185" s="297"/>
      <c r="AT185" s="297"/>
      <c r="AU185" s="297"/>
      <c r="AV185" s="297"/>
      <c r="AW185" s="297"/>
      <c r="AX185" s="297"/>
      <c r="AY185" s="297"/>
      <c r="AZ185" s="297"/>
      <c r="BA185" s="297" t="str">
        <f>"      " &amp; TEXT(AE185,"#0.00%") &amp; " " &amp; "POS 관리 API BE" &amp; " " &amp; IF(P185="","",TEXT(P185,"M/D-")) &amp; IF(Q185="","",TEXT(Q185,"M/D")) &amp; " "</f>
        <v xml:space="preserve">      100.00% POS 관리 API BE 7/7-7/18 </v>
      </c>
      <c r="BB185" s="297"/>
      <c r="BC185" s="297"/>
      <c r="BD185" s="297"/>
      <c r="BE185" s="297"/>
      <c r="BF185" s="297"/>
      <c r="BG185" s="297"/>
      <c r="BH185" s="297"/>
      <c r="BI185" s="297"/>
      <c r="BJ185" s="297"/>
      <c r="BK185" s="297"/>
      <c r="BL185" s="297"/>
      <c r="BM185" s="297"/>
      <c r="BN185" s="297"/>
      <c r="BO185" s="297"/>
      <c r="BP185" s="297"/>
      <c r="BQ185" s="297"/>
      <c r="BR185" s="297"/>
      <c r="BS185" s="297"/>
      <c r="BT185" s="297"/>
      <c r="BU185" s="297"/>
      <c r="BV185" s="297"/>
      <c r="BW185" s="297"/>
      <c r="BX185" s="297"/>
      <c r="BY185" s="297"/>
      <c r="BZ185" s="297"/>
      <c r="CA185" s="297"/>
      <c r="CB185" s="297"/>
      <c r="CC185" s="297"/>
      <c r="CD185" s="297"/>
      <c r="CE185" s="297"/>
      <c r="CF185" s="297"/>
      <c r="CG185" s="297"/>
    </row>
    <row r="186" spans="1:85" s="308" customFormat="1" ht="12" customHeight="1" outlineLevel="4">
      <c r="A186" s="305"/>
      <c r="B186" s="305"/>
      <c r="C186" s="305">
        <v>5</v>
      </c>
      <c r="D186" s="258" t="s">
        <v>2372</v>
      </c>
      <c r="E186" s="244"/>
      <c r="F186" s="244"/>
      <c r="G186" s="244"/>
      <c r="H186" s="244"/>
      <c r="I186" s="244" t="s">
        <v>2074</v>
      </c>
      <c r="J186" s="244"/>
      <c r="K186" s="244"/>
      <c r="L186" s="244"/>
      <c r="M186" s="244"/>
      <c r="N186" s="244"/>
      <c r="O186" s="244" t="s">
        <v>2246</v>
      </c>
      <c r="P186" s="243">
        <v>45845</v>
      </c>
      <c r="Q186" s="243">
        <v>45856</v>
      </c>
      <c r="R186" s="244"/>
      <c r="S186" s="242">
        <v>10</v>
      </c>
      <c r="T186" s="242">
        <v>10</v>
      </c>
      <c r="U186" s="242">
        <v>10</v>
      </c>
      <c r="V186" s="242">
        <v>10</v>
      </c>
      <c r="W186" s="243"/>
      <c r="X186" s="243"/>
      <c r="Y186" s="251"/>
      <c r="Z186" s="252">
        <v>0</v>
      </c>
      <c r="AA186" s="242">
        <v>1</v>
      </c>
      <c r="AB186" s="244" t="s">
        <v>1972</v>
      </c>
      <c r="AC186" s="255"/>
      <c r="AD186" s="239">
        <v>1</v>
      </c>
      <c r="AE186" s="330">
        <v>1</v>
      </c>
      <c r="AF186" s="296"/>
      <c r="AG186" s="297"/>
      <c r="AH186" s="297"/>
      <c r="AI186" s="297"/>
      <c r="AJ186" s="297"/>
      <c r="AK186" s="297"/>
      <c r="AL186" s="297"/>
      <c r="AM186" s="297"/>
      <c r="AN186" s="297"/>
      <c r="AO186" s="297"/>
      <c r="AP186" s="297"/>
      <c r="AQ186" s="297"/>
      <c r="AR186" s="297"/>
      <c r="AS186" s="297"/>
      <c r="AT186" s="297"/>
      <c r="AU186" s="297"/>
      <c r="AV186" s="297"/>
      <c r="AW186" s="297"/>
      <c r="AX186" s="297"/>
      <c r="AY186" s="297"/>
      <c r="AZ186" s="297"/>
      <c r="BA186" s="297" t="str">
        <f>"      " &amp; TEXT(AE186,"#0.00%") &amp; " " &amp; "영업관리 API BE" &amp; "(이석호님)" &amp; " " &amp; IF(P186="","",TEXT(P186,"M/D-")) &amp; IF(Q186="","",TEXT(Q186,"M/D")) &amp; " "</f>
        <v xml:space="preserve">      100.00% 영업관리 API BE(이석호님) 7/7-7/18 </v>
      </c>
      <c r="BB186" s="297"/>
      <c r="BC186" s="297"/>
      <c r="BD186" s="297"/>
      <c r="BE186" s="297"/>
      <c r="BF186" s="297"/>
      <c r="BG186" s="297"/>
      <c r="BH186" s="297"/>
      <c r="BI186" s="297"/>
      <c r="BJ186" s="297"/>
      <c r="BK186" s="297"/>
      <c r="BL186" s="297"/>
      <c r="BM186" s="297"/>
      <c r="BN186" s="297"/>
      <c r="BO186" s="297"/>
      <c r="BP186" s="297"/>
      <c r="BQ186" s="297"/>
      <c r="BR186" s="297"/>
      <c r="BS186" s="297"/>
      <c r="BT186" s="297"/>
      <c r="BU186" s="297"/>
      <c r="BV186" s="297"/>
      <c r="BW186" s="297"/>
      <c r="BX186" s="297"/>
      <c r="BY186" s="297"/>
      <c r="BZ186" s="297"/>
      <c r="CA186" s="297"/>
      <c r="CB186" s="297"/>
      <c r="CC186" s="297"/>
      <c r="CD186" s="297"/>
      <c r="CE186" s="297"/>
      <c r="CF186" s="297"/>
      <c r="CG186" s="297"/>
    </row>
    <row r="187" spans="1:85" ht="12" customHeight="1" outlineLevel="4">
      <c r="A187" s="288"/>
      <c r="B187" s="288"/>
      <c r="C187" s="288">
        <v>5</v>
      </c>
      <c r="D187" s="291" t="s">
        <v>2373</v>
      </c>
      <c r="E187" s="246"/>
      <c r="F187" s="246"/>
      <c r="G187" s="246"/>
      <c r="H187" s="246"/>
      <c r="I187" s="246" t="s">
        <v>2073</v>
      </c>
      <c r="J187" s="246"/>
      <c r="K187" s="246"/>
      <c r="L187" s="246"/>
      <c r="M187" s="246"/>
      <c r="N187" s="246"/>
      <c r="O187" s="244" t="s">
        <v>2246</v>
      </c>
      <c r="P187" s="248">
        <v>45845</v>
      </c>
      <c r="Q187" s="248">
        <v>45856</v>
      </c>
      <c r="R187" s="246"/>
      <c r="S187" s="247">
        <v>10</v>
      </c>
      <c r="T187" s="247">
        <v>10</v>
      </c>
      <c r="U187" s="247">
        <v>10</v>
      </c>
      <c r="V187" s="247">
        <v>10</v>
      </c>
      <c r="W187" s="248"/>
      <c r="X187" s="248"/>
      <c r="Y187" s="265"/>
      <c r="Z187" s="266">
        <v>0</v>
      </c>
      <c r="AA187" s="247">
        <v>1</v>
      </c>
      <c r="AB187" s="246" t="s">
        <v>1972</v>
      </c>
      <c r="AC187" s="263"/>
      <c r="AD187" s="240">
        <v>1</v>
      </c>
      <c r="AE187" s="330">
        <v>1</v>
      </c>
      <c r="AF187" s="296"/>
      <c r="AG187" s="297"/>
      <c r="AH187" s="297"/>
      <c r="AI187" s="297"/>
      <c r="AJ187" s="297"/>
      <c r="AK187" s="297"/>
      <c r="AL187" s="297"/>
      <c r="AM187" s="297"/>
      <c r="AN187" s="297"/>
      <c r="AO187" s="297"/>
      <c r="AP187" s="297"/>
      <c r="AQ187" s="297"/>
      <c r="AR187" s="297"/>
      <c r="AS187" s="297"/>
      <c r="AT187" s="297"/>
      <c r="AU187" s="297"/>
      <c r="AV187" s="297"/>
      <c r="AW187" s="297"/>
      <c r="AX187" s="297"/>
      <c r="AY187" s="297"/>
      <c r="AZ187" s="297"/>
      <c r="BA187" s="297" t="str">
        <f>"      " &amp; TEXT(AE187,"#0.00%") &amp; " " &amp; "POS 관리 Batch BE" &amp; "(이석호님)" &amp; " " &amp; IF(P187="","",TEXT(P187,"M/D-")) &amp; IF(Q187="","",TEXT(Q187,"M/D")) &amp; " "</f>
        <v xml:space="preserve">      100.00% POS 관리 Batch BE(이석호님) 7/7-7/18 </v>
      </c>
      <c r="BB187" s="297"/>
      <c r="BC187" s="297"/>
      <c r="BD187" s="297"/>
      <c r="BE187" s="297"/>
      <c r="BF187" s="297"/>
      <c r="BG187" s="297"/>
      <c r="BH187" s="297"/>
      <c r="BI187" s="297"/>
      <c r="BJ187" s="297"/>
      <c r="BK187" s="297"/>
      <c r="BL187" s="297"/>
      <c r="BM187" s="297"/>
      <c r="BN187" s="297"/>
      <c r="BO187" s="297"/>
      <c r="BP187" s="297"/>
      <c r="BQ187" s="297"/>
      <c r="BR187" s="297"/>
      <c r="BS187" s="297"/>
      <c r="BT187" s="297"/>
      <c r="BU187" s="297"/>
      <c r="BV187" s="297"/>
      <c r="BW187" s="297"/>
      <c r="BX187" s="297"/>
      <c r="BY187" s="297"/>
      <c r="BZ187" s="297"/>
      <c r="CA187" s="297"/>
      <c r="CB187" s="297"/>
      <c r="CC187" s="297"/>
      <c r="CD187" s="297"/>
      <c r="CE187" s="297"/>
      <c r="CF187" s="297"/>
      <c r="CG187" s="297"/>
    </row>
    <row r="188" spans="1:85" ht="12" customHeight="1" outlineLevel="4">
      <c r="A188" s="288"/>
      <c r="B188" s="288"/>
      <c r="C188" s="288">
        <v>5</v>
      </c>
      <c r="D188" s="291" t="s">
        <v>2374</v>
      </c>
      <c r="E188" s="246"/>
      <c r="F188" s="246"/>
      <c r="G188" s="246"/>
      <c r="H188" s="246"/>
      <c r="I188" s="246" t="s">
        <v>2105</v>
      </c>
      <c r="J188" s="246"/>
      <c r="K188" s="246"/>
      <c r="L188" s="246"/>
      <c r="M188" s="246"/>
      <c r="N188" s="246"/>
      <c r="O188" s="244" t="s">
        <v>2246</v>
      </c>
      <c r="P188" s="248">
        <v>45845</v>
      </c>
      <c r="Q188" s="248">
        <v>45856</v>
      </c>
      <c r="R188" s="246"/>
      <c r="S188" s="247">
        <v>10</v>
      </c>
      <c r="T188" s="247">
        <v>10</v>
      </c>
      <c r="U188" s="247">
        <v>10</v>
      </c>
      <c r="V188" s="247">
        <v>10</v>
      </c>
      <c r="W188" s="248"/>
      <c r="X188" s="248"/>
      <c r="Y188" s="265"/>
      <c r="Z188" s="266">
        <v>0</v>
      </c>
      <c r="AA188" s="247">
        <v>1</v>
      </c>
      <c r="AB188" s="246" t="s">
        <v>1972</v>
      </c>
      <c r="AC188" s="263"/>
      <c r="AD188" s="240">
        <v>1</v>
      </c>
      <c r="AE188" s="330">
        <v>1</v>
      </c>
      <c r="AF188" s="296"/>
      <c r="AG188" s="297"/>
      <c r="AH188" s="297"/>
      <c r="AI188" s="297"/>
      <c r="AJ188" s="297"/>
      <c r="AK188" s="297"/>
      <c r="AL188" s="297"/>
      <c r="AM188" s="297"/>
      <c r="AN188" s="297"/>
      <c r="AO188" s="297"/>
      <c r="AP188" s="297"/>
      <c r="AQ188" s="297"/>
      <c r="AR188" s="297"/>
      <c r="AS188" s="297"/>
      <c r="AT188" s="297"/>
      <c r="AU188" s="297"/>
      <c r="AV188" s="297"/>
      <c r="AW188" s="297"/>
      <c r="AX188" s="297"/>
      <c r="AY188" s="297"/>
      <c r="AZ188" s="297"/>
      <c r="BA188" s="297" t="str">
        <f>"      " &amp; TEXT(AE188,"#0.00%") &amp; " " &amp; "CS POS 시스템" &amp; "(이석호님)" &amp; " " &amp; IF(P188="","",TEXT(P188,"M/D-")) &amp; IF(Q188="","",TEXT(Q188,"M/D")) &amp; " "</f>
        <v xml:space="preserve">      100.00% CS POS 시스템(이석호님) 7/7-7/18 </v>
      </c>
      <c r="BB188" s="297"/>
      <c r="BC188" s="297"/>
      <c r="BD188" s="297"/>
      <c r="BE188" s="297"/>
      <c r="BF188" s="297"/>
      <c r="BG188" s="297"/>
      <c r="BH188" s="297"/>
      <c r="BI188" s="297"/>
      <c r="BJ188" s="297"/>
      <c r="BK188" s="297"/>
      <c r="BL188" s="297"/>
      <c r="BM188" s="297"/>
      <c r="BN188" s="297"/>
      <c r="BO188" s="297"/>
      <c r="BP188" s="297"/>
      <c r="BQ188" s="297"/>
      <c r="BR188" s="297"/>
      <c r="BS188" s="297"/>
      <c r="BT188" s="297"/>
      <c r="BU188" s="297"/>
      <c r="BV188" s="297"/>
      <c r="BW188" s="297"/>
      <c r="BX188" s="297"/>
      <c r="BY188" s="297"/>
      <c r="BZ188" s="297"/>
      <c r="CA188" s="297"/>
      <c r="CB188" s="297"/>
      <c r="CC188" s="297"/>
      <c r="CD188" s="297"/>
      <c r="CE188" s="297"/>
      <c r="CF188" s="297"/>
      <c r="CG188" s="297"/>
    </row>
    <row r="189" spans="1:85" ht="12" customHeight="1" outlineLevel="3">
      <c r="A189" s="288"/>
      <c r="B189" s="288" t="s">
        <v>2334</v>
      </c>
      <c r="C189" s="288">
        <v>4</v>
      </c>
      <c r="D189" s="257" t="s">
        <v>2375</v>
      </c>
      <c r="E189" s="244"/>
      <c r="F189" s="250"/>
      <c r="G189" s="244"/>
      <c r="H189" s="244" t="s">
        <v>1762</v>
      </c>
      <c r="I189" s="244"/>
      <c r="J189" s="244"/>
      <c r="K189" s="244"/>
      <c r="L189" s="244"/>
      <c r="M189" s="244"/>
      <c r="N189" s="244"/>
      <c r="O189" s="244"/>
      <c r="P189" s="243">
        <v>45852</v>
      </c>
      <c r="Q189" s="243">
        <v>45863</v>
      </c>
      <c r="R189" s="244"/>
      <c r="S189" s="242">
        <v>30</v>
      </c>
      <c r="T189" s="242">
        <v>30</v>
      </c>
      <c r="U189" s="242">
        <v>10</v>
      </c>
      <c r="V189" s="242">
        <v>10</v>
      </c>
      <c r="W189" s="243"/>
      <c r="X189" s="243"/>
      <c r="Y189" s="251">
        <v>0</v>
      </c>
      <c r="Z189" s="252">
        <v>0</v>
      </c>
      <c r="AA189" s="242"/>
      <c r="AB189" s="244"/>
      <c r="AC189" s="255"/>
      <c r="AD189" s="239">
        <v>1</v>
      </c>
      <c r="AE189" s="241">
        <v>1</v>
      </c>
      <c r="AF189" s="296"/>
      <c r="AG189" s="297"/>
      <c r="AH189" s="297"/>
      <c r="AI189" s="297"/>
      <c r="AJ189" s="297"/>
      <c r="AK189" s="297"/>
      <c r="AL189" s="297"/>
      <c r="AM189" s="297"/>
      <c r="AN189" s="297"/>
      <c r="AO189" s="297"/>
      <c r="AP189" s="297"/>
      <c r="AQ189" s="297"/>
      <c r="AR189" s="297"/>
      <c r="AS189" s="297"/>
      <c r="AT189" s="297"/>
      <c r="AU189" s="297"/>
      <c r="AV189" s="297"/>
      <c r="AW189" s="297"/>
      <c r="AX189" s="297"/>
      <c r="AY189" s="297"/>
      <c r="AZ189" s="297"/>
      <c r="BA189" s="297"/>
      <c r="BB189" s="297" t="str">
        <f>"      " &amp; TEXT(AE189,"#0.00%") &amp; " " &amp; "로깅&amp;모니터링" &amp; " " &amp; IF(P189="","",TEXT(P189,"M/D-")) &amp; IF(Q189="","",TEXT(Q189,"M/D")) &amp; " "</f>
        <v xml:space="preserve">      100.00% 로깅&amp;모니터링 7/14-7/25 </v>
      </c>
      <c r="BC189" s="297"/>
      <c r="BD189" s="297"/>
      <c r="BE189" s="297"/>
      <c r="BF189" s="297"/>
      <c r="BG189" s="297"/>
      <c r="BH189" s="297"/>
      <c r="BI189" s="297"/>
      <c r="BJ189" s="297"/>
      <c r="BK189" s="297"/>
      <c r="BL189" s="297"/>
      <c r="BM189" s="297"/>
      <c r="BN189" s="297"/>
      <c r="BO189" s="297"/>
      <c r="BP189" s="297"/>
      <c r="BQ189" s="297"/>
      <c r="BR189" s="297"/>
      <c r="BS189" s="297"/>
      <c r="BT189" s="297"/>
      <c r="BU189" s="297"/>
      <c r="BV189" s="297"/>
      <c r="BW189" s="297"/>
      <c r="BX189" s="297"/>
      <c r="BY189" s="297"/>
      <c r="BZ189" s="297"/>
      <c r="CA189" s="297"/>
      <c r="CB189" s="297"/>
      <c r="CC189" s="297"/>
      <c r="CD189" s="297"/>
      <c r="CE189" s="297"/>
      <c r="CF189" s="297"/>
      <c r="CG189" s="297"/>
    </row>
    <row r="190" spans="1:85" ht="12" customHeight="1" outlineLevel="4">
      <c r="A190" s="288"/>
      <c r="B190" s="288"/>
      <c r="C190" s="288">
        <v>5</v>
      </c>
      <c r="D190" s="257" t="s">
        <v>2376</v>
      </c>
      <c r="E190" s="244"/>
      <c r="F190" s="244"/>
      <c r="G190" s="244"/>
      <c r="H190" s="244"/>
      <c r="I190" s="244" t="s">
        <v>2106</v>
      </c>
      <c r="J190" s="244"/>
      <c r="K190" s="244"/>
      <c r="L190" s="244"/>
      <c r="M190" s="244"/>
      <c r="N190" s="244"/>
      <c r="O190" s="244"/>
      <c r="P190" s="243">
        <v>45852</v>
      </c>
      <c r="Q190" s="243">
        <v>45863</v>
      </c>
      <c r="R190" s="244"/>
      <c r="S190" s="242">
        <v>10</v>
      </c>
      <c r="T190" s="242">
        <v>10</v>
      </c>
      <c r="U190" s="242">
        <v>10</v>
      </c>
      <c r="V190" s="242">
        <v>10</v>
      </c>
      <c r="W190" s="243"/>
      <c r="X190" s="243"/>
      <c r="Y190" s="251"/>
      <c r="Z190" s="252">
        <v>0</v>
      </c>
      <c r="AA190" s="242">
        <v>1</v>
      </c>
      <c r="AB190" s="244"/>
      <c r="AC190" s="255"/>
      <c r="AD190" s="239">
        <v>1</v>
      </c>
      <c r="AE190" s="330">
        <v>1</v>
      </c>
      <c r="AF190" s="296"/>
      <c r="AG190" s="297"/>
      <c r="AH190" s="297"/>
      <c r="AI190" s="297"/>
      <c r="AJ190" s="297"/>
      <c r="AK190" s="297"/>
      <c r="AL190" s="297"/>
      <c r="AM190" s="297"/>
      <c r="AN190" s="297"/>
      <c r="AO190" s="297"/>
      <c r="AP190" s="297"/>
      <c r="AQ190" s="297"/>
      <c r="AR190" s="297"/>
      <c r="AS190" s="297"/>
      <c r="AT190" s="297"/>
      <c r="AU190" s="297"/>
      <c r="AV190" s="297"/>
      <c r="AW190" s="297"/>
      <c r="AX190" s="297"/>
      <c r="AY190" s="297"/>
      <c r="AZ190" s="297"/>
      <c r="BA190" s="297"/>
      <c r="BB190" s="297" t="str">
        <f>"      " &amp; TEXT(AE190,"#0.00%") &amp; " " &amp; "AWS 기본 모니터링 구성(CW/NW/보안)" &amp; " " &amp; IF(P190="","",TEXT(P190,"M/D-")) &amp; IF(Q190="","",TEXT(Q190,"M/D")) &amp; " "</f>
        <v xml:space="preserve">      100.00% AWS 기본 모니터링 구성(CW/NW/보안) 7/14-7/25 </v>
      </c>
      <c r="BC190" s="297"/>
      <c r="BD190" s="297"/>
      <c r="BE190" s="297"/>
      <c r="BF190" s="297"/>
      <c r="BG190" s="297"/>
      <c r="BH190" s="297"/>
      <c r="BI190" s="297"/>
      <c r="BJ190" s="297"/>
      <c r="BK190" s="297"/>
      <c r="BL190" s="297"/>
      <c r="BM190" s="297"/>
      <c r="BN190" s="297"/>
      <c r="BO190" s="297"/>
      <c r="BP190" s="297"/>
      <c r="BQ190" s="297"/>
      <c r="BR190" s="297"/>
      <c r="BS190" s="297"/>
      <c r="BT190" s="297"/>
      <c r="BU190" s="297"/>
      <c r="BV190" s="297"/>
      <c r="BW190" s="297"/>
      <c r="BX190" s="297"/>
      <c r="BY190" s="297"/>
      <c r="BZ190" s="297"/>
      <c r="CA190" s="297"/>
      <c r="CB190" s="297"/>
      <c r="CC190" s="297"/>
      <c r="CD190" s="297"/>
      <c r="CE190" s="297"/>
      <c r="CF190" s="297"/>
      <c r="CG190" s="297"/>
    </row>
    <row r="191" spans="1:85" ht="12" customHeight="1" outlineLevel="4">
      <c r="A191" s="288"/>
      <c r="B191" s="288"/>
      <c r="C191" s="288">
        <v>5</v>
      </c>
      <c r="D191" s="257" t="s">
        <v>2377</v>
      </c>
      <c r="E191" s="244"/>
      <c r="F191" s="244"/>
      <c r="G191" s="244"/>
      <c r="H191" s="244"/>
      <c r="I191" s="244" t="s">
        <v>2299</v>
      </c>
      <c r="J191" s="244"/>
      <c r="K191" s="244"/>
      <c r="L191" s="244"/>
      <c r="M191" s="244"/>
      <c r="N191" s="244"/>
      <c r="O191" s="244" t="s">
        <v>2246</v>
      </c>
      <c r="P191" s="243">
        <v>45852</v>
      </c>
      <c r="Q191" s="243">
        <v>45863</v>
      </c>
      <c r="R191" s="244"/>
      <c r="S191" s="242">
        <v>10</v>
      </c>
      <c r="T191" s="242">
        <v>10</v>
      </c>
      <c r="U191" s="242">
        <v>10</v>
      </c>
      <c r="V191" s="242">
        <v>10</v>
      </c>
      <c r="W191" s="243"/>
      <c r="X191" s="243"/>
      <c r="Y191" s="251"/>
      <c r="Z191" s="252">
        <v>0</v>
      </c>
      <c r="AA191" s="242">
        <v>1</v>
      </c>
      <c r="AB191" s="244"/>
      <c r="AC191" s="255"/>
      <c r="AD191" s="239">
        <v>1</v>
      </c>
      <c r="AE191" s="330">
        <v>1</v>
      </c>
      <c r="AF191" s="296"/>
      <c r="AG191" s="297"/>
      <c r="AH191" s="297"/>
      <c r="AI191" s="297"/>
      <c r="AJ191" s="297"/>
      <c r="AK191" s="297"/>
      <c r="AL191" s="297"/>
      <c r="AM191" s="297"/>
      <c r="AN191" s="297"/>
      <c r="AO191" s="297"/>
      <c r="AP191" s="297"/>
      <c r="AQ191" s="297"/>
      <c r="AR191" s="297"/>
      <c r="AS191" s="297"/>
      <c r="AT191" s="297"/>
      <c r="AU191" s="297"/>
      <c r="AV191" s="297"/>
      <c r="AW191" s="297"/>
      <c r="AX191" s="297"/>
      <c r="AY191" s="297"/>
      <c r="AZ191" s="297"/>
      <c r="BA191" s="297"/>
      <c r="BB191" s="297" t="str">
        <f>"      " &amp; TEXT(AE191,"#0.00%") &amp; " " &amp; "제니퍼&amp;Datadog 구성" &amp; " " &amp; IF(P191="","",TEXT(P191,"M/D-")) &amp; IF(Q191="","",TEXT(Q191,"M/D")) &amp; " "</f>
        <v xml:space="preserve">      100.00% 제니퍼&amp;Datadog 구성 7/14-7/25 </v>
      </c>
      <c r="BC191" s="297"/>
      <c r="BD191" s="297"/>
      <c r="BE191" s="297"/>
      <c r="BF191" s="297"/>
      <c r="BG191" s="297"/>
      <c r="BH191" s="297"/>
      <c r="BI191" s="297"/>
      <c r="BJ191" s="297"/>
      <c r="BK191" s="297"/>
      <c r="BL191" s="297"/>
      <c r="BM191" s="297"/>
      <c r="BN191" s="297"/>
      <c r="BO191" s="297"/>
      <c r="BP191" s="297"/>
      <c r="BQ191" s="297"/>
      <c r="BR191" s="297"/>
      <c r="BS191" s="297"/>
      <c r="BT191" s="297"/>
      <c r="BU191" s="297"/>
      <c r="BV191" s="297"/>
      <c r="BW191" s="297"/>
      <c r="BX191" s="297"/>
      <c r="BY191" s="297"/>
      <c r="BZ191" s="297"/>
      <c r="CA191" s="297"/>
      <c r="CB191" s="297"/>
      <c r="CC191" s="297"/>
      <c r="CD191" s="297"/>
      <c r="CE191" s="297"/>
      <c r="CF191" s="297"/>
      <c r="CG191" s="297"/>
    </row>
    <row r="192" spans="1:85" ht="12" customHeight="1" outlineLevel="4">
      <c r="A192" s="288"/>
      <c r="B192" s="288"/>
      <c r="C192" s="288">
        <v>5</v>
      </c>
      <c r="D192" s="257" t="s">
        <v>2378</v>
      </c>
      <c r="E192" s="244"/>
      <c r="F192" s="244"/>
      <c r="G192" s="244"/>
      <c r="H192" s="244"/>
      <c r="I192" s="309" t="s">
        <v>1764</v>
      </c>
      <c r="J192" s="244"/>
      <c r="K192" s="244"/>
      <c r="L192" s="244"/>
      <c r="M192" s="244"/>
      <c r="N192" s="244"/>
      <c r="O192" s="244" t="s">
        <v>2246</v>
      </c>
      <c r="P192" s="319">
        <v>45852</v>
      </c>
      <c r="Q192" s="319">
        <v>45863</v>
      </c>
      <c r="R192" s="244"/>
      <c r="S192" s="242">
        <v>10</v>
      </c>
      <c r="T192" s="242">
        <v>10</v>
      </c>
      <c r="U192" s="242">
        <v>10</v>
      </c>
      <c r="V192" s="242">
        <v>10</v>
      </c>
      <c r="W192" s="243"/>
      <c r="X192" s="243"/>
      <c r="Y192" s="251"/>
      <c r="Z192" s="252">
        <v>0</v>
      </c>
      <c r="AA192" s="320">
        <v>1</v>
      </c>
      <c r="AB192" s="314" t="s">
        <v>2213</v>
      </c>
      <c r="AC192" s="321" t="s">
        <v>2193</v>
      </c>
      <c r="AD192" s="239">
        <v>1</v>
      </c>
      <c r="AE192" s="330">
        <v>1</v>
      </c>
      <c r="AF192" s="296"/>
      <c r="AG192" s="297"/>
      <c r="AH192" s="297"/>
      <c r="AI192" s="297"/>
      <c r="AJ192" s="297"/>
      <c r="AK192" s="297"/>
      <c r="AL192" s="297"/>
      <c r="AM192" s="297"/>
      <c r="AN192" s="297"/>
      <c r="AO192" s="297"/>
      <c r="AP192" s="297"/>
      <c r="AQ192" s="297"/>
      <c r="AR192" s="297"/>
      <c r="AS192" s="297"/>
      <c r="AT192" s="297"/>
      <c r="AU192" s="297"/>
      <c r="AV192" s="297"/>
      <c r="AW192" s="297"/>
      <c r="AX192" s="297"/>
      <c r="AY192" s="297"/>
      <c r="AZ192" s="297"/>
      <c r="BA192" s="297"/>
      <c r="BB192" s="297" t="str">
        <f>"      " &amp; TEXT(AE192,"#0.00%") &amp; " " &amp; "AWS OpenSearch 구성" &amp; "(정지원님)" &amp; " " &amp; IF(P192="","",TEXT(P192,"M/D-")) &amp; IF(Q192="","",TEXT(Q192,"M/D")) &amp; " "</f>
        <v xml:space="preserve">      100.00% AWS OpenSearch 구성(정지원님) 7/14-7/25 </v>
      </c>
      <c r="BC192" s="297"/>
      <c r="BD192" s="297"/>
      <c r="BE192" s="297"/>
      <c r="BF192" s="297"/>
      <c r="BG192" s="297"/>
      <c r="BH192" s="297"/>
      <c r="BI192" s="297"/>
      <c r="BJ192" s="297"/>
      <c r="BK192" s="297"/>
      <c r="BL192" s="297"/>
      <c r="BM192" s="297"/>
      <c r="BN192" s="297"/>
      <c r="BO192" s="297"/>
      <c r="BP192" s="297"/>
      <c r="BQ192" s="297"/>
      <c r="BR192" s="297"/>
      <c r="BS192" s="297"/>
      <c r="BT192" s="297"/>
      <c r="BU192" s="297"/>
      <c r="BV192" s="297"/>
      <c r="BW192" s="297"/>
      <c r="BX192" s="297"/>
      <c r="BY192" s="297"/>
      <c r="BZ192" s="297"/>
      <c r="CA192" s="297"/>
      <c r="CB192" s="297"/>
      <c r="CC192" s="297"/>
      <c r="CD192" s="297"/>
      <c r="CE192" s="297"/>
      <c r="CF192" s="297"/>
      <c r="CG192" s="297"/>
    </row>
    <row r="193" spans="1:85" ht="12" customHeight="1" outlineLevel="1">
      <c r="A193" s="288"/>
      <c r="B193" s="288" t="s">
        <v>2334</v>
      </c>
      <c r="C193" s="288">
        <v>2</v>
      </c>
      <c r="D193" s="257" t="s">
        <v>2379</v>
      </c>
      <c r="E193" s="244"/>
      <c r="F193" s="244" t="s">
        <v>2107</v>
      </c>
      <c r="G193" s="244"/>
      <c r="H193" s="244"/>
      <c r="I193" s="244"/>
      <c r="J193" s="244"/>
      <c r="K193" s="244"/>
      <c r="L193" s="244"/>
      <c r="M193" s="244"/>
      <c r="N193" s="244"/>
      <c r="O193" s="244"/>
      <c r="P193" s="319">
        <v>45733</v>
      </c>
      <c r="Q193" s="319">
        <v>45975</v>
      </c>
      <c r="R193" s="244"/>
      <c r="S193" s="242">
        <v>279.5</v>
      </c>
      <c r="T193" s="242">
        <v>279.5</v>
      </c>
      <c r="U193" s="242">
        <v>165</v>
      </c>
      <c r="V193" s="242">
        <v>165</v>
      </c>
      <c r="W193" s="243"/>
      <c r="X193" s="243"/>
      <c r="Y193" s="251">
        <v>0</v>
      </c>
      <c r="Z193" s="252">
        <v>0</v>
      </c>
      <c r="AA193" s="320"/>
      <c r="AB193" s="314" t="s">
        <v>2213</v>
      </c>
      <c r="AC193" s="321" t="s">
        <v>2193</v>
      </c>
      <c r="AD193" s="239">
        <v>1</v>
      </c>
      <c r="AE193" s="241">
        <v>1</v>
      </c>
      <c r="AF193" s="296"/>
      <c r="AG193" s="297"/>
      <c r="AH193" s="297"/>
      <c r="AI193" s="297"/>
      <c r="AJ193" s="297"/>
      <c r="AK193" s="297"/>
      <c r="AL193" s="297"/>
      <c r="AM193" s="297"/>
      <c r="AN193" s="297"/>
      <c r="AO193" s="297"/>
      <c r="AP193" s="297"/>
      <c r="AQ193" s="297"/>
      <c r="AR193" s="297"/>
      <c r="AS193" s="297"/>
      <c r="AT193" s="297"/>
      <c r="AU193" s="297"/>
      <c r="AV193" s="297"/>
      <c r="AW193" s="297"/>
      <c r="AX193" s="297"/>
      <c r="AY193" s="297"/>
      <c r="AZ193" s="297"/>
      <c r="BA193" s="297"/>
      <c r="BB193" s="297"/>
      <c r="BC193" s="297"/>
      <c r="BD193" s="297"/>
      <c r="BE193" s="297"/>
      <c r="BF193" s="297"/>
      <c r="BG193" s="297"/>
      <c r="BH193" s="297"/>
      <c r="BI193" s="297"/>
      <c r="BJ193" s="297"/>
      <c r="BK193" s="297"/>
      <c r="BL193" s="297"/>
      <c r="BM193" s="297"/>
      <c r="BN193" s="297"/>
      <c r="BO193" s="297"/>
      <c r="BP193" s="297"/>
      <c r="BQ193" s="297"/>
      <c r="BR193" s="297" t="str">
        <f>"      " &amp; TEXT(AE193,"#0.00%") &amp; " " &amp; "DBMS" &amp; "(정지원님)" &amp; " " &amp; IF(P193="","",TEXT(P193,"M/D-")) &amp; IF(Q193="","",TEXT(Q193,"M/D")) &amp; " "</f>
        <v xml:space="preserve">      100.00% DBMS(정지원님) 3/17-11/14 </v>
      </c>
      <c r="BS193" s="297"/>
      <c r="BT193" s="297"/>
      <c r="BU193" s="297"/>
      <c r="BV193" s="297"/>
      <c r="BW193" s="297"/>
      <c r="BX193" s="297"/>
      <c r="BY193" s="297"/>
      <c r="BZ193" s="297"/>
      <c r="CA193" s="297"/>
      <c r="CB193" s="297"/>
      <c r="CC193" s="297"/>
      <c r="CD193" s="297"/>
      <c r="CE193" s="297"/>
      <c r="CF193" s="297"/>
      <c r="CG193" s="297"/>
    </row>
    <row r="194" spans="1:85" ht="12" customHeight="1" outlineLevel="2">
      <c r="A194" s="288"/>
      <c r="B194" s="288" t="s">
        <v>2334</v>
      </c>
      <c r="C194" s="288">
        <v>3</v>
      </c>
      <c r="D194" s="257" t="s">
        <v>2380</v>
      </c>
      <c r="E194" s="244"/>
      <c r="F194" s="244"/>
      <c r="G194" s="244" t="s">
        <v>1744</v>
      </c>
      <c r="H194" s="244"/>
      <c r="I194" s="244"/>
      <c r="J194" s="244"/>
      <c r="K194" s="244"/>
      <c r="L194" s="244"/>
      <c r="M194" s="244"/>
      <c r="N194" s="244"/>
      <c r="O194" s="244"/>
      <c r="P194" s="319">
        <v>45733</v>
      </c>
      <c r="Q194" s="319">
        <v>45777</v>
      </c>
      <c r="R194" s="244"/>
      <c r="S194" s="242">
        <v>60.699999999999996</v>
      </c>
      <c r="T194" s="242">
        <v>60.699999999999996</v>
      </c>
      <c r="U194" s="242">
        <v>33</v>
      </c>
      <c r="V194" s="242">
        <v>33</v>
      </c>
      <c r="W194" s="243"/>
      <c r="X194" s="243"/>
      <c r="Y194" s="251">
        <v>0</v>
      </c>
      <c r="Z194" s="252">
        <v>0</v>
      </c>
      <c r="AA194" s="320"/>
      <c r="AB194" s="314" t="s">
        <v>2213</v>
      </c>
      <c r="AC194" s="321" t="s">
        <v>2193</v>
      </c>
      <c r="AD194" s="239">
        <v>1</v>
      </c>
      <c r="AE194" s="241">
        <v>1</v>
      </c>
      <c r="AF194" s="296"/>
      <c r="AG194" s="297"/>
      <c r="AH194" s="297"/>
      <c r="AI194" s="297"/>
      <c r="AJ194" s="297"/>
      <c r="AK194" s="297"/>
      <c r="AL194" s="297"/>
      <c r="AM194" s="297"/>
      <c r="AN194" s="297"/>
      <c r="AO194" s="297"/>
      <c r="AP194" s="297" t="str">
        <f>"    " &amp; TEXT(AE194,"#0.00%") &amp; " " &amp; "개발 환경" &amp; "(정지원님)" &amp; " " &amp; IF(P194="","",TEXT(P194,"M/D-")) &amp; IF(Q194="","",TEXT(Q194,"M/D")) &amp; " "</f>
        <v xml:space="preserve">    100.00% 개발 환경(정지원님) 3/17-4/30 </v>
      </c>
      <c r="AQ194" s="297"/>
      <c r="AR194" s="297"/>
      <c r="AS194" s="297"/>
      <c r="AT194" s="297"/>
      <c r="AU194" s="297"/>
      <c r="AV194" s="297"/>
      <c r="AW194" s="297"/>
      <c r="AX194" s="297"/>
      <c r="AY194" s="297"/>
      <c r="AZ194" s="297"/>
      <c r="BA194" s="297"/>
      <c r="BB194" s="297"/>
      <c r="BC194" s="297"/>
      <c r="BD194" s="297"/>
      <c r="BE194" s="297"/>
      <c r="BF194" s="297"/>
      <c r="BG194" s="297"/>
      <c r="BH194" s="297"/>
      <c r="BI194" s="297"/>
      <c r="BJ194" s="297"/>
      <c r="BK194" s="297"/>
      <c r="BL194" s="297"/>
      <c r="BM194" s="297"/>
      <c r="BN194" s="297"/>
      <c r="BO194" s="297"/>
      <c r="BP194" s="297"/>
      <c r="BQ194" s="297"/>
      <c r="BR194" s="297"/>
      <c r="BS194" s="297"/>
      <c r="BT194" s="297"/>
      <c r="BU194" s="297"/>
      <c r="BV194" s="297"/>
      <c r="BW194" s="297"/>
      <c r="BX194" s="297"/>
      <c r="BY194" s="297"/>
      <c r="BZ194" s="297"/>
      <c r="CA194" s="297"/>
      <c r="CB194" s="297"/>
      <c r="CC194" s="297"/>
      <c r="CD194" s="297"/>
      <c r="CE194" s="297"/>
      <c r="CF194" s="297"/>
      <c r="CG194" s="297"/>
    </row>
    <row r="195" spans="1:85" ht="12" customHeight="1" outlineLevel="3">
      <c r="A195" s="288"/>
      <c r="B195" s="288" t="s">
        <v>2334</v>
      </c>
      <c r="C195" s="288">
        <v>4</v>
      </c>
      <c r="D195" s="257" t="s">
        <v>2381</v>
      </c>
      <c r="E195" s="244"/>
      <c r="F195" s="244"/>
      <c r="G195" s="244"/>
      <c r="H195" s="244" t="s">
        <v>2131</v>
      </c>
      <c r="I195" s="244"/>
      <c r="J195" s="244"/>
      <c r="K195" s="244"/>
      <c r="L195" s="244"/>
      <c r="M195" s="244"/>
      <c r="N195" s="244"/>
      <c r="O195" s="244"/>
      <c r="P195" s="319">
        <v>45733</v>
      </c>
      <c r="Q195" s="319">
        <v>45737</v>
      </c>
      <c r="R195" s="244"/>
      <c r="S195" s="242">
        <v>6.5</v>
      </c>
      <c r="T195" s="242">
        <v>6.5</v>
      </c>
      <c r="U195" s="242">
        <v>5</v>
      </c>
      <c r="V195" s="242">
        <v>5</v>
      </c>
      <c r="W195" s="243"/>
      <c r="X195" s="243"/>
      <c r="Y195" s="251">
        <v>0</v>
      </c>
      <c r="Z195" s="252">
        <v>0</v>
      </c>
      <c r="AA195" s="320"/>
      <c r="AB195" s="314" t="s">
        <v>2213</v>
      </c>
      <c r="AC195" s="321"/>
      <c r="AD195" s="239">
        <v>1</v>
      </c>
      <c r="AE195" s="241">
        <v>1</v>
      </c>
      <c r="AF195" s="296"/>
      <c r="AG195" s="297"/>
      <c r="AH195" s="297"/>
      <c r="AI195" s="297"/>
      <c r="AJ195" s="297" t="str">
        <f>"      " &amp; TEXT(AE195,"#0.00%") &amp; " " &amp; "개발 환경 구성" &amp; "(정지원님)" &amp; " " &amp; IF(P195="","",TEXT(P195,"M/D-")) &amp; IF(Q195="","",TEXT(Q195,"M/D")) &amp; " "</f>
        <v xml:space="preserve">      100.00% 개발 환경 구성(정지원님) 3/17-3/21 </v>
      </c>
      <c r="AK195" s="297"/>
      <c r="AL195" s="297"/>
      <c r="AM195" s="297"/>
      <c r="AN195" s="297"/>
      <c r="AO195" s="297"/>
      <c r="AP195" s="297"/>
      <c r="AQ195" s="297"/>
      <c r="AR195" s="297"/>
      <c r="AS195" s="297"/>
      <c r="AT195" s="297"/>
      <c r="AU195" s="297"/>
      <c r="AV195" s="297"/>
      <c r="AW195" s="297"/>
      <c r="AX195" s="297"/>
      <c r="AY195" s="297"/>
      <c r="AZ195" s="297"/>
      <c r="BA195" s="297"/>
      <c r="BB195" s="297"/>
      <c r="BC195" s="297"/>
      <c r="BD195" s="297"/>
      <c r="BE195" s="297"/>
      <c r="BF195" s="297"/>
      <c r="BG195" s="297"/>
      <c r="BH195" s="297"/>
      <c r="BI195" s="297"/>
      <c r="BJ195" s="297"/>
      <c r="BK195" s="297"/>
      <c r="BL195" s="297"/>
      <c r="BM195" s="297"/>
      <c r="BN195" s="297"/>
      <c r="BO195" s="297"/>
      <c r="BP195" s="297"/>
      <c r="BQ195" s="297"/>
      <c r="BR195" s="297"/>
      <c r="BS195" s="297"/>
      <c r="BT195" s="297"/>
      <c r="BU195" s="297"/>
      <c r="BV195" s="297"/>
      <c r="BW195" s="297"/>
      <c r="BX195" s="297"/>
      <c r="BY195" s="297"/>
      <c r="BZ195" s="297"/>
      <c r="CA195" s="297"/>
      <c r="CB195" s="297"/>
      <c r="CC195" s="297"/>
      <c r="CD195" s="297"/>
      <c r="CE195" s="297"/>
      <c r="CF195" s="297"/>
      <c r="CG195" s="297"/>
    </row>
    <row r="196" spans="1:85" ht="12" customHeight="1" outlineLevel="4">
      <c r="A196" s="288"/>
      <c r="B196" s="288"/>
      <c r="C196" s="288">
        <v>5</v>
      </c>
      <c r="D196" s="257" t="s">
        <v>2382</v>
      </c>
      <c r="E196" s="244"/>
      <c r="F196" s="244"/>
      <c r="G196" s="244"/>
      <c r="H196" s="244"/>
      <c r="I196" s="244" t="s">
        <v>2108</v>
      </c>
      <c r="J196" s="244"/>
      <c r="K196" s="244"/>
      <c r="L196" s="244"/>
      <c r="M196" s="244"/>
      <c r="N196" s="244"/>
      <c r="O196" s="244"/>
      <c r="P196" s="243">
        <v>45733</v>
      </c>
      <c r="Q196" s="243">
        <v>45736</v>
      </c>
      <c r="R196" s="244"/>
      <c r="S196" s="242">
        <v>2</v>
      </c>
      <c r="T196" s="242">
        <v>2</v>
      </c>
      <c r="U196" s="242">
        <v>4</v>
      </c>
      <c r="V196" s="242">
        <v>4</v>
      </c>
      <c r="W196" s="243"/>
      <c r="X196" s="243"/>
      <c r="Y196" s="251"/>
      <c r="Z196" s="252">
        <v>0</v>
      </c>
      <c r="AA196" s="242">
        <v>0.5</v>
      </c>
      <c r="AB196" s="256"/>
      <c r="AC196" s="307"/>
      <c r="AD196" s="239">
        <v>1</v>
      </c>
      <c r="AE196" s="304">
        <v>1</v>
      </c>
      <c r="AF196" s="296"/>
      <c r="AG196" s="297"/>
      <c r="AH196" s="297"/>
      <c r="AI196" s="297"/>
      <c r="AJ196" s="297" t="str">
        <f>"     " &amp; TEXT(AE196,"#0.00%") &amp; " " &amp; "AWS Aurora For PostgreSQL 구성" &amp; " " &amp; IF(P196="","",TEXT(P196,"M/D-")) &amp; IF(Q196="","",TEXT(Q196,"M/D")) &amp; " "</f>
        <v xml:space="preserve">     100.00% AWS Aurora For PostgreSQL 구성 3/17-3/20 </v>
      </c>
      <c r="AK196" s="297"/>
      <c r="AL196" s="297"/>
      <c r="AM196" s="297"/>
      <c r="AN196" s="297"/>
      <c r="AO196" s="297"/>
      <c r="AP196" s="297"/>
      <c r="AQ196" s="297"/>
      <c r="AR196" s="297"/>
      <c r="AS196" s="297"/>
      <c r="AT196" s="297"/>
      <c r="AU196" s="297"/>
      <c r="AV196" s="297"/>
      <c r="AW196" s="297"/>
      <c r="AX196" s="297"/>
      <c r="AY196" s="297"/>
      <c r="AZ196" s="297"/>
      <c r="BA196" s="297"/>
      <c r="BB196" s="297"/>
      <c r="BC196" s="297"/>
      <c r="BD196" s="297"/>
      <c r="BE196" s="297"/>
      <c r="BF196" s="297"/>
      <c r="BG196" s="297"/>
      <c r="BH196" s="297"/>
      <c r="BI196" s="297"/>
      <c r="BJ196" s="297"/>
      <c r="BK196" s="297"/>
      <c r="BL196" s="297"/>
      <c r="BM196" s="297"/>
      <c r="BN196" s="297"/>
      <c r="BO196" s="297"/>
      <c r="BP196" s="297"/>
      <c r="BQ196" s="297"/>
      <c r="BR196" s="297"/>
      <c r="BS196" s="297"/>
      <c r="BT196" s="297"/>
      <c r="BU196" s="297"/>
      <c r="BV196" s="297"/>
      <c r="BW196" s="297"/>
      <c r="BX196" s="297"/>
      <c r="BY196" s="297"/>
      <c r="BZ196" s="297"/>
      <c r="CA196" s="297"/>
      <c r="CB196" s="297"/>
      <c r="CC196" s="297"/>
      <c r="CD196" s="297"/>
      <c r="CE196" s="297"/>
      <c r="CF196" s="297"/>
      <c r="CG196" s="297"/>
    </row>
    <row r="197" spans="1:85" ht="12" customHeight="1" outlineLevel="4">
      <c r="A197" s="288"/>
      <c r="B197" s="288"/>
      <c r="C197" s="288">
        <v>5</v>
      </c>
      <c r="D197" s="257" t="s">
        <v>2383</v>
      </c>
      <c r="E197" s="244"/>
      <c r="F197" s="244"/>
      <c r="G197" s="244"/>
      <c r="H197" s="244"/>
      <c r="I197" s="244" t="s">
        <v>2109</v>
      </c>
      <c r="J197" s="244"/>
      <c r="K197" s="244"/>
      <c r="L197" s="244"/>
      <c r="M197" s="244"/>
      <c r="N197" s="244"/>
      <c r="O197" s="244"/>
      <c r="P197" s="319">
        <v>45733</v>
      </c>
      <c r="Q197" s="319">
        <v>45736</v>
      </c>
      <c r="R197" s="244"/>
      <c r="S197" s="242">
        <v>2</v>
      </c>
      <c r="T197" s="242">
        <v>2</v>
      </c>
      <c r="U197" s="242">
        <v>4</v>
      </c>
      <c r="V197" s="242">
        <v>4</v>
      </c>
      <c r="W197" s="243"/>
      <c r="X197" s="243"/>
      <c r="Y197" s="251"/>
      <c r="Z197" s="252">
        <v>0</v>
      </c>
      <c r="AA197" s="320">
        <v>0.5</v>
      </c>
      <c r="AB197" s="314" t="s">
        <v>2213</v>
      </c>
      <c r="AC197" s="321" t="s">
        <v>2193</v>
      </c>
      <c r="AD197" s="239">
        <v>1</v>
      </c>
      <c r="AE197" s="304">
        <v>1</v>
      </c>
      <c r="AF197" s="296"/>
      <c r="AG197" s="297"/>
      <c r="AH197" s="297"/>
      <c r="AI197" s="297"/>
      <c r="AJ197" s="297" t="str">
        <f>"     " &amp; TEXT(AE197,"#0.00%") &amp; " " &amp; "클러스터 파라미터 설계 및 적용" &amp; "(정지원님)" &amp; " " &amp; IF(P197="","",TEXT(P197,"M/D-")) &amp; IF(Q197="","",TEXT(Q197,"M/D")) &amp; " "</f>
        <v xml:space="preserve">     100.00% 클러스터 파라미터 설계 및 적용(정지원님) 3/17-3/20 </v>
      </c>
      <c r="AK197" s="297"/>
      <c r="AL197" s="297"/>
      <c r="AM197" s="297"/>
      <c r="AN197" s="297"/>
      <c r="AO197" s="297"/>
      <c r="AP197" s="297"/>
      <c r="AQ197" s="297"/>
      <c r="AR197" s="297"/>
      <c r="AS197" s="297"/>
      <c r="AT197" s="297"/>
      <c r="AU197" s="297"/>
      <c r="AV197" s="297"/>
      <c r="AW197" s="297"/>
      <c r="AX197" s="297"/>
      <c r="AY197" s="297"/>
      <c r="AZ197" s="297"/>
      <c r="BA197" s="297"/>
      <c r="BB197" s="297"/>
      <c r="BC197" s="297"/>
      <c r="BD197" s="297"/>
      <c r="BE197" s="297"/>
      <c r="BF197" s="297"/>
      <c r="BG197" s="297"/>
      <c r="BH197" s="297"/>
      <c r="BI197" s="297"/>
      <c r="BJ197" s="297"/>
      <c r="BK197" s="297"/>
      <c r="BL197" s="297"/>
      <c r="BM197" s="297"/>
      <c r="BN197" s="297"/>
      <c r="BO197" s="297"/>
      <c r="BP197" s="297"/>
      <c r="BQ197" s="297"/>
      <c r="BR197" s="297"/>
      <c r="BS197" s="297"/>
      <c r="BT197" s="297"/>
      <c r="BU197" s="297"/>
      <c r="BV197" s="297"/>
      <c r="BW197" s="297"/>
      <c r="BX197" s="297"/>
      <c r="BY197" s="297"/>
      <c r="BZ197" s="297"/>
      <c r="CA197" s="297"/>
      <c r="CB197" s="297"/>
      <c r="CC197" s="297"/>
      <c r="CD197" s="297"/>
      <c r="CE197" s="297"/>
      <c r="CF197" s="297"/>
      <c r="CG197" s="297"/>
    </row>
    <row r="198" spans="1:85" ht="12" customHeight="1" outlineLevel="4">
      <c r="A198" s="288"/>
      <c r="B198" s="288"/>
      <c r="C198" s="288">
        <v>5</v>
      </c>
      <c r="D198" s="257" t="s">
        <v>2384</v>
      </c>
      <c r="E198" s="244"/>
      <c r="F198" s="244"/>
      <c r="G198" s="244"/>
      <c r="H198" s="244"/>
      <c r="I198" s="244" t="s">
        <v>2110</v>
      </c>
      <c r="J198" s="244"/>
      <c r="K198" s="244"/>
      <c r="L198" s="244"/>
      <c r="M198" s="244"/>
      <c r="N198" s="244"/>
      <c r="O198" s="244"/>
      <c r="P198" s="319">
        <v>45733</v>
      </c>
      <c r="Q198" s="319">
        <v>45736</v>
      </c>
      <c r="R198" s="244"/>
      <c r="S198" s="242">
        <v>2</v>
      </c>
      <c r="T198" s="242">
        <v>2</v>
      </c>
      <c r="U198" s="242">
        <v>4</v>
      </c>
      <c r="V198" s="242">
        <v>4</v>
      </c>
      <c r="W198" s="243"/>
      <c r="X198" s="243"/>
      <c r="Y198" s="251"/>
      <c r="Z198" s="252">
        <v>0</v>
      </c>
      <c r="AA198" s="320">
        <v>0.5</v>
      </c>
      <c r="AB198" s="314" t="s">
        <v>2213</v>
      </c>
      <c r="AC198" s="321" t="s">
        <v>2214</v>
      </c>
      <c r="AD198" s="239">
        <v>1</v>
      </c>
      <c r="AE198" s="304">
        <v>1</v>
      </c>
      <c r="AF198" s="296"/>
      <c r="AG198" s="297"/>
      <c r="AH198" s="297"/>
      <c r="AI198" s="297"/>
      <c r="AJ198" s="297" t="str">
        <f>"     " &amp; TEXT(AE198,"#0.00%") &amp; " " &amp; "데이터베이스 설계" &amp; "(정지원님)" &amp; " " &amp; IF(P198="","",TEXT(P198,"M/D-")) &amp; IF(Q198="","",TEXT(Q198,"M/D")) &amp; " "</f>
        <v xml:space="preserve">     100.00% 데이터베이스 설계(정지원님) 3/17-3/20 </v>
      </c>
      <c r="AK198" s="297"/>
      <c r="AL198" s="297"/>
      <c r="AM198" s="297"/>
      <c r="AN198" s="297"/>
      <c r="AO198" s="297"/>
      <c r="AP198" s="297"/>
      <c r="AQ198" s="297"/>
      <c r="AR198" s="297"/>
      <c r="AS198" s="297"/>
      <c r="AT198" s="297"/>
      <c r="AU198" s="297"/>
      <c r="AV198" s="297"/>
      <c r="AW198" s="297"/>
      <c r="AX198" s="297"/>
      <c r="AY198" s="297"/>
      <c r="AZ198" s="297"/>
      <c r="BA198" s="297"/>
      <c r="BB198" s="297"/>
      <c r="BC198" s="297"/>
      <c r="BD198" s="297"/>
      <c r="BE198" s="297"/>
      <c r="BF198" s="297"/>
      <c r="BG198" s="297"/>
      <c r="BH198" s="297"/>
      <c r="BI198" s="297"/>
      <c r="BJ198" s="297"/>
      <c r="BK198" s="297"/>
      <c r="BL198" s="297"/>
      <c r="BM198" s="297"/>
      <c r="BN198" s="297"/>
      <c r="BO198" s="297"/>
      <c r="BP198" s="297"/>
      <c r="BQ198" s="297"/>
      <c r="BR198" s="297"/>
      <c r="BS198" s="297"/>
      <c r="BT198" s="297"/>
      <c r="BU198" s="297"/>
      <c r="BV198" s="297"/>
      <c r="BW198" s="297"/>
      <c r="BX198" s="297"/>
      <c r="BY198" s="297"/>
      <c r="BZ198" s="297"/>
      <c r="CA198" s="297"/>
      <c r="CB198" s="297"/>
      <c r="CC198" s="297"/>
      <c r="CD198" s="297"/>
      <c r="CE198" s="297"/>
      <c r="CF198" s="297"/>
      <c r="CG198" s="297"/>
    </row>
    <row r="199" spans="1:85" ht="12" customHeight="1" outlineLevel="4">
      <c r="A199" s="288"/>
      <c r="B199" s="288"/>
      <c r="C199" s="288">
        <v>5</v>
      </c>
      <c r="D199" s="257" t="s">
        <v>2385</v>
      </c>
      <c r="E199" s="244"/>
      <c r="F199" s="244"/>
      <c r="G199" s="244"/>
      <c r="H199" s="244"/>
      <c r="I199" s="244" t="s">
        <v>2111</v>
      </c>
      <c r="J199" s="244"/>
      <c r="K199" s="244"/>
      <c r="L199" s="244"/>
      <c r="M199" s="244"/>
      <c r="N199" s="244"/>
      <c r="O199" s="244"/>
      <c r="P199" s="319">
        <v>45737</v>
      </c>
      <c r="Q199" s="319">
        <v>45737</v>
      </c>
      <c r="R199" s="244"/>
      <c r="S199" s="242">
        <v>0.5</v>
      </c>
      <c r="T199" s="242">
        <v>0.5</v>
      </c>
      <c r="U199" s="242">
        <v>1</v>
      </c>
      <c r="V199" s="242">
        <v>1</v>
      </c>
      <c r="W199" s="243"/>
      <c r="X199" s="243"/>
      <c r="Y199" s="251"/>
      <c r="Z199" s="252">
        <v>0</v>
      </c>
      <c r="AA199" s="320">
        <v>0.5</v>
      </c>
      <c r="AB199" s="314" t="s">
        <v>2213</v>
      </c>
      <c r="AC199" s="321" t="s">
        <v>2214</v>
      </c>
      <c r="AD199" s="239">
        <v>1</v>
      </c>
      <c r="AE199" s="304">
        <v>1</v>
      </c>
      <c r="AF199" s="296"/>
      <c r="AG199" s="297"/>
      <c r="AH199" s="297"/>
      <c r="AI199" s="297"/>
      <c r="AJ199" s="297" t="str">
        <f>"      " &amp; TEXT(AE199,"#0.00%") &amp; " " &amp; "데이터표준화 범위 검토" &amp; "(정지원님)" &amp; " " &amp; IF(P199="","",TEXT(P199,"M/D-")) &amp; IF(Q199="","",TEXT(Q199,"M/D")) &amp; " "</f>
        <v xml:space="preserve">      100.00% 데이터표준화 범위 검토(정지원님) 3/21-3/21 </v>
      </c>
      <c r="AK199" s="297"/>
      <c r="AL199" s="297"/>
      <c r="AM199" s="297"/>
      <c r="AN199" s="297"/>
      <c r="AO199" s="297"/>
      <c r="AP199" s="297"/>
      <c r="AQ199" s="297"/>
      <c r="AR199" s="297"/>
      <c r="AS199" s="297"/>
      <c r="AT199" s="297"/>
      <c r="AU199" s="297"/>
      <c r="AV199" s="297"/>
      <c r="AW199" s="297"/>
      <c r="AX199" s="297"/>
      <c r="AY199" s="297"/>
      <c r="AZ199" s="297"/>
      <c r="BA199" s="297"/>
      <c r="BB199" s="297"/>
      <c r="BC199" s="297"/>
      <c r="BD199" s="297"/>
      <c r="BE199" s="297"/>
      <c r="BF199" s="297"/>
      <c r="BG199" s="297"/>
      <c r="BH199" s="297"/>
      <c r="BI199" s="297"/>
      <c r="BJ199" s="297"/>
      <c r="BK199" s="297"/>
      <c r="BL199" s="297"/>
      <c r="BM199" s="297"/>
      <c r="BN199" s="297"/>
      <c r="BO199" s="297"/>
      <c r="BP199" s="297"/>
      <c r="BQ199" s="297"/>
      <c r="BR199" s="297"/>
      <c r="BS199" s="297"/>
      <c r="BT199" s="297"/>
      <c r="BU199" s="297"/>
      <c r="BV199" s="297"/>
      <c r="BW199" s="297"/>
      <c r="BX199" s="297"/>
      <c r="BY199" s="297"/>
      <c r="BZ199" s="297"/>
      <c r="CA199" s="297"/>
      <c r="CB199" s="297"/>
      <c r="CC199" s="297"/>
      <c r="CD199" s="297"/>
      <c r="CE199" s="297"/>
      <c r="CF199" s="297"/>
      <c r="CG199" s="297"/>
    </row>
    <row r="200" spans="1:85" ht="12" customHeight="1" outlineLevel="3">
      <c r="A200" s="288"/>
      <c r="B200" s="288" t="s">
        <v>2334</v>
      </c>
      <c r="C200" s="288">
        <v>4</v>
      </c>
      <c r="D200" s="257" t="s">
        <v>2386</v>
      </c>
      <c r="E200" s="244"/>
      <c r="F200" s="244"/>
      <c r="G200" s="244"/>
      <c r="H200" s="244" t="s">
        <v>2112</v>
      </c>
      <c r="I200" s="244"/>
      <c r="J200" s="244"/>
      <c r="K200" s="244"/>
      <c r="L200" s="244"/>
      <c r="M200" s="244"/>
      <c r="N200" s="244"/>
      <c r="O200" s="244"/>
      <c r="P200" s="306">
        <v>45740</v>
      </c>
      <c r="Q200" s="306">
        <v>45744</v>
      </c>
      <c r="R200" s="244"/>
      <c r="S200" s="242">
        <v>6.5</v>
      </c>
      <c r="T200" s="242">
        <v>6.5</v>
      </c>
      <c r="U200" s="242">
        <v>5</v>
      </c>
      <c r="V200" s="242">
        <v>5</v>
      </c>
      <c r="W200" s="243"/>
      <c r="X200" s="243"/>
      <c r="Y200" s="251">
        <v>0</v>
      </c>
      <c r="Z200" s="252">
        <v>0</v>
      </c>
      <c r="AA200" s="222"/>
      <c r="AB200" s="256"/>
      <c r="AC200" s="307"/>
      <c r="AD200" s="239">
        <v>1</v>
      </c>
      <c r="AE200" s="241">
        <v>1</v>
      </c>
      <c r="AF200" s="296"/>
      <c r="AG200" s="297"/>
      <c r="AH200" s="297"/>
      <c r="AI200" s="297"/>
      <c r="AJ200" s="297"/>
      <c r="AK200" s="297" t="str">
        <f>"      " &amp; TEXT(AE200,"#0.00%") &amp; " " &amp; "데이터표준화" &amp; " " &amp; IF(P200="","",TEXT(P200,"M/D-")) &amp; IF(Q200="","",TEXT(Q200,"M/D")) &amp; " "</f>
        <v xml:space="preserve">      100.00% 데이터표준화 3/24-3/28 </v>
      </c>
      <c r="AL200" s="297"/>
      <c r="AM200" s="297"/>
      <c r="AN200" s="297"/>
      <c r="AO200" s="297"/>
      <c r="AP200" s="297"/>
      <c r="AQ200" s="297"/>
      <c r="AR200" s="297"/>
      <c r="AS200" s="297"/>
      <c r="AT200" s="297"/>
      <c r="AU200" s="297"/>
      <c r="AV200" s="297"/>
      <c r="AW200" s="297"/>
      <c r="AX200" s="297"/>
      <c r="AY200" s="297"/>
      <c r="AZ200" s="297"/>
      <c r="BA200" s="297"/>
      <c r="BB200" s="297"/>
      <c r="BC200" s="297"/>
      <c r="BD200" s="297"/>
      <c r="BE200" s="297"/>
      <c r="BF200" s="297"/>
      <c r="BG200" s="297"/>
      <c r="BH200" s="297"/>
      <c r="BI200" s="297"/>
      <c r="BJ200" s="297"/>
      <c r="BK200" s="297"/>
      <c r="BL200" s="297"/>
      <c r="BM200" s="297"/>
      <c r="BN200" s="297"/>
      <c r="BO200" s="297"/>
      <c r="BP200" s="297"/>
      <c r="BQ200" s="297"/>
      <c r="BR200" s="297"/>
      <c r="BS200" s="297"/>
      <c r="BT200" s="297"/>
      <c r="BU200" s="297"/>
      <c r="BV200" s="297"/>
      <c r="BW200" s="297"/>
      <c r="BX200" s="297"/>
      <c r="BY200" s="297"/>
      <c r="BZ200" s="297"/>
      <c r="CA200" s="297"/>
      <c r="CB200" s="297"/>
      <c r="CC200" s="297"/>
      <c r="CD200" s="297"/>
      <c r="CE200" s="297"/>
      <c r="CF200" s="297"/>
      <c r="CG200" s="297"/>
    </row>
    <row r="201" spans="1:85" ht="12" customHeight="1" outlineLevel="4">
      <c r="A201" s="288"/>
      <c r="B201" s="288"/>
      <c r="C201" s="288">
        <v>5</v>
      </c>
      <c r="D201" s="257" t="s">
        <v>2387</v>
      </c>
      <c r="E201" s="244"/>
      <c r="F201" s="244"/>
      <c r="G201" s="244"/>
      <c r="H201" s="244"/>
      <c r="I201" s="314" t="s">
        <v>2113</v>
      </c>
      <c r="J201" s="314"/>
      <c r="K201" s="314"/>
      <c r="L201" s="314"/>
      <c r="M201" s="314"/>
      <c r="N201" s="314"/>
      <c r="O201" s="314"/>
      <c r="P201" s="319">
        <v>45740</v>
      </c>
      <c r="Q201" s="319">
        <v>45744</v>
      </c>
      <c r="R201" s="244"/>
      <c r="S201" s="242">
        <v>2.5</v>
      </c>
      <c r="T201" s="242">
        <v>2.5</v>
      </c>
      <c r="U201" s="242">
        <v>5</v>
      </c>
      <c r="V201" s="242">
        <v>5</v>
      </c>
      <c r="W201" s="243"/>
      <c r="X201" s="243"/>
      <c r="Y201" s="251"/>
      <c r="Z201" s="252">
        <v>0</v>
      </c>
      <c r="AA201" s="320">
        <v>0.5</v>
      </c>
      <c r="AB201" s="314" t="s">
        <v>2213</v>
      </c>
      <c r="AC201" s="321" t="s">
        <v>2214</v>
      </c>
      <c r="AD201" s="239">
        <v>1</v>
      </c>
      <c r="AE201" s="304">
        <v>1</v>
      </c>
      <c r="AF201" s="296"/>
      <c r="AG201" s="297"/>
      <c r="AH201" s="297"/>
      <c r="AI201" s="297"/>
      <c r="AJ201" s="297"/>
      <c r="AK201" s="297" t="str">
        <f>"      " &amp; TEXT(AE201,"#0.00%") &amp; " " &amp; "네이밍룰 확정 및 DB 생성" &amp; "(정지원님)" &amp; " " &amp; IF(P201="","",TEXT(P201,"M/D-")) &amp; IF(Q201="","",TEXT(Q201,"M/D")) &amp; " "</f>
        <v xml:space="preserve">      100.00% 네이밍룰 확정 및 DB 생성(정지원님) 3/24-3/28 </v>
      </c>
      <c r="AL201" s="297"/>
      <c r="AM201" s="297"/>
      <c r="AN201" s="297"/>
      <c r="AO201" s="297"/>
      <c r="AP201" s="297"/>
      <c r="AQ201" s="297"/>
      <c r="AR201" s="297"/>
      <c r="AS201" s="297"/>
      <c r="AT201" s="297"/>
      <c r="AU201" s="297"/>
      <c r="AV201" s="297"/>
      <c r="AW201" s="297"/>
      <c r="AX201" s="297"/>
      <c r="AY201" s="297"/>
      <c r="AZ201" s="297"/>
      <c r="BA201" s="297"/>
      <c r="BB201" s="297"/>
      <c r="BC201" s="297"/>
      <c r="BD201" s="297"/>
      <c r="BE201" s="297"/>
      <c r="BF201" s="297"/>
      <c r="BG201" s="297"/>
      <c r="BH201" s="297"/>
      <c r="BI201" s="297"/>
      <c r="BJ201" s="297"/>
      <c r="BK201" s="297"/>
      <c r="BL201" s="297"/>
      <c r="BM201" s="297"/>
      <c r="BN201" s="297"/>
      <c r="BO201" s="297"/>
      <c r="BP201" s="297"/>
      <c r="BQ201" s="297"/>
      <c r="BR201" s="297"/>
      <c r="BS201" s="297"/>
      <c r="BT201" s="297"/>
      <c r="BU201" s="297"/>
      <c r="BV201" s="297"/>
      <c r="BW201" s="297"/>
      <c r="BX201" s="297"/>
      <c r="BY201" s="297"/>
      <c r="BZ201" s="297"/>
      <c r="CA201" s="297"/>
      <c r="CB201" s="297"/>
      <c r="CC201" s="297"/>
      <c r="CD201" s="297"/>
      <c r="CE201" s="297"/>
      <c r="CF201" s="297"/>
      <c r="CG201" s="297"/>
    </row>
    <row r="202" spans="1:85" ht="12" customHeight="1" outlineLevel="4">
      <c r="A202" s="288"/>
      <c r="B202" s="288"/>
      <c r="C202" s="288">
        <v>5</v>
      </c>
      <c r="D202" s="257" t="s">
        <v>2388</v>
      </c>
      <c r="E202" s="244"/>
      <c r="F202" s="244"/>
      <c r="G202" s="244"/>
      <c r="H202" s="244"/>
      <c r="I202" s="314" t="s">
        <v>2114</v>
      </c>
      <c r="J202" s="314"/>
      <c r="K202" s="314"/>
      <c r="L202" s="314"/>
      <c r="M202" s="314"/>
      <c r="N202" s="314"/>
      <c r="O202" s="314"/>
      <c r="P202" s="319">
        <v>45740</v>
      </c>
      <c r="Q202" s="319">
        <v>45744</v>
      </c>
      <c r="R202" s="244"/>
      <c r="S202" s="242">
        <v>2.5</v>
      </c>
      <c r="T202" s="242">
        <v>2.5</v>
      </c>
      <c r="U202" s="242">
        <v>5</v>
      </c>
      <c r="V202" s="242">
        <v>5</v>
      </c>
      <c r="W202" s="243"/>
      <c r="X202" s="243"/>
      <c r="Y202" s="251"/>
      <c r="Z202" s="252">
        <v>0</v>
      </c>
      <c r="AA202" s="320">
        <v>0.5</v>
      </c>
      <c r="AB202" s="314" t="s">
        <v>2213</v>
      </c>
      <c r="AC202" s="321" t="s">
        <v>2214</v>
      </c>
      <c r="AD202" s="239">
        <v>1</v>
      </c>
      <c r="AE202" s="304">
        <v>1</v>
      </c>
      <c r="AF202" s="296"/>
      <c r="AG202" s="297"/>
      <c r="AH202" s="297"/>
      <c r="AI202" s="297"/>
      <c r="AJ202" s="297"/>
      <c r="AK202" s="297" t="str">
        <f>"      " &amp; TEXT(AE202,"#0.00%") &amp; " " &amp; "ASIS 테이블명, 컬럼명, 데이터타입 분석" &amp; "(정지원님)" &amp; " " &amp; IF(P202="","",TEXT(P202,"M/D-")) &amp; IF(Q202="","",TEXT(Q202,"M/D")) &amp; " "</f>
        <v xml:space="preserve">      100.00% ASIS 테이블명, 컬럼명, 데이터타입 분석(정지원님) 3/24-3/28 </v>
      </c>
      <c r="AL202" s="297"/>
      <c r="AM202" s="297"/>
      <c r="AN202" s="297"/>
      <c r="AO202" s="297"/>
      <c r="AP202" s="297"/>
      <c r="AQ202" s="297"/>
      <c r="AR202" s="297"/>
      <c r="AS202" s="297"/>
      <c r="AT202" s="297"/>
      <c r="AU202" s="297"/>
      <c r="AV202" s="297"/>
      <c r="AW202" s="297"/>
      <c r="AX202" s="297"/>
      <c r="AY202" s="297"/>
      <c r="AZ202" s="297"/>
      <c r="BA202" s="297"/>
      <c r="BB202" s="297"/>
      <c r="BC202" s="297"/>
      <c r="BD202" s="297"/>
      <c r="BE202" s="297"/>
      <c r="BF202" s="297"/>
      <c r="BG202" s="297"/>
      <c r="BH202" s="297"/>
      <c r="BI202" s="297"/>
      <c r="BJ202" s="297"/>
      <c r="BK202" s="297"/>
      <c r="BL202" s="297"/>
      <c r="BM202" s="297"/>
      <c r="BN202" s="297"/>
      <c r="BO202" s="297"/>
      <c r="BP202" s="297"/>
      <c r="BQ202" s="297"/>
      <c r="BR202" s="297"/>
      <c r="BS202" s="297"/>
      <c r="BT202" s="297"/>
      <c r="BU202" s="297"/>
      <c r="BV202" s="297"/>
      <c r="BW202" s="297"/>
      <c r="BX202" s="297"/>
      <c r="BY202" s="297"/>
      <c r="BZ202" s="297"/>
      <c r="CA202" s="297"/>
      <c r="CB202" s="297"/>
      <c r="CC202" s="297"/>
      <c r="CD202" s="297"/>
      <c r="CE202" s="297"/>
      <c r="CF202" s="297"/>
      <c r="CG202" s="297"/>
    </row>
    <row r="203" spans="1:85" ht="12" customHeight="1" outlineLevel="4">
      <c r="A203" s="288"/>
      <c r="B203" s="288"/>
      <c r="C203" s="288">
        <v>5</v>
      </c>
      <c r="D203" s="257" t="s">
        <v>2389</v>
      </c>
      <c r="E203" s="244"/>
      <c r="F203" s="244"/>
      <c r="G203" s="244"/>
      <c r="H203" s="244"/>
      <c r="I203" s="314" t="s">
        <v>2115</v>
      </c>
      <c r="J203" s="314"/>
      <c r="K203" s="314"/>
      <c r="L203" s="314"/>
      <c r="M203" s="314"/>
      <c r="N203" s="314"/>
      <c r="O203" s="314"/>
      <c r="P203" s="319">
        <v>45740</v>
      </c>
      <c r="Q203" s="319">
        <v>45744</v>
      </c>
      <c r="R203" s="244"/>
      <c r="S203" s="242">
        <v>1.5</v>
      </c>
      <c r="T203" s="242">
        <v>1.5</v>
      </c>
      <c r="U203" s="242">
        <v>5</v>
      </c>
      <c r="V203" s="242">
        <v>5</v>
      </c>
      <c r="W203" s="243"/>
      <c r="X203" s="243"/>
      <c r="Y203" s="251"/>
      <c r="Z203" s="252">
        <v>0</v>
      </c>
      <c r="AA203" s="320">
        <v>0.3</v>
      </c>
      <c r="AB203" s="314" t="s">
        <v>2213</v>
      </c>
      <c r="AC203" s="321"/>
      <c r="AD203" s="239">
        <v>1</v>
      </c>
      <c r="AE203" s="304">
        <v>1</v>
      </c>
      <c r="AF203" s="296"/>
      <c r="AG203" s="297"/>
      <c r="AH203" s="297"/>
      <c r="AI203" s="297"/>
      <c r="AJ203" s="297"/>
      <c r="AK203" s="297" t="str">
        <f>"      " &amp; TEXT(AE203,"#0.00%") &amp; " " &amp; "TO-BE 표준단어 추출 " &amp; "(정지원님)" &amp; " " &amp; IF(P203="","",TEXT(P203,"M/D-")) &amp; IF(Q203="","",TEXT(Q203,"M/D")) &amp; " "</f>
        <v xml:space="preserve">      100.00% TO-BE 표준단어 추출 (정지원님) 3/24-3/28 </v>
      </c>
      <c r="AL203" s="297"/>
      <c r="AM203" s="297"/>
      <c r="AN203" s="297"/>
      <c r="AO203" s="297"/>
      <c r="AP203" s="297"/>
      <c r="AQ203" s="297"/>
      <c r="AR203" s="297"/>
      <c r="AS203" s="297"/>
      <c r="AT203" s="297"/>
      <c r="AU203" s="297"/>
      <c r="AV203" s="297"/>
      <c r="AW203" s="297"/>
      <c r="AX203" s="297"/>
      <c r="AY203" s="297"/>
      <c r="AZ203" s="297"/>
      <c r="BA203" s="297"/>
      <c r="BB203" s="297"/>
      <c r="BC203" s="297"/>
      <c r="BD203" s="297"/>
      <c r="BE203" s="297"/>
      <c r="BF203" s="297"/>
      <c r="BG203" s="297"/>
      <c r="BH203" s="297"/>
      <c r="BI203" s="297"/>
      <c r="BJ203" s="297"/>
      <c r="BK203" s="297"/>
      <c r="BL203" s="297"/>
      <c r="BM203" s="297"/>
      <c r="BN203" s="297"/>
      <c r="BO203" s="297"/>
      <c r="BP203" s="297"/>
      <c r="BQ203" s="297"/>
      <c r="BR203" s="297"/>
      <c r="BS203" s="297"/>
      <c r="BT203" s="297"/>
      <c r="BU203" s="297"/>
      <c r="BV203" s="297"/>
      <c r="BW203" s="297"/>
      <c r="BX203" s="297"/>
      <c r="BY203" s="297"/>
      <c r="BZ203" s="297"/>
      <c r="CA203" s="297"/>
      <c r="CB203" s="297"/>
      <c r="CC203" s="297"/>
      <c r="CD203" s="297"/>
      <c r="CE203" s="297"/>
      <c r="CF203" s="297"/>
      <c r="CG203" s="297"/>
    </row>
    <row r="204" spans="1:85" ht="12" customHeight="1" outlineLevel="3">
      <c r="A204" s="288"/>
      <c r="B204" s="288" t="s">
        <v>2334</v>
      </c>
      <c r="C204" s="288">
        <v>4</v>
      </c>
      <c r="D204" s="257" t="s">
        <v>2390</v>
      </c>
      <c r="E204" s="244"/>
      <c r="F204" s="244"/>
      <c r="G204" s="244"/>
      <c r="H204" s="244" t="s">
        <v>2215</v>
      </c>
      <c r="I204" s="314"/>
      <c r="J204" s="314"/>
      <c r="K204" s="314"/>
      <c r="L204" s="314"/>
      <c r="M204" s="314"/>
      <c r="N204" s="314"/>
      <c r="O204" s="314"/>
      <c r="P204" s="319">
        <v>45747</v>
      </c>
      <c r="Q204" s="319">
        <v>45777</v>
      </c>
      <c r="R204" s="244"/>
      <c r="S204" s="242">
        <v>8.3999999999999986</v>
      </c>
      <c r="T204" s="242">
        <v>8.3999999999999986</v>
      </c>
      <c r="U204" s="242">
        <v>23</v>
      </c>
      <c r="V204" s="242">
        <v>23</v>
      </c>
      <c r="W204" s="243"/>
      <c r="X204" s="243"/>
      <c r="Y204" s="251">
        <v>0</v>
      </c>
      <c r="Z204" s="252">
        <v>0</v>
      </c>
      <c r="AA204" s="320"/>
      <c r="AB204" s="314" t="s">
        <v>2213</v>
      </c>
      <c r="AC204" s="321" t="s">
        <v>2217</v>
      </c>
      <c r="AD204" s="239">
        <v>1</v>
      </c>
      <c r="AE204" s="241">
        <v>1</v>
      </c>
      <c r="AF204" s="296"/>
      <c r="AG204" s="297"/>
      <c r="AH204" s="297"/>
      <c r="AI204" s="297"/>
      <c r="AJ204" s="297"/>
      <c r="AK204" s="297"/>
      <c r="AL204" s="297"/>
      <c r="AM204" s="297"/>
      <c r="AN204" s="297"/>
      <c r="AO204" s="297"/>
      <c r="AP204" s="297" t="str">
        <f>"    " &amp; TEXT(AE204,"#0.00%") &amp; " " &amp; "데이터표준 적용 및 모델관리" &amp; "(정지원님)" &amp; " " &amp; IF(P204="","",TEXT(P204,"M/D-")) &amp; IF(Q204="","",TEXT(Q204,"M/D")) &amp; " "</f>
        <v xml:space="preserve">    100.00% 데이터표준 적용 및 모델관리(정지원님) 3/31-4/30 </v>
      </c>
      <c r="AQ204" s="297"/>
      <c r="AR204" s="297"/>
      <c r="AS204" s="297"/>
      <c r="AT204" s="297"/>
      <c r="AU204" s="297"/>
      <c r="AV204" s="297"/>
      <c r="AW204" s="297"/>
      <c r="AX204" s="297"/>
      <c r="AY204" s="297"/>
      <c r="AZ204" s="297"/>
      <c r="BA204" s="297"/>
      <c r="BB204" s="297"/>
      <c r="BC204" s="297"/>
      <c r="BD204" s="297"/>
      <c r="BE204" s="297"/>
      <c r="BF204" s="297"/>
      <c r="BG204" s="297"/>
      <c r="BH204" s="297"/>
      <c r="BI204" s="297"/>
      <c r="BJ204" s="297"/>
      <c r="BK204" s="297"/>
      <c r="BL204" s="297"/>
      <c r="BM204" s="297"/>
      <c r="BN204" s="297"/>
      <c r="BO204" s="297"/>
      <c r="BP204" s="297"/>
      <c r="BQ204" s="297"/>
      <c r="BR204" s="297"/>
      <c r="BS204" s="297"/>
      <c r="BT204" s="297"/>
      <c r="BU204" s="297"/>
      <c r="BV204" s="297"/>
      <c r="BW204" s="297"/>
      <c r="BX204" s="297"/>
      <c r="BY204" s="297"/>
      <c r="BZ204" s="297"/>
      <c r="CA204" s="297"/>
      <c r="CB204" s="297"/>
      <c r="CC204" s="297"/>
      <c r="CD204" s="297"/>
      <c r="CE204" s="297"/>
      <c r="CF204" s="297"/>
      <c r="CG204" s="297"/>
    </row>
    <row r="205" spans="1:85" ht="12" customHeight="1" outlineLevel="4">
      <c r="A205" s="288"/>
      <c r="B205" s="288"/>
      <c r="C205" s="288">
        <v>5</v>
      </c>
      <c r="D205" s="257" t="s">
        <v>2391</v>
      </c>
      <c r="E205" s="244"/>
      <c r="F205" s="244"/>
      <c r="G205" s="244"/>
      <c r="H205" s="244"/>
      <c r="I205" s="244" t="s">
        <v>2118</v>
      </c>
      <c r="J205" s="244"/>
      <c r="K205" s="244"/>
      <c r="L205" s="244"/>
      <c r="M205" s="244"/>
      <c r="N205" s="244"/>
      <c r="O205" s="244"/>
      <c r="P205" s="243">
        <v>45747</v>
      </c>
      <c r="Q205" s="243">
        <v>45748</v>
      </c>
      <c r="R205" s="244"/>
      <c r="S205" s="242">
        <v>0.6</v>
      </c>
      <c r="T205" s="242">
        <v>0.6</v>
      </c>
      <c r="U205" s="242">
        <v>2</v>
      </c>
      <c r="V205" s="242">
        <v>2</v>
      </c>
      <c r="W205" s="243"/>
      <c r="X205" s="243"/>
      <c r="Y205" s="251"/>
      <c r="Z205" s="252">
        <v>0</v>
      </c>
      <c r="AA205" s="242">
        <v>0.3</v>
      </c>
      <c r="AB205" s="256"/>
      <c r="AC205" s="307"/>
      <c r="AD205" s="239">
        <v>1</v>
      </c>
      <c r="AE205" s="304">
        <v>1</v>
      </c>
      <c r="AF205" s="296"/>
      <c r="AG205" s="297"/>
      <c r="AH205" s="297"/>
      <c r="AI205" s="297"/>
      <c r="AJ205" s="297"/>
      <c r="AK205" s="297"/>
      <c r="AL205" s="297" t="str">
        <f>"   " &amp; TEXT(AE205,"#0.00%") &amp; " " &amp; "표준 항목 정리(표준단어, 표준용어, 도메인)" &amp; " " &amp; IF(P205="","",TEXT(P205,"M/D-")) &amp; IF(Q205="","",TEXT(Q205,"M/D")) &amp; " "</f>
        <v xml:space="preserve">   100.00% 표준 항목 정리(표준단어, 표준용어, 도메인) 3/31-4/1 </v>
      </c>
      <c r="AM205" s="297"/>
      <c r="AN205" s="297"/>
      <c r="AO205" s="297"/>
      <c r="AP205" s="297"/>
      <c r="AQ205" s="297"/>
      <c r="AR205" s="297"/>
      <c r="AS205" s="297"/>
      <c r="AT205" s="297"/>
      <c r="AU205" s="297"/>
      <c r="AV205" s="297"/>
      <c r="AW205" s="297"/>
      <c r="AX205" s="297"/>
      <c r="AY205" s="297"/>
      <c r="AZ205" s="297"/>
      <c r="BA205" s="297"/>
      <c r="BB205" s="297"/>
      <c r="BC205" s="297"/>
      <c r="BD205" s="297"/>
      <c r="BE205" s="297"/>
      <c r="BF205" s="297"/>
      <c r="BG205" s="297"/>
      <c r="BH205" s="297"/>
      <c r="BI205" s="297"/>
      <c r="BJ205" s="297"/>
      <c r="BK205" s="297"/>
      <c r="BL205" s="297"/>
      <c r="BM205" s="297"/>
      <c r="BN205" s="297"/>
      <c r="BO205" s="297"/>
      <c r="BP205" s="297"/>
      <c r="BQ205" s="297"/>
      <c r="BR205" s="297"/>
      <c r="BS205" s="297"/>
      <c r="BT205" s="297"/>
      <c r="BU205" s="297"/>
      <c r="BV205" s="297"/>
      <c r="BW205" s="297"/>
      <c r="BX205" s="297"/>
      <c r="BY205" s="297"/>
      <c r="BZ205" s="297"/>
      <c r="CA205" s="297"/>
      <c r="CB205" s="297"/>
      <c r="CC205" s="297"/>
      <c r="CD205" s="297"/>
      <c r="CE205" s="297"/>
      <c r="CF205" s="297"/>
      <c r="CG205" s="297"/>
    </row>
    <row r="206" spans="1:85" ht="12" customHeight="1" outlineLevel="4">
      <c r="A206" s="288"/>
      <c r="B206" s="288"/>
      <c r="C206" s="288">
        <v>5</v>
      </c>
      <c r="D206" s="257" t="s">
        <v>2392</v>
      </c>
      <c r="E206" s="244"/>
      <c r="F206" s="244"/>
      <c r="G206" s="244"/>
      <c r="H206" s="244"/>
      <c r="I206" s="244" t="s">
        <v>2216</v>
      </c>
      <c r="J206" s="244"/>
      <c r="K206" s="244"/>
      <c r="L206" s="244"/>
      <c r="M206" s="244"/>
      <c r="N206" s="244"/>
      <c r="O206" s="244"/>
      <c r="P206" s="243">
        <v>45747</v>
      </c>
      <c r="Q206" s="243">
        <v>45748</v>
      </c>
      <c r="R206" s="244"/>
      <c r="S206" s="242">
        <v>0.6</v>
      </c>
      <c r="T206" s="242">
        <v>0.6</v>
      </c>
      <c r="U206" s="242">
        <v>2</v>
      </c>
      <c r="V206" s="242">
        <v>2</v>
      </c>
      <c r="W206" s="243"/>
      <c r="X206" s="243"/>
      <c r="Y206" s="251"/>
      <c r="Z206" s="252">
        <v>0</v>
      </c>
      <c r="AA206" s="242">
        <v>0.3</v>
      </c>
      <c r="AB206" s="314" t="s">
        <v>2213</v>
      </c>
      <c r="AC206" s="321" t="s">
        <v>2224</v>
      </c>
      <c r="AD206" s="239">
        <v>1</v>
      </c>
      <c r="AE206" s="304">
        <v>1</v>
      </c>
      <c r="AF206" s="296"/>
      <c r="AG206" s="297"/>
      <c r="AH206" s="297"/>
      <c r="AI206" s="297"/>
      <c r="AJ206" s="297"/>
      <c r="AK206" s="297"/>
      <c r="AL206" s="297" t="str">
        <f>"   " &amp; TEXT(AE206,"#0.00%") &amp; " " &amp; "데이터표표준 적용 및 물리반영" &amp; "(정지원님)" &amp; " " &amp; IF(P206="","",TEXT(P206,"M/D-")) &amp; IF(Q206="","",TEXT(Q206,"M/D")) &amp; " "</f>
        <v xml:space="preserve">   100.00% 데이터표표준 적용 및 물리반영(정지원님) 3/31-4/1 </v>
      </c>
      <c r="AM206" s="297"/>
      <c r="AN206" s="297"/>
      <c r="AO206" s="297"/>
      <c r="AP206" s="297"/>
      <c r="AQ206" s="297"/>
      <c r="AR206" s="297"/>
      <c r="AS206" s="297"/>
      <c r="AT206" s="297"/>
      <c r="AU206" s="297"/>
      <c r="AV206" s="297"/>
      <c r="AW206" s="297"/>
      <c r="AX206" s="297"/>
      <c r="AY206" s="297"/>
      <c r="AZ206" s="297"/>
      <c r="BA206" s="297"/>
      <c r="BB206" s="297"/>
      <c r="BC206" s="297"/>
      <c r="BD206" s="297"/>
      <c r="BE206" s="297"/>
      <c r="BF206" s="297"/>
      <c r="BG206" s="297"/>
      <c r="BH206" s="297"/>
      <c r="BI206" s="297"/>
      <c r="BJ206" s="297"/>
      <c r="BK206" s="297"/>
      <c r="BL206" s="297"/>
      <c r="BM206" s="297"/>
      <c r="BN206" s="297"/>
      <c r="BO206" s="297"/>
      <c r="BP206" s="297"/>
      <c r="BQ206" s="297"/>
      <c r="BR206" s="297"/>
      <c r="BS206" s="297"/>
      <c r="BT206" s="297"/>
      <c r="BU206" s="297"/>
      <c r="BV206" s="297"/>
      <c r="BW206" s="297"/>
      <c r="BX206" s="297"/>
      <c r="BY206" s="297"/>
      <c r="BZ206" s="297"/>
      <c r="CA206" s="297"/>
      <c r="CB206" s="297"/>
      <c r="CC206" s="297"/>
      <c r="CD206" s="297"/>
      <c r="CE206" s="297"/>
      <c r="CF206" s="297"/>
      <c r="CG206" s="297"/>
    </row>
    <row r="207" spans="1:85" ht="12" customHeight="1" outlineLevel="4">
      <c r="A207" s="288"/>
      <c r="B207" s="288"/>
      <c r="C207" s="288">
        <v>5</v>
      </c>
      <c r="D207" s="257" t="s">
        <v>2393</v>
      </c>
      <c r="E207" s="244"/>
      <c r="F207" s="244"/>
      <c r="G207" s="244"/>
      <c r="H207" s="244"/>
      <c r="I207" s="244" t="s">
        <v>2117</v>
      </c>
      <c r="J207" s="244"/>
      <c r="K207" s="244"/>
      <c r="L207" s="244"/>
      <c r="M207" s="244"/>
      <c r="N207" s="244"/>
      <c r="O207" s="244"/>
      <c r="P207" s="243">
        <v>45749</v>
      </c>
      <c r="Q207" s="243">
        <v>45751</v>
      </c>
      <c r="R207" s="244"/>
      <c r="S207" s="242">
        <v>0.89999999999999991</v>
      </c>
      <c r="T207" s="242">
        <v>0.89999999999999991</v>
      </c>
      <c r="U207" s="242">
        <v>3</v>
      </c>
      <c r="V207" s="242">
        <v>3</v>
      </c>
      <c r="W207" s="243"/>
      <c r="X207" s="243"/>
      <c r="Y207" s="251"/>
      <c r="Z207" s="252">
        <v>0</v>
      </c>
      <c r="AA207" s="242">
        <v>0.3</v>
      </c>
      <c r="AB207" s="314" t="s">
        <v>2213</v>
      </c>
      <c r="AC207" s="321" t="s">
        <v>2224</v>
      </c>
      <c r="AD207" s="239">
        <v>1</v>
      </c>
      <c r="AE207" s="304">
        <v>1</v>
      </c>
      <c r="AF207" s="296"/>
      <c r="AG207" s="297"/>
      <c r="AH207" s="297"/>
      <c r="AI207" s="297"/>
      <c r="AJ207" s="297"/>
      <c r="AK207" s="297"/>
      <c r="AL207" s="297" t="str">
        <f>"      " &amp; TEXT(AE207,"#0.00%") &amp; " " &amp; "모델링 도구 검토 및 가이드" &amp; "(정지원님)" &amp; " " &amp; IF(P207="","",TEXT(P207,"M/D-")) &amp; IF(Q207="","",TEXT(Q207,"M/D")) &amp; " "</f>
        <v xml:space="preserve">      100.00% 모델링 도구 검토 및 가이드(정지원님) 4/2-4/4 </v>
      </c>
      <c r="AM207" s="297"/>
      <c r="AN207" s="297"/>
      <c r="AO207" s="297"/>
      <c r="AP207" s="297"/>
      <c r="AQ207" s="297"/>
      <c r="AR207" s="297"/>
      <c r="AS207" s="297"/>
      <c r="AT207" s="297"/>
      <c r="AU207" s="297"/>
      <c r="AV207" s="297"/>
      <c r="AW207" s="297"/>
      <c r="AX207" s="297"/>
      <c r="AY207" s="297"/>
      <c r="AZ207" s="297"/>
      <c r="BA207" s="297"/>
      <c r="BB207" s="297"/>
      <c r="BC207" s="297"/>
      <c r="BD207" s="297"/>
      <c r="BE207" s="297"/>
      <c r="BF207" s="297"/>
      <c r="BG207" s="297"/>
      <c r="BH207" s="297"/>
      <c r="BI207" s="297"/>
      <c r="BJ207" s="297"/>
      <c r="BK207" s="297"/>
      <c r="BL207" s="297"/>
      <c r="BM207" s="297"/>
      <c r="BN207" s="297"/>
      <c r="BO207" s="297"/>
      <c r="BP207" s="297"/>
      <c r="BQ207" s="297"/>
      <c r="BR207" s="297"/>
      <c r="BS207" s="297"/>
      <c r="BT207" s="297"/>
      <c r="BU207" s="297"/>
      <c r="BV207" s="297"/>
      <c r="BW207" s="297"/>
      <c r="BX207" s="297"/>
      <c r="BY207" s="297"/>
      <c r="BZ207" s="297"/>
      <c r="CA207" s="297"/>
      <c r="CB207" s="297"/>
      <c r="CC207" s="297"/>
      <c r="CD207" s="297"/>
      <c r="CE207" s="297"/>
      <c r="CF207" s="297"/>
      <c r="CG207" s="297"/>
    </row>
    <row r="208" spans="1:85" ht="12" customHeight="1" outlineLevel="4">
      <c r="A208" s="288"/>
      <c r="B208" s="288"/>
      <c r="C208" s="288">
        <v>5</v>
      </c>
      <c r="D208" s="257" t="s">
        <v>2394</v>
      </c>
      <c r="E208" s="244"/>
      <c r="F208" s="244"/>
      <c r="G208" s="244"/>
      <c r="H208" s="244"/>
      <c r="I208" s="244" t="s">
        <v>2119</v>
      </c>
      <c r="J208" s="244"/>
      <c r="K208" s="244"/>
      <c r="L208" s="244"/>
      <c r="M208" s="244"/>
      <c r="N208" s="244"/>
      <c r="O208" s="244"/>
      <c r="P208" s="243">
        <v>45749</v>
      </c>
      <c r="Q208" s="243">
        <v>45777</v>
      </c>
      <c r="R208" s="244"/>
      <c r="S208" s="242">
        <v>6.3</v>
      </c>
      <c r="T208" s="242">
        <v>6.3</v>
      </c>
      <c r="U208" s="242">
        <v>21</v>
      </c>
      <c r="V208" s="242">
        <v>21</v>
      </c>
      <c r="W208" s="243"/>
      <c r="X208" s="243"/>
      <c r="Y208" s="251"/>
      <c r="Z208" s="252">
        <v>0</v>
      </c>
      <c r="AA208" s="242">
        <v>0.3</v>
      </c>
      <c r="AB208" s="314" t="s">
        <v>2213</v>
      </c>
      <c r="AC208" s="321" t="s">
        <v>2224</v>
      </c>
      <c r="AD208" s="239">
        <v>1</v>
      </c>
      <c r="AE208" s="304">
        <v>1</v>
      </c>
      <c r="AF208" s="296"/>
      <c r="AG208" s="297"/>
      <c r="AH208" s="297"/>
      <c r="AI208" s="297"/>
      <c r="AJ208" s="297"/>
      <c r="AK208" s="297"/>
      <c r="AL208" s="297"/>
      <c r="AM208" s="297"/>
      <c r="AN208" s="297"/>
      <c r="AO208" s="297"/>
      <c r="AP208" s="297" t="str">
        <f>"    " &amp; TEXT(AE208,"#0.00%") &amp; " " &amp; "ERD 작성" &amp; "(정지원님)" &amp; " " &amp; IF(P208="","",TEXT(P208,"M/D-")) &amp; IF(Q208="","",TEXT(Q208,"M/D")) &amp; " "</f>
        <v xml:space="preserve">    100.00% ERD 작성(정지원님) 4/2-4/30 </v>
      </c>
      <c r="AQ208" s="297"/>
      <c r="AR208" s="297"/>
      <c r="AS208" s="297"/>
      <c r="AT208" s="297"/>
      <c r="AU208" s="297"/>
      <c r="AV208" s="297"/>
      <c r="AW208" s="297"/>
      <c r="AX208" s="297"/>
      <c r="AY208" s="297"/>
      <c r="AZ208" s="297"/>
      <c r="BA208" s="297"/>
      <c r="BB208" s="297"/>
      <c r="BC208" s="297"/>
      <c r="BD208" s="297"/>
      <c r="BE208" s="297"/>
      <c r="BF208" s="297"/>
      <c r="BG208" s="297"/>
      <c r="BH208" s="297"/>
      <c r="BI208" s="297"/>
      <c r="BJ208" s="297"/>
      <c r="BK208" s="297"/>
      <c r="BL208" s="297"/>
      <c r="BM208" s="297"/>
      <c r="BN208" s="297"/>
      <c r="BO208" s="297"/>
      <c r="BP208" s="297"/>
      <c r="BQ208" s="297"/>
      <c r="BR208" s="297"/>
      <c r="BS208" s="297"/>
      <c r="BT208" s="297"/>
      <c r="BU208" s="297"/>
      <c r="BV208" s="297"/>
      <c r="BW208" s="297"/>
      <c r="BX208" s="297"/>
      <c r="BY208" s="297"/>
      <c r="BZ208" s="297"/>
      <c r="CA208" s="297"/>
      <c r="CB208" s="297"/>
      <c r="CC208" s="297"/>
      <c r="CD208" s="297"/>
      <c r="CE208" s="297"/>
      <c r="CF208" s="297"/>
      <c r="CG208" s="297"/>
    </row>
    <row r="209" spans="1:85" ht="12" customHeight="1" outlineLevel="3">
      <c r="A209" s="288"/>
      <c r="B209" s="288" t="s">
        <v>2334</v>
      </c>
      <c r="C209" s="288">
        <v>4</v>
      </c>
      <c r="D209" s="257" t="s">
        <v>2395</v>
      </c>
      <c r="E209" s="244"/>
      <c r="F209" s="244"/>
      <c r="G209" s="244"/>
      <c r="H209" s="244" t="s">
        <v>2120</v>
      </c>
      <c r="I209" s="244"/>
      <c r="J209" s="244"/>
      <c r="K209" s="244"/>
      <c r="L209" s="244"/>
      <c r="M209" s="244"/>
      <c r="N209" s="244"/>
      <c r="O209" s="244"/>
      <c r="P209" s="243">
        <v>45754</v>
      </c>
      <c r="Q209" s="243">
        <v>45758</v>
      </c>
      <c r="R209" s="244"/>
      <c r="S209" s="242">
        <v>9</v>
      </c>
      <c r="T209" s="242">
        <v>9</v>
      </c>
      <c r="U209" s="242">
        <v>5</v>
      </c>
      <c r="V209" s="242">
        <v>5</v>
      </c>
      <c r="W209" s="243"/>
      <c r="X209" s="243"/>
      <c r="Y209" s="251">
        <v>0</v>
      </c>
      <c r="Z209" s="252">
        <v>0</v>
      </c>
      <c r="AA209" s="242"/>
      <c r="AB209" s="314" t="s">
        <v>2213</v>
      </c>
      <c r="AC209" s="321" t="s">
        <v>2224</v>
      </c>
      <c r="AD209" s="239">
        <v>1</v>
      </c>
      <c r="AE209" s="241">
        <v>1</v>
      </c>
      <c r="AF209" s="296"/>
      <c r="AG209" s="297"/>
      <c r="AH209" s="297"/>
      <c r="AI209" s="297"/>
      <c r="AJ209" s="297"/>
      <c r="AK209" s="297"/>
      <c r="AL209" s="297"/>
      <c r="AM209" s="297" t="str">
        <f>"      " &amp; TEXT(AE209,"#0.00%") &amp; " " &amp; "데이터 베이스 정책 수립" &amp; "(정지원님)" &amp; " " &amp; IF(P209="","",TEXT(P209,"M/D-")) &amp; IF(Q209="","",TEXT(Q209,"M/D")) &amp; " "</f>
        <v xml:space="preserve">      100.00% 데이터 베이스 정책 수립(정지원님) 4/7-4/11 </v>
      </c>
      <c r="AN209" s="297"/>
      <c r="AO209" s="297"/>
      <c r="AP209" s="297"/>
      <c r="AQ209" s="297"/>
      <c r="AR209" s="297"/>
      <c r="AS209" s="297"/>
      <c r="AT209" s="297"/>
      <c r="AU209" s="297"/>
      <c r="AV209" s="297"/>
      <c r="AW209" s="297"/>
      <c r="AX209" s="297"/>
      <c r="AY209" s="297"/>
      <c r="AZ209" s="297"/>
      <c r="BA209" s="297"/>
      <c r="BB209" s="297"/>
      <c r="BC209" s="297"/>
      <c r="BD209" s="297"/>
      <c r="BE209" s="297"/>
      <c r="BF209" s="297"/>
      <c r="BG209" s="297"/>
      <c r="BH209" s="297"/>
      <c r="BI209" s="297"/>
      <c r="BJ209" s="297"/>
      <c r="BK209" s="297"/>
      <c r="BL209" s="297"/>
      <c r="BM209" s="297"/>
      <c r="BN209" s="297"/>
      <c r="BO209" s="297"/>
      <c r="BP209" s="297"/>
      <c r="BQ209" s="297"/>
      <c r="BR209" s="297"/>
      <c r="BS209" s="297"/>
      <c r="BT209" s="297"/>
      <c r="BU209" s="297"/>
      <c r="BV209" s="297"/>
      <c r="BW209" s="297"/>
      <c r="BX209" s="297"/>
      <c r="BY209" s="297"/>
      <c r="BZ209" s="297"/>
      <c r="CA209" s="297"/>
      <c r="CB209" s="297"/>
      <c r="CC209" s="297"/>
      <c r="CD209" s="297"/>
      <c r="CE209" s="297"/>
      <c r="CF209" s="297"/>
      <c r="CG209" s="297"/>
    </row>
    <row r="210" spans="1:85" ht="12" customHeight="1" outlineLevel="4">
      <c r="A210" s="288"/>
      <c r="B210" s="288"/>
      <c r="C210" s="288">
        <v>5</v>
      </c>
      <c r="D210" s="257" t="s">
        <v>2396</v>
      </c>
      <c r="E210" s="244"/>
      <c r="F210" s="244"/>
      <c r="G210" s="244"/>
      <c r="H210" s="244"/>
      <c r="I210" s="244" t="s">
        <v>2218</v>
      </c>
      <c r="J210" s="244"/>
      <c r="K210" s="244"/>
      <c r="L210" s="244"/>
      <c r="M210" s="244"/>
      <c r="N210" s="244"/>
      <c r="O210" s="244"/>
      <c r="P210" s="243">
        <v>45754</v>
      </c>
      <c r="Q210" s="243">
        <v>45758</v>
      </c>
      <c r="R210" s="244"/>
      <c r="S210" s="242">
        <v>1.5</v>
      </c>
      <c r="T210" s="242">
        <v>1.5</v>
      </c>
      <c r="U210" s="242">
        <v>5</v>
      </c>
      <c r="V210" s="242">
        <v>5</v>
      </c>
      <c r="W210" s="243"/>
      <c r="X210" s="243"/>
      <c r="Y210" s="251"/>
      <c r="Z210" s="252">
        <v>0</v>
      </c>
      <c r="AA210" s="242">
        <v>0.3</v>
      </c>
      <c r="AB210" s="314" t="s">
        <v>2213</v>
      </c>
      <c r="AC210" s="321" t="s">
        <v>2224</v>
      </c>
      <c r="AD210" s="239">
        <v>1</v>
      </c>
      <c r="AE210" s="304">
        <v>1</v>
      </c>
      <c r="AF210" s="296"/>
      <c r="AG210" s="297"/>
      <c r="AH210" s="297"/>
      <c r="AI210" s="297"/>
      <c r="AJ210" s="297"/>
      <c r="AK210" s="297"/>
      <c r="AL210" s="297"/>
      <c r="AM210" s="297" t="str">
        <f>"      " &amp; TEXT(AE210,"#0.00%") &amp; " " &amp; "백업 정책(스냅샷) 수립" &amp; "(정지원님)" &amp; " " &amp; IF(P210="","",TEXT(P210,"M/D-")) &amp; IF(Q210="","",TEXT(Q210,"M/D")) &amp; " "</f>
        <v xml:space="preserve">      100.00% 백업 정책(스냅샷) 수립(정지원님) 4/7-4/11 </v>
      </c>
      <c r="AN210" s="297"/>
      <c r="AO210" s="297"/>
      <c r="AP210" s="297"/>
      <c r="AQ210" s="297"/>
      <c r="AR210" s="297"/>
      <c r="AS210" s="297"/>
      <c r="AT210" s="297"/>
      <c r="AU210" s="297"/>
      <c r="AV210" s="297"/>
      <c r="AW210" s="297"/>
      <c r="AX210" s="297"/>
      <c r="AY210" s="297"/>
      <c r="AZ210" s="297"/>
      <c r="BA210" s="297"/>
      <c r="BB210" s="297"/>
      <c r="BC210" s="297"/>
      <c r="BD210" s="297"/>
      <c r="BE210" s="297"/>
      <c r="BF210" s="297"/>
      <c r="BG210" s="297"/>
      <c r="BH210" s="297"/>
      <c r="BI210" s="297"/>
      <c r="BJ210" s="297"/>
      <c r="BK210" s="297"/>
      <c r="BL210" s="297"/>
      <c r="BM210" s="297"/>
      <c r="BN210" s="297"/>
      <c r="BO210" s="297"/>
      <c r="BP210" s="297"/>
      <c r="BQ210" s="297"/>
      <c r="BR210" s="297"/>
      <c r="BS210" s="297"/>
      <c r="BT210" s="297"/>
      <c r="BU210" s="297"/>
      <c r="BV210" s="297"/>
      <c r="BW210" s="297"/>
      <c r="BX210" s="297"/>
      <c r="BY210" s="297"/>
      <c r="BZ210" s="297"/>
      <c r="CA210" s="297"/>
      <c r="CB210" s="297"/>
      <c r="CC210" s="297"/>
      <c r="CD210" s="297"/>
      <c r="CE210" s="297"/>
      <c r="CF210" s="297"/>
      <c r="CG210" s="297"/>
    </row>
    <row r="211" spans="1:85" ht="12" customHeight="1" outlineLevel="4">
      <c r="A211" s="288"/>
      <c r="B211" s="288"/>
      <c r="C211" s="288">
        <v>5</v>
      </c>
      <c r="D211" s="257" t="s">
        <v>2397</v>
      </c>
      <c r="E211" s="244"/>
      <c r="F211" s="244"/>
      <c r="G211" s="244"/>
      <c r="H211" s="244"/>
      <c r="I211" s="244" t="s">
        <v>2219</v>
      </c>
      <c r="J211" s="244"/>
      <c r="K211" s="244"/>
      <c r="L211" s="244"/>
      <c r="M211" s="244"/>
      <c r="N211" s="244"/>
      <c r="O211" s="244"/>
      <c r="P211" s="243">
        <v>45754</v>
      </c>
      <c r="Q211" s="243">
        <v>45758</v>
      </c>
      <c r="R211" s="244"/>
      <c r="S211" s="242">
        <v>1.5</v>
      </c>
      <c r="T211" s="242">
        <v>1.5</v>
      </c>
      <c r="U211" s="242">
        <v>5</v>
      </c>
      <c r="V211" s="242">
        <v>5</v>
      </c>
      <c r="W211" s="243"/>
      <c r="X211" s="243"/>
      <c r="Y211" s="251"/>
      <c r="Z211" s="252">
        <v>0</v>
      </c>
      <c r="AA211" s="242">
        <v>0.3</v>
      </c>
      <c r="AB211" s="314" t="s">
        <v>2213</v>
      </c>
      <c r="AC211" s="321" t="s">
        <v>2224</v>
      </c>
      <c r="AD211" s="239">
        <v>1</v>
      </c>
      <c r="AE211" s="304">
        <v>1</v>
      </c>
      <c r="AF211" s="296"/>
      <c r="AG211" s="297"/>
      <c r="AH211" s="297"/>
      <c r="AI211" s="297"/>
      <c r="AJ211" s="297"/>
      <c r="AK211" s="297"/>
      <c r="AL211" s="297"/>
      <c r="AM211" s="297" t="str">
        <f>"      " &amp; TEXT(AE211,"#0.00%") &amp; " " &amp; "파티션 및 데이터보관 정책 수립" &amp; "(정지원님)" &amp; " " &amp; IF(P211="","",TEXT(P211,"M/D-")) &amp; IF(Q211="","",TEXT(Q211,"M/D")) &amp; " "</f>
        <v xml:space="preserve">      100.00% 파티션 및 데이터보관 정책 수립(정지원님) 4/7-4/11 </v>
      </c>
      <c r="AN211" s="297"/>
      <c r="AO211" s="297"/>
      <c r="AP211" s="297"/>
      <c r="AQ211" s="297"/>
      <c r="AR211" s="297"/>
      <c r="AS211" s="297"/>
      <c r="AT211" s="297"/>
      <c r="AU211" s="297"/>
      <c r="AV211" s="297"/>
      <c r="AW211" s="297"/>
      <c r="AX211" s="297"/>
      <c r="AY211" s="297"/>
      <c r="AZ211" s="297"/>
      <c r="BA211" s="297"/>
      <c r="BB211" s="297"/>
      <c r="BC211" s="297"/>
      <c r="BD211" s="297"/>
      <c r="BE211" s="297"/>
      <c r="BF211" s="297"/>
      <c r="BG211" s="297"/>
      <c r="BH211" s="297"/>
      <c r="BI211" s="297"/>
      <c r="BJ211" s="297"/>
      <c r="BK211" s="297"/>
      <c r="BL211" s="297"/>
      <c r="BM211" s="297"/>
      <c r="BN211" s="297"/>
      <c r="BO211" s="297"/>
      <c r="BP211" s="297"/>
      <c r="BQ211" s="297"/>
      <c r="BR211" s="297"/>
      <c r="BS211" s="297"/>
      <c r="BT211" s="297"/>
      <c r="BU211" s="297"/>
      <c r="BV211" s="297"/>
      <c r="BW211" s="297"/>
      <c r="BX211" s="297"/>
      <c r="BY211" s="297"/>
      <c r="BZ211" s="297"/>
      <c r="CA211" s="297"/>
      <c r="CB211" s="297"/>
      <c r="CC211" s="297"/>
      <c r="CD211" s="297"/>
      <c r="CE211" s="297"/>
      <c r="CF211" s="297"/>
      <c r="CG211" s="297"/>
    </row>
    <row r="212" spans="1:85" ht="12" customHeight="1" outlineLevel="4">
      <c r="A212" s="288"/>
      <c r="B212" s="288"/>
      <c r="C212" s="288">
        <v>5</v>
      </c>
      <c r="D212" s="257" t="s">
        <v>2398</v>
      </c>
      <c r="E212" s="244"/>
      <c r="F212" s="244"/>
      <c r="G212" s="244"/>
      <c r="H212" s="244"/>
      <c r="I212" s="244" t="s">
        <v>2220</v>
      </c>
      <c r="J212" s="244"/>
      <c r="K212" s="244"/>
      <c r="L212" s="244"/>
      <c r="M212" s="244"/>
      <c r="N212" s="244"/>
      <c r="O212" s="244"/>
      <c r="P212" s="243">
        <v>45754</v>
      </c>
      <c r="Q212" s="243">
        <v>45758</v>
      </c>
      <c r="R212" s="244"/>
      <c r="S212" s="242">
        <v>1.5</v>
      </c>
      <c r="T212" s="242">
        <v>1.5</v>
      </c>
      <c r="U212" s="242">
        <v>5</v>
      </c>
      <c r="V212" s="242">
        <v>5</v>
      </c>
      <c r="W212" s="243"/>
      <c r="X212" s="243"/>
      <c r="Y212" s="251"/>
      <c r="Z212" s="252">
        <v>0</v>
      </c>
      <c r="AA212" s="242">
        <v>0.3</v>
      </c>
      <c r="AB212" s="256"/>
      <c r="AC212" s="307"/>
      <c r="AD212" s="239">
        <v>1</v>
      </c>
      <c r="AE212" s="304">
        <v>1</v>
      </c>
      <c r="AF212" s="296"/>
      <c r="AG212" s="297"/>
      <c r="AH212" s="297"/>
      <c r="AI212" s="297"/>
      <c r="AJ212" s="297"/>
      <c r="AK212" s="297"/>
      <c r="AL212" s="297"/>
      <c r="AM212" s="297" t="str">
        <f>"      " &amp; TEXT(AE212,"#0.00%") &amp; " " &amp; "LOG 및 모니터링 데이터관리정책 수립" &amp; " " &amp; IF(P212="","",TEXT(P212,"M/D-")) &amp; IF(Q212="","",TEXT(Q212,"M/D")) &amp; " "</f>
        <v xml:space="preserve">      100.00% LOG 및 모니터링 데이터관리정책 수립 4/7-4/11 </v>
      </c>
      <c r="AN212" s="297"/>
      <c r="AO212" s="297"/>
      <c r="AP212" s="297"/>
      <c r="AQ212" s="297"/>
      <c r="AR212" s="297"/>
      <c r="AS212" s="297"/>
      <c r="AT212" s="297"/>
      <c r="AU212" s="297"/>
      <c r="AV212" s="297"/>
      <c r="AW212" s="297"/>
      <c r="AX212" s="297"/>
      <c r="AY212" s="297"/>
      <c r="AZ212" s="297"/>
      <c r="BA212" s="297"/>
      <c r="BB212" s="297"/>
      <c r="BC212" s="297"/>
      <c r="BD212" s="297"/>
      <c r="BE212" s="297"/>
      <c r="BF212" s="297"/>
      <c r="BG212" s="297"/>
      <c r="BH212" s="297"/>
      <c r="BI212" s="297"/>
      <c r="BJ212" s="297"/>
      <c r="BK212" s="297"/>
      <c r="BL212" s="297"/>
      <c r="BM212" s="297"/>
      <c r="BN212" s="297"/>
      <c r="BO212" s="297"/>
      <c r="BP212" s="297"/>
      <c r="BQ212" s="297"/>
      <c r="BR212" s="297"/>
      <c r="BS212" s="297"/>
      <c r="BT212" s="297"/>
      <c r="BU212" s="297"/>
      <c r="BV212" s="297"/>
      <c r="BW212" s="297"/>
      <c r="BX212" s="297"/>
      <c r="BY212" s="297"/>
      <c r="BZ212" s="297"/>
      <c r="CA212" s="297"/>
      <c r="CB212" s="297"/>
      <c r="CC212" s="297"/>
      <c r="CD212" s="297"/>
      <c r="CE212" s="297"/>
      <c r="CF212" s="297"/>
      <c r="CG212" s="297"/>
    </row>
    <row r="213" spans="1:85" ht="12" customHeight="1" outlineLevel="4">
      <c r="A213" s="288"/>
      <c r="B213" s="288"/>
      <c r="C213" s="288">
        <v>5</v>
      </c>
      <c r="D213" s="257" t="s">
        <v>2399</v>
      </c>
      <c r="E213" s="244"/>
      <c r="F213" s="244"/>
      <c r="G213" s="244"/>
      <c r="H213" s="244"/>
      <c r="I213" s="244" t="s">
        <v>2221</v>
      </c>
      <c r="J213" s="244"/>
      <c r="K213" s="244"/>
      <c r="L213" s="244"/>
      <c r="M213" s="244"/>
      <c r="N213" s="244"/>
      <c r="O213" s="244"/>
      <c r="P213" s="243">
        <v>45754</v>
      </c>
      <c r="Q213" s="243">
        <v>45758</v>
      </c>
      <c r="R213" s="244"/>
      <c r="S213" s="242">
        <v>1.5</v>
      </c>
      <c r="T213" s="242">
        <v>1.5</v>
      </c>
      <c r="U213" s="242">
        <v>5</v>
      </c>
      <c r="V213" s="242">
        <v>5</v>
      </c>
      <c r="W213" s="243"/>
      <c r="X213" s="243"/>
      <c r="Y213" s="251"/>
      <c r="Z213" s="252">
        <v>0</v>
      </c>
      <c r="AA213" s="242">
        <v>0.3</v>
      </c>
      <c r="AB213" s="314" t="s">
        <v>2213</v>
      </c>
      <c r="AC213" s="321" t="s">
        <v>2226</v>
      </c>
      <c r="AD213" s="239">
        <v>1</v>
      </c>
      <c r="AE213" s="330">
        <v>1</v>
      </c>
      <c r="AF213" s="296"/>
      <c r="AG213" s="297"/>
      <c r="AH213" s="297"/>
      <c r="AI213" s="297"/>
      <c r="AJ213" s="297"/>
      <c r="AK213" s="297"/>
      <c r="AL213" s="297"/>
      <c r="AM213" s="297" t="str">
        <f>"      " &amp; TEXT(AE213,"#0.00%") &amp; " " &amp; "VACUUM &amp; ANALYZE 정책 수립" &amp; "(정지원님)" &amp; " " &amp; IF(P213="","",TEXT(P213,"M/D-")) &amp; IF(Q213="","",TEXT(Q213,"M/D")) &amp; " "</f>
        <v xml:space="preserve">      100.00% VACUUM &amp; ANALYZE 정책 수립(정지원님) 4/7-4/11 </v>
      </c>
      <c r="AN213" s="297"/>
      <c r="AO213" s="297"/>
      <c r="AP213" s="297"/>
      <c r="AQ213" s="297"/>
      <c r="AR213" s="297"/>
      <c r="AS213" s="297"/>
      <c r="AT213" s="297"/>
      <c r="AU213" s="297"/>
      <c r="AV213" s="297"/>
      <c r="AW213" s="297"/>
      <c r="AX213" s="297"/>
      <c r="AY213" s="297"/>
      <c r="AZ213" s="297"/>
      <c r="BA213" s="297"/>
      <c r="BB213" s="297"/>
      <c r="BC213" s="297"/>
      <c r="BD213" s="297"/>
      <c r="BE213" s="297"/>
      <c r="BF213" s="297"/>
      <c r="BG213" s="297"/>
      <c r="BH213" s="297"/>
      <c r="BI213" s="297"/>
      <c r="BJ213" s="297"/>
      <c r="BK213" s="297"/>
      <c r="BL213" s="297"/>
      <c r="BM213" s="297"/>
      <c r="BN213" s="297"/>
      <c r="BO213" s="297"/>
      <c r="BP213" s="297"/>
      <c r="BQ213" s="297"/>
      <c r="BR213" s="297"/>
      <c r="BS213" s="297"/>
      <c r="BT213" s="297"/>
      <c r="BU213" s="297"/>
      <c r="BV213" s="297"/>
      <c r="BW213" s="297"/>
      <c r="BX213" s="297"/>
      <c r="BY213" s="297"/>
      <c r="BZ213" s="297"/>
      <c r="CA213" s="297"/>
      <c r="CB213" s="297"/>
      <c r="CC213" s="297"/>
      <c r="CD213" s="297"/>
      <c r="CE213" s="297"/>
      <c r="CF213" s="297"/>
      <c r="CG213" s="297"/>
    </row>
    <row r="214" spans="1:85" ht="12" customHeight="1" outlineLevel="4">
      <c r="A214" s="288"/>
      <c r="B214" s="288"/>
      <c r="C214" s="288">
        <v>5</v>
      </c>
      <c r="D214" s="257" t="s">
        <v>2400</v>
      </c>
      <c r="E214" s="244"/>
      <c r="F214" s="244"/>
      <c r="G214" s="244"/>
      <c r="H214" s="244"/>
      <c r="I214" s="244" t="s">
        <v>2222</v>
      </c>
      <c r="J214" s="244"/>
      <c r="K214" s="244"/>
      <c r="L214" s="244"/>
      <c r="M214" s="244"/>
      <c r="N214" s="244"/>
      <c r="O214" s="244"/>
      <c r="P214" s="243">
        <v>45754</v>
      </c>
      <c r="Q214" s="243">
        <v>45758</v>
      </c>
      <c r="R214" s="244"/>
      <c r="S214" s="242">
        <v>1.5</v>
      </c>
      <c r="T214" s="242">
        <v>1.5</v>
      </c>
      <c r="U214" s="242">
        <v>5</v>
      </c>
      <c r="V214" s="242">
        <v>5</v>
      </c>
      <c r="W214" s="243"/>
      <c r="X214" s="243"/>
      <c r="Y214" s="251"/>
      <c r="Z214" s="252">
        <v>0</v>
      </c>
      <c r="AA214" s="242">
        <v>0.3</v>
      </c>
      <c r="AB214" s="314" t="s">
        <v>2213</v>
      </c>
      <c r="AC214" s="321" t="s">
        <v>2226</v>
      </c>
      <c r="AD214" s="239">
        <v>1</v>
      </c>
      <c r="AE214" s="330">
        <v>1</v>
      </c>
      <c r="AF214" s="296"/>
      <c r="AG214" s="297"/>
      <c r="AH214" s="297"/>
      <c r="AI214" s="297"/>
      <c r="AJ214" s="297"/>
      <c r="AK214" s="297"/>
      <c r="AL214" s="297"/>
      <c r="AM214" s="297" t="str">
        <f>"      " &amp; TEXT(AE214,"#0.00%") &amp; " " &amp; "HA 구성 및 관리 정책 수립" &amp; "(정지원님)" &amp; " " &amp; IF(P214="","",TEXT(P214,"M/D-")) &amp; IF(Q214="","",TEXT(Q214,"M/D")) &amp; " "</f>
        <v xml:space="preserve">      100.00% HA 구성 및 관리 정책 수립(정지원님) 4/7-4/11 </v>
      </c>
      <c r="AN214" s="297"/>
      <c r="AO214" s="297"/>
      <c r="AP214" s="297"/>
      <c r="AQ214" s="297"/>
      <c r="AR214" s="297"/>
      <c r="AS214" s="297"/>
      <c r="AT214" s="297"/>
      <c r="AU214" s="297"/>
      <c r="AV214" s="297"/>
      <c r="AW214" s="297"/>
      <c r="AX214" s="297"/>
      <c r="AY214" s="297"/>
      <c r="AZ214" s="297"/>
      <c r="BA214" s="297"/>
      <c r="BB214" s="297"/>
      <c r="BC214" s="297"/>
      <c r="BD214" s="297"/>
      <c r="BE214" s="297"/>
      <c r="BF214" s="297"/>
      <c r="BG214" s="297"/>
      <c r="BH214" s="297"/>
      <c r="BI214" s="297"/>
      <c r="BJ214" s="297"/>
      <c r="BK214" s="297"/>
      <c r="BL214" s="297"/>
      <c r="BM214" s="297"/>
      <c r="BN214" s="297"/>
      <c r="BO214" s="297"/>
      <c r="BP214" s="297"/>
      <c r="BQ214" s="297"/>
      <c r="BR214" s="297"/>
      <c r="BS214" s="297"/>
      <c r="BT214" s="297"/>
      <c r="BU214" s="297"/>
      <c r="BV214" s="297"/>
      <c r="BW214" s="297"/>
      <c r="BX214" s="297"/>
      <c r="BY214" s="297"/>
      <c r="BZ214" s="297"/>
      <c r="CA214" s="297"/>
      <c r="CB214" s="297"/>
      <c r="CC214" s="297"/>
      <c r="CD214" s="297"/>
      <c r="CE214" s="297"/>
      <c r="CF214" s="297"/>
      <c r="CG214" s="297"/>
    </row>
    <row r="215" spans="1:85" ht="12" customHeight="1" outlineLevel="4">
      <c r="A215" s="288"/>
      <c r="B215" s="288"/>
      <c r="C215" s="288">
        <v>5</v>
      </c>
      <c r="D215" s="257" t="s">
        <v>2401</v>
      </c>
      <c r="E215" s="244"/>
      <c r="F215" s="244"/>
      <c r="G215" s="244"/>
      <c r="H215" s="244"/>
      <c r="I215" s="244" t="s">
        <v>2223</v>
      </c>
      <c r="J215" s="244"/>
      <c r="K215" s="244"/>
      <c r="L215" s="244"/>
      <c r="M215" s="244"/>
      <c r="N215" s="244"/>
      <c r="O215" s="244"/>
      <c r="P215" s="243">
        <v>45754</v>
      </c>
      <c r="Q215" s="243">
        <v>45758</v>
      </c>
      <c r="R215" s="244"/>
      <c r="S215" s="242">
        <v>1.5</v>
      </c>
      <c r="T215" s="242">
        <v>1.5</v>
      </c>
      <c r="U215" s="242">
        <v>5</v>
      </c>
      <c r="V215" s="242">
        <v>5</v>
      </c>
      <c r="W215" s="243"/>
      <c r="X215" s="243"/>
      <c r="Y215" s="251"/>
      <c r="Z215" s="252">
        <v>0</v>
      </c>
      <c r="AA215" s="242">
        <v>0.3</v>
      </c>
      <c r="AB215" s="256"/>
      <c r="AC215" s="307"/>
      <c r="AD215" s="239">
        <v>1</v>
      </c>
      <c r="AE215" s="304">
        <v>1</v>
      </c>
      <c r="AF215" s="296"/>
      <c r="AG215" s="297"/>
      <c r="AH215" s="297"/>
      <c r="AI215" s="297"/>
      <c r="AJ215" s="297"/>
      <c r="AK215" s="297"/>
      <c r="AL215" s="297"/>
      <c r="AM215" s="297" t="str">
        <f>"      " &amp; TEXT(AE215,"#0.00%") &amp; " " &amp; "패스워드 정책 수립" &amp; " " &amp; IF(P215="","",TEXT(P215,"M/D-")) &amp; IF(Q215="","",TEXT(Q215,"M/D")) &amp; " "</f>
        <v xml:space="preserve">      100.00% 패스워드 정책 수립 4/7-4/11 </v>
      </c>
      <c r="AN215" s="297"/>
      <c r="AO215" s="297"/>
      <c r="AP215" s="297"/>
      <c r="AQ215" s="297"/>
      <c r="AR215" s="297"/>
      <c r="AS215" s="297"/>
      <c r="AT215" s="297"/>
      <c r="AU215" s="297"/>
      <c r="AV215" s="297"/>
      <c r="AW215" s="297"/>
      <c r="AX215" s="297"/>
      <c r="AY215" s="297"/>
      <c r="AZ215" s="297"/>
      <c r="BA215" s="297"/>
      <c r="BB215" s="297"/>
      <c r="BC215" s="297"/>
      <c r="BD215" s="297"/>
      <c r="BE215" s="297"/>
      <c r="BF215" s="297"/>
      <c r="BG215" s="297"/>
      <c r="BH215" s="297"/>
      <c r="BI215" s="297"/>
      <c r="BJ215" s="297"/>
      <c r="BK215" s="297"/>
      <c r="BL215" s="297"/>
      <c r="BM215" s="297"/>
      <c r="BN215" s="297"/>
      <c r="BO215" s="297"/>
      <c r="BP215" s="297"/>
      <c r="BQ215" s="297"/>
      <c r="BR215" s="297"/>
      <c r="BS215" s="297"/>
      <c r="BT215" s="297"/>
      <c r="BU215" s="297"/>
      <c r="BV215" s="297"/>
      <c r="BW215" s="297"/>
      <c r="BX215" s="297"/>
      <c r="BY215" s="297"/>
      <c r="BZ215" s="297"/>
      <c r="CA215" s="297"/>
      <c r="CB215" s="297"/>
      <c r="CC215" s="297"/>
      <c r="CD215" s="297"/>
      <c r="CE215" s="297"/>
      <c r="CF215" s="297"/>
      <c r="CG215" s="297"/>
    </row>
    <row r="216" spans="1:85" ht="12" customHeight="1" outlineLevel="3">
      <c r="A216" s="288"/>
      <c r="B216" s="288" t="s">
        <v>2334</v>
      </c>
      <c r="C216" s="288">
        <v>4</v>
      </c>
      <c r="D216" s="257" t="s">
        <v>2402</v>
      </c>
      <c r="E216" s="244"/>
      <c r="F216" s="244"/>
      <c r="G216" s="244"/>
      <c r="H216" s="244" t="s">
        <v>2225</v>
      </c>
      <c r="I216" s="244"/>
      <c r="J216" s="244"/>
      <c r="K216" s="244"/>
      <c r="L216" s="244"/>
      <c r="M216" s="244"/>
      <c r="N216" s="244"/>
      <c r="O216" s="244"/>
      <c r="P216" s="243">
        <v>45761</v>
      </c>
      <c r="Q216" s="243">
        <v>45765</v>
      </c>
      <c r="R216" s="244"/>
      <c r="S216" s="242">
        <v>10</v>
      </c>
      <c r="T216" s="242">
        <v>10</v>
      </c>
      <c r="U216" s="242">
        <v>5</v>
      </c>
      <c r="V216" s="242">
        <v>5</v>
      </c>
      <c r="W216" s="243"/>
      <c r="X216" s="243"/>
      <c r="Y216" s="251">
        <v>0</v>
      </c>
      <c r="Z216" s="252">
        <v>0</v>
      </c>
      <c r="AA216" s="242"/>
      <c r="AB216" s="244" t="s">
        <v>2213</v>
      </c>
      <c r="AC216" s="255" t="s">
        <v>2193</v>
      </c>
      <c r="AD216" s="239">
        <v>1</v>
      </c>
      <c r="AE216" s="241">
        <v>1</v>
      </c>
      <c r="AF216" s="296"/>
      <c r="AG216" s="297"/>
      <c r="AH216" s="297"/>
      <c r="AI216" s="297"/>
      <c r="AJ216" s="297"/>
      <c r="AK216" s="297"/>
      <c r="AL216" s="297"/>
      <c r="AM216" s="297"/>
      <c r="AN216" s="297" t="str">
        <f>"      " &amp; TEXT(AE216,"#0.00%") &amp; " " &amp; "정책 스크립트 개발 및 적용" &amp; "(정지원님)" &amp; " " &amp; IF(P216="","",TEXT(P216,"M/D-")) &amp; IF(Q216="","",TEXT(Q216,"M/D")) &amp; " "</f>
        <v xml:space="preserve">      100.00% 정책 스크립트 개발 및 적용(정지원님) 4/14-4/18 </v>
      </c>
      <c r="AO216" s="297"/>
      <c r="AP216" s="297"/>
      <c r="AQ216" s="297"/>
      <c r="AR216" s="297"/>
      <c r="AS216" s="297"/>
      <c r="AT216" s="297"/>
      <c r="AU216" s="297"/>
      <c r="AV216" s="297"/>
      <c r="AW216" s="297"/>
      <c r="AX216" s="297"/>
      <c r="AY216" s="297"/>
      <c r="AZ216" s="297"/>
      <c r="BA216" s="297"/>
      <c r="BB216" s="297"/>
      <c r="BC216" s="297"/>
      <c r="BD216" s="297"/>
      <c r="BE216" s="297"/>
      <c r="BF216" s="297"/>
      <c r="BG216" s="297"/>
      <c r="BH216" s="297"/>
      <c r="BI216" s="297"/>
      <c r="BJ216" s="297"/>
      <c r="BK216" s="297"/>
      <c r="BL216" s="297"/>
      <c r="BM216" s="297"/>
      <c r="BN216" s="297"/>
      <c r="BO216" s="297"/>
      <c r="BP216" s="297"/>
      <c r="BQ216" s="297"/>
      <c r="BR216" s="297"/>
      <c r="BS216" s="297"/>
      <c r="BT216" s="297"/>
      <c r="BU216" s="297"/>
      <c r="BV216" s="297"/>
      <c r="BW216" s="297"/>
      <c r="BX216" s="297"/>
      <c r="BY216" s="297"/>
      <c r="BZ216" s="297"/>
      <c r="CA216" s="297"/>
      <c r="CB216" s="297"/>
      <c r="CC216" s="297"/>
      <c r="CD216" s="297"/>
      <c r="CE216" s="297"/>
      <c r="CF216" s="297"/>
      <c r="CG216" s="297"/>
    </row>
    <row r="217" spans="1:85" ht="12" customHeight="1" outlineLevel="4">
      <c r="A217" s="288"/>
      <c r="B217" s="288"/>
      <c r="C217" s="288">
        <v>5</v>
      </c>
      <c r="D217" s="257" t="s">
        <v>2403</v>
      </c>
      <c r="E217" s="244"/>
      <c r="F217" s="244"/>
      <c r="G217" s="244"/>
      <c r="H217" s="244"/>
      <c r="I217" s="244" t="s">
        <v>2121</v>
      </c>
      <c r="J217" s="244"/>
      <c r="K217" s="244"/>
      <c r="L217" s="244"/>
      <c r="M217" s="244"/>
      <c r="N217" s="244"/>
      <c r="O217" s="244"/>
      <c r="P217" s="243">
        <v>45761</v>
      </c>
      <c r="Q217" s="243">
        <v>45765</v>
      </c>
      <c r="R217" s="244"/>
      <c r="S217" s="242">
        <v>5</v>
      </c>
      <c r="T217" s="242">
        <v>5</v>
      </c>
      <c r="U217" s="242">
        <v>5</v>
      </c>
      <c r="V217" s="242">
        <v>5</v>
      </c>
      <c r="W217" s="243"/>
      <c r="X217" s="243"/>
      <c r="Y217" s="251"/>
      <c r="Z217" s="252">
        <v>0</v>
      </c>
      <c r="AA217" s="242">
        <v>1</v>
      </c>
      <c r="AB217" s="244" t="s">
        <v>2213</v>
      </c>
      <c r="AC217" s="255" t="s">
        <v>2193</v>
      </c>
      <c r="AD217" s="239">
        <v>1</v>
      </c>
      <c r="AE217" s="304">
        <v>1</v>
      </c>
      <c r="AF217" s="296"/>
      <c r="AG217" s="297"/>
      <c r="AH217" s="297"/>
      <c r="AI217" s="297"/>
      <c r="AJ217" s="297"/>
      <c r="AK217" s="297"/>
      <c r="AL217" s="297"/>
      <c r="AM217" s="297"/>
      <c r="AN217" s="297" t="str">
        <f>"      " &amp; TEXT(AE217,"#0.00%") &amp; " " &amp; "파티션 자동관리 배치" &amp; "(정지원님)" &amp; " " &amp; IF(P217="","",TEXT(P217,"M/D-")) &amp; IF(Q217="","",TEXT(Q217,"M/D")) &amp; " "</f>
        <v xml:space="preserve">      100.00% 파티션 자동관리 배치(정지원님) 4/14-4/18 </v>
      </c>
      <c r="AO217" s="297"/>
      <c r="AP217" s="297"/>
      <c r="AQ217" s="297"/>
      <c r="AR217" s="297"/>
      <c r="AS217" s="297"/>
      <c r="AT217" s="297"/>
      <c r="AU217" s="297"/>
      <c r="AV217" s="297"/>
      <c r="AW217" s="297"/>
      <c r="AX217" s="297"/>
      <c r="AY217" s="297"/>
      <c r="AZ217" s="297"/>
      <c r="BA217" s="297"/>
      <c r="BB217" s="297"/>
      <c r="BC217" s="297"/>
      <c r="BD217" s="297"/>
      <c r="BE217" s="297"/>
      <c r="BF217" s="297"/>
      <c r="BG217" s="297"/>
      <c r="BH217" s="297"/>
      <c r="BI217" s="297"/>
      <c r="BJ217" s="297"/>
      <c r="BK217" s="297"/>
      <c r="BL217" s="297"/>
      <c r="BM217" s="297"/>
      <c r="BN217" s="297"/>
      <c r="BO217" s="297"/>
      <c r="BP217" s="297"/>
      <c r="BQ217" s="297"/>
      <c r="BR217" s="297"/>
      <c r="BS217" s="297"/>
      <c r="BT217" s="297"/>
      <c r="BU217" s="297"/>
      <c r="BV217" s="297"/>
      <c r="BW217" s="297"/>
      <c r="BX217" s="297"/>
      <c r="BY217" s="297"/>
      <c r="BZ217" s="297"/>
      <c r="CA217" s="297"/>
      <c r="CB217" s="297"/>
      <c r="CC217" s="297"/>
      <c r="CD217" s="297"/>
      <c r="CE217" s="297"/>
      <c r="CF217" s="297"/>
      <c r="CG217" s="297"/>
    </row>
    <row r="218" spans="1:85" ht="12" customHeight="1" outlineLevel="4">
      <c r="A218" s="288"/>
      <c r="B218" s="288"/>
      <c r="C218" s="288">
        <v>5</v>
      </c>
      <c r="D218" s="257" t="s">
        <v>2404</v>
      </c>
      <c r="E218" s="244"/>
      <c r="F218" s="244"/>
      <c r="G218" s="244"/>
      <c r="H218" s="244"/>
      <c r="I218" s="244" t="s">
        <v>2122</v>
      </c>
      <c r="J218" s="244"/>
      <c r="K218" s="244"/>
      <c r="L218" s="244"/>
      <c r="M218" s="244"/>
      <c r="N218" s="244"/>
      <c r="O218" s="244"/>
      <c r="P218" s="243">
        <v>45761</v>
      </c>
      <c r="Q218" s="243">
        <v>45765</v>
      </c>
      <c r="R218" s="244"/>
      <c r="S218" s="242">
        <v>5</v>
      </c>
      <c r="T218" s="242">
        <v>5</v>
      </c>
      <c r="U218" s="242">
        <v>5</v>
      </c>
      <c r="V218" s="242">
        <v>5</v>
      </c>
      <c r="W218" s="243"/>
      <c r="X218" s="243"/>
      <c r="Y218" s="251"/>
      <c r="Z218" s="252">
        <v>0</v>
      </c>
      <c r="AA218" s="242">
        <v>1</v>
      </c>
      <c r="AB218" s="244" t="s">
        <v>2213</v>
      </c>
      <c r="AC218" s="255" t="s">
        <v>2193</v>
      </c>
      <c r="AD218" s="239">
        <v>1</v>
      </c>
      <c r="AE218" s="304">
        <v>1</v>
      </c>
      <c r="AF218" s="296"/>
      <c r="AG218" s="297"/>
      <c r="AH218" s="297"/>
      <c r="AI218" s="297"/>
      <c r="AJ218" s="297"/>
      <c r="AK218" s="297"/>
      <c r="AL218" s="297"/>
      <c r="AM218" s="297"/>
      <c r="AN218" s="297" t="str">
        <f>"      " &amp; TEXT(AE218,"#0.00%") &amp; " " &amp; "모니터링 전략/툴 도출" &amp; "(정지원님)" &amp; " " &amp; IF(P218="","",TEXT(P218,"M/D-")) &amp; IF(Q218="","",TEXT(Q218,"M/D")) &amp; " "</f>
        <v xml:space="preserve">      100.00% 모니터링 전략/툴 도출(정지원님) 4/14-4/18 </v>
      </c>
      <c r="AO218" s="297"/>
      <c r="AP218" s="297"/>
      <c r="AQ218" s="297"/>
      <c r="AR218" s="297"/>
      <c r="AS218" s="297"/>
      <c r="AT218" s="297"/>
      <c r="AU218" s="297"/>
      <c r="AV218" s="297"/>
      <c r="AW218" s="297"/>
      <c r="AX218" s="297"/>
      <c r="AY218" s="297"/>
      <c r="AZ218" s="297"/>
      <c r="BA218" s="297"/>
      <c r="BB218" s="297"/>
      <c r="BC218" s="297"/>
      <c r="BD218" s="297"/>
      <c r="BE218" s="297"/>
      <c r="BF218" s="297"/>
      <c r="BG218" s="297"/>
      <c r="BH218" s="297"/>
      <c r="BI218" s="297"/>
      <c r="BJ218" s="297"/>
      <c r="BK218" s="297"/>
      <c r="BL218" s="297"/>
      <c r="BM218" s="297"/>
      <c r="BN218" s="297"/>
      <c r="BO218" s="297"/>
      <c r="BP218" s="297"/>
      <c r="BQ218" s="297"/>
      <c r="BR218" s="297"/>
      <c r="BS218" s="297"/>
      <c r="BT218" s="297"/>
      <c r="BU218" s="297"/>
      <c r="BV218" s="297"/>
      <c r="BW218" s="297"/>
      <c r="BX218" s="297"/>
      <c r="BY218" s="297"/>
      <c r="BZ218" s="297"/>
      <c r="CA218" s="297"/>
      <c r="CB218" s="297"/>
      <c r="CC218" s="297"/>
      <c r="CD218" s="297"/>
      <c r="CE218" s="297"/>
      <c r="CF218" s="297"/>
      <c r="CG218" s="297"/>
    </row>
    <row r="219" spans="1:85" ht="12" customHeight="1" outlineLevel="3">
      <c r="A219" s="288"/>
      <c r="B219" s="288" t="s">
        <v>2334</v>
      </c>
      <c r="C219" s="288">
        <v>4</v>
      </c>
      <c r="D219" s="257" t="s">
        <v>2405</v>
      </c>
      <c r="E219" s="244"/>
      <c r="F219" s="244"/>
      <c r="G219" s="244"/>
      <c r="H219" s="244" t="s">
        <v>2123</v>
      </c>
      <c r="I219" s="244"/>
      <c r="J219" s="244"/>
      <c r="K219" s="244"/>
      <c r="L219" s="244"/>
      <c r="M219" s="244"/>
      <c r="N219" s="244"/>
      <c r="O219" s="244"/>
      <c r="P219" s="243">
        <v>45768</v>
      </c>
      <c r="Q219" s="243">
        <v>45772</v>
      </c>
      <c r="R219" s="244"/>
      <c r="S219" s="242">
        <v>20</v>
      </c>
      <c r="T219" s="242">
        <v>20</v>
      </c>
      <c r="U219" s="242">
        <v>5</v>
      </c>
      <c r="V219" s="242">
        <v>5</v>
      </c>
      <c r="W219" s="243"/>
      <c r="X219" s="243"/>
      <c r="Y219" s="251">
        <v>0</v>
      </c>
      <c r="Z219" s="252">
        <v>0</v>
      </c>
      <c r="AA219" s="242"/>
      <c r="AB219" s="244" t="s">
        <v>2213</v>
      </c>
      <c r="AC219" s="255"/>
      <c r="AD219" s="239">
        <v>1</v>
      </c>
      <c r="AE219" s="241">
        <v>1</v>
      </c>
      <c r="AF219" s="296"/>
      <c r="AG219" s="297"/>
      <c r="AH219" s="297"/>
      <c r="AI219" s="297"/>
      <c r="AJ219" s="297"/>
      <c r="AK219" s="297"/>
      <c r="AL219" s="297"/>
      <c r="AM219" s="297"/>
      <c r="AN219" s="297"/>
      <c r="AO219" s="297" t="str">
        <f>"      " &amp; TEXT(AE219,"#0.00%") &amp; " " &amp; "성능 최적화" &amp; "(정지원님)" &amp; " " &amp; IF(P219="","",TEXT(P219,"M/D-")) &amp; IF(Q219="","",TEXT(Q219,"M/D")) &amp; " "</f>
        <v xml:space="preserve">      100.00% 성능 최적화(정지원님) 4/21-4/25 </v>
      </c>
      <c r="AP219" s="297"/>
      <c r="AQ219" s="297"/>
      <c r="AR219" s="297"/>
      <c r="AS219" s="297"/>
      <c r="AT219" s="297"/>
      <c r="AU219" s="297"/>
      <c r="AV219" s="297"/>
      <c r="AW219" s="297"/>
      <c r="AX219" s="297"/>
      <c r="AY219" s="297"/>
      <c r="AZ219" s="297"/>
      <c r="BA219" s="297"/>
      <c r="BB219" s="297"/>
      <c r="BC219" s="297"/>
      <c r="BD219" s="297"/>
      <c r="BE219" s="297"/>
      <c r="BF219" s="297"/>
      <c r="BG219" s="297"/>
      <c r="BH219" s="297"/>
      <c r="BI219" s="297"/>
      <c r="BJ219" s="297"/>
      <c r="BK219" s="297"/>
      <c r="BL219" s="297"/>
      <c r="BM219" s="297"/>
      <c r="BN219" s="297"/>
      <c r="BO219" s="297"/>
      <c r="BP219" s="297"/>
      <c r="BQ219" s="297"/>
      <c r="BR219" s="297"/>
      <c r="BS219" s="297"/>
      <c r="BT219" s="297"/>
      <c r="BU219" s="297"/>
      <c r="BV219" s="297"/>
      <c r="BW219" s="297"/>
      <c r="BX219" s="297"/>
      <c r="BY219" s="297"/>
      <c r="BZ219" s="297"/>
      <c r="CA219" s="297"/>
      <c r="CB219" s="297"/>
      <c r="CC219" s="297"/>
      <c r="CD219" s="297"/>
      <c r="CE219" s="297"/>
      <c r="CF219" s="297"/>
      <c r="CG219" s="297"/>
    </row>
    <row r="220" spans="1:85" ht="12" customHeight="1" outlineLevel="4">
      <c r="A220" s="288"/>
      <c r="B220" s="288"/>
      <c r="C220" s="288">
        <v>5</v>
      </c>
      <c r="D220" s="257" t="s">
        <v>2406</v>
      </c>
      <c r="E220" s="244"/>
      <c r="F220" s="244"/>
      <c r="G220" s="244"/>
      <c r="H220" s="244"/>
      <c r="I220" s="244" t="s">
        <v>2124</v>
      </c>
      <c r="J220" s="244"/>
      <c r="K220" s="244"/>
      <c r="L220" s="244"/>
      <c r="M220" s="244"/>
      <c r="N220" s="244"/>
      <c r="O220" s="244"/>
      <c r="P220" s="243">
        <v>45768</v>
      </c>
      <c r="Q220" s="243">
        <v>45772</v>
      </c>
      <c r="R220" s="244"/>
      <c r="S220" s="242">
        <v>5</v>
      </c>
      <c r="T220" s="242">
        <v>5</v>
      </c>
      <c r="U220" s="242">
        <v>5</v>
      </c>
      <c r="V220" s="242">
        <v>5</v>
      </c>
      <c r="W220" s="243"/>
      <c r="X220" s="243"/>
      <c r="Y220" s="251"/>
      <c r="Z220" s="252">
        <v>0</v>
      </c>
      <c r="AA220" s="242">
        <v>1</v>
      </c>
      <c r="AB220" s="256"/>
      <c r="AC220" s="307"/>
      <c r="AD220" s="239">
        <v>1</v>
      </c>
      <c r="AE220" s="304">
        <v>1</v>
      </c>
      <c r="AF220" s="296"/>
      <c r="AG220" s="297"/>
      <c r="AH220" s="297"/>
      <c r="AI220" s="297"/>
      <c r="AJ220" s="297"/>
      <c r="AK220" s="297"/>
      <c r="AL220" s="297"/>
      <c r="AM220" s="297"/>
      <c r="AN220" s="297"/>
      <c r="AO220" s="297" t="str">
        <f>"      " &amp; TEXT(AE220,"#0.00%") &amp; " " &amp; "인덱스 최적화" &amp; " " &amp; IF(P220="","",TEXT(P220,"M/D-")) &amp; IF(Q220="","",TEXT(Q220,"M/D")) &amp; " "</f>
        <v xml:space="preserve">      100.00% 인덱스 최적화 4/21-4/25 </v>
      </c>
      <c r="AP220" s="297"/>
      <c r="AQ220" s="297"/>
      <c r="AR220" s="297"/>
      <c r="AS220" s="297"/>
      <c r="AT220" s="297"/>
      <c r="AU220" s="297"/>
      <c r="AV220" s="297"/>
      <c r="AW220" s="297"/>
      <c r="AX220" s="297"/>
      <c r="AY220" s="297"/>
      <c r="AZ220" s="297"/>
      <c r="BA220" s="297"/>
      <c r="BB220" s="297"/>
      <c r="BC220" s="297"/>
      <c r="BD220" s="297"/>
      <c r="BE220" s="297"/>
      <c r="BF220" s="297"/>
      <c r="BG220" s="297"/>
      <c r="BH220" s="297"/>
      <c r="BI220" s="297"/>
      <c r="BJ220" s="297"/>
      <c r="BK220" s="297"/>
      <c r="BL220" s="297"/>
      <c r="BM220" s="297"/>
      <c r="BN220" s="297"/>
      <c r="BO220" s="297"/>
      <c r="BP220" s="297"/>
      <c r="BQ220" s="297"/>
      <c r="BR220" s="297"/>
      <c r="BS220" s="297"/>
      <c r="BT220" s="297"/>
      <c r="BU220" s="297"/>
      <c r="BV220" s="297"/>
      <c r="BW220" s="297"/>
      <c r="BX220" s="297"/>
      <c r="BY220" s="297"/>
      <c r="BZ220" s="297"/>
      <c r="CA220" s="297"/>
      <c r="CB220" s="297"/>
      <c r="CC220" s="297"/>
      <c r="CD220" s="297"/>
      <c r="CE220" s="297"/>
      <c r="CF220" s="297"/>
      <c r="CG220" s="297"/>
    </row>
    <row r="221" spans="1:85" ht="12" customHeight="1" outlineLevel="4">
      <c r="A221" s="288"/>
      <c r="B221" s="288"/>
      <c r="C221" s="288">
        <v>5</v>
      </c>
      <c r="D221" s="313" t="s">
        <v>2407</v>
      </c>
      <c r="E221" s="314"/>
      <c r="F221" s="314"/>
      <c r="G221" s="244"/>
      <c r="H221" s="244"/>
      <c r="I221" s="244" t="s">
        <v>2125</v>
      </c>
      <c r="J221" s="244"/>
      <c r="K221" s="244"/>
      <c r="L221" s="244"/>
      <c r="M221" s="244"/>
      <c r="N221" s="244"/>
      <c r="O221" s="244"/>
      <c r="P221" s="243">
        <v>45768</v>
      </c>
      <c r="Q221" s="243">
        <v>45772</v>
      </c>
      <c r="R221" s="244"/>
      <c r="S221" s="242">
        <v>5</v>
      </c>
      <c r="T221" s="242">
        <v>5</v>
      </c>
      <c r="U221" s="242">
        <v>5</v>
      </c>
      <c r="V221" s="242">
        <v>5</v>
      </c>
      <c r="W221" s="243"/>
      <c r="X221" s="243"/>
      <c r="Y221" s="251"/>
      <c r="Z221" s="252">
        <v>0</v>
      </c>
      <c r="AA221" s="242">
        <v>1</v>
      </c>
      <c r="AB221" s="244" t="s">
        <v>2213</v>
      </c>
      <c r="AC221" s="311" t="s">
        <v>2184</v>
      </c>
      <c r="AD221" s="239">
        <v>1</v>
      </c>
      <c r="AE221" s="304">
        <v>1</v>
      </c>
      <c r="AF221" s="296"/>
      <c r="AG221" s="297"/>
      <c r="AH221" s="297"/>
      <c r="AI221" s="297"/>
      <c r="AJ221" s="297"/>
      <c r="AK221" s="297"/>
      <c r="AL221" s="297"/>
      <c r="AM221" s="297"/>
      <c r="AN221" s="297"/>
      <c r="AO221" s="297" t="str">
        <f>"      " &amp; TEXT(AE221,"#0.00%") &amp; " " &amp; "시퀀스 정비" &amp; "(정지원님)" &amp; " " &amp; IF(P221="","",TEXT(P221,"M/D-")) &amp; IF(Q221="","",TEXT(Q221,"M/D")) &amp; " "</f>
        <v xml:space="preserve">      100.00% 시퀀스 정비(정지원님) 4/21-4/25 </v>
      </c>
      <c r="AP221" s="297"/>
      <c r="AQ221" s="297"/>
      <c r="AR221" s="297"/>
      <c r="AS221" s="297"/>
      <c r="AT221" s="297"/>
      <c r="AU221" s="297"/>
      <c r="AV221" s="297"/>
      <c r="AW221" s="297"/>
      <c r="AX221" s="297"/>
      <c r="AY221" s="297"/>
      <c r="AZ221" s="297"/>
      <c r="BA221" s="297"/>
      <c r="BB221" s="297"/>
      <c r="BC221" s="297"/>
      <c r="BD221" s="297"/>
      <c r="BE221" s="297"/>
      <c r="BF221" s="297"/>
      <c r="BG221" s="297"/>
      <c r="BH221" s="297"/>
      <c r="BI221" s="297"/>
      <c r="BJ221" s="297"/>
      <c r="BK221" s="297"/>
      <c r="BL221" s="297"/>
      <c r="BM221" s="297"/>
      <c r="BN221" s="297"/>
      <c r="BO221" s="297"/>
      <c r="BP221" s="297"/>
      <c r="BQ221" s="297"/>
      <c r="BR221" s="297"/>
      <c r="BS221" s="297"/>
      <c r="BT221" s="297"/>
      <c r="BU221" s="297"/>
      <c r="BV221" s="297"/>
      <c r="BW221" s="297"/>
      <c r="BX221" s="297"/>
      <c r="BY221" s="297"/>
      <c r="BZ221" s="297"/>
      <c r="CA221" s="297"/>
      <c r="CB221" s="297"/>
      <c r="CC221" s="297"/>
      <c r="CD221" s="297"/>
      <c r="CE221" s="297"/>
      <c r="CF221" s="297"/>
      <c r="CG221" s="297"/>
    </row>
    <row r="222" spans="1:85" ht="12" customHeight="1" outlineLevel="4">
      <c r="A222" s="288"/>
      <c r="B222" s="288"/>
      <c r="C222" s="288">
        <v>5</v>
      </c>
      <c r="D222" s="257" t="s">
        <v>2408</v>
      </c>
      <c r="E222" s="244"/>
      <c r="F222" s="244"/>
      <c r="G222" s="244"/>
      <c r="H222" s="244"/>
      <c r="I222" s="244" t="s">
        <v>2126</v>
      </c>
      <c r="J222" s="244"/>
      <c r="K222" s="244"/>
      <c r="L222" s="244"/>
      <c r="M222" s="244"/>
      <c r="N222" s="244"/>
      <c r="O222" s="244"/>
      <c r="P222" s="243">
        <v>45768</v>
      </c>
      <c r="Q222" s="243">
        <v>45772</v>
      </c>
      <c r="R222" s="244"/>
      <c r="S222" s="242">
        <v>5</v>
      </c>
      <c r="T222" s="242">
        <v>5</v>
      </c>
      <c r="U222" s="242">
        <v>5</v>
      </c>
      <c r="V222" s="242">
        <v>5</v>
      </c>
      <c r="W222" s="243"/>
      <c r="X222" s="243"/>
      <c r="Y222" s="251"/>
      <c r="Z222" s="252">
        <v>0</v>
      </c>
      <c r="AA222" s="242">
        <v>1</v>
      </c>
      <c r="AB222" s="244"/>
      <c r="AC222" s="255"/>
      <c r="AD222" s="239">
        <v>1</v>
      </c>
      <c r="AE222" s="304">
        <v>1</v>
      </c>
      <c r="AF222" s="296"/>
      <c r="AG222" s="297"/>
      <c r="AH222" s="297"/>
      <c r="AI222" s="297"/>
      <c r="AJ222" s="297"/>
      <c r="AK222" s="297"/>
      <c r="AL222" s="297"/>
      <c r="AM222" s="297"/>
      <c r="AN222" s="297"/>
      <c r="AO222" s="297" t="str">
        <f>"      " &amp; TEXT(AE222,"#0.00%") &amp; " " &amp; "테이블/뷰/펑션 구조 개선" &amp; " " &amp; IF(P222="","",TEXT(P222,"M/D-")) &amp; IF(Q222="","",TEXT(Q222,"M/D")) &amp; " "</f>
        <v xml:space="preserve">      100.00% 테이블/뷰/펑션 구조 개선 4/21-4/25 </v>
      </c>
      <c r="AP222" s="297"/>
      <c r="AQ222" s="297"/>
      <c r="AR222" s="297"/>
      <c r="AS222" s="297"/>
      <c r="AT222" s="297"/>
      <c r="AU222" s="297"/>
      <c r="AV222" s="297"/>
      <c r="AW222" s="297"/>
      <c r="AX222" s="297"/>
      <c r="AY222" s="297"/>
      <c r="AZ222" s="297"/>
      <c r="BA222" s="297"/>
      <c r="BB222" s="297"/>
      <c r="BC222" s="297"/>
      <c r="BD222" s="297"/>
      <c r="BE222" s="297"/>
      <c r="BF222" s="297"/>
      <c r="BG222" s="297"/>
      <c r="BH222" s="297"/>
      <c r="BI222" s="297"/>
      <c r="BJ222" s="297"/>
      <c r="BK222" s="297"/>
      <c r="BL222" s="297"/>
      <c r="BM222" s="297"/>
      <c r="BN222" s="297"/>
      <c r="BO222" s="297"/>
      <c r="BP222" s="297"/>
      <c r="BQ222" s="297"/>
      <c r="BR222" s="297"/>
      <c r="BS222" s="297"/>
      <c r="BT222" s="297"/>
      <c r="BU222" s="297"/>
      <c r="BV222" s="297"/>
      <c r="BW222" s="297"/>
      <c r="BX222" s="297"/>
      <c r="BY222" s="297"/>
      <c r="BZ222" s="297"/>
      <c r="CA222" s="297"/>
      <c r="CB222" s="297"/>
      <c r="CC222" s="297"/>
      <c r="CD222" s="297"/>
      <c r="CE222" s="297"/>
      <c r="CF222" s="297"/>
      <c r="CG222" s="297"/>
    </row>
    <row r="223" spans="1:85" ht="12" customHeight="1" outlineLevel="4">
      <c r="A223" s="288"/>
      <c r="B223" s="288"/>
      <c r="C223" s="288">
        <v>5</v>
      </c>
      <c r="D223" s="257" t="s">
        <v>2409</v>
      </c>
      <c r="E223" s="244"/>
      <c r="F223" s="244"/>
      <c r="G223" s="244"/>
      <c r="H223" s="244"/>
      <c r="I223" s="244" t="s">
        <v>2227</v>
      </c>
      <c r="J223" s="244"/>
      <c r="K223" s="244"/>
      <c r="L223" s="244"/>
      <c r="M223" s="244"/>
      <c r="N223" s="244"/>
      <c r="O223" s="244"/>
      <c r="P223" s="243">
        <v>45768</v>
      </c>
      <c r="Q223" s="243">
        <v>45772</v>
      </c>
      <c r="R223" s="244"/>
      <c r="S223" s="242">
        <v>5</v>
      </c>
      <c r="T223" s="242">
        <v>5</v>
      </c>
      <c r="U223" s="242">
        <v>5</v>
      </c>
      <c r="V223" s="242">
        <v>5</v>
      </c>
      <c r="W223" s="243"/>
      <c r="X223" s="243"/>
      <c r="Y223" s="251"/>
      <c r="Z223" s="252">
        <v>0</v>
      </c>
      <c r="AA223" s="242">
        <v>1</v>
      </c>
      <c r="AB223" s="244"/>
      <c r="AC223" s="255"/>
      <c r="AD223" s="239">
        <v>1</v>
      </c>
      <c r="AE223" s="304">
        <v>1</v>
      </c>
      <c r="AF223" s="296"/>
      <c r="AG223" s="297"/>
      <c r="AH223" s="297"/>
      <c r="AI223" s="297"/>
      <c r="AJ223" s="297"/>
      <c r="AK223" s="297"/>
      <c r="AL223" s="297"/>
      <c r="AM223" s="297"/>
      <c r="AN223" s="297"/>
      <c r="AO223" s="297" t="str">
        <f>"      " &amp; TEXT(AE223,"#0.00%") &amp; " " &amp; "주요 SQL 성능 검토" &amp; " " &amp; IF(P223="","",TEXT(P223,"M/D-")) &amp; IF(Q223="","",TEXT(Q223,"M/D")) &amp; " "</f>
        <v xml:space="preserve">      100.00% 주요 SQL 성능 검토 4/21-4/25 </v>
      </c>
      <c r="AP223" s="297"/>
      <c r="AQ223" s="297"/>
      <c r="AR223" s="297"/>
      <c r="AS223" s="297"/>
      <c r="AT223" s="297"/>
      <c r="AU223" s="297"/>
      <c r="AV223" s="297"/>
      <c r="AW223" s="297"/>
      <c r="AX223" s="297"/>
      <c r="AY223" s="297"/>
      <c r="AZ223" s="297"/>
      <c r="BA223" s="297"/>
      <c r="BB223" s="297"/>
      <c r="BC223" s="297"/>
      <c r="BD223" s="297"/>
      <c r="BE223" s="297"/>
      <c r="BF223" s="297"/>
      <c r="BG223" s="297"/>
      <c r="BH223" s="297"/>
      <c r="BI223" s="297"/>
      <c r="BJ223" s="297"/>
      <c r="BK223" s="297"/>
      <c r="BL223" s="297"/>
      <c r="BM223" s="297"/>
      <c r="BN223" s="297"/>
      <c r="BO223" s="297"/>
      <c r="BP223" s="297"/>
      <c r="BQ223" s="297"/>
      <c r="BR223" s="297"/>
      <c r="BS223" s="297"/>
      <c r="BT223" s="297"/>
      <c r="BU223" s="297"/>
      <c r="BV223" s="297"/>
      <c r="BW223" s="297"/>
      <c r="BX223" s="297"/>
      <c r="BY223" s="297"/>
      <c r="BZ223" s="297"/>
      <c r="CA223" s="297"/>
      <c r="CB223" s="297"/>
      <c r="CC223" s="297"/>
      <c r="CD223" s="297"/>
      <c r="CE223" s="297"/>
      <c r="CF223" s="297"/>
      <c r="CG223" s="297"/>
    </row>
    <row r="224" spans="1:85" ht="12" customHeight="1" outlineLevel="3">
      <c r="A224" s="288"/>
      <c r="B224" s="288" t="s">
        <v>2334</v>
      </c>
      <c r="C224" s="288">
        <v>4</v>
      </c>
      <c r="D224" s="257" t="s">
        <v>2410</v>
      </c>
      <c r="E224" s="244"/>
      <c r="F224" s="244"/>
      <c r="G224" s="244"/>
      <c r="H224" s="244" t="s">
        <v>2128</v>
      </c>
      <c r="I224" s="259"/>
      <c r="J224" s="244"/>
      <c r="K224" s="244"/>
      <c r="L224" s="244"/>
      <c r="M224" s="244"/>
      <c r="N224" s="244"/>
      <c r="O224" s="244"/>
      <c r="P224" s="243">
        <v>45775</v>
      </c>
      <c r="Q224" s="243">
        <v>45777</v>
      </c>
      <c r="R224" s="244"/>
      <c r="S224" s="242">
        <v>0.30000000000000004</v>
      </c>
      <c r="T224" s="242">
        <v>0.30000000000000004</v>
      </c>
      <c r="U224" s="242">
        <v>3</v>
      </c>
      <c r="V224" s="242">
        <v>3</v>
      </c>
      <c r="W224" s="243"/>
      <c r="X224" s="243"/>
      <c r="Y224" s="251">
        <v>0</v>
      </c>
      <c r="Z224" s="252">
        <v>0</v>
      </c>
      <c r="AA224" s="242"/>
      <c r="AB224" s="244" t="s">
        <v>2213</v>
      </c>
      <c r="AC224" s="255"/>
      <c r="AD224" s="239">
        <v>1</v>
      </c>
      <c r="AE224" s="241">
        <v>1</v>
      </c>
      <c r="AF224" s="296"/>
      <c r="AG224" s="297"/>
      <c r="AH224" s="297"/>
      <c r="AI224" s="297"/>
      <c r="AJ224" s="297"/>
      <c r="AK224" s="297"/>
      <c r="AL224" s="297"/>
      <c r="AM224" s="297"/>
      <c r="AN224" s="297"/>
      <c r="AO224" s="297"/>
      <c r="AP224" s="297" t="str">
        <f>"    " &amp; TEXT(AE224,"#0.00%") &amp; " " &amp; "산출물 작성" &amp; "(정지원님)" &amp; " " &amp; IF(P224="","",TEXT(P224,"M/D-")) &amp; IF(Q224="","",TEXT(Q224,"M/D")) &amp; " "</f>
        <v xml:space="preserve">    100.00% 산출물 작성(정지원님) 4/28-4/30 </v>
      </c>
      <c r="AQ224" s="297"/>
      <c r="AR224" s="297"/>
      <c r="AS224" s="297"/>
      <c r="AT224" s="297"/>
      <c r="AU224" s="297"/>
      <c r="AV224" s="297"/>
      <c r="AW224" s="297"/>
      <c r="AX224" s="297"/>
      <c r="AY224" s="297"/>
      <c r="AZ224" s="297"/>
      <c r="BA224" s="297"/>
      <c r="BB224" s="297"/>
      <c r="BC224" s="297"/>
      <c r="BD224" s="297"/>
      <c r="BE224" s="297"/>
      <c r="BF224" s="297"/>
      <c r="BG224" s="297"/>
      <c r="BH224" s="297"/>
      <c r="BI224" s="297"/>
      <c r="BJ224" s="297"/>
      <c r="BK224" s="297"/>
      <c r="BL224" s="297"/>
      <c r="BM224" s="297"/>
      <c r="BN224" s="297"/>
      <c r="BO224" s="297"/>
      <c r="BP224" s="297"/>
      <c r="BQ224" s="297"/>
      <c r="BR224" s="297"/>
      <c r="BS224" s="297"/>
      <c r="BT224" s="297"/>
      <c r="BU224" s="297"/>
      <c r="BV224" s="297"/>
      <c r="BW224" s="297"/>
      <c r="BX224" s="297"/>
      <c r="BY224" s="297"/>
      <c r="BZ224" s="297"/>
      <c r="CA224" s="297"/>
      <c r="CB224" s="297"/>
      <c r="CC224" s="297"/>
      <c r="CD224" s="297"/>
      <c r="CE224" s="297"/>
      <c r="CF224" s="297"/>
      <c r="CG224" s="297"/>
    </row>
    <row r="225" spans="1:85" ht="12" customHeight="1" outlineLevel="4">
      <c r="A225" s="288"/>
      <c r="B225" s="288"/>
      <c r="C225" s="288">
        <v>5</v>
      </c>
      <c r="D225" s="257" t="s">
        <v>2411</v>
      </c>
      <c r="E225" s="244"/>
      <c r="F225" s="244"/>
      <c r="G225" s="244"/>
      <c r="H225" s="244"/>
      <c r="I225" s="244" t="s">
        <v>2228</v>
      </c>
      <c r="J225" s="244"/>
      <c r="K225" s="244"/>
      <c r="L225" s="244"/>
      <c r="M225" s="244"/>
      <c r="N225" s="244"/>
      <c r="O225" s="244"/>
      <c r="P225" s="243">
        <v>45775</v>
      </c>
      <c r="Q225" s="243">
        <v>45777</v>
      </c>
      <c r="R225" s="244"/>
      <c r="S225" s="242">
        <v>0.30000000000000004</v>
      </c>
      <c r="T225" s="242">
        <v>0.30000000000000004</v>
      </c>
      <c r="U225" s="242">
        <v>3</v>
      </c>
      <c r="V225" s="242">
        <v>3</v>
      </c>
      <c r="W225" s="243"/>
      <c r="X225" s="243"/>
      <c r="Y225" s="251"/>
      <c r="Z225" s="252">
        <v>0</v>
      </c>
      <c r="AA225" s="242">
        <v>0.1</v>
      </c>
      <c r="AB225" s="244" t="s">
        <v>2213</v>
      </c>
      <c r="AC225" s="255"/>
      <c r="AD225" s="239">
        <v>1</v>
      </c>
      <c r="AE225" s="304">
        <v>1</v>
      </c>
      <c r="AF225" s="296"/>
      <c r="AG225" s="297"/>
      <c r="AH225" s="297"/>
      <c r="AI225" s="297"/>
      <c r="AJ225" s="297"/>
      <c r="AK225" s="297"/>
      <c r="AL225" s="297"/>
      <c r="AM225" s="297"/>
      <c r="AN225" s="297"/>
      <c r="AO225" s="297"/>
      <c r="AP225" s="297" t="str">
        <f>"    " &amp; TEXT(AE225,"#0.00%") &amp; " " &amp; "표준/모델/정책/스크립트등 산출물 종합 정리" &amp; "(정지원님)" &amp; " " &amp; IF(P225="","",TEXT(P225,"M/D-")) &amp; IF(Q225="","",TEXT(Q225,"M/D")) &amp; " "</f>
        <v xml:space="preserve">    100.00% 표준/모델/정책/스크립트등 산출물 종합 정리(정지원님) 4/28-4/30 </v>
      </c>
      <c r="AQ225" s="297"/>
      <c r="AR225" s="297"/>
      <c r="AS225" s="297"/>
      <c r="AT225" s="297"/>
      <c r="AU225" s="297"/>
      <c r="AV225" s="297"/>
      <c r="AW225" s="297"/>
      <c r="AX225" s="297"/>
      <c r="AY225" s="297"/>
      <c r="AZ225" s="297"/>
      <c r="BA225" s="297"/>
      <c r="BB225" s="297"/>
      <c r="BC225" s="297"/>
      <c r="BD225" s="297"/>
      <c r="BE225" s="297"/>
      <c r="BF225" s="297"/>
      <c r="BG225" s="297"/>
      <c r="BH225" s="297"/>
      <c r="BI225" s="297"/>
      <c r="BJ225" s="297"/>
      <c r="BK225" s="297"/>
      <c r="BL225" s="297"/>
      <c r="BM225" s="297"/>
      <c r="BN225" s="297"/>
      <c r="BO225" s="297"/>
      <c r="BP225" s="297"/>
      <c r="BQ225" s="297"/>
      <c r="BR225" s="297"/>
      <c r="BS225" s="297"/>
      <c r="BT225" s="297"/>
      <c r="BU225" s="297"/>
      <c r="BV225" s="297"/>
      <c r="BW225" s="297"/>
      <c r="BX225" s="297"/>
      <c r="BY225" s="297"/>
      <c r="BZ225" s="297"/>
      <c r="CA225" s="297"/>
      <c r="CB225" s="297"/>
      <c r="CC225" s="297"/>
      <c r="CD225" s="297"/>
      <c r="CE225" s="297"/>
      <c r="CF225" s="297"/>
      <c r="CG225" s="297"/>
    </row>
    <row r="226" spans="1:85" ht="12" customHeight="1" outlineLevel="2">
      <c r="A226" s="288"/>
      <c r="B226" s="288" t="s">
        <v>2334</v>
      </c>
      <c r="C226" s="288">
        <v>3</v>
      </c>
      <c r="D226" s="257" t="s">
        <v>2412</v>
      </c>
      <c r="E226" s="244"/>
      <c r="F226" s="244"/>
      <c r="G226" s="244" t="s">
        <v>1765</v>
      </c>
      <c r="H226" s="244"/>
      <c r="I226" s="244"/>
      <c r="J226" s="244"/>
      <c r="K226" s="244"/>
      <c r="L226" s="244"/>
      <c r="M226" s="244"/>
      <c r="N226" s="244"/>
      <c r="O226" s="244"/>
      <c r="P226" s="243">
        <v>45831</v>
      </c>
      <c r="Q226" s="243">
        <v>45975</v>
      </c>
      <c r="R226" s="244"/>
      <c r="S226" s="242">
        <v>218.79999999999998</v>
      </c>
      <c r="T226" s="242">
        <v>218.79999999999998</v>
      </c>
      <c r="U226" s="242">
        <v>99</v>
      </c>
      <c r="V226" s="242">
        <v>99</v>
      </c>
      <c r="W226" s="243"/>
      <c r="X226" s="243"/>
      <c r="Y226" s="251">
        <v>0</v>
      </c>
      <c r="Z226" s="252">
        <v>0</v>
      </c>
      <c r="AA226" s="242"/>
      <c r="AB226" s="244" t="s">
        <v>2213</v>
      </c>
      <c r="AC226" s="255"/>
      <c r="AD226" s="239">
        <v>1</v>
      </c>
      <c r="AE226" s="241">
        <v>1</v>
      </c>
      <c r="AF226" s="296"/>
      <c r="AG226" s="297"/>
      <c r="AH226" s="297"/>
      <c r="AI226" s="297"/>
      <c r="AJ226" s="297"/>
      <c r="AK226" s="297"/>
      <c r="AL226" s="297"/>
      <c r="AM226" s="297"/>
      <c r="AN226" s="297"/>
      <c r="AO226" s="297"/>
      <c r="AP226" s="297"/>
      <c r="AQ226" s="297"/>
      <c r="AR226" s="297"/>
      <c r="AS226" s="297"/>
      <c r="AT226" s="297"/>
      <c r="AU226" s="297"/>
      <c r="AV226" s="297"/>
      <c r="AW226" s="297"/>
      <c r="AX226" s="297"/>
      <c r="AY226" s="297"/>
      <c r="AZ226" s="297"/>
      <c r="BA226" s="297"/>
      <c r="BB226" s="297"/>
      <c r="BC226" s="297"/>
      <c r="BD226" s="297"/>
      <c r="BE226" s="297"/>
      <c r="BF226" s="297"/>
      <c r="BG226" s="297"/>
      <c r="BH226" s="297"/>
      <c r="BI226" s="297"/>
      <c r="BJ226" s="297"/>
      <c r="BK226" s="297"/>
      <c r="BL226" s="297"/>
      <c r="BM226" s="297"/>
      <c r="BN226" s="297"/>
      <c r="BO226" s="297"/>
      <c r="BP226" s="297"/>
      <c r="BQ226" s="297"/>
      <c r="BR226" s="297" t="str">
        <f>"      " &amp; TEXT(AE226,"#0.00%") &amp; " " &amp; "운영 환경" &amp; "(정지원님)" &amp; " " &amp; IF(P226="","",TEXT(P226,"M/D-")) &amp; IF(Q226="","",TEXT(Q226,"M/D")) &amp; " "</f>
        <v xml:space="preserve">      100.00% 운영 환경(정지원님) 6/23-11/14 </v>
      </c>
      <c r="BS226" s="297"/>
      <c r="BT226" s="297"/>
      <c r="BU226" s="297"/>
      <c r="BV226" s="297"/>
      <c r="BW226" s="297"/>
      <c r="BX226" s="297"/>
      <c r="BY226" s="297"/>
      <c r="BZ226" s="297"/>
      <c r="CA226" s="297"/>
      <c r="CB226" s="297"/>
      <c r="CC226" s="297"/>
      <c r="CD226" s="297"/>
      <c r="CE226" s="297"/>
      <c r="CF226" s="297"/>
      <c r="CG226" s="297"/>
    </row>
    <row r="227" spans="1:85" ht="12" customHeight="1" outlineLevel="3">
      <c r="A227" s="288"/>
      <c r="B227" s="288" t="s">
        <v>2334</v>
      </c>
      <c r="C227" s="288">
        <v>4</v>
      </c>
      <c r="D227" s="257" t="s">
        <v>2413</v>
      </c>
      <c r="E227" s="244"/>
      <c r="F227" s="244"/>
      <c r="G227" s="244"/>
      <c r="H227" s="244" t="s">
        <v>2130</v>
      </c>
      <c r="I227" s="244"/>
      <c r="J227" s="244"/>
      <c r="K227" s="244"/>
      <c r="L227" s="244"/>
      <c r="M227" s="244"/>
      <c r="N227" s="244"/>
      <c r="O227" s="244"/>
      <c r="P227" s="243">
        <v>45831</v>
      </c>
      <c r="Q227" s="243">
        <v>45842</v>
      </c>
      <c r="R227" s="244"/>
      <c r="S227" s="242">
        <v>15</v>
      </c>
      <c r="T227" s="242">
        <v>15</v>
      </c>
      <c r="U227" s="242">
        <v>10</v>
      </c>
      <c r="V227" s="242">
        <v>10</v>
      </c>
      <c r="W227" s="243"/>
      <c r="X227" s="243"/>
      <c r="Y227" s="251">
        <v>0</v>
      </c>
      <c r="Z227" s="252">
        <v>0</v>
      </c>
      <c r="AA227" s="242"/>
      <c r="AB227" s="256"/>
      <c r="AC227" s="255"/>
      <c r="AD227" s="239">
        <v>1</v>
      </c>
      <c r="AE227" s="241">
        <v>1</v>
      </c>
      <c r="AF227" s="296"/>
      <c r="AG227" s="297"/>
      <c r="AH227" s="297"/>
      <c r="AI227" s="297"/>
      <c r="AJ227" s="297"/>
      <c r="AK227" s="297"/>
      <c r="AL227" s="297"/>
      <c r="AM227" s="297"/>
      <c r="AN227" s="297"/>
      <c r="AO227" s="297"/>
      <c r="AP227" s="297"/>
      <c r="AQ227" s="297"/>
      <c r="AR227" s="297"/>
      <c r="AS227" s="297"/>
      <c r="AT227" s="297"/>
      <c r="AU227" s="297"/>
      <c r="AV227" s="297"/>
      <c r="AW227" s="297"/>
      <c r="AX227" s="297"/>
      <c r="AY227" s="297" t="str">
        <f>"      " &amp; TEXT(AE227,"#0.00%") &amp; " " &amp; "운영환경 구성" &amp; " " &amp; IF(P227="","",TEXT(P227,"M/D-")) &amp; IF(Q227="","",TEXT(Q227,"M/D")) &amp; " "</f>
        <v xml:space="preserve">      100.00% 운영환경 구성 6/23-7/4 </v>
      </c>
      <c r="AZ227" s="297"/>
      <c r="BA227" s="297"/>
      <c r="BB227" s="297"/>
      <c r="BC227" s="297"/>
      <c r="BD227" s="297"/>
      <c r="BE227" s="297"/>
      <c r="BF227" s="297"/>
      <c r="BG227" s="297"/>
      <c r="BH227" s="297"/>
      <c r="BI227" s="297"/>
      <c r="BJ227" s="297"/>
      <c r="BK227" s="297"/>
      <c r="BL227" s="297"/>
      <c r="BM227" s="297"/>
      <c r="BN227" s="297"/>
      <c r="BO227" s="297"/>
      <c r="BP227" s="297"/>
      <c r="BQ227" s="297"/>
      <c r="BR227" s="297"/>
      <c r="BS227" s="297"/>
      <c r="BT227" s="297"/>
      <c r="BU227" s="297"/>
      <c r="BV227" s="297"/>
      <c r="BW227" s="297"/>
      <c r="BX227" s="297"/>
      <c r="BY227" s="297"/>
      <c r="BZ227" s="297"/>
      <c r="CA227" s="297"/>
      <c r="CB227" s="297"/>
      <c r="CC227" s="297"/>
      <c r="CD227" s="297"/>
      <c r="CE227" s="297"/>
      <c r="CF227" s="297"/>
      <c r="CG227" s="297"/>
    </row>
    <row r="228" spans="1:85" ht="12" customHeight="1" outlineLevel="4">
      <c r="A228" s="288"/>
      <c r="B228" s="288"/>
      <c r="C228" s="288">
        <v>5</v>
      </c>
      <c r="D228" s="257" t="s">
        <v>2414</v>
      </c>
      <c r="E228" s="244"/>
      <c r="F228" s="244"/>
      <c r="G228" s="244"/>
      <c r="H228" s="244"/>
      <c r="I228" s="244" t="s">
        <v>2108</v>
      </c>
      <c r="J228" s="244"/>
      <c r="K228" s="244"/>
      <c r="L228" s="244"/>
      <c r="M228" s="244"/>
      <c r="N228" s="244"/>
      <c r="O228" s="244"/>
      <c r="P228" s="243">
        <v>45831</v>
      </c>
      <c r="Q228" s="243">
        <v>45842</v>
      </c>
      <c r="R228" s="244"/>
      <c r="S228" s="242">
        <v>5</v>
      </c>
      <c r="T228" s="242">
        <v>5</v>
      </c>
      <c r="U228" s="242">
        <v>10</v>
      </c>
      <c r="V228" s="242">
        <v>10</v>
      </c>
      <c r="W228" s="243"/>
      <c r="X228" s="243"/>
      <c r="Y228" s="251"/>
      <c r="Z228" s="252">
        <v>0</v>
      </c>
      <c r="AA228" s="242">
        <v>0.5</v>
      </c>
      <c r="AB228" s="244" t="s">
        <v>2213</v>
      </c>
      <c r="AC228" s="255"/>
      <c r="AD228" s="239">
        <v>1</v>
      </c>
      <c r="AE228" s="330">
        <v>1</v>
      </c>
      <c r="AF228" s="296"/>
      <c r="AG228" s="297"/>
      <c r="AH228" s="297"/>
      <c r="AI228" s="297"/>
      <c r="AJ228" s="297"/>
      <c r="AK228" s="297"/>
      <c r="AL228" s="297"/>
      <c r="AM228" s="297"/>
      <c r="AN228" s="297"/>
      <c r="AO228" s="297"/>
      <c r="AP228" s="297"/>
      <c r="AQ228" s="297"/>
      <c r="AR228" s="297"/>
      <c r="AS228" s="297"/>
      <c r="AT228" s="297"/>
      <c r="AU228" s="297"/>
      <c r="AV228" s="297"/>
      <c r="AW228" s="297"/>
      <c r="AX228" s="297"/>
      <c r="AY228" s="297" t="str">
        <f>"      " &amp; TEXT(AE228,"#0.00%") &amp; " " &amp; "AWS Aurora For PostgreSQL 구성" &amp; "(정지원님)" &amp; " " &amp; IF(P228="","",TEXT(P228,"M/D-")) &amp; IF(Q228="","",TEXT(Q228,"M/D")) &amp; " "</f>
        <v xml:space="preserve">      100.00% AWS Aurora For PostgreSQL 구성(정지원님) 6/23-7/4 </v>
      </c>
      <c r="AZ228" s="297"/>
      <c r="BA228" s="297"/>
      <c r="BB228" s="297"/>
      <c r="BC228" s="297"/>
      <c r="BD228" s="297"/>
      <c r="BE228" s="297"/>
      <c r="BF228" s="297"/>
      <c r="BG228" s="297"/>
      <c r="BH228" s="297"/>
      <c r="BI228" s="297"/>
      <c r="BJ228" s="297"/>
      <c r="BK228" s="297"/>
      <c r="BL228" s="297"/>
      <c r="BM228" s="297"/>
      <c r="BN228" s="297"/>
      <c r="BO228" s="297"/>
      <c r="BP228" s="297"/>
      <c r="BQ228" s="297"/>
      <c r="BR228" s="297"/>
      <c r="BS228" s="297"/>
      <c r="BT228" s="297"/>
      <c r="BU228" s="297"/>
      <c r="BV228" s="297"/>
      <c r="BW228" s="297"/>
      <c r="BX228" s="297"/>
      <c r="BY228" s="297"/>
      <c r="BZ228" s="297"/>
      <c r="CA228" s="297"/>
      <c r="CB228" s="297"/>
      <c r="CC228" s="297"/>
      <c r="CD228" s="297"/>
      <c r="CE228" s="297"/>
      <c r="CF228" s="297"/>
      <c r="CG228" s="297"/>
    </row>
    <row r="229" spans="1:85" ht="12" customHeight="1" outlineLevel="4">
      <c r="A229" s="288"/>
      <c r="B229" s="288"/>
      <c r="C229" s="288">
        <v>5</v>
      </c>
      <c r="D229" s="257" t="s">
        <v>2415</v>
      </c>
      <c r="E229" s="244"/>
      <c r="F229" s="244"/>
      <c r="G229" s="244"/>
      <c r="H229" s="244"/>
      <c r="I229" s="244" t="s">
        <v>2109</v>
      </c>
      <c r="J229" s="244"/>
      <c r="K229" s="244"/>
      <c r="L229" s="244"/>
      <c r="M229" s="244"/>
      <c r="N229" s="244"/>
      <c r="O229" s="244"/>
      <c r="P229" s="243">
        <v>45831</v>
      </c>
      <c r="Q229" s="243">
        <v>45842</v>
      </c>
      <c r="R229" s="244"/>
      <c r="S229" s="242">
        <v>5</v>
      </c>
      <c r="T229" s="242">
        <v>5</v>
      </c>
      <c r="U229" s="242">
        <v>10</v>
      </c>
      <c r="V229" s="242">
        <v>10</v>
      </c>
      <c r="W229" s="243"/>
      <c r="X229" s="243"/>
      <c r="Y229" s="251"/>
      <c r="Z229" s="252">
        <v>0</v>
      </c>
      <c r="AA229" s="242">
        <v>0.5</v>
      </c>
      <c r="AB229" s="244" t="s">
        <v>2213</v>
      </c>
      <c r="AC229" s="255"/>
      <c r="AD229" s="239">
        <v>1</v>
      </c>
      <c r="AE229" s="330">
        <v>1</v>
      </c>
      <c r="AF229" s="296"/>
      <c r="AG229" s="297"/>
      <c r="AH229" s="297"/>
      <c r="AI229" s="297"/>
      <c r="AJ229" s="297"/>
      <c r="AK229" s="297"/>
      <c r="AL229" s="297"/>
      <c r="AM229" s="297"/>
      <c r="AN229" s="297"/>
      <c r="AO229" s="297"/>
      <c r="AP229" s="297"/>
      <c r="AQ229" s="297"/>
      <c r="AR229" s="297"/>
      <c r="AS229" s="297"/>
      <c r="AT229" s="297"/>
      <c r="AU229" s="297"/>
      <c r="AV229" s="297"/>
      <c r="AW229" s="297"/>
      <c r="AX229" s="297"/>
      <c r="AY229" s="297" t="str">
        <f>"      " &amp; TEXT(AE229,"#0.00%") &amp; " " &amp; "클러스터 파라미터 설계 및 적용" &amp; "(정지원님)" &amp; " " &amp; IF(P229="","",TEXT(P229,"M/D-")) &amp; IF(Q229="","",TEXT(Q229,"M/D")) &amp; " "</f>
        <v xml:space="preserve">      100.00% 클러스터 파라미터 설계 및 적용(정지원님) 6/23-7/4 </v>
      </c>
      <c r="AZ229" s="297"/>
      <c r="BA229" s="297"/>
      <c r="BB229" s="297"/>
      <c r="BC229" s="297"/>
      <c r="BD229" s="297"/>
      <c r="BE229" s="297"/>
      <c r="BF229" s="297"/>
      <c r="BG229" s="297"/>
      <c r="BH229" s="297"/>
      <c r="BI229" s="297"/>
      <c r="BJ229" s="297"/>
      <c r="BK229" s="297"/>
      <c r="BL229" s="297"/>
      <c r="BM229" s="297"/>
      <c r="BN229" s="297"/>
      <c r="BO229" s="297"/>
      <c r="BP229" s="297"/>
      <c r="BQ229" s="297"/>
      <c r="BR229" s="297"/>
      <c r="BS229" s="297"/>
      <c r="BT229" s="297"/>
      <c r="BU229" s="297"/>
      <c r="BV229" s="297"/>
      <c r="BW229" s="297"/>
      <c r="BX229" s="297"/>
      <c r="BY229" s="297"/>
      <c r="BZ229" s="297"/>
      <c r="CA229" s="297"/>
      <c r="CB229" s="297"/>
      <c r="CC229" s="297"/>
      <c r="CD229" s="297"/>
      <c r="CE229" s="297"/>
      <c r="CF229" s="297"/>
      <c r="CG229" s="297"/>
    </row>
    <row r="230" spans="1:85" ht="12" customHeight="1" outlineLevel="4">
      <c r="A230" s="288"/>
      <c r="B230" s="288"/>
      <c r="C230" s="288">
        <v>5</v>
      </c>
      <c r="D230" s="257" t="s">
        <v>2416</v>
      </c>
      <c r="E230" s="244"/>
      <c r="F230" s="244"/>
      <c r="G230" s="244"/>
      <c r="H230" s="244"/>
      <c r="I230" s="244" t="s">
        <v>2229</v>
      </c>
      <c r="J230" s="244"/>
      <c r="K230" s="244"/>
      <c r="L230" s="244"/>
      <c r="M230" s="244"/>
      <c r="N230" s="244"/>
      <c r="O230" s="244"/>
      <c r="P230" s="243">
        <v>45831</v>
      </c>
      <c r="Q230" s="243">
        <v>45842</v>
      </c>
      <c r="R230" s="244"/>
      <c r="S230" s="242">
        <v>5</v>
      </c>
      <c r="T230" s="242">
        <v>5</v>
      </c>
      <c r="U230" s="242">
        <v>10</v>
      </c>
      <c r="V230" s="242">
        <v>10</v>
      </c>
      <c r="W230" s="243"/>
      <c r="X230" s="243"/>
      <c r="Y230" s="251"/>
      <c r="Z230" s="252">
        <v>0</v>
      </c>
      <c r="AA230" s="242">
        <v>0.5</v>
      </c>
      <c r="AB230" s="244" t="s">
        <v>2213</v>
      </c>
      <c r="AC230" s="255"/>
      <c r="AD230" s="239">
        <v>1</v>
      </c>
      <c r="AE230" s="330">
        <v>1</v>
      </c>
      <c r="AF230" s="296"/>
      <c r="AG230" s="297"/>
      <c r="AH230" s="297"/>
      <c r="AI230" s="297"/>
      <c r="AJ230" s="297"/>
      <c r="AK230" s="297"/>
      <c r="AL230" s="297"/>
      <c r="AM230" s="297"/>
      <c r="AN230" s="297"/>
      <c r="AO230" s="297"/>
      <c r="AP230" s="297"/>
      <c r="AQ230" s="297"/>
      <c r="AR230" s="297"/>
      <c r="AS230" s="297"/>
      <c r="AT230" s="297"/>
      <c r="AU230" s="297"/>
      <c r="AV230" s="297"/>
      <c r="AW230" s="297"/>
      <c r="AX230" s="297"/>
      <c r="AY230" s="297" t="str">
        <f>"      " &amp; TEXT(AE230,"#0.00%") &amp; " " &amp; "데이터베이스 생성" &amp; "(정지원님)" &amp; " " &amp; IF(P230="","",TEXT(P230,"M/D-")) &amp; IF(Q230="","",TEXT(Q230,"M/D")) &amp; " "</f>
        <v xml:space="preserve">      100.00% 데이터베이스 생성(정지원님) 6/23-7/4 </v>
      </c>
      <c r="AZ230" s="297"/>
      <c r="BA230" s="297"/>
      <c r="BB230" s="297"/>
      <c r="BC230" s="297"/>
      <c r="BD230" s="297"/>
      <c r="BE230" s="297"/>
      <c r="BF230" s="297"/>
      <c r="BG230" s="297"/>
      <c r="BH230" s="297"/>
      <c r="BI230" s="297"/>
      <c r="BJ230" s="297"/>
      <c r="BK230" s="297"/>
      <c r="BL230" s="297"/>
      <c r="BM230" s="297"/>
      <c r="BN230" s="297"/>
      <c r="BO230" s="297"/>
      <c r="BP230" s="297"/>
      <c r="BQ230" s="297"/>
      <c r="BR230" s="297"/>
      <c r="BS230" s="297"/>
      <c r="BT230" s="297"/>
      <c r="BU230" s="297"/>
      <c r="BV230" s="297"/>
      <c r="BW230" s="297"/>
      <c r="BX230" s="297"/>
      <c r="BY230" s="297"/>
      <c r="BZ230" s="297"/>
      <c r="CA230" s="297"/>
      <c r="CB230" s="297"/>
      <c r="CC230" s="297"/>
      <c r="CD230" s="297"/>
      <c r="CE230" s="297"/>
      <c r="CF230" s="297"/>
      <c r="CG230" s="297"/>
    </row>
    <row r="231" spans="1:85" ht="12" customHeight="1" outlineLevel="3">
      <c r="A231" s="288"/>
      <c r="B231" s="288" t="s">
        <v>2334</v>
      </c>
      <c r="C231" s="288">
        <v>4</v>
      </c>
      <c r="D231" s="257" t="s">
        <v>2417</v>
      </c>
      <c r="E231" s="244"/>
      <c r="F231" s="244"/>
      <c r="G231" s="244"/>
      <c r="H231" s="244" t="s">
        <v>2112</v>
      </c>
      <c r="I231" s="244"/>
      <c r="J231" s="244"/>
      <c r="K231" s="244"/>
      <c r="L231" s="244"/>
      <c r="M231" s="244"/>
      <c r="N231" s="244"/>
      <c r="O231" s="244"/>
      <c r="P231" s="243">
        <v>45842</v>
      </c>
      <c r="Q231" s="243">
        <v>45845</v>
      </c>
      <c r="R231" s="244"/>
      <c r="S231" s="242">
        <v>0.60000000000000009</v>
      </c>
      <c r="T231" s="242">
        <v>0.60000000000000009</v>
      </c>
      <c r="U231" s="242">
        <v>2</v>
      </c>
      <c r="V231" s="242">
        <v>2</v>
      </c>
      <c r="W231" s="243"/>
      <c r="X231" s="243"/>
      <c r="Y231" s="251">
        <v>0</v>
      </c>
      <c r="Z231" s="252">
        <v>0</v>
      </c>
      <c r="AA231" s="242"/>
      <c r="AB231" s="256"/>
      <c r="AC231" s="307"/>
      <c r="AD231" s="239">
        <v>1</v>
      </c>
      <c r="AE231" s="241">
        <v>1</v>
      </c>
      <c r="AF231" s="296"/>
      <c r="AG231" s="297"/>
      <c r="AH231" s="297"/>
      <c r="AI231" s="297"/>
      <c r="AJ231" s="297"/>
      <c r="AK231" s="297"/>
      <c r="AL231" s="297"/>
      <c r="AM231" s="297"/>
      <c r="AN231" s="297"/>
      <c r="AO231" s="297"/>
      <c r="AP231" s="297"/>
      <c r="AQ231" s="297"/>
      <c r="AR231" s="297"/>
      <c r="AS231" s="297"/>
      <c r="AT231" s="297"/>
      <c r="AU231" s="297"/>
      <c r="AV231" s="297"/>
      <c r="AW231" s="297"/>
      <c r="AX231" s="297"/>
      <c r="AY231" s="297"/>
      <c r="AZ231" s="297" t="str">
        <f>"  " &amp; TEXT(AE231,"#0.00%") &amp; " " &amp; "데이터표준화" &amp; " " &amp; IF(P231="","",TEXT(P231,"M/D-")) &amp; IF(Q231="","",TEXT(Q231,"M/D")) &amp; " "</f>
        <v xml:space="preserve">  100.00% 데이터표준화 7/4-7/7 </v>
      </c>
      <c r="BA231" s="297"/>
      <c r="BB231" s="297"/>
      <c r="BC231" s="297"/>
      <c r="BD231" s="297"/>
      <c r="BE231" s="297"/>
      <c r="BF231" s="297"/>
      <c r="BG231" s="297"/>
      <c r="BH231" s="297"/>
      <c r="BI231" s="297"/>
      <c r="BJ231" s="297"/>
      <c r="BK231" s="297"/>
      <c r="BL231" s="297"/>
      <c r="BM231" s="297"/>
      <c r="BN231" s="297"/>
      <c r="BO231" s="297"/>
      <c r="BP231" s="297"/>
      <c r="BQ231" s="297"/>
      <c r="BR231" s="297"/>
      <c r="BS231" s="297"/>
      <c r="BT231" s="297"/>
      <c r="BU231" s="297"/>
      <c r="BV231" s="297"/>
      <c r="BW231" s="297"/>
      <c r="BX231" s="297"/>
      <c r="BY231" s="297"/>
      <c r="BZ231" s="297"/>
      <c r="CA231" s="297"/>
      <c r="CB231" s="297"/>
      <c r="CC231" s="297"/>
      <c r="CD231" s="297"/>
      <c r="CE231" s="297"/>
      <c r="CF231" s="297"/>
      <c r="CG231" s="297"/>
    </row>
    <row r="232" spans="1:85" ht="12" customHeight="1" outlineLevel="4">
      <c r="A232" s="288"/>
      <c r="B232" s="288"/>
      <c r="C232" s="288">
        <v>5</v>
      </c>
      <c r="D232" s="257" t="s">
        <v>2418</v>
      </c>
      <c r="E232" s="244"/>
      <c r="F232" s="244"/>
      <c r="G232" s="244"/>
      <c r="H232" s="244"/>
      <c r="I232" s="244" t="s">
        <v>2230</v>
      </c>
      <c r="J232" s="244"/>
      <c r="K232" s="244"/>
      <c r="L232" s="244"/>
      <c r="M232" s="244"/>
      <c r="N232" s="244"/>
      <c r="O232" s="244"/>
      <c r="P232" s="243">
        <v>45842</v>
      </c>
      <c r="Q232" s="243">
        <v>45845</v>
      </c>
      <c r="R232" s="244"/>
      <c r="S232" s="242">
        <v>0.2</v>
      </c>
      <c r="T232" s="242">
        <v>0.2</v>
      </c>
      <c r="U232" s="242">
        <v>2</v>
      </c>
      <c r="V232" s="242">
        <v>2</v>
      </c>
      <c r="W232" s="243"/>
      <c r="X232" s="243"/>
      <c r="Y232" s="251"/>
      <c r="Z232" s="252">
        <v>0</v>
      </c>
      <c r="AA232" s="242">
        <v>0.1</v>
      </c>
      <c r="AB232" s="244" t="s">
        <v>2213</v>
      </c>
      <c r="AC232" s="255"/>
      <c r="AD232" s="239">
        <v>1</v>
      </c>
      <c r="AE232" s="330">
        <v>1</v>
      </c>
      <c r="AF232" s="296"/>
      <c r="AG232" s="297"/>
      <c r="AH232" s="297"/>
      <c r="AI232" s="297"/>
      <c r="AJ232" s="297"/>
      <c r="AK232" s="297"/>
      <c r="AL232" s="297"/>
      <c r="AM232" s="297"/>
      <c r="AN232" s="297"/>
      <c r="AO232" s="297"/>
      <c r="AP232" s="297"/>
      <c r="AQ232" s="297"/>
      <c r="AR232" s="297"/>
      <c r="AS232" s="297"/>
      <c r="AT232" s="297"/>
      <c r="AU232" s="297"/>
      <c r="AV232" s="297"/>
      <c r="AW232" s="297"/>
      <c r="AX232" s="297"/>
      <c r="AY232" s="297"/>
      <c r="AZ232" s="297" t="str">
        <f>"  " &amp; TEXT(AE232,"#0.00%") &amp; " " &amp; "DB 생성 및 표준적용" &amp; "(정지원님)" &amp; " " &amp; IF(P232="","",TEXT(P232,"M/D-")) &amp; IF(Q232="","",TEXT(Q232,"M/D")) &amp; " "</f>
        <v xml:space="preserve">  100.00% DB 생성 및 표준적용(정지원님) 7/4-7/7 </v>
      </c>
      <c r="BA232" s="297"/>
      <c r="BB232" s="297"/>
      <c r="BC232" s="297"/>
      <c r="BD232" s="297"/>
      <c r="BE232" s="297"/>
      <c r="BF232" s="297"/>
      <c r="BG232" s="297"/>
      <c r="BH232" s="297"/>
      <c r="BI232" s="297"/>
      <c r="BJ232" s="297"/>
      <c r="BK232" s="297"/>
      <c r="BL232" s="297"/>
      <c r="BM232" s="297"/>
      <c r="BN232" s="297"/>
      <c r="BO232" s="297"/>
      <c r="BP232" s="297"/>
      <c r="BQ232" s="297"/>
      <c r="BR232" s="297"/>
      <c r="BS232" s="297"/>
      <c r="BT232" s="297"/>
      <c r="BU232" s="297"/>
      <c r="BV232" s="297"/>
      <c r="BW232" s="297"/>
      <c r="BX232" s="297"/>
      <c r="BY232" s="297"/>
      <c r="BZ232" s="297"/>
      <c r="CA232" s="297"/>
      <c r="CB232" s="297"/>
      <c r="CC232" s="297"/>
      <c r="CD232" s="297"/>
      <c r="CE232" s="297"/>
      <c r="CF232" s="297"/>
      <c r="CG232" s="297"/>
    </row>
    <row r="233" spans="1:85" ht="12" customHeight="1" outlineLevel="4">
      <c r="A233" s="288"/>
      <c r="B233" s="288"/>
      <c r="C233" s="288">
        <v>5</v>
      </c>
      <c r="D233" s="257" t="s">
        <v>2419</v>
      </c>
      <c r="E233" s="244"/>
      <c r="F233" s="244"/>
      <c r="G233" s="244"/>
      <c r="H233" s="244"/>
      <c r="I233" s="244" t="s">
        <v>2231</v>
      </c>
      <c r="J233" s="244"/>
      <c r="K233" s="244"/>
      <c r="L233" s="244"/>
      <c r="M233" s="244"/>
      <c r="N233" s="244"/>
      <c r="O233" s="244"/>
      <c r="P233" s="243">
        <v>45842</v>
      </c>
      <c r="Q233" s="243">
        <v>45845</v>
      </c>
      <c r="R233" s="244"/>
      <c r="S233" s="242">
        <v>0.2</v>
      </c>
      <c r="T233" s="242">
        <v>0.2</v>
      </c>
      <c r="U233" s="242">
        <v>2</v>
      </c>
      <c r="V233" s="242">
        <v>2</v>
      </c>
      <c r="W233" s="243"/>
      <c r="X233" s="243"/>
      <c r="Y233" s="251"/>
      <c r="Z233" s="252">
        <v>0</v>
      </c>
      <c r="AA233" s="242">
        <v>0.1</v>
      </c>
      <c r="AB233" s="244" t="s">
        <v>2213</v>
      </c>
      <c r="AC233" s="255"/>
      <c r="AD233" s="239">
        <v>1</v>
      </c>
      <c r="AE233" s="330">
        <v>1</v>
      </c>
      <c r="AF233" s="296"/>
      <c r="AG233" s="297"/>
      <c r="AH233" s="297"/>
      <c r="AI233" s="297"/>
      <c r="AJ233" s="297"/>
      <c r="AK233" s="297"/>
      <c r="AL233" s="297"/>
      <c r="AM233" s="297"/>
      <c r="AN233" s="297"/>
      <c r="AO233" s="297"/>
      <c r="AP233" s="297"/>
      <c r="AQ233" s="297"/>
      <c r="AR233" s="297"/>
      <c r="AS233" s="297"/>
      <c r="AT233" s="297"/>
      <c r="AU233" s="297"/>
      <c r="AV233" s="297"/>
      <c r="AW233" s="297"/>
      <c r="AX233" s="297"/>
      <c r="AY233" s="297"/>
      <c r="AZ233" s="297" t="str">
        <f>"  " &amp; TEXT(AE233,"#0.00%") &amp; " " &amp; "TOBE 테이블명, 컬럼명, 데이터타입 분석" &amp; "(정지원님)" &amp; " " &amp; IF(P233="","",TEXT(P233,"M/D-")) &amp; IF(Q233="","",TEXT(Q233,"M/D")) &amp; " "</f>
        <v xml:space="preserve">  100.00% TOBE 테이블명, 컬럼명, 데이터타입 분석(정지원님) 7/4-7/7 </v>
      </c>
      <c r="BA233" s="297"/>
      <c r="BB233" s="297"/>
      <c r="BC233" s="297"/>
      <c r="BD233" s="297"/>
      <c r="BE233" s="297"/>
      <c r="BF233" s="297"/>
      <c r="BG233" s="297"/>
      <c r="BH233" s="297"/>
      <c r="BI233" s="297"/>
      <c r="BJ233" s="297"/>
      <c r="BK233" s="297"/>
      <c r="BL233" s="297"/>
      <c r="BM233" s="297"/>
      <c r="BN233" s="297"/>
      <c r="BO233" s="297"/>
      <c r="BP233" s="297"/>
      <c r="BQ233" s="297"/>
      <c r="BR233" s="297"/>
      <c r="BS233" s="297"/>
      <c r="BT233" s="297"/>
      <c r="BU233" s="297"/>
      <c r="BV233" s="297"/>
      <c r="BW233" s="297"/>
      <c r="BX233" s="297"/>
      <c r="BY233" s="297"/>
      <c r="BZ233" s="297"/>
      <c r="CA233" s="297"/>
      <c r="CB233" s="297"/>
      <c r="CC233" s="297"/>
      <c r="CD233" s="297"/>
      <c r="CE233" s="297"/>
      <c r="CF233" s="297"/>
      <c r="CG233" s="297"/>
    </row>
    <row r="234" spans="1:85" ht="12" customHeight="1" outlineLevel="4">
      <c r="A234" s="288"/>
      <c r="B234" s="288"/>
      <c r="C234" s="288">
        <v>5</v>
      </c>
      <c r="D234" s="257" t="s">
        <v>2420</v>
      </c>
      <c r="E234" s="244"/>
      <c r="F234" s="244"/>
      <c r="G234" s="244"/>
      <c r="H234" s="244"/>
      <c r="I234" s="244" t="s">
        <v>2232</v>
      </c>
      <c r="J234" s="244"/>
      <c r="K234" s="244"/>
      <c r="L234" s="244"/>
      <c r="M234" s="244"/>
      <c r="N234" s="244"/>
      <c r="O234" s="244"/>
      <c r="P234" s="243">
        <v>45842</v>
      </c>
      <c r="Q234" s="243">
        <v>45845</v>
      </c>
      <c r="R234" s="244"/>
      <c r="S234" s="242">
        <v>0.2</v>
      </c>
      <c r="T234" s="242">
        <v>0.2</v>
      </c>
      <c r="U234" s="242">
        <v>2</v>
      </c>
      <c r="V234" s="242">
        <v>2</v>
      </c>
      <c r="W234" s="243"/>
      <c r="X234" s="243"/>
      <c r="Y234" s="251"/>
      <c r="Z234" s="252">
        <v>0</v>
      </c>
      <c r="AA234" s="242">
        <v>0.1</v>
      </c>
      <c r="AB234" s="244" t="s">
        <v>2213</v>
      </c>
      <c r="AC234" s="255"/>
      <c r="AD234" s="239">
        <v>1</v>
      </c>
      <c r="AE234" s="330">
        <v>1</v>
      </c>
      <c r="AF234" s="296"/>
      <c r="AG234" s="297"/>
      <c r="AH234" s="297"/>
      <c r="AI234" s="297"/>
      <c r="AJ234" s="297"/>
      <c r="AK234" s="297"/>
      <c r="AL234" s="297"/>
      <c r="AM234" s="297"/>
      <c r="AN234" s="297"/>
      <c r="AO234" s="297"/>
      <c r="AP234" s="297"/>
      <c r="AQ234" s="297"/>
      <c r="AR234" s="297"/>
      <c r="AS234" s="297"/>
      <c r="AT234" s="297"/>
      <c r="AU234" s="297"/>
      <c r="AV234" s="297"/>
      <c r="AW234" s="297"/>
      <c r="AX234" s="297"/>
      <c r="AY234" s="297"/>
      <c r="AZ234" s="297" t="str">
        <f>"  " &amp; TEXT(AE234,"#0.00%") &amp; " " &amp; "TO-BE 표준단어 검토" &amp; "(정지원님)" &amp; " " &amp; IF(P234="","",TEXT(P234,"M/D-")) &amp; IF(Q234="","",TEXT(Q234,"M/D")) &amp; " "</f>
        <v xml:space="preserve">  100.00% TO-BE 표준단어 검토(정지원님) 7/4-7/7 </v>
      </c>
      <c r="BA234" s="297"/>
      <c r="BB234" s="297"/>
      <c r="BC234" s="297"/>
      <c r="BD234" s="297"/>
      <c r="BE234" s="297"/>
      <c r="BF234" s="297"/>
      <c r="BG234" s="297"/>
      <c r="BH234" s="297"/>
      <c r="BI234" s="297"/>
      <c r="BJ234" s="297"/>
      <c r="BK234" s="297"/>
      <c r="BL234" s="297"/>
      <c r="BM234" s="297"/>
      <c r="BN234" s="297"/>
      <c r="BO234" s="297"/>
      <c r="BP234" s="297"/>
      <c r="BQ234" s="297"/>
      <c r="BR234" s="297"/>
      <c r="BS234" s="297"/>
      <c r="BT234" s="297"/>
      <c r="BU234" s="297"/>
      <c r="BV234" s="297"/>
      <c r="BW234" s="297"/>
      <c r="BX234" s="297"/>
      <c r="BY234" s="297"/>
      <c r="BZ234" s="297"/>
      <c r="CA234" s="297"/>
      <c r="CB234" s="297"/>
      <c r="CC234" s="297"/>
      <c r="CD234" s="297"/>
      <c r="CE234" s="297"/>
      <c r="CF234" s="297"/>
      <c r="CG234" s="297"/>
    </row>
    <row r="235" spans="1:85" ht="12" customHeight="1" outlineLevel="3">
      <c r="A235" s="288"/>
      <c r="B235" s="288" t="s">
        <v>2334</v>
      </c>
      <c r="C235" s="288">
        <v>4</v>
      </c>
      <c r="D235" s="257" t="s">
        <v>2421</v>
      </c>
      <c r="E235" s="244"/>
      <c r="F235" s="244"/>
      <c r="G235" s="244"/>
      <c r="H235" s="244" t="s">
        <v>2116</v>
      </c>
      <c r="I235" s="244"/>
      <c r="J235" s="244"/>
      <c r="K235" s="244"/>
      <c r="L235" s="244"/>
      <c r="M235" s="244"/>
      <c r="N235" s="244"/>
      <c r="O235" s="244"/>
      <c r="P235" s="243">
        <v>45842</v>
      </c>
      <c r="Q235" s="243">
        <v>45847</v>
      </c>
      <c r="R235" s="244"/>
      <c r="S235" s="242">
        <v>3.5999999999999996</v>
      </c>
      <c r="T235" s="242">
        <v>3.5999999999999996</v>
      </c>
      <c r="U235" s="242">
        <v>4</v>
      </c>
      <c r="V235" s="242">
        <v>4</v>
      </c>
      <c r="W235" s="243"/>
      <c r="X235" s="243"/>
      <c r="Y235" s="251">
        <v>0</v>
      </c>
      <c r="Z235" s="252">
        <v>0</v>
      </c>
      <c r="AA235" s="242"/>
      <c r="AB235" s="256"/>
      <c r="AC235" s="307"/>
      <c r="AD235" s="239">
        <v>1</v>
      </c>
      <c r="AE235" s="241">
        <v>1</v>
      </c>
      <c r="AF235" s="296"/>
      <c r="AG235" s="297"/>
      <c r="AH235" s="297"/>
      <c r="AI235" s="297"/>
      <c r="AJ235" s="297"/>
      <c r="AK235" s="297"/>
      <c r="AL235" s="297"/>
      <c r="AM235" s="297"/>
      <c r="AN235" s="297"/>
      <c r="AO235" s="297"/>
      <c r="AP235" s="297"/>
      <c r="AQ235" s="297"/>
      <c r="AR235" s="297"/>
      <c r="AS235" s="297"/>
      <c r="AT235" s="297"/>
      <c r="AU235" s="297"/>
      <c r="AV235" s="297"/>
      <c r="AW235" s="297"/>
      <c r="AX235" s="297"/>
      <c r="AY235" s="297"/>
      <c r="AZ235" s="297" t="str">
        <f>"    " &amp; TEXT(AE235,"#0.00%") &amp; " " &amp; "모델관리" &amp; " " &amp; IF(P235="","",TEXT(P235,"M/D-")) &amp; IF(Q235="","",TEXT(Q235,"M/D")) &amp; " "</f>
        <v xml:space="preserve">    100.00% 모델관리 7/4-7/9 </v>
      </c>
      <c r="BA235" s="297"/>
      <c r="BB235" s="297"/>
      <c r="BC235" s="297"/>
      <c r="BD235" s="297"/>
      <c r="BE235" s="297"/>
      <c r="BF235" s="297"/>
      <c r="BG235" s="297"/>
      <c r="BH235" s="297"/>
      <c r="BI235" s="297"/>
      <c r="BJ235" s="297"/>
      <c r="BK235" s="297"/>
      <c r="BL235" s="297"/>
      <c r="BM235" s="297"/>
      <c r="BN235" s="297"/>
      <c r="BO235" s="297"/>
      <c r="BP235" s="297"/>
      <c r="BQ235" s="297"/>
      <c r="BR235" s="297"/>
      <c r="BS235" s="297"/>
      <c r="BT235" s="297"/>
      <c r="BU235" s="297"/>
      <c r="BV235" s="297"/>
      <c r="BW235" s="297"/>
      <c r="BX235" s="297"/>
      <c r="BY235" s="297"/>
      <c r="BZ235" s="297"/>
      <c r="CA235" s="297"/>
      <c r="CB235" s="297"/>
      <c r="CC235" s="297"/>
      <c r="CD235" s="297"/>
      <c r="CE235" s="297"/>
      <c r="CF235" s="297"/>
      <c r="CG235" s="297"/>
    </row>
    <row r="236" spans="1:85" ht="12" customHeight="1" outlineLevel="4">
      <c r="A236" s="288"/>
      <c r="B236" s="288"/>
      <c r="C236" s="288">
        <v>5</v>
      </c>
      <c r="D236" s="257" t="s">
        <v>2422</v>
      </c>
      <c r="E236" s="244"/>
      <c r="F236" s="244"/>
      <c r="G236" s="244"/>
      <c r="H236" s="244"/>
      <c r="I236" s="244" t="s">
        <v>2233</v>
      </c>
      <c r="J236" s="244"/>
      <c r="K236" s="244"/>
      <c r="L236" s="244"/>
      <c r="M236" s="244"/>
      <c r="N236" s="244"/>
      <c r="O236" s="244"/>
      <c r="P236" s="243">
        <v>45842</v>
      </c>
      <c r="Q236" s="243">
        <v>45847</v>
      </c>
      <c r="R236" s="244"/>
      <c r="S236" s="242">
        <v>1.2</v>
      </c>
      <c r="T236" s="242">
        <v>1.2</v>
      </c>
      <c r="U236" s="242">
        <v>4</v>
      </c>
      <c r="V236" s="242">
        <v>4</v>
      </c>
      <c r="W236" s="243"/>
      <c r="X236" s="243"/>
      <c r="Y236" s="251"/>
      <c r="Z236" s="252">
        <v>0</v>
      </c>
      <c r="AA236" s="242">
        <v>0.3</v>
      </c>
      <c r="AB236" s="244" t="s">
        <v>2213</v>
      </c>
      <c r="AC236" s="255"/>
      <c r="AD236" s="239">
        <v>1</v>
      </c>
      <c r="AE236" s="330">
        <v>1</v>
      </c>
      <c r="AF236" s="296"/>
      <c r="AG236" s="297"/>
      <c r="AH236" s="297"/>
      <c r="AI236" s="297"/>
      <c r="AJ236" s="297"/>
      <c r="AK236" s="297"/>
      <c r="AL236" s="297"/>
      <c r="AM236" s="297"/>
      <c r="AN236" s="297"/>
      <c r="AO236" s="297"/>
      <c r="AP236" s="297"/>
      <c r="AQ236" s="297"/>
      <c r="AR236" s="297"/>
      <c r="AS236" s="297"/>
      <c r="AT236" s="297"/>
      <c r="AU236" s="297"/>
      <c r="AV236" s="297"/>
      <c r="AW236" s="297"/>
      <c r="AX236" s="297"/>
      <c r="AY236" s="297"/>
      <c r="AZ236" s="297" t="str">
        <f>"    " &amp; TEXT(AE236,"#0.00%") &amp; " " &amp; "논리 VS 물리 교차 검증" &amp; "(정지원님)" &amp; " " &amp; IF(P236="","",TEXT(P236,"M/D-")) &amp; IF(Q236="","",TEXT(Q236,"M/D")) &amp; " "</f>
        <v xml:space="preserve">    100.00% 논리 VS 물리 교차 검증(정지원님) 7/4-7/9 </v>
      </c>
      <c r="BA236" s="297"/>
      <c r="BB236" s="297"/>
      <c r="BC236" s="297"/>
      <c r="BD236" s="297"/>
      <c r="BE236" s="297"/>
      <c r="BF236" s="297"/>
      <c r="BG236" s="297"/>
      <c r="BH236" s="297"/>
      <c r="BI236" s="297"/>
      <c r="BJ236" s="297"/>
      <c r="BK236" s="297"/>
      <c r="BL236" s="297"/>
      <c r="BM236" s="297"/>
      <c r="BN236" s="297"/>
      <c r="BO236" s="297"/>
      <c r="BP236" s="297"/>
      <c r="BQ236" s="297"/>
      <c r="BR236" s="297"/>
      <c r="BS236" s="297"/>
      <c r="BT236" s="297"/>
      <c r="BU236" s="297"/>
      <c r="BV236" s="297"/>
      <c r="BW236" s="297"/>
      <c r="BX236" s="297"/>
      <c r="BY236" s="297"/>
      <c r="BZ236" s="297"/>
      <c r="CA236" s="297"/>
      <c r="CB236" s="297"/>
      <c r="CC236" s="297"/>
      <c r="CD236" s="297"/>
      <c r="CE236" s="297"/>
      <c r="CF236" s="297"/>
      <c r="CG236" s="297"/>
    </row>
    <row r="237" spans="1:85" ht="12" customHeight="1" outlineLevel="4">
      <c r="A237" s="288"/>
      <c r="B237" s="288"/>
      <c r="C237" s="288">
        <v>5</v>
      </c>
      <c r="D237" s="257" t="s">
        <v>2423</v>
      </c>
      <c r="E237" s="244"/>
      <c r="F237" s="244"/>
      <c r="G237" s="244"/>
      <c r="H237" s="244"/>
      <c r="I237" s="244" t="s">
        <v>2234</v>
      </c>
      <c r="J237" s="244"/>
      <c r="K237" s="244"/>
      <c r="L237" s="244"/>
      <c r="M237" s="244"/>
      <c r="N237" s="244"/>
      <c r="O237" s="244"/>
      <c r="P237" s="243">
        <v>45842</v>
      </c>
      <c r="Q237" s="243">
        <v>45847</v>
      </c>
      <c r="R237" s="244"/>
      <c r="S237" s="242">
        <v>1.2</v>
      </c>
      <c r="T237" s="242">
        <v>1.2</v>
      </c>
      <c r="U237" s="242">
        <v>4</v>
      </c>
      <c r="V237" s="242">
        <v>4</v>
      </c>
      <c r="W237" s="243"/>
      <c r="X237" s="243"/>
      <c r="Y237" s="251"/>
      <c r="Z237" s="252">
        <v>0</v>
      </c>
      <c r="AA237" s="242">
        <v>0.3</v>
      </c>
      <c r="AB237" s="244" t="s">
        <v>2213</v>
      </c>
      <c r="AC237" s="255"/>
      <c r="AD237" s="239">
        <v>1</v>
      </c>
      <c r="AE237" s="330">
        <v>1</v>
      </c>
      <c r="AF237" s="296"/>
      <c r="AG237" s="297"/>
      <c r="AH237" s="297"/>
      <c r="AI237" s="297"/>
      <c r="AJ237" s="297"/>
      <c r="AK237" s="297"/>
      <c r="AL237" s="297"/>
      <c r="AM237" s="297"/>
      <c r="AN237" s="297"/>
      <c r="AO237" s="297"/>
      <c r="AP237" s="297"/>
      <c r="AQ237" s="297"/>
      <c r="AR237" s="297"/>
      <c r="AS237" s="297"/>
      <c r="AT237" s="297"/>
      <c r="AU237" s="297"/>
      <c r="AV237" s="297"/>
      <c r="AW237" s="297"/>
      <c r="AX237" s="297"/>
      <c r="AY237" s="297"/>
      <c r="AZ237" s="297" t="str">
        <f>"    " &amp; TEXT(AE237,"#0.00%") &amp; " " &amp; "표준 적용상태 점검" &amp; "(정지원님)" &amp; " " &amp; IF(P237="","",TEXT(P237,"M/D-")) &amp; IF(Q237="","",TEXT(Q237,"M/D")) &amp; " "</f>
        <v xml:space="preserve">    100.00% 표준 적용상태 점검(정지원님) 7/4-7/9 </v>
      </c>
      <c r="BA237" s="297"/>
      <c r="BB237" s="297"/>
      <c r="BC237" s="297"/>
      <c r="BD237" s="297"/>
      <c r="BE237" s="297"/>
      <c r="BF237" s="297"/>
      <c r="BG237" s="297"/>
      <c r="BH237" s="297"/>
      <c r="BI237" s="297"/>
      <c r="BJ237" s="297"/>
      <c r="BK237" s="297"/>
      <c r="BL237" s="297"/>
      <c r="BM237" s="297"/>
      <c r="BN237" s="297"/>
      <c r="BO237" s="297"/>
      <c r="BP237" s="297"/>
      <c r="BQ237" s="297"/>
      <c r="BR237" s="297"/>
      <c r="BS237" s="297"/>
      <c r="BT237" s="297"/>
      <c r="BU237" s="297"/>
      <c r="BV237" s="297"/>
      <c r="BW237" s="297"/>
      <c r="BX237" s="297"/>
      <c r="BY237" s="297"/>
      <c r="BZ237" s="297"/>
      <c r="CA237" s="297"/>
      <c r="CB237" s="297"/>
      <c r="CC237" s="297"/>
      <c r="CD237" s="297"/>
      <c r="CE237" s="297"/>
      <c r="CF237" s="297"/>
      <c r="CG237" s="297"/>
    </row>
    <row r="238" spans="1:85" ht="12" customHeight="1" outlineLevel="4">
      <c r="A238" s="288"/>
      <c r="B238" s="288"/>
      <c r="C238" s="288">
        <v>5</v>
      </c>
      <c r="D238" s="257" t="s">
        <v>2424</v>
      </c>
      <c r="E238" s="244"/>
      <c r="F238" s="244"/>
      <c r="G238" s="244"/>
      <c r="H238" s="244"/>
      <c r="I238" s="244" t="s">
        <v>2235</v>
      </c>
      <c r="J238" s="244"/>
      <c r="K238" s="244"/>
      <c r="L238" s="244"/>
      <c r="M238" s="244"/>
      <c r="N238" s="244"/>
      <c r="O238" s="244"/>
      <c r="P238" s="243">
        <v>45842</v>
      </c>
      <c r="Q238" s="243">
        <v>45847</v>
      </c>
      <c r="R238" s="244"/>
      <c r="S238" s="242">
        <v>1.2</v>
      </c>
      <c r="T238" s="242">
        <v>1.2</v>
      </c>
      <c r="U238" s="242">
        <v>4</v>
      </c>
      <c r="V238" s="242">
        <v>4</v>
      </c>
      <c r="W238" s="243"/>
      <c r="X238" s="243"/>
      <c r="Y238" s="251"/>
      <c r="Z238" s="252">
        <v>0</v>
      </c>
      <c r="AA238" s="242">
        <v>0.3</v>
      </c>
      <c r="AB238" s="244" t="s">
        <v>2213</v>
      </c>
      <c r="AC238" s="255"/>
      <c r="AD238" s="239">
        <v>1</v>
      </c>
      <c r="AE238" s="304">
        <v>1</v>
      </c>
      <c r="AF238" s="296"/>
      <c r="AG238" s="297"/>
      <c r="AH238" s="297"/>
      <c r="AI238" s="297"/>
      <c r="AJ238" s="297"/>
      <c r="AK238" s="297"/>
      <c r="AL238" s="297"/>
      <c r="AM238" s="297"/>
      <c r="AN238" s="297"/>
      <c r="AO238" s="297"/>
      <c r="AP238" s="297"/>
      <c r="AQ238" s="297"/>
      <c r="AR238" s="297"/>
      <c r="AS238" s="297"/>
      <c r="AT238" s="297"/>
      <c r="AU238" s="297"/>
      <c r="AV238" s="297"/>
      <c r="AW238" s="297"/>
      <c r="AX238" s="297"/>
      <c r="AY238" s="297"/>
      <c r="AZ238" s="297" t="str">
        <f>"    " &amp; TEXT(AE238,"#0.00%") &amp; " " &amp; "ERD 검증" &amp; "(정지원님)" &amp; " " &amp; IF(P238="","",TEXT(P238,"M/D-")) &amp; IF(Q238="","",TEXT(Q238,"M/D")) &amp; " "</f>
        <v xml:space="preserve">    100.00% ERD 검증(정지원님) 7/4-7/9 </v>
      </c>
      <c r="BA238" s="297"/>
      <c r="BB238" s="297"/>
      <c r="BC238" s="297"/>
      <c r="BD238" s="297"/>
      <c r="BE238" s="297"/>
      <c r="BF238" s="297"/>
      <c r="BG238" s="297"/>
      <c r="BH238" s="297"/>
      <c r="BI238" s="297"/>
      <c r="BJ238" s="297"/>
      <c r="BK238" s="297"/>
      <c r="BL238" s="297"/>
      <c r="BM238" s="297"/>
      <c r="BN238" s="297"/>
      <c r="BO238" s="297"/>
      <c r="BP238" s="297"/>
      <c r="BQ238" s="297"/>
      <c r="BR238" s="297"/>
      <c r="BS238" s="297"/>
      <c r="BT238" s="297"/>
      <c r="BU238" s="297"/>
      <c r="BV238" s="297"/>
      <c r="BW238" s="297"/>
      <c r="BX238" s="297"/>
      <c r="BY238" s="297"/>
      <c r="BZ238" s="297"/>
      <c r="CA238" s="297"/>
      <c r="CB238" s="297"/>
      <c r="CC238" s="297"/>
      <c r="CD238" s="297"/>
      <c r="CE238" s="297"/>
      <c r="CF238" s="297"/>
      <c r="CG238" s="297"/>
    </row>
    <row r="239" spans="1:85" ht="12" customHeight="1" outlineLevel="3">
      <c r="A239" s="288"/>
      <c r="B239" s="288" t="s">
        <v>2334</v>
      </c>
      <c r="C239" s="288">
        <v>4</v>
      </c>
      <c r="D239" s="257" t="s">
        <v>2425</v>
      </c>
      <c r="E239" s="244"/>
      <c r="F239" s="244"/>
      <c r="G239" s="244"/>
      <c r="H239" s="244" t="s">
        <v>2240</v>
      </c>
      <c r="I239" s="244"/>
      <c r="J239" s="244"/>
      <c r="K239" s="244"/>
      <c r="L239" s="244"/>
      <c r="M239" s="244"/>
      <c r="N239" s="244"/>
      <c r="O239" s="244"/>
      <c r="P239" s="243">
        <v>45848</v>
      </c>
      <c r="Q239" s="243">
        <v>45853</v>
      </c>
      <c r="R239" s="244"/>
      <c r="S239" s="242">
        <v>10</v>
      </c>
      <c r="T239" s="242">
        <v>10</v>
      </c>
      <c r="U239" s="242">
        <v>4</v>
      </c>
      <c r="V239" s="242">
        <v>4</v>
      </c>
      <c r="W239" s="243"/>
      <c r="X239" s="243"/>
      <c r="Y239" s="251">
        <v>0</v>
      </c>
      <c r="Z239" s="252">
        <v>0</v>
      </c>
      <c r="AA239" s="242"/>
      <c r="AB239" s="244" t="s">
        <v>2213</v>
      </c>
      <c r="AC239" s="255"/>
      <c r="AD239" s="239">
        <v>1</v>
      </c>
      <c r="AE239" s="241">
        <v>1</v>
      </c>
      <c r="AF239" s="296"/>
      <c r="AG239" s="297"/>
      <c r="AH239" s="297"/>
      <c r="AI239" s="297"/>
      <c r="AJ239" s="297"/>
      <c r="AK239" s="297"/>
      <c r="AL239" s="297"/>
      <c r="AM239" s="297"/>
      <c r="AN239" s="297"/>
      <c r="AO239" s="297"/>
      <c r="AP239" s="297"/>
      <c r="AQ239" s="297"/>
      <c r="AR239" s="297"/>
      <c r="AS239" s="297"/>
      <c r="AT239" s="297"/>
      <c r="AU239" s="297"/>
      <c r="AV239" s="297"/>
      <c r="AW239" s="297"/>
      <c r="AX239" s="297"/>
      <c r="AY239" s="297"/>
      <c r="AZ239" s="297"/>
      <c r="BA239" s="297" t="str">
        <f>"   " &amp; TEXT(AE239,"#0.00%") &amp; " " &amp; "데이터 베이스 정책 검토 및 적용" &amp; "(정지원님)" &amp; " " &amp; IF(P239="","",TEXT(P239,"M/D-")) &amp; IF(Q239="","",TEXT(Q239,"M/D")) &amp; " "</f>
        <v xml:space="preserve">   100.00% 데이터 베이스 정책 검토 및 적용(정지원님) 7/10-7/15 </v>
      </c>
      <c r="BB239" s="297"/>
      <c r="BC239" s="297"/>
      <c r="BD239" s="297"/>
      <c r="BE239" s="297"/>
      <c r="BF239" s="297"/>
      <c r="BG239" s="297"/>
      <c r="BH239" s="297"/>
      <c r="BI239" s="297"/>
      <c r="BJ239" s="297"/>
      <c r="BK239" s="297"/>
      <c r="BL239" s="297"/>
      <c r="BM239" s="297"/>
      <c r="BN239" s="297"/>
      <c r="BO239" s="297"/>
      <c r="BP239" s="297"/>
      <c r="BQ239" s="297"/>
      <c r="BR239" s="297"/>
      <c r="BS239" s="297"/>
      <c r="BT239" s="297"/>
      <c r="BU239" s="297"/>
      <c r="BV239" s="297"/>
      <c r="BW239" s="297"/>
      <c r="BX239" s="297"/>
      <c r="BY239" s="297"/>
      <c r="BZ239" s="297"/>
      <c r="CA239" s="297"/>
      <c r="CB239" s="297"/>
      <c r="CC239" s="297"/>
      <c r="CD239" s="297"/>
      <c r="CE239" s="297"/>
      <c r="CF239" s="297"/>
      <c r="CG239" s="297"/>
    </row>
    <row r="240" spans="1:85" ht="12" customHeight="1" outlineLevel="4">
      <c r="A240" s="288"/>
      <c r="B240" s="288"/>
      <c r="C240" s="288">
        <v>5</v>
      </c>
      <c r="D240" s="257" t="s">
        <v>2426</v>
      </c>
      <c r="E240" s="244"/>
      <c r="F240" s="244"/>
      <c r="G240" s="244"/>
      <c r="H240" s="244"/>
      <c r="I240" s="244" t="s">
        <v>2292</v>
      </c>
      <c r="J240" s="244"/>
      <c r="K240" s="244"/>
      <c r="L240" s="244"/>
      <c r="M240" s="244"/>
      <c r="N240" s="244"/>
      <c r="O240" s="244"/>
      <c r="P240" s="243">
        <v>45848</v>
      </c>
      <c r="Q240" s="243">
        <v>45853</v>
      </c>
      <c r="R240" s="244"/>
      <c r="S240" s="242">
        <v>2</v>
      </c>
      <c r="T240" s="242">
        <v>2</v>
      </c>
      <c r="U240" s="242">
        <v>4</v>
      </c>
      <c r="V240" s="242">
        <v>4</v>
      </c>
      <c r="W240" s="243"/>
      <c r="X240" s="243"/>
      <c r="Y240" s="251"/>
      <c r="Z240" s="252">
        <v>0</v>
      </c>
      <c r="AA240" s="242">
        <v>0.5</v>
      </c>
      <c r="AB240" s="244" t="s">
        <v>2213</v>
      </c>
      <c r="AC240" s="255"/>
      <c r="AD240" s="239">
        <v>1</v>
      </c>
      <c r="AE240" s="330">
        <v>1</v>
      </c>
      <c r="AF240" s="296"/>
      <c r="AG240" s="297"/>
      <c r="AH240" s="297"/>
      <c r="AI240" s="297"/>
      <c r="AJ240" s="297"/>
      <c r="AK240" s="297"/>
      <c r="AL240" s="297"/>
      <c r="AM240" s="297"/>
      <c r="AN240" s="297"/>
      <c r="AO240" s="297"/>
      <c r="AP240" s="297"/>
      <c r="AQ240" s="297"/>
      <c r="AR240" s="297"/>
      <c r="AS240" s="297"/>
      <c r="AT240" s="297"/>
      <c r="AU240" s="297"/>
      <c r="AV240" s="297"/>
      <c r="AW240" s="297"/>
      <c r="AX240" s="297"/>
      <c r="AY240" s="297"/>
      <c r="AZ240" s="297"/>
      <c r="BA240" s="297" t="str">
        <f>"   " &amp; TEXT(AE240,"#0.00%") &amp; " " &amp; "백업 정책(스냅샷) 적용(복구 테스트) " &amp; "(정지원님)" &amp; " " &amp; IF(P240="","",TEXT(P240,"M/D-")) &amp; IF(Q240="","",TEXT(Q240,"M/D")) &amp; " "</f>
        <v xml:space="preserve">   100.00% 백업 정책(스냅샷) 적용(복구 테스트) (정지원님) 7/10-7/15 </v>
      </c>
      <c r="BB240" s="297"/>
      <c r="BC240" s="297"/>
      <c r="BD240" s="297"/>
      <c r="BE240" s="297"/>
      <c r="BF240" s="297"/>
      <c r="BG240" s="297"/>
      <c r="BH240" s="297"/>
      <c r="BI240" s="297"/>
      <c r="BJ240" s="297"/>
      <c r="BK240" s="297"/>
      <c r="BL240" s="297"/>
      <c r="BM240" s="297"/>
      <c r="BN240" s="297"/>
      <c r="BO240" s="297"/>
      <c r="BP240" s="297"/>
      <c r="BQ240" s="297"/>
      <c r="BR240" s="297"/>
      <c r="BS240" s="297"/>
      <c r="BT240" s="297"/>
      <c r="BU240" s="297"/>
      <c r="BV240" s="297"/>
      <c r="BW240" s="297"/>
      <c r="BX240" s="297"/>
      <c r="BY240" s="297"/>
      <c r="BZ240" s="297"/>
      <c r="CA240" s="297"/>
      <c r="CB240" s="297"/>
      <c r="CC240" s="297"/>
      <c r="CD240" s="297"/>
      <c r="CE240" s="297"/>
      <c r="CF240" s="297"/>
      <c r="CG240" s="297"/>
    </row>
    <row r="241" spans="1:85" ht="12" customHeight="1" outlineLevel="4">
      <c r="A241" s="288"/>
      <c r="B241" s="288"/>
      <c r="C241" s="288">
        <v>5</v>
      </c>
      <c r="D241" s="257" t="s">
        <v>2427</v>
      </c>
      <c r="E241" s="244"/>
      <c r="F241" s="244"/>
      <c r="G241" s="244"/>
      <c r="H241" s="244"/>
      <c r="I241" s="244" t="s">
        <v>2236</v>
      </c>
      <c r="J241" s="244"/>
      <c r="K241" s="244"/>
      <c r="L241" s="244"/>
      <c r="M241" s="244"/>
      <c r="N241" s="244"/>
      <c r="O241" s="244"/>
      <c r="P241" s="243">
        <v>45848</v>
      </c>
      <c r="Q241" s="243">
        <v>45853</v>
      </c>
      <c r="R241" s="244"/>
      <c r="S241" s="242">
        <v>2</v>
      </c>
      <c r="T241" s="242">
        <v>2</v>
      </c>
      <c r="U241" s="242">
        <v>4</v>
      </c>
      <c r="V241" s="242">
        <v>4</v>
      </c>
      <c r="W241" s="243"/>
      <c r="X241" s="243"/>
      <c r="Y241" s="251"/>
      <c r="Z241" s="252">
        <v>0</v>
      </c>
      <c r="AA241" s="242">
        <v>0.5</v>
      </c>
      <c r="AB241" s="256"/>
      <c r="AC241" s="307"/>
      <c r="AD241" s="239">
        <v>1</v>
      </c>
      <c r="AE241" s="330">
        <v>1</v>
      </c>
      <c r="AF241" s="296"/>
      <c r="AG241" s="297"/>
      <c r="AH241" s="297"/>
      <c r="AI241" s="297"/>
      <c r="AJ241" s="297"/>
      <c r="AK241" s="297"/>
      <c r="AL241" s="297"/>
      <c r="AM241" s="297"/>
      <c r="AN241" s="297"/>
      <c r="AO241" s="297"/>
      <c r="AP241" s="297"/>
      <c r="AQ241" s="297"/>
      <c r="AR241" s="297"/>
      <c r="AS241" s="297"/>
      <c r="AT241" s="297"/>
      <c r="AU241" s="297"/>
      <c r="AV241" s="297"/>
      <c r="AW241" s="297"/>
      <c r="AX241" s="297"/>
      <c r="AY241" s="297"/>
      <c r="AZ241" s="297"/>
      <c r="BA241" s="297" t="str">
        <f>"   " &amp; TEXT(AE241,"#0.00%") &amp; " " &amp; "파티션 및 데이터보관 정책 적용" &amp; " " &amp; IF(P241="","",TEXT(P241,"M/D-")) &amp; IF(Q241="","",TEXT(Q241,"M/D")) &amp; " "</f>
        <v xml:space="preserve">   100.00% 파티션 및 데이터보관 정책 적용 7/10-7/15 </v>
      </c>
      <c r="BB241" s="297"/>
      <c r="BC241" s="297"/>
      <c r="BD241" s="297"/>
      <c r="BE241" s="297"/>
      <c r="BF241" s="297"/>
      <c r="BG241" s="297"/>
      <c r="BH241" s="297"/>
      <c r="BI241" s="297"/>
      <c r="BJ241" s="297"/>
      <c r="BK241" s="297"/>
      <c r="BL241" s="297"/>
      <c r="BM241" s="297"/>
      <c r="BN241" s="297"/>
      <c r="BO241" s="297"/>
      <c r="BP241" s="297"/>
      <c r="BQ241" s="297"/>
      <c r="BR241" s="297"/>
      <c r="BS241" s="297"/>
      <c r="BT241" s="297"/>
      <c r="BU241" s="297"/>
      <c r="BV241" s="297"/>
      <c r="BW241" s="297"/>
      <c r="BX241" s="297"/>
      <c r="BY241" s="297"/>
      <c r="BZ241" s="297"/>
      <c r="CA241" s="297"/>
      <c r="CB241" s="297"/>
      <c r="CC241" s="297"/>
      <c r="CD241" s="297"/>
      <c r="CE241" s="297"/>
      <c r="CF241" s="297"/>
      <c r="CG241" s="297"/>
    </row>
    <row r="242" spans="1:85" ht="12" customHeight="1" outlineLevel="4">
      <c r="A242" s="288"/>
      <c r="B242" s="288"/>
      <c r="C242" s="288">
        <v>5</v>
      </c>
      <c r="D242" s="257" t="s">
        <v>2428</v>
      </c>
      <c r="E242" s="244"/>
      <c r="F242" s="244"/>
      <c r="G242" s="244"/>
      <c r="H242" s="244"/>
      <c r="I242" s="244" t="s">
        <v>2237</v>
      </c>
      <c r="J242" s="244"/>
      <c r="K242" s="244"/>
      <c r="L242" s="244"/>
      <c r="M242" s="244"/>
      <c r="N242" s="244"/>
      <c r="O242" s="244"/>
      <c r="P242" s="243">
        <v>45848</v>
      </c>
      <c r="Q242" s="243">
        <v>45853</v>
      </c>
      <c r="R242" s="244"/>
      <c r="S242" s="242">
        <v>2</v>
      </c>
      <c r="T242" s="242">
        <v>2</v>
      </c>
      <c r="U242" s="242">
        <v>4</v>
      </c>
      <c r="V242" s="242">
        <v>4</v>
      </c>
      <c r="W242" s="243"/>
      <c r="X242" s="243"/>
      <c r="Y242" s="251"/>
      <c r="Z242" s="252">
        <v>0</v>
      </c>
      <c r="AA242" s="242">
        <v>0.5</v>
      </c>
      <c r="AB242" s="244" t="s">
        <v>2213</v>
      </c>
      <c r="AC242" s="255"/>
      <c r="AD242" s="239">
        <v>1</v>
      </c>
      <c r="AE242" s="304">
        <v>1</v>
      </c>
      <c r="AF242" s="296"/>
      <c r="AG242" s="297"/>
      <c r="AH242" s="297"/>
      <c r="AI242" s="297"/>
      <c r="AJ242" s="297"/>
      <c r="AK242" s="297"/>
      <c r="AL242" s="297"/>
      <c r="AM242" s="297"/>
      <c r="AN242" s="297"/>
      <c r="AO242" s="297"/>
      <c r="AP242" s="297"/>
      <c r="AQ242" s="297"/>
      <c r="AR242" s="297"/>
      <c r="AS242" s="297"/>
      <c r="AT242" s="297"/>
      <c r="AU242" s="297"/>
      <c r="AV242" s="297"/>
      <c r="AW242" s="297"/>
      <c r="AX242" s="297"/>
      <c r="AY242" s="297"/>
      <c r="AZ242" s="297"/>
      <c r="BA242" s="297" t="str">
        <f>"   " &amp; TEXT(AE242,"#0.00%") &amp; " " &amp; "LOG 및 모니터링 데이터관리정책 적용" &amp; "(정지원님)" &amp; " " &amp; IF(P242="","",TEXT(P242,"M/D-")) &amp; IF(Q242="","",TEXT(Q242,"M/D")) &amp; " "</f>
        <v xml:space="preserve">   100.00% LOG 및 모니터링 데이터관리정책 적용(정지원님) 7/10-7/15 </v>
      </c>
      <c r="BB242" s="297"/>
      <c r="BC242" s="297"/>
      <c r="BD242" s="297"/>
      <c r="BE242" s="297"/>
      <c r="BF242" s="297"/>
      <c r="BG242" s="297"/>
      <c r="BH242" s="297"/>
      <c r="BI242" s="297"/>
      <c r="BJ242" s="297"/>
      <c r="BK242" s="297"/>
      <c r="BL242" s="297"/>
      <c r="BM242" s="297"/>
      <c r="BN242" s="297"/>
      <c r="BO242" s="297"/>
      <c r="BP242" s="297"/>
      <c r="BQ242" s="297"/>
      <c r="BR242" s="297"/>
      <c r="BS242" s="297"/>
      <c r="BT242" s="297"/>
      <c r="BU242" s="297"/>
      <c r="BV242" s="297"/>
      <c r="BW242" s="297"/>
      <c r="BX242" s="297"/>
      <c r="BY242" s="297"/>
      <c r="BZ242" s="297"/>
      <c r="CA242" s="297"/>
      <c r="CB242" s="297"/>
      <c r="CC242" s="297"/>
      <c r="CD242" s="297"/>
      <c r="CE242" s="297"/>
      <c r="CF242" s="297"/>
      <c r="CG242" s="297"/>
    </row>
    <row r="243" spans="1:85" ht="12" customHeight="1" outlineLevel="4">
      <c r="A243" s="288"/>
      <c r="B243" s="288"/>
      <c r="C243" s="288">
        <v>5</v>
      </c>
      <c r="D243" s="257" t="s">
        <v>2429</v>
      </c>
      <c r="E243" s="244"/>
      <c r="F243" s="244"/>
      <c r="G243" s="244"/>
      <c r="H243" s="244"/>
      <c r="I243" s="244" t="s">
        <v>2238</v>
      </c>
      <c r="J243" s="244"/>
      <c r="K243" s="244"/>
      <c r="L243" s="244"/>
      <c r="M243" s="244"/>
      <c r="N243" s="244"/>
      <c r="O243" s="244"/>
      <c r="P243" s="243">
        <v>45848</v>
      </c>
      <c r="Q243" s="243">
        <v>45853</v>
      </c>
      <c r="R243" s="244"/>
      <c r="S243" s="242">
        <v>2</v>
      </c>
      <c r="T243" s="242">
        <v>2</v>
      </c>
      <c r="U243" s="242">
        <v>4</v>
      </c>
      <c r="V243" s="242">
        <v>4</v>
      </c>
      <c r="W243" s="243"/>
      <c r="X243" s="243"/>
      <c r="Y243" s="251"/>
      <c r="Z243" s="252">
        <v>0</v>
      </c>
      <c r="AA243" s="242">
        <v>0.5</v>
      </c>
      <c r="AB243" s="244" t="s">
        <v>2213</v>
      </c>
      <c r="AC243" s="255"/>
      <c r="AD243" s="239">
        <v>1</v>
      </c>
      <c r="AE243" s="330">
        <v>1</v>
      </c>
      <c r="AF243" s="296"/>
      <c r="AG243" s="297"/>
      <c r="AH243" s="297"/>
      <c r="AI243" s="297"/>
      <c r="AJ243" s="297"/>
      <c r="AK243" s="297"/>
      <c r="AL243" s="297"/>
      <c r="AM243" s="297"/>
      <c r="AN243" s="297"/>
      <c r="AO243" s="297"/>
      <c r="AP243" s="297"/>
      <c r="AQ243" s="297"/>
      <c r="AR243" s="297"/>
      <c r="AS243" s="297"/>
      <c r="AT243" s="297"/>
      <c r="AU243" s="297"/>
      <c r="AV243" s="297"/>
      <c r="AW243" s="297"/>
      <c r="AX243" s="297"/>
      <c r="AY243" s="297"/>
      <c r="AZ243" s="297"/>
      <c r="BA243" s="297" t="str">
        <f>"   " &amp; TEXT(AE243,"#0.00%") &amp; " " &amp; "VACUUM &amp; ANALYZE 정책 적용" &amp; "(정지원님)" &amp; " " &amp; IF(P243="","",TEXT(P243,"M/D-")) &amp; IF(Q243="","",TEXT(Q243,"M/D")) &amp; " "</f>
        <v xml:space="preserve">   100.00% VACUUM &amp; ANALYZE 정책 적용(정지원님) 7/10-7/15 </v>
      </c>
      <c r="BB243" s="297"/>
      <c r="BC243" s="297"/>
      <c r="BD243" s="297"/>
      <c r="BE243" s="297"/>
      <c r="BF243" s="297"/>
      <c r="BG243" s="297"/>
      <c r="BH243" s="297"/>
      <c r="BI243" s="297"/>
      <c r="BJ243" s="297"/>
      <c r="BK243" s="297"/>
      <c r="BL243" s="297"/>
      <c r="BM243" s="297"/>
      <c r="BN243" s="297"/>
      <c r="BO243" s="297"/>
      <c r="BP243" s="297"/>
      <c r="BQ243" s="297"/>
      <c r="BR243" s="297"/>
      <c r="BS243" s="297"/>
      <c r="BT243" s="297"/>
      <c r="BU243" s="297"/>
      <c r="BV243" s="297"/>
      <c r="BW243" s="297"/>
      <c r="BX243" s="297"/>
      <c r="BY243" s="297"/>
      <c r="BZ243" s="297"/>
      <c r="CA243" s="297"/>
      <c r="CB243" s="297"/>
      <c r="CC243" s="297"/>
      <c r="CD243" s="297"/>
      <c r="CE243" s="297"/>
      <c r="CF243" s="297"/>
      <c r="CG243" s="297"/>
    </row>
    <row r="244" spans="1:85" ht="12" customHeight="1" outlineLevel="4">
      <c r="A244" s="288"/>
      <c r="B244" s="288"/>
      <c r="C244" s="288">
        <v>5</v>
      </c>
      <c r="D244" s="257" t="s">
        <v>2430</v>
      </c>
      <c r="E244" s="244"/>
      <c r="F244" s="244"/>
      <c r="G244" s="244"/>
      <c r="H244" s="244"/>
      <c r="I244" s="244" t="s">
        <v>2239</v>
      </c>
      <c r="J244" s="244"/>
      <c r="K244" s="244"/>
      <c r="L244" s="244"/>
      <c r="M244" s="244"/>
      <c r="N244" s="244"/>
      <c r="O244" s="244"/>
      <c r="P244" s="243">
        <v>45848</v>
      </c>
      <c r="Q244" s="243">
        <v>45853</v>
      </c>
      <c r="R244" s="244"/>
      <c r="S244" s="242">
        <v>2</v>
      </c>
      <c r="T244" s="242">
        <v>2</v>
      </c>
      <c r="U244" s="242">
        <v>4</v>
      </c>
      <c r="V244" s="242">
        <v>4</v>
      </c>
      <c r="W244" s="243"/>
      <c r="X244" s="243"/>
      <c r="Y244" s="251"/>
      <c r="Z244" s="252">
        <v>0</v>
      </c>
      <c r="AA244" s="242">
        <v>0.5</v>
      </c>
      <c r="AB244" s="256"/>
      <c r="AC244" s="307"/>
      <c r="AD244" s="239">
        <v>1</v>
      </c>
      <c r="AE244" s="330">
        <v>1</v>
      </c>
      <c r="AF244" s="296"/>
      <c r="AG244" s="297"/>
      <c r="AH244" s="297"/>
      <c r="AI244" s="297"/>
      <c r="AJ244" s="297"/>
      <c r="AK244" s="297"/>
      <c r="AL244" s="297"/>
      <c r="AM244" s="297"/>
      <c r="AN244" s="297"/>
      <c r="AO244" s="297"/>
      <c r="AP244" s="297"/>
      <c r="AQ244" s="297"/>
      <c r="AR244" s="297"/>
      <c r="AS244" s="297"/>
      <c r="AT244" s="297"/>
      <c r="AU244" s="297"/>
      <c r="AV244" s="297"/>
      <c r="AW244" s="297"/>
      <c r="AX244" s="297"/>
      <c r="AY244" s="297"/>
      <c r="AZ244" s="297"/>
      <c r="BA244" s="297" t="str">
        <f>"   " &amp; TEXT(AE244,"#0.00%") &amp; " " &amp; "패스워드 정책 적용" &amp; " " &amp; IF(P244="","",TEXT(P244,"M/D-")) &amp; IF(Q244="","",TEXT(Q244,"M/D")) &amp; " "</f>
        <v xml:space="preserve">   100.00% 패스워드 정책 적용 7/10-7/15 </v>
      </c>
      <c r="BB244" s="297"/>
      <c r="BC244" s="297"/>
      <c r="BD244" s="297"/>
      <c r="BE244" s="297"/>
      <c r="BF244" s="297"/>
      <c r="BG244" s="297"/>
      <c r="BH244" s="297"/>
      <c r="BI244" s="297"/>
      <c r="BJ244" s="297"/>
      <c r="BK244" s="297"/>
      <c r="BL244" s="297"/>
      <c r="BM244" s="297"/>
      <c r="BN244" s="297"/>
      <c r="BO244" s="297"/>
      <c r="BP244" s="297"/>
      <c r="BQ244" s="297"/>
      <c r="BR244" s="297"/>
      <c r="BS244" s="297"/>
      <c r="BT244" s="297"/>
      <c r="BU244" s="297"/>
      <c r="BV244" s="297"/>
      <c r="BW244" s="297"/>
      <c r="BX244" s="297"/>
      <c r="BY244" s="297"/>
      <c r="BZ244" s="297"/>
      <c r="CA244" s="297"/>
      <c r="CB244" s="297"/>
      <c r="CC244" s="297"/>
      <c r="CD244" s="297"/>
      <c r="CE244" s="297"/>
      <c r="CF244" s="297"/>
      <c r="CG244" s="297"/>
    </row>
    <row r="245" spans="1:85" ht="12" customHeight="1" outlineLevel="3">
      <c r="A245" s="288"/>
      <c r="B245" s="288" t="s">
        <v>2334</v>
      </c>
      <c r="C245" s="288">
        <v>4</v>
      </c>
      <c r="D245" s="257" t="s">
        <v>2431</v>
      </c>
      <c r="E245" s="244"/>
      <c r="F245" s="244"/>
      <c r="G245" s="244"/>
      <c r="H245" s="244" t="s">
        <v>2502</v>
      </c>
      <c r="I245" s="244"/>
      <c r="J245" s="244"/>
      <c r="K245" s="244"/>
      <c r="L245" s="244"/>
      <c r="M245" s="244"/>
      <c r="N245" s="244"/>
      <c r="O245" s="244"/>
      <c r="P245" s="243">
        <v>45854</v>
      </c>
      <c r="Q245" s="243">
        <v>45856</v>
      </c>
      <c r="R245" s="244"/>
      <c r="S245" s="242">
        <v>6</v>
      </c>
      <c r="T245" s="242">
        <v>6</v>
      </c>
      <c r="U245" s="242">
        <v>3</v>
      </c>
      <c r="V245" s="242">
        <v>3</v>
      </c>
      <c r="W245" s="243"/>
      <c r="X245" s="243"/>
      <c r="Y245" s="251">
        <v>0</v>
      </c>
      <c r="Z245" s="252">
        <v>0</v>
      </c>
      <c r="AA245" s="242"/>
      <c r="AB245" s="244" t="s">
        <v>2213</v>
      </c>
      <c r="AC245" s="255"/>
      <c r="AD245" s="239">
        <v>1</v>
      </c>
      <c r="AE245" s="241">
        <v>1</v>
      </c>
      <c r="AF245" s="296"/>
      <c r="AG245" s="297"/>
      <c r="AH245" s="297"/>
      <c r="AI245" s="297"/>
      <c r="AJ245" s="297"/>
      <c r="AK245" s="297"/>
      <c r="AL245" s="297"/>
      <c r="AM245" s="297"/>
      <c r="AN245" s="297"/>
      <c r="AO245" s="297"/>
      <c r="AP245" s="297"/>
      <c r="AQ245" s="297"/>
      <c r="AR245" s="297"/>
      <c r="AS245" s="297"/>
      <c r="AT245" s="297"/>
      <c r="AU245" s="297"/>
      <c r="AV245" s="297"/>
      <c r="AW245" s="297"/>
      <c r="AX245" s="297"/>
      <c r="AY245" s="297"/>
      <c r="AZ245" s="297"/>
      <c r="BA245" s="297" t="str">
        <f>"      " &amp; TEXT(AE245,"#0.00%") &amp; " " &amp; "1차 통합테스트 DB 준비" &amp; "(정지원님)" &amp; " " &amp; IF(P245="","",TEXT(P245,"M/D-")) &amp; IF(Q245="","",TEXT(Q245,"M/D")) &amp; " "</f>
        <v xml:space="preserve">      100.00% 1차 통합테스트 DB 준비(정지원님) 7/16-7/18 </v>
      </c>
      <c r="BB245" s="297"/>
      <c r="BC245" s="297"/>
      <c r="BD245" s="297"/>
      <c r="BE245" s="297"/>
      <c r="BF245" s="297"/>
      <c r="BG245" s="297"/>
      <c r="BH245" s="297"/>
      <c r="BI245" s="297"/>
      <c r="BJ245" s="297"/>
      <c r="BK245" s="297"/>
      <c r="BL245" s="297"/>
      <c r="BM245" s="297"/>
      <c r="BN245" s="297"/>
      <c r="BO245" s="297"/>
      <c r="BP245" s="297"/>
      <c r="BQ245" s="297"/>
      <c r="BR245" s="297"/>
      <c r="BS245" s="297"/>
      <c r="BT245" s="297"/>
      <c r="BU245" s="297"/>
      <c r="BV245" s="297"/>
      <c r="BW245" s="297"/>
      <c r="BX245" s="297"/>
      <c r="BY245" s="297"/>
      <c r="BZ245" s="297"/>
      <c r="CA245" s="297"/>
      <c r="CB245" s="297"/>
      <c r="CC245" s="297"/>
      <c r="CD245" s="297"/>
      <c r="CE245" s="297"/>
      <c r="CF245" s="297"/>
      <c r="CG245" s="297"/>
    </row>
    <row r="246" spans="1:85" ht="12" customHeight="1" outlineLevel="4">
      <c r="A246" s="288"/>
      <c r="B246" s="288"/>
      <c r="C246" s="288">
        <v>5</v>
      </c>
      <c r="D246" s="257" t="s">
        <v>2432</v>
      </c>
      <c r="E246" s="244"/>
      <c r="F246" s="244"/>
      <c r="G246" s="244"/>
      <c r="H246" s="244"/>
      <c r="I246" s="244" t="s">
        <v>2503</v>
      </c>
      <c r="J246" s="244"/>
      <c r="K246" s="244"/>
      <c r="L246" s="244"/>
      <c r="M246" s="244"/>
      <c r="N246" s="244"/>
      <c r="O246" s="244"/>
      <c r="P246" s="243">
        <v>45854</v>
      </c>
      <c r="Q246" s="243">
        <v>45856</v>
      </c>
      <c r="R246" s="244"/>
      <c r="S246" s="242">
        <v>3</v>
      </c>
      <c r="T246" s="242">
        <v>3</v>
      </c>
      <c r="U246" s="242">
        <v>3</v>
      </c>
      <c r="V246" s="242">
        <v>3</v>
      </c>
      <c r="W246" s="243"/>
      <c r="X246" s="243"/>
      <c r="Y246" s="251"/>
      <c r="Z246" s="252">
        <v>0</v>
      </c>
      <c r="AA246" s="242">
        <v>1</v>
      </c>
      <c r="AB246" s="244" t="s">
        <v>2213</v>
      </c>
      <c r="AC246" s="255"/>
      <c r="AD246" s="239">
        <v>1</v>
      </c>
      <c r="AE246" s="304">
        <v>1</v>
      </c>
      <c r="AF246" s="296"/>
      <c r="AG246" s="297"/>
      <c r="AH246" s="297"/>
      <c r="AI246" s="297"/>
      <c r="AJ246" s="297"/>
      <c r="AK246" s="297"/>
      <c r="AL246" s="297"/>
      <c r="AM246" s="297"/>
      <c r="AN246" s="297"/>
      <c r="AO246" s="297"/>
      <c r="AP246" s="297"/>
      <c r="AQ246" s="297"/>
      <c r="AR246" s="297"/>
      <c r="AS246" s="297"/>
      <c r="AT246" s="297"/>
      <c r="AU246" s="297"/>
      <c r="AV246" s="297"/>
      <c r="AW246" s="297"/>
      <c r="AX246" s="297"/>
      <c r="AY246" s="297"/>
      <c r="AZ246" s="297"/>
      <c r="BA246" s="297" t="str">
        <f>"      " &amp; TEXT(AE246,"#0.00%") &amp; " " &amp; "통합 테스트 DB 환경 준비" &amp; "(정지원님)" &amp; " " &amp; IF(P246="","",TEXT(P246,"M/D-")) &amp; IF(Q246="","",TEXT(Q246,"M/D")) &amp; " "</f>
        <v xml:space="preserve">      100.00% 통합 테스트 DB 환경 준비(정지원님) 7/16-7/18 </v>
      </c>
      <c r="BB246" s="297"/>
      <c r="BC246" s="297"/>
      <c r="BD246" s="297"/>
      <c r="BE246" s="297"/>
      <c r="BF246" s="297"/>
      <c r="BG246" s="297"/>
      <c r="BH246" s="297"/>
      <c r="BI246" s="297"/>
      <c r="BJ246" s="297"/>
      <c r="BK246" s="297"/>
      <c r="BL246" s="297"/>
      <c r="BM246" s="297"/>
      <c r="BN246" s="297"/>
      <c r="BO246" s="297"/>
      <c r="BP246" s="297"/>
      <c r="BQ246" s="297"/>
      <c r="BR246" s="297"/>
      <c r="BS246" s="297"/>
      <c r="BT246" s="297"/>
      <c r="BU246" s="297"/>
      <c r="BV246" s="297"/>
      <c r="BW246" s="297"/>
      <c r="BX246" s="297"/>
      <c r="BY246" s="297"/>
      <c r="BZ246" s="297"/>
      <c r="CA246" s="297"/>
      <c r="CB246" s="297"/>
      <c r="CC246" s="297"/>
      <c r="CD246" s="297"/>
      <c r="CE246" s="297"/>
      <c r="CF246" s="297"/>
      <c r="CG246" s="297"/>
    </row>
    <row r="247" spans="1:85" ht="12" customHeight="1" outlineLevel="4">
      <c r="A247" s="288"/>
      <c r="B247" s="288"/>
      <c r="C247" s="288">
        <v>5</v>
      </c>
      <c r="D247" s="257" t="s">
        <v>2433</v>
      </c>
      <c r="E247" s="244"/>
      <c r="F247" s="244"/>
      <c r="G247" s="244"/>
      <c r="H247" s="244"/>
      <c r="I247" s="244" t="s">
        <v>2504</v>
      </c>
      <c r="J247" s="244"/>
      <c r="K247" s="244"/>
      <c r="L247" s="244"/>
      <c r="M247" s="244"/>
      <c r="N247" s="244"/>
      <c r="O247" s="244"/>
      <c r="P247" s="243">
        <v>45854</v>
      </c>
      <c r="Q247" s="243">
        <v>45856</v>
      </c>
      <c r="R247" s="244"/>
      <c r="S247" s="242">
        <v>3</v>
      </c>
      <c r="T247" s="242">
        <v>3</v>
      </c>
      <c r="U247" s="242">
        <v>3</v>
      </c>
      <c r="V247" s="242">
        <v>3</v>
      </c>
      <c r="W247" s="243"/>
      <c r="X247" s="243"/>
      <c r="Y247" s="251"/>
      <c r="Z247" s="252">
        <v>0</v>
      </c>
      <c r="AA247" s="242">
        <v>1</v>
      </c>
      <c r="AB247" s="244" t="s">
        <v>2213</v>
      </c>
      <c r="AC247" s="255"/>
      <c r="AD247" s="239">
        <v>1</v>
      </c>
      <c r="AE247" s="304">
        <v>1</v>
      </c>
      <c r="AF247" s="296"/>
      <c r="AG247" s="297"/>
      <c r="AH247" s="297"/>
      <c r="AI247" s="297"/>
      <c r="AJ247" s="297"/>
      <c r="AK247" s="297"/>
      <c r="AL247" s="297"/>
      <c r="AM247" s="297"/>
      <c r="AN247" s="297"/>
      <c r="AO247" s="297"/>
      <c r="AP247" s="297"/>
      <c r="AQ247" s="297"/>
      <c r="AR247" s="297"/>
      <c r="AS247" s="297"/>
      <c r="AT247" s="297"/>
      <c r="AU247" s="297"/>
      <c r="AV247" s="297"/>
      <c r="AW247" s="297"/>
      <c r="AX247" s="297"/>
      <c r="AY247" s="297"/>
      <c r="AZ247" s="297"/>
      <c r="BA247" s="297" t="str">
        <f>"      " &amp; TEXT(AE247,"#0.00%") &amp; " " &amp; "테스트 데이터 이관 및 검증" &amp; "(정지원님)" &amp; " " &amp; IF(P247="","",TEXT(P247,"M/D-")) &amp; IF(Q247="","",TEXT(Q247,"M/D")) &amp; " "</f>
        <v xml:space="preserve">      100.00% 테스트 데이터 이관 및 검증(정지원님) 7/16-7/18 </v>
      </c>
      <c r="BB247" s="297"/>
      <c r="BC247" s="297"/>
      <c r="BD247" s="297"/>
      <c r="BE247" s="297"/>
      <c r="BF247" s="297"/>
      <c r="BG247" s="297"/>
      <c r="BH247" s="297"/>
      <c r="BI247" s="297"/>
      <c r="BJ247" s="297"/>
      <c r="BK247" s="297"/>
      <c r="BL247" s="297"/>
      <c r="BM247" s="297"/>
      <c r="BN247" s="297"/>
      <c r="BO247" s="297"/>
      <c r="BP247" s="297"/>
      <c r="BQ247" s="297"/>
      <c r="BR247" s="297"/>
      <c r="BS247" s="297"/>
      <c r="BT247" s="297"/>
      <c r="BU247" s="297"/>
      <c r="BV247" s="297"/>
      <c r="BW247" s="297"/>
      <c r="BX247" s="297"/>
      <c r="BY247" s="297"/>
      <c r="BZ247" s="297"/>
      <c r="CA247" s="297"/>
      <c r="CB247" s="297"/>
      <c r="CC247" s="297"/>
      <c r="CD247" s="297"/>
      <c r="CE247" s="297"/>
      <c r="CF247" s="297"/>
      <c r="CG247" s="297"/>
    </row>
    <row r="248" spans="1:85" ht="12" customHeight="1" outlineLevel="3">
      <c r="A248" s="288"/>
      <c r="B248" s="288" t="s">
        <v>2334</v>
      </c>
      <c r="C248" s="288">
        <v>4</v>
      </c>
      <c r="D248" s="257" t="s">
        <v>2434</v>
      </c>
      <c r="E248" s="244"/>
      <c r="F248" s="244"/>
      <c r="G248" s="244"/>
      <c r="H248" s="332" t="s">
        <v>2505</v>
      </c>
      <c r="I248" s="244"/>
      <c r="J248" s="244"/>
      <c r="K248" s="244"/>
      <c r="L248" s="244"/>
      <c r="M248" s="244"/>
      <c r="N248" s="244"/>
      <c r="O248" s="244"/>
      <c r="P248" s="243">
        <v>45859</v>
      </c>
      <c r="Q248" s="243">
        <v>45869</v>
      </c>
      <c r="R248" s="244"/>
      <c r="S248" s="242">
        <v>45</v>
      </c>
      <c r="T248" s="242">
        <v>45</v>
      </c>
      <c r="U248" s="242">
        <v>9</v>
      </c>
      <c r="V248" s="242">
        <v>9</v>
      </c>
      <c r="W248" s="243"/>
      <c r="X248" s="243"/>
      <c r="Y248" s="251">
        <v>0</v>
      </c>
      <c r="Z248" s="252">
        <v>0</v>
      </c>
      <c r="AA248" s="242"/>
      <c r="AB248" s="244" t="s">
        <v>2213</v>
      </c>
      <c r="AC248" s="255"/>
      <c r="AD248" s="239">
        <v>1</v>
      </c>
      <c r="AE248" s="241">
        <v>1</v>
      </c>
      <c r="AF248" s="296"/>
      <c r="AG248" s="297"/>
      <c r="AH248" s="297"/>
      <c r="AI248" s="297"/>
      <c r="AJ248" s="297"/>
      <c r="AK248" s="297"/>
      <c r="AL248" s="297"/>
      <c r="AM248" s="297"/>
      <c r="AN248" s="297"/>
      <c r="AO248" s="297"/>
      <c r="AP248" s="297"/>
      <c r="AQ248" s="297"/>
      <c r="AR248" s="297"/>
      <c r="AS248" s="297"/>
      <c r="AT248" s="297"/>
      <c r="AU248" s="297"/>
      <c r="AV248" s="297"/>
      <c r="AW248" s="297"/>
      <c r="AX248" s="297"/>
      <c r="AY248" s="297"/>
      <c r="AZ248" s="297"/>
      <c r="BA248" s="297"/>
      <c r="BB248" s="297"/>
      <c r="BC248" s="297" t="str">
        <f>"     " &amp; TEXT(AE248,"#0.00%") &amp; " " &amp; "1차 통합테스트 수행 및 DB 개선작업 " &amp; "(정지원님)" &amp; " " &amp; IF(P248="","",TEXT(P248,"M/D-")) &amp; IF(Q248="","",TEXT(Q248,"M/D")) &amp; " "</f>
        <v xml:space="preserve">     100.00% 1차 통합테스트 수행 및 DB 개선작업 (정지원님) 7/21-7/31 </v>
      </c>
      <c r="BD248" s="297"/>
      <c r="BE248" s="297"/>
      <c r="BF248" s="297"/>
      <c r="BG248" s="297"/>
      <c r="BH248" s="297"/>
      <c r="BI248" s="297"/>
      <c r="BJ248" s="297"/>
      <c r="BK248" s="297"/>
      <c r="BL248" s="297"/>
      <c r="BM248" s="297"/>
      <c r="BN248" s="297"/>
      <c r="BO248" s="297"/>
      <c r="BP248" s="297"/>
      <c r="BQ248" s="297"/>
      <c r="BR248" s="297"/>
      <c r="BS248" s="297"/>
      <c r="BT248" s="297"/>
      <c r="BU248" s="297"/>
      <c r="BV248" s="297"/>
      <c r="BW248" s="297"/>
      <c r="BX248" s="297"/>
      <c r="BY248" s="297"/>
      <c r="BZ248" s="297"/>
      <c r="CA248" s="297"/>
      <c r="CB248" s="297"/>
      <c r="CC248" s="297"/>
      <c r="CD248" s="297"/>
      <c r="CE248" s="297"/>
      <c r="CF248" s="297"/>
      <c r="CG248" s="297"/>
    </row>
    <row r="249" spans="1:85" ht="12" customHeight="1" outlineLevel="4">
      <c r="A249" s="288"/>
      <c r="B249" s="288"/>
      <c r="C249" s="288">
        <v>5</v>
      </c>
      <c r="D249" s="257" t="s">
        <v>2435</v>
      </c>
      <c r="E249" s="244"/>
      <c r="F249" s="244"/>
      <c r="G249" s="244"/>
      <c r="H249" s="244"/>
      <c r="I249" s="244" t="s">
        <v>2124</v>
      </c>
      <c r="J249" s="244"/>
      <c r="K249" s="244"/>
      <c r="L249" s="244"/>
      <c r="M249" s="244"/>
      <c r="N249" s="244"/>
      <c r="O249" s="244"/>
      <c r="P249" s="243">
        <v>45859</v>
      </c>
      <c r="Q249" s="243">
        <v>45869</v>
      </c>
      <c r="R249" s="244"/>
      <c r="S249" s="242">
        <v>9</v>
      </c>
      <c r="T249" s="242">
        <v>9</v>
      </c>
      <c r="U249" s="242">
        <v>9</v>
      </c>
      <c r="V249" s="242">
        <v>9</v>
      </c>
      <c r="W249" s="243"/>
      <c r="X249" s="243"/>
      <c r="Y249" s="251"/>
      <c r="Z249" s="252">
        <v>0</v>
      </c>
      <c r="AA249" s="242">
        <v>1</v>
      </c>
      <c r="AB249" s="256"/>
      <c r="AC249" s="307"/>
      <c r="AD249" s="239">
        <v>1</v>
      </c>
      <c r="AE249" s="330">
        <v>1</v>
      </c>
      <c r="AF249" s="296"/>
      <c r="AG249" s="297"/>
      <c r="AH249" s="297"/>
      <c r="AI249" s="297"/>
      <c r="AJ249" s="297"/>
      <c r="AK249" s="297"/>
      <c r="AL249" s="297"/>
      <c r="AM249" s="297"/>
      <c r="AN249" s="297"/>
      <c r="AO249" s="297"/>
      <c r="AP249" s="297"/>
      <c r="AQ249" s="297"/>
      <c r="AR249" s="297"/>
      <c r="AS249" s="297"/>
      <c r="AT249" s="297"/>
      <c r="AU249" s="297"/>
      <c r="AV249" s="297"/>
      <c r="AW249" s="297"/>
      <c r="AX249" s="297"/>
      <c r="AY249" s="297"/>
      <c r="AZ249" s="297"/>
      <c r="BA249" s="297"/>
      <c r="BB249" s="297"/>
      <c r="BC249" s="297" t="str">
        <f>"     " &amp; TEXT(AE249,"#0.00%") &amp; " " &amp; "인덱스 최적화" &amp; " " &amp; IF(P249="","",TEXT(P249,"M/D-")) &amp; IF(Q249="","",TEXT(Q249,"M/D")) &amp; " "</f>
        <v xml:space="preserve">     100.00% 인덱스 최적화 7/21-7/31 </v>
      </c>
      <c r="BD249" s="297"/>
      <c r="BE249" s="297"/>
      <c r="BF249" s="297"/>
      <c r="BG249" s="297"/>
      <c r="BH249" s="297"/>
      <c r="BI249" s="297"/>
      <c r="BJ249" s="297"/>
      <c r="BK249" s="297"/>
      <c r="BL249" s="297"/>
      <c r="BM249" s="297"/>
      <c r="BN249" s="297"/>
      <c r="BO249" s="297"/>
      <c r="BP249" s="297"/>
      <c r="BQ249" s="297"/>
      <c r="BR249" s="297"/>
      <c r="BS249" s="297"/>
      <c r="BT249" s="297"/>
      <c r="BU249" s="297"/>
      <c r="BV249" s="297"/>
      <c r="BW249" s="297"/>
      <c r="BX249" s="297"/>
      <c r="BY249" s="297"/>
      <c r="BZ249" s="297"/>
      <c r="CA249" s="297"/>
      <c r="CB249" s="297"/>
      <c r="CC249" s="297"/>
      <c r="CD249" s="297"/>
      <c r="CE249" s="297"/>
      <c r="CF249" s="297"/>
      <c r="CG249" s="297"/>
    </row>
    <row r="250" spans="1:85" ht="12" customHeight="1" outlineLevel="4">
      <c r="A250" s="288"/>
      <c r="B250" s="288"/>
      <c r="C250" s="288">
        <v>5</v>
      </c>
      <c r="D250" s="257" t="s">
        <v>2436</v>
      </c>
      <c r="E250" s="244"/>
      <c r="F250" s="244"/>
      <c r="G250" s="244"/>
      <c r="H250" s="244"/>
      <c r="I250" s="244" t="s">
        <v>2125</v>
      </c>
      <c r="J250" s="244"/>
      <c r="K250" s="244"/>
      <c r="L250" s="244"/>
      <c r="M250" s="244"/>
      <c r="N250" s="244"/>
      <c r="O250" s="244"/>
      <c r="P250" s="243">
        <v>45859</v>
      </c>
      <c r="Q250" s="243">
        <v>45869</v>
      </c>
      <c r="R250" s="244"/>
      <c r="S250" s="242">
        <v>9</v>
      </c>
      <c r="T250" s="242">
        <v>9</v>
      </c>
      <c r="U250" s="242">
        <v>9</v>
      </c>
      <c r="V250" s="242">
        <v>9</v>
      </c>
      <c r="W250" s="243"/>
      <c r="X250" s="243"/>
      <c r="Y250" s="251"/>
      <c r="Z250" s="252">
        <v>0</v>
      </c>
      <c r="AA250" s="242">
        <v>1</v>
      </c>
      <c r="AB250" s="244" t="s">
        <v>2213</v>
      </c>
      <c r="AC250" s="255"/>
      <c r="AD250" s="239">
        <v>1</v>
      </c>
      <c r="AE250" s="330">
        <v>1</v>
      </c>
      <c r="AF250" s="296"/>
      <c r="AG250" s="297"/>
      <c r="AH250" s="297"/>
      <c r="AI250" s="297"/>
      <c r="AJ250" s="297"/>
      <c r="AK250" s="297"/>
      <c r="AL250" s="297"/>
      <c r="AM250" s="297"/>
      <c r="AN250" s="297"/>
      <c r="AO250" s="297"/>
      <c r="AP250" s="297"/>
      <c r="AQ250" s="297"/>
      <c r="AR250" s="297"/>
      <c r="AS250" s="297"/>
      <c r="AT250" s="297"/>
      <c r="AU250" s="297"/>
      <c r="AV250" s="297"/>
      <c r="AW250" s="297"/>
      <c r="AX250" s="297"/>
      <c r="AY250" s="297"/>
      <c r="AZ250" s="297"/>
      <c r="BA250" s="297"/>
      <c r="BB250" s="297"/>
      <c r="BC250" s="297" t="str">
        <f>"     " &amp; TEXT(AE250,"#0.00%") &amp; " " &amp; "시퀀스 정비" &amp; "(정지원님)" &amp; " " &amp; IF(P250="","",TEXT(P250,"M/D-")) &amp; IF(Q250="","",TEXT(Q250,"M/D")) &amp; " "</f>
        <v xml:space="preserve">     100.00% 시퀀스 정비(정지원님) 7/21-7/31 </v>
      </c>
      <c r="BD250" s="297"/>
      <c r="BE250" s="297"/>
      <c r="BF250" s="297"/>
      <c r="BG250" s="297"/>
      <c r="BH250" s="297"/>
      <c r="BI250" s="297"/>
      <c r="BJ250" s="297"/>
      <c r="BK250" s="297"/>
      <c r="BL250" s="297"/>
      <c r="BM250" s="297"/>
      <c r="BN250" s="297"/>
      <c r="BO250" s="297"/>
      <c r="BP250" s="297"/>
      <c r="BQ250" s="297"/>
      <c r="BR250" s="297"/>
      <c r="BS250" s="297"/>
      <c r="BT250" s="297"/>
      <c r="BU250" s="297"/>
      <c r="BV250" s="297"/>
      <c r="BW250" s="297"/>
      <c r="BX250" s="297"/>
      <c r="BY250" s="297"/>
      <c r="BZ250" s="297"/>
      <c r="CA250" s="297"/>
      <c r="CB250" s="297"/>
      <c r="CC250" s="297"/>
      <c r="CD250" s="297"/>
      <c r="CE250" s="297"/>
      <c r="CF250" s="297"/>
      <c r="CG250" s="297"/>
    </row>
    <row r="251" spans="1:85" ht="12" customHeight="1" outlineLevel="4">
      <c r="A251" s="288"/>
      <c r="B251" s="288"/>
      <c r="C251" s="288">
        <v>5</v>
      </c>
      <c r="D251" s="291" t="s">
        <v>2437</v>
      </c>
      <c r="E251" s="246"/>
      <c r="F251" s="246"/>
      <c r="G251" s="244"/>
      <c r="H251" s="244"/>
      <c r="I251" s="244" t="s">
        <v>2126</v>
      </c>
      <c r="J251" s="244"/>
      <c r="K251" s="244"/>
      <c r="L251" s="244"/>
      <c r="M251" s="244"/>
      <c r="N251" s="244"/>
      <c r="O251" s="244"/>
      <c r="P251" s="243">
        <v>45859</v>
      </c>
      <c r="Q251" s="243">
        <v>45869</v>
      </c>
      <c r="R251" s="244"/>
      <c r="S251" s="242">
        <v>9</v>
      </c>
      <c r="T251" s="242">
        <v>9</v>
      </c>
      <c r="U251" s="242">
        <v>9</v>
      </c>
      <c r="V251" s="242">
        <v>9</v>
      </c>
      <c r="W251" s="243"/>
      <c r="X251" s="243"/>
      <c r="Y251" s="251"/>
      <c r="Z251" s="252">
        <v>0</v>
      </c>
      <c r="AA251" s="242">
        <v>1</v>
      </c>
      <c r="AB251" s="246"/>
      <c r="AC251" s="263"/>
      <c r="AD251" s="240">
        <v>1</v>
      </c>
      <c r="AE251" s="330">
        <v>1</v>
      </c>
      <c r="AF251" s="296"/>
      <c r="AG251" s="297"/>
      <c r="AH251" s="297"/>
      <c r="AI251" s="297"/>
      <c r="AJ251" s="297"/>
      <c r="AK251" s="297"/>
      <c r="AL251" s="297"/>
      <c r="AM251" s="297"/>
      <c r="AN251" s="297"/>
      <c r="AO251" s="297"/>
      <c r="AP251" s="297"/>
      <c r="AQ251" s="297"/>
      <c r="AR251" s="297"/>
      <c r="AS251" s="297"/>
      <c r="AT251" s="297"/>
      <c r="AU251" s="297"/>
      <c r="AV251" s="297"/>
      <c r="AW251" s="297"/>
      <c r="AX251" s="297"/>
      <c r="AY251" s="297"/>
      <c r="AZ251" s="297"/>
      <c r="BA251" s="297"/>
      <c r="BB251" s="297"/>
      <c r="BC251" s="297" t="str">
        <f>"     " &amp; TEXT(AE251,"#0.00%") &amp; " " &amp; "테이블/뷰/펑션 구조 개선" &amp; " " &amp; IF(P251="","",TEXT(P251,"M/D-")) &amp; IF(Q251="","",TEXT(Q251,"M/D")) &amp; " "</f>
        <v xml:space="preserve">     100.00% 테이블/뷰/펑션 구조 개선 7/21-7/31 </v>
      </c>
      <c r="BD251" s="297"/>
      <c r="BE251" s="297"/>
      <c r="BF251" s="297"/>
      <c r="BG251" s="297"/>
      <c r="BH251" s="297"/>
      <c r="BI251" s="297"/>
      <c r="BJ251" s="297"/>
      <c r="BK251" s="297"/>
      <c r="BL251" s="297"/>
      <c r="BM251" s="297"/>
      <c r="BN251" s="297"/>
      <c r="BO251" s="297"/>
      <c r="BP251" s="297"/>
      <c r="BQ251" s="297"/>
      <c r="BR251" s="297"/>
      <c r="BS251" s="297"/>
      <c r="BT251" s="297"/>
      <c r="BU251" s="297"/>
      <c r="BV251" s="297"/>
      <c r="BW251" s="297"/>
      <c r="BX251" s="297"/>
      <c r="BY251" s="297"/>
      <c r="BZ251" s="297"/>
      <c r="CA251" s="297"/>
      <c r="CB251" s="297"/>
      <c r="CC251" s="297"/>
      <c r="CD251" s="297"/>
      <c r="CE251" s="297"/>
      <c r="CF251" s="297"/>
      <c r="CG251" s="297"/>
    </row>
    <row r="252" spans="1:85" ht="12" customHeight="1" outlineLevel="4">
      <c r="A252" s="288"/>
      <c r="B252" s="288"/>
      <c r="C252" s="288">
        <v>5</v>
      </c>
      <c r="D252" s="291" t="s">
        <v>2438</v>
      </c>
      <c r="E252" s="246"/>
      <c r="F252" s="246"/>
      <c r="G252" s="244"/>
      <c r="H252" s="244"/>
      <c r="I252" s="244" t="s">
        <v>2127</v>
      </c>
      <c r="J252" s="244"/>
      <c r="K252" s="244"/>
      <c r="L252" s="244"/>
      <c r="M252" s="244"/>
      <c r="N252" s="244"/>
      <c r="O252" s="244"/>
      <c r="P252" s="243">
        <v>45859</v>
      </c>
      <c r="Q252" s="243">
        <v>45869</v>
      </c>
      <c r="R252" s="244"/>
      <c r="S252" s="242">
        <v>9</v>
      </c>
      <c r="T252" s="242">
        <v>9</v>
      </c>
      <c r="U252" s="242">
        <v>9</v>
      </c>
      <c r="V252" s="242">
        <v>9</v>
      </c>
      <c r="W252" s="243"/>
      <c r="X252" s="243"/>
      <c r="Y252" s="251"/>
      <c r="Z252" s="252">
        <v>0</v>
      </c>
      <c r="AA252" s="242">
        <v>1</v>
      </c>
      <c r="AB252" s="246"/>
      <c r="AC252" s="263"/>
      <c r="AD252" s="240">
        <v>1</v>
      </c>
      <c r="AE252" s="330">
        <v>1</v>
      </c>
      <c r="AF252" s="296"/>
      <c r="AG252" s="297"/>
      <c r="AH252" s="297"/>
      <c r="AI252" s="297"/>
      <c r="AJ252" s="297"/>
      <c r="AK252" s="297"/>
      <c r="AL252" s="297"/>
      <c r="AM252" s="297"/>
      <c r="AN252" s="297"/>
      <c r="AO252" s="297"/>
      <c r="AP252" s="297"/>
      <c r="AQ252" s="297"/>
      <c r="AR252" s="297"/>
      <c r="AS252" s="297"/>
      <c r="AT252" s="297"/>
      <c r="AU252" s="297"/>
      <c r="AV252" s="297"/>
      <c r="AW252" s="297"/>
      <c r="AX252" s="297"/>
      <c r="AY252" s="297"/>
      <c r="AZ252" s="297"/>
      <c r="BA252" s="297"/>
      <c r="BB252" s="297"/>
      <c r="BC252" s="297" t="str">
        <f>"     " &amp; TEXT(AE252,"#0.00%") &amp; " " &amp; "주요 SQL 튜닝" &amp; " " &amp; IF(P252="","",TEXT(P252,"M/D-")) &amp; IF(Q252="","",TEXT(Q252,"M/D")) &amp; " "</f>
        <v xml:space="preserve">     100.00% 주요 SQL 튜닝 7/21-7/31 </v>
      </c>
      <c r="BD252" s="297"/>
      <c r="BE252" s="297"/>
      <c r="BF252" s="297"/>
      <c r="BG252" s="297"/>
      <c r="BH252" s="297"/>
      <c r="BI252" s="297"/>
      <c r="BJ252" s="297"/>
      <c r="BK252" s="297"/>
      <c r="BL252" s="297"/>
      <c r="BM252" s="297"/>
      <c r="BN252" s="297"/>
      <c r="BO252" s="297"/>
      <c r="BP252" s="297"/>
      <c r="BQ252" s="297"/>
      <c r="BR252" s="297"/>
      <c r="BS252" s="297"/>
      <c r="BT252" s="297"/>
      <c r="BU252" s="297"/>
      <c r="BV252" s="297"/>
      <c r="BW252" s="297"/>
      <c r="BX252" s="297"/>
      <c r="BY252" s="297"/>
      <c r="BZ252" s="297"/>
      <c r="CA252" s="297"/>
      <c r="CB252" s="297"/>
      <c r="CC252" s="297"/>
      <c r="CD252" s="297"/>
      <c r="CE252" s="297"/>
      <c r="CF252" s="297"/>
      <c r="CG252" s="297"/>
    </row>
    <row r="253" spans="1:85" ht="12" customHeight="1" outlineLevel="4">
      <c r="A253" s="288"/>
      <c r="B253" s="288"/>
      <c r="C253" s="288">
        <v>5</v>
      </c>
      <c r="D253" s="291" t="s">
        <v>2507</v>
      </c>
      <c r="E253" s="246"/>
      <c r="F253" s="246"/>
      <c r="G253" s="246"/>
      <c r="H253" s="246"/>
      <c r="I253" s="244" t="s">
        <v>2506</v>
      </c>
      <c r="J253" s="246"/>
      <c r="K253" s="246"/>
      <c r="L253" s="246"/>
      <c r="M253" s="246"/>
      <c r="N253" s="246"/>
      <c r="O253" s="246"/>
      <c r="P253" s="243">
        <v>45859</v>
      </c>
      <c r="Q253" s="243">
        <v>45869</v>
      </c>
      <c r="R253" s="246"/>
      <c r="S253" s="247">
        <v>9</v>
      </c>
      <c r="T253" s="247">
        <v>9</v>
      </c>
      <c r="U253" s="247">
        <v>9</v>
      </c>
      <c r="V253" s="247">
        <v>9</v>
      </c>
      <c r="W253" s="248"/>
      <c r="X253" s="248"/>
      <c r="Y253" s="265"/>
      <c r="Z253" s="266">
        <v>0</v>
      </c>
      <c r="AA253" s="242">
        <v>1</v>
      </c>
      <c r="AB253" s="246"/>
      <c r="AC253" s="263"/>
      <c r="AD253" s="240">
        <v>1</v>
      </c>
      <c r="AE253" s="330">
        <v>1</v>
      </c>
      <c r="AF253" s="296"/>
      <c r="AG253" s="297"/>
      <c r="AH253" s="297"/>
      <c r="AI253" s="297"/>
      <c r="AJ253" s="297"/>
      <c r="AK253" s="297"/>
      <c r="AL253" s="297"/>
      <c r="AM253" s="297"/>
      <c r="AN253" s="297"/>
      <c r="AO253" s="297"/>
      <c r="AP253" s="297"/>
      <c r="AQ253" s="297"/>
      <c r="AR253" s="297"/>
      <c r="AS253" s="297"/>
      <c r="AT253" s="297"/>
      <c r="AU253" s="297"/>
      <c r="AV253" s="297"/>
      <c r="AW253" s="297"/>
      <c r="AX253" s="297"/>
      <c r="AY253" s="297"/>
      <c r="AZ253" s="297"/>
      <c r="BA253" s="297"/>
      <c r="BB253" s="297"/>
      <c r="BC253" s="297" t="str">
        <f>"     " &amp; TEXT(AE253,"#0.00%") &amp; " " &amp; "Failover 테스트 진행" &amp; " " &amp; IF(P253="","",TEXT(P253,"M/D-")) &amp; IF(Q253="","",TEXT(Q253,"M/D")) &amp; " "</f>
        <v xml:space="preserve">     100.00% Failover 테스트 진행 7/21-7/31 </v>
      </c>
      <c r="BD253" s="297"/>
      <c r="BE253" s="297"/>
      <c r="BF253" s="297"/>
      <c r="BG253" s="297"/>
      <c r="BH253" s="297"/>
      <c r="BI253" s="297"/>
      <c r="BJ253" s="297"/>
      <c r="BK253" s="297"/>
      <c r="BL253" s="297"/>
      <c r="BM253" s="297"/>
      <c r="BN253" s="297"/>
      <c r="BO253" s="297"/>
      <c r="BP253" s="297"/>
      <c r="BQ253" s="297"/>
      <c r="BR253" s="297"/>
      <c r="BS253" s="297"/>
      <c r="BT253" s="297"/>
      <c r="BU253" s="297"/>
      <c r="BV253" s="297"/>
      <c r="BW253" s="297"/>
      <c r="BX253" s="297"/>
      <c r="BY253" s="297"/>
      <c r="BZ253" s="297"/>
      <c r="CA253" s="297"/>
      <c r="CB253" s="297"/>
      <c r="CC253" s="297"/>
      <c r="CD253" s="297"/>
      <c r="CE253" s="297"/>
      <c r="CF253" s="297"/>
      <c r="CG253" s="297"/>
    </row>
    <row r="254" spans="1:85" ht="12" customHeight="1" outlineLevel="3">
      <c r="A254" s="288"/>
      <c r="B254" s="288" t="s">
        <v>2334</v>
      </c>
      <c r="C254" s="288">
        <v>4</v>
      </c>
      <c r="D254" s="257" t="s">
        <v>2439</v>
      </c>
      <c r="E254" s="244"/>
      <c r="F254" s="244"/>
      <c r="G254" s="244"/>
      <c r="H254" s="244" t="s">
        <v>2508</v>
      </c>
      <c r="I254" s="244"/>
      <c r="J254" s="244"/>
      <c r="K254" s="244"/>
      <c r="L254" s="244"/>
      <c r="M254" s="244"/>
      <c r="N254" s="244"/>
      <c r="O254" s="244"/>
      <c r="P254" s="243">
        <v>45870</v>
      </c>
      <c r="Q254" s="243">
        <v>45870</v>
      </c>
      <c r="R254" s="244"/>
      <c r="S254" s="242">
        <v>1</v>
      </c>
      <c r="T254" s="242">
        <v>1</v>
      </c>
      <c r="U254" s="242">
        <v>1</v>
      </c>
      <c r="V254" s="242">
        <v>1</v>
      </c>
      <c r="W254" s="243"/>
      <c r="X254" s="243"/>
      <c r="Y254" s="251">
        <v>0</v>
      </c>
      <c r="Z254" s="252">
        <v>0</v>
      </c>
      <c r="AA254" s="242"/>
      <c r="AB254" s="244" t="s">
        <v>2213</v>
      </c>
      <c r="AC254" s="255"/>
      <c r="AD254" s="239">
        <v>1</v>
      </c>
      <c r="AE254" s="241">
        <v>1</v>
      </c>
      <c r="AF254" s="296"/>
      <c r="AG254" s="297"/>
      <c r="AH254" s="297"/>
      <c r="AI254" s="297"/>
      <c r="AJ254" s="297"/>
      <c r="AK254" s="297"/>
      <c r="AL254" s="297"/>
      <c r="AM254" s="297"/>
      <c r="AN254" s="297"/>
      <c r="AO254" s="297"/>
      <c r="AP254" s="297"/>
      <c r="AQ254" s="297"/>
      <c r="AR254" s="297"/>
      <c r="AS254" s="297"/>
      <c r="AT254" s="297"/>
      <c r="AU254" s="297"/>
      <c r="AV254" s="297"/>
      <c r="AW254" s="297"/>
      <c r="AX254" s="297"/>
      <c r="AY254" s="297"/>
      <c r="AZ254" s="297"/>
      <c r="BA254" s="297"/>
      <c r="BB254" s="297"/>
      <c r="BC254" s="297" t="str">
        <f>"      " &amp; TEXT(AE254,"#0.00%") &amp; " " &amp; "2차 통합테스트 DB 준비" &amp; "(정지원님)" &amp; " " &amp; IF(P254="","",TEXT(P254,"M/D-")) &amp; IF(Q254="","",TEXT(Q254,"M/D")) &amp; " "</f>
        <v xml:space="preserve">      100.00% 2차 통합테스트 DB 준비(정지원님) 8/1-8/1 </v>
      </c>
      <c r="BD254" s="297"/>
      <c r="BE254" s="297"/>
      <c r="BF254" s="297"/>
      <c r="BG254" s="297"/>
      <c r="BH254" s="297"/>
      <c r="BI254" s="297"/>
      <c r="BJ254" s="297"/>
      <c r="BK254" s="297"/>
      <c r="BL254" s="297"/>
      <c r="BM254" s="297"/>
      <c r="BN254" s="297"/>
      <c r="BO254" s="297"/>
      <c r="BP254" s="297"/>
      <c r="BQ254" s="297"/>
      <c r="BR254" s="297"/>
      <c r="BS254" s="297"/>
      <c r="BT254" s="297"/>
      <c r="BU254" s="297"/>
      <c r="BV254" s="297"/>
      <c r="BW254" s="297"/>
      <c r="BX254" s="297"/>
      <c r="BY254" s="297"/>
      <c r="BZ254" s="297"/>
      <c r="CA254" s="297"/>
      <c r="CB254" s="297"/>
      <c r="CC254" s="297"/>
      <c r="CD254" s="297"/>
      <c r="CE254" s="297"/>
      <c r="CF254" s="297"/>
      <c r="CG254" s="297"/>
    </row>
    <row r="255" spans="1:85" ht="12" customHeight="1" outlineLevel="4">
      <c r="A255" s="288"/>
      <c r="B255" s="288"/>
      <c r="C255" s="288">
        <v>5</v>
      </c>
      <c r="D255" s="257" t="s">
        <v>2440</v>
      </c>
      <c r="E255" s="244"/>
      <c r="F255" s="244"/>
      <c r="G255" s="244"/>
      <c r="H255" s="244"/>
      <c r="I255" s="244" t="s">
        <v>2503</v>
      </c>
      <c r="J255" s="244"/>
      <c r="K255" s="244"/>
      <c r="L255" s="244"/>
      <c r="M255" s="244"/>
      <c r="N255" s="244"/>
      <c r="O255" s="244"/>
      <c r="P255" s="243">
        <v>45870</v>
      </c>
      <c r="Q255" s="243">
        <v>45870</v>
      </c>
      <c r="R255" s="244"/>
      <c r="S255" s="242">
        <v>1</v>
      </c>
      <c r="T255" s="242">
        <v>1</v>
      </c>
      <c r="U255" s="242">
        <v>1</v>
      </c>
      <c r="V255" s="242">
        <v>1</v>
      </c>
      <c r="W255" s="243"/>
      <c r="X255" s="243"/>
      <c r="Y255" s="251"/>
      <c r="Z255" s="252">
        <v>0</v>
      </c>
      <c r="AA255" s="242">
        <v>1</v>
      </c>
      <c r="AB255" s="244" t="s">
        <v>2213</v>
      </c>
      <c r="AC255" s="255"/>
      <c r="AD255" s="239">
        <v>1</v>
      </c>
      <c r="AE255" s="304">
        <v>1</v>
      </c>
      <c r="AF255" s="296"/>
      <c r="AG255" s="297"/>
      <c r="AH255" s="297"/>
      <c r="AI255" s="297"/>
      <c r="AJ255" s="297"/>
      <c r="AK255" s="297"/>
      <c r="AL255" s="297"/>
      <c r="AM255" s="297"/>
      <c r="AN255" s="297"/>
      <c r="AO255" s="297"/>
      <c r="AP255" s="297"/>
      <c r="AQ255" s="297"/>
      <c r="AR255" s="297"/>
      <c r="AS255" s="297"/>
      <c r="AT255" s="297"/>
      <c r="AU255" s="297"/>
      <c r="AV255" s="297"/>
      <c r="AW255" s="297"/>
      <c r="AX255" s="297"/>
      <c r="AY255" s="297"/>
      <c r="AZ255" s="297"/>
      <c r="BA255" s="297"/>
      <c r="BB255" s="297"/>
      <c r="BC255" s="297" t="str">
        <f>"      " &amp; TEXT(AE255,"#0.00%") &amp; " " &amp; "통합 테스트 DB 환경 준비" &amp; "(정지원님)" &amp; " " &amp; IF(P255="","",TEXT(P255,"M/D-")) &amp; IF(Q255="","",TEXT(Q255,"M/D")) &amp; " "</f>
        <v xml:space="preserve">      100.00% 통합 테스트 DB 환경 준비(정지원님) 8/1-8/1 </v>
      </c>
      <c r="BD255" s="297"/>
      <c r="BE255" s="297"/>
      <c r="BF255" s="297"/>
      <c r="BG255" s="297"/>
      <c r="BH255" s="297"/>
      <c r="BI255" s="297"/>
      <c r="BJ255" s="297"/>
      <c r="BK255" s="297"/>
      <c r="BL255" s="297"/>
      <c r="BM255" s="297"/>
      <c r="BN255" s="297"/>
      <c r="BO255" s="297"/>
      <c r="BP255" s="297"/>
      <c r="BQ255" s="297"/>
      <c r="BR255" s="297"/>
      <c r="BS255" s="297"/>
      <c r="BT255" s="297"/>
      <c r="BU255" s="297"/>
      <c r="BV255" s="297"/>
      <c r="BW255" s="297"/>
      <c r="BX255" s="297"/>
      <c r="BY255" s="297"/>
      <c r="BZ255" s="297"/>
      <c r="CA255" s="297"/>
      <c r="CB255" s="297"/>
      <c r="CC255" s="297"/>
      <c r="CD255" s="297"/>
      <c r="CE255" s="297"/>
      <c r="CF255" s="297"/>
      <c r="CG255" s="297"/>
    </row>
    <row r="256" spans="1:85" ht="12" customHeight="1" outlineLevel="3">
      <c r="A256" s="288"/>
      <c r="B256" s="288" t="s">
        <v>2334</v>
      </c>
      <c r="C256" s="288">
        <v>4</v>
      </c>
      <c r="D256" s="257" t="s">
        <v>2517</v>
      </c>
      <c r="E256" s="244"/>
      <c r="F256" s="244"/>
      <c r="G256" s="244"/>
      <c r="H256" s="332" t="s">
        <v>2509</v>
      </c>
      <c r="I256" s="244"/>
      <c r="J256" s="244"/>
      <c r="K256" s="244"/>
      <c r="L256" s="244"/>
      <c r="M256" s="244"/>
      <c r="N256" s="244"/>
      <c r="O256" s="244"/>
      <c r="P256" s="243">
        <v>45873</v>
      </c>
      <c r="Q256" s="243">
        <v>45877</v>
      </c>
      <c r="R256" s="244"/>
      <c r="S256" s="242">
        <v>20</v>
      </c>
      <c r="T256" s="242">
        <v>20</v>
      </c>
      <c r="U256" s="242">
        <v>5</v>
      </c>
      <c r="V256" s="242">
        <v>5</v>
      </c>
      <c r="W256" s="243"/>
      <c r="X256" s="243"/>
      <c r="Y256" s="251">
        <v>0</v>
      </c>
      <c r="Z256" s="252">
        <v>0</v>
      </c>
      <c r="AA256" s="242"/>
      <c r="AB256" s="244" t="s">
        <v>2213</v>
      </c>
      <c r="AC256" s="255"/>
      <c r="AD256" s="239">
        <v>1</v>
      </c>
      <c r="AE256" s="241">
        <v>1</v>
      </c>
      <c r="AF256" s="296"/>
      <c r="AG256" s="297"/>
      <c r="AH256" s="297"/>
      <c r="AI256" s="297"/>
      <c r="AJ256" s="297"/>
      <c r="AK256" s="297"/>
      <c r="AL256" s="297"/>
      <c r="AM256" s="297"/>
      <c r="AN256" s="297"/>
      <c r="AO256" s="297"/>
      <c r="AP256" s="297"/>
      <c r="AQ256" s="297"/>
      <c r="AR256" s="297"/>
      <c r="AS256" s="297"/>
      <c r="AT256" s="297"/>
      <c r="AU256" s="297"/>
      <c r="AV256" s="297"/>
      <c r="AW256" s="297"/>
      <c r="AX256" s="297"/>
      <c r="AY256" s="297"/>
      <c r="AZ256" s="297"/>
      <c r="BA256" s="297"/>
      <c r="BB256" s="297"/>
      <c r="BC256" s="297"/>
      <c r="BD256" s="297" t="str">
        <f>"      " &amp; TEXT(AE256,"#0.00%") &amp; " " &amp; "2차 통합테스트 수행 및 DB 개선작업 " &amp; "(정지원님)" &amp; " " &amp; IF(P256="","",TEXT(P256,"M/D-")) &amp; IF(Q256="","",TEXT(Q256,"M/D")) &amp; " "</f>
        <v xml:space="preserve">      100.00% 2차 통합테스트 수행 및 DB 개선작업 (정지원님) 8/4-8/8 </v>
      </c>
      <c r="BE256" s="297"/>
      <c r="BF256" s="297"/>
      <c r="BG256" s="297"/>
      <c r="BH256" s="297"/>
      <c r="BI256" s="297"/>
      <c r="BJ256" s="297"/>
      <c r="BK256" s="297"/>
      <c r="BL256" s="297"/>
      <c r="BM256" s="297"/>
      <c r="BN256" s="297"/>
      <c r="BO256" s="297"/>
      <c r="BP256" s="297"/>
      <c r="BQ256" s="297"/>
      <c r="BR256" s="297"/>
      <c r="BS256" s="297"/>
      <c r="BT256" s="297"/>
      <c r="BU256" s="297"/>
      <c r="BV256" s="297"/>
      <c r="BW256" s="297"/>
      <c r="BX256" s="297"/>
      <c r="BY256" s="297"/>
      <c r="BZ256" s="297"/>
      <c r="CA256" s="297"/>
      <c r="CB256" s="297"/>
      <c r="CC256" s="297"/>
      <c r="CD256" s="297"/>
      <c r="CE256" s="297"/>
      <c r="CF256" s="297"/>
      <c r="CG256" s="297"/>
    </row>
    <row r="257" spans="1:85" ht="12" customHeight="1" outlineLevel="4">
      <c r="A257" s="288"/>
      <c r="B257" s="288"/>
      <c r="C257" s="288">
        <v>5</v>
      </c>
      <c r="D257" s="257" t="s">
        <v>2518</v>
      </c>
      <c r="E257" s="244"/>
      <c r="F257" s="244"/>
      <c r="G257" s="244"/>
      <c r="H257" s="244"/>
      <c r="I257" s="244" t="s">
        <v>2124</v>
      </c>
      <c r="J257" s="244"/>
      <c r="K257" s="244"/>
      <c r="L257" s="244"/>
      <c r="M257" s="244"/>
      <c r="N257" s="244"/>
      <c r="O257" s="244"/>
      <c r="P257" s="243">
        <v>45873</v>
      </c>
      <c r="Q257" s="243">
        <v>45877</v>
      </c>
      <c r="R257" s="244"/>
      <c r="S257" s="242">
        <v>5</v>
      </c>
      <c r="T257" s="242">
        <v>5</v>
      </c>
      <c r="U257" s="242">
        <v>5</v>
      </c>
      <c r="V257" s="242">
        <v>5</v>
      </c>
      <c r="W257" s="243"/>
      <c r="X257" s="243"/>
      <c r="Y257" s="251"/>
      <c r="Z257" s="252">
        <v>0</v>
      </c>
      <c r="AA257" s="242">
        <v>1</v>
      </c>
      <c r="AB257" s="256"/>
      <c r="AC257" s="307"/>
      <c r="AD257" s="239">
        <v>1</v>
      </c>
      <c r="AE257" s="330">
        <v>1</v>
      </c>
      <c r="AF257" s="296"/>
      <c r="AG257" s="297"/>
      <c r="AH257" s="297"/>
      <c r="AI257" s="297"/>
      <c r="AJ257" s="297"/>
      <c r="AK257" s="297"/>
      <c r="AL257" s="297"/>
      <c r="AM257" s="297"/>
      <c r="AN257" s="297"/>
      <c r="AO257" s="297"/>
      <c r="AP257" s="297"/>
      <c r="AQ257" s="297"/>
      <c r="AR257" s="297"/>
      <c r="AS257" s="297"/>
      <c r="AT257" s="297"/>
      <c r="AU257" s="297"/>
      <c r="AV257" s="297"/>
      <c r="AW257" s="297"/>
      <c r="AX257" s="297"/>
      <c r="AY257" s="297"/>
      <c r="AZ257" s="297"/>
      <c r="BA257" s="297"/>
      <c r="BB257" s="297"/>
      <c r="BC257" s="297"/>
      <c r="BD257" s="297" t="str">
        <f>"      " &amp; TEXT(AE257,"#0.00%") &amp; " " &amp; "인덱스 최적화" &amp; " " &amp; IF(P257="","",TEXT(P257,"M/D-")) &amp; IF(Q257="","",TEXT(Q257,"M/D")) &amp; " "</f>
        <v xml:space="preserve">      100.00% 인덱스 최적화 8/4-8/8 </v>
      </c>
      <c r="BE257" s="297"/>
      <c r="BF257" s="297"/>
      <c r="BG257" s="297"/>
      <c r="BH257" s="297"/>
      <c r="BI257" s="297"/>
      <c r="BJ257" s="297"/>
      <c r="BK257" s="297"/>
      <c r="BL257" s="297"/>
      <c r="BM257" s="297"/>
      <c r="BN257" s="297"/>
      <c r="BO257" s="297"/>
      <c r="BP257" s="297"/>
      <c r="BQ257" s="297"/>
      <c r="BR257" s="297"/>
      <c r="BS257" s="297"/>
      <c r="BT257" s="297"/>
      <c r="BU257" s="297"/>
      <c r="BV257" s="297"/>
      <c r="BW257" s="297"/>
      <c r="BX257" s="297"/>
      <c r="BY257" s="297"/>
      <c r="BZ257" s="297"/>
      <c r="CA257" s="297"/>
      <c r="CB257" s="297"/>
      <c r="CC257" s="297"/>
      <c r="CD257" s="297"/>
      <c r="CE257" s="297"/>
      <c r="CF257" s="297"/>
      <c r="CG257" s="297"/>
    </row>
    <row r="258" spans="1:85" ht="12" customHeight="1" outlineLevel="4">
      <c r="A258" s="288"/>
      <c r="B258" s="288"/>
      <c r="C258" s="288">
        <v>5</v>
      </c>
      <c r="D258" s="257" t="s">
        <v>2519</v>
      </c>
      <c r="E258" s="244"/>
      <c r="F258" s="244"/>
      <c r="G258" s="244"/>
      <c r="H258" s="244"/>
      <c r="I258" s="244" t="s">
        <v>2125</v>
      </c>
      <c r="J258" s="244"/>
      <c r="K258" s="244"/>
      <c r="L258" s="244"/>
      <c r="M258" s="244"/>
      <c r="N258" s="244"/>
      <c r="O258" s="244"/>
      <c r="P258" s="243">
        <v>45873</v>
      </c>
      <c r="Q258" s="243">
        <v>45877</v>
      </c>
      <c r="R258" s="244"/>
      <c r="S258" s="242">
        <v>5</v>
      </c>
      <c r="T258" s="242">
        <v>5</v>
      </c>
      <c r="U258" s="242">
        <v>5</v>
      </c>
      <c r="V258" s="242">
        <v>5</v>
      </c>
      <c r="W258" s="243"/>
      <c r="X258" s="243"/>
      <c r="Y258" s="251"/>
      <c r="Z258" s="252">
        <v>0</v>
      </c>
      <c r="AA258" s="242">
        <v>1</v>
      </c>
      <c r="AB258" s="244" t="s">
        <v>2213</v>
      </c>
      <c r="AC258" s="255"/>
      <c r="AD258" s="239">
        <v>1</v>
      </c>
      <c r="AE258" s="330">
        <v>1</v>
      </c>
      <c r="AF258" s="296"/>
      <c r="AG258" s="297"/>
      <c r="AH258" s="297"/>
      <c r="AI258" s="297"/>
      <c r="AJ258" s="297"/>
      <c r="AK258" s="297"/>
      <c r="AL258" s="297"/>
      <c r="AM258" s="297"/>
      <c r="AN258" s="297"/>
      <c r="AO258" s="297"/>
      <c r="AP258" s="297"/>
      <c r="AQ258" s="297"/>
      <c r="AR258" s="297"/>
      <c r="AS258" s="297"/>
      <c r="AT258" s="297"/>
      <c r="AU258" s="297"/>
      <c r="AV258" s="297"/>
      <c r="AW258" s="297"/>
      <c r="AX258" s="297"/>
      <c r="AY258" s="297"/>
      <c r="AZ258" s="297"/>
      <c r="BA258" s="297"/>
      <c r="BB258" s="297"/>
      <c r="BC258" s="297"/>
      <c r="BD258" s="297" t="str">
        <f>"      " &amp; TEXT(AE258,"#0.00%") &amp; " " &amp; "시퀀스 정비" &amp; "(정지원님)" &amp; " " &amp; IF(P258="","",TEXT(P258,"M/D-")) &amp; IF(Q258="","",TEXT(Q258,"M/D")) &amp; " "</f>
        <v xml:space="preserve">      100.00% 시퀀스 정비(정지원님) 8/4-8/8 </v>
      </c>
      <c r="BE258" s="297"/>
      <c r="BF258" s="297"/>
      <c r="BG258" s="297"/>
      <c r="BH258" s="297"/>
      <c r="BI258" s="297"/>
      <c r="BJ258" s="297"/>
      <c r="BK258" s="297"/>
      <c r="BL258" s="297"/>
      <c r="BM258" s="297"/>
      <c r="BN258" s="297"/>
      <c r="BO258" s="297"/>
      <c r="BP258" s="297"/>
      <c r="BQ258" s="297"/>
      <c r="BR258" s="297"/>
      <c r="BS258" s="297"/>
      <c r="BT258" s="297"/>
      <c r="BU258" s="297"/>
      <c r="BV258" s="297"/>
      <c r="BW258" s="297"/>
      <c r="BX258" s="297"/>
      <c r="BY258" s="297"/>
      <c r="BZ258" s="297"/>
      <c r="CA258" s="297"/>
      <c r="CB258" s="297"/>
      <c r="CC258" s="297"/>
      <c r="CD258" s="297"/>
      <c r="CE258" s="297"/>
      <c r="CF258" s="297"/>
      <c r="CG258" s="297"/>
    </row>
    <row r="259" spans="1:85" ht="12" customHeight="1" outlineLevel="4">
      <c r="A259" s="288"/>
      <c r="B259" s="288"/>
      <c r="C259" s="288">
        <v>5</v>
      </c>
      <c r="D259" s="291" t="s">
        <v>2520</v>
      </c>
      <c r="E259" s="246"/>
      <c r="F259" s="246"/>
      <c r="G259" s="244"/>
      <c r="H259" s="244"/>
      <c r="I259" s="244" t="s">
        <v>2126</v>
      </c>
      <c r="J259" s="244"/>
      <c r="K259" s="244"/>
      <c r="L259" s="244"/>
      <c r="M259" s="244"/>
      <c r="N259" s="244"/>
      <c r="O259" s="244"/>
      <c r="P259" s="243">
        <v>45873</v>
      </c>
      <c r="Q259" s="243">
        <v>45877</v>
      </c>
      <c r="R259" s="244"/>
      <c r="S259" s="242">
        <v>5</v>
      </c>
      <c r="T259" s="242">
        <v>5</v>
      </c>
      <c r="U259" s="242">
        <v>5</v>
      </c>
      <c r="V259" s="242">
        <v>5</v>
      </c>
      <c r="W259" s="243"/>
      <c r="X259" s="243"/>
      <c r="Y259" s="251"/>
      <c r="Z259" s="252">
        <v>0</v>
      </c>
      <c r="AA259" s="242">
        <v>1</v>
      </c>
      <c r="AB259" s="246"/>
      <c r="AC259" s="263"/>
      <c r="AD259" s="240">
        <v>1</v>
      </c>
      <c r="AE259" s="330">
        <v>1</v>
      </c>
      <c r="AF259" s="296"/>
      <c r="AG259" s="297"/>
      <c r="AH259" s="297"/>
      <c r="AI259" s="297"/>
      <c r="AJ259" s="297"/>
      <c r="AK259" s="297"/>
      <c r="AL259" s="297"/>
      <c r="AM259" s="297"/>
      <c r="AN259" s="297"/>
      <c r="AO259" s="297"/>
      <c r="AP259" s="297"/>
      <c r="AQ259" s="297"/>
      <c r="AR259" s="297"/>
      <c r="AS259" s="297"/>
      <c r="AT259" s="297"/>
      <c r="AU259" s="297"/>
      <c r="AV259" s="297"/>
      <c r="AW259" s="297"/>
      <c r="AX259" s="297"/>
      <c r="AY259" s="297"/>
      <c r="AZ259" s="297"/>
      <c r="BA259" s="297"/>
      <c r="BB259" s="297"/>
      <c r="BC259" s="297"/>
      <c r="BD259" s="297" t="str">
        <f>"      " &amp; TEXT(AE259,"#0.00%") &amp; " " &amp; "테이블/뷰/펑션 구조 개선" &amp; " " &amp; IF(P259="","",TEXT(P259,"M/D-")) &amp; IF(Q259="","",TEXT(Q259,"M/D")) &amp; " "</f>
        <v xml:space="preserve">      100.00% 테이블/뷰/펑션 구조 개선 8/4-8/8 </v>
      </c>
      <c r="BE259" s="297"/>
      <c r="BF259" s="297"/>
      <c r="BG259" s="297"/>
      <c r="BH259" s="297"/>
      <c r="BI259" s="297"/>
      <c r="BJ259" s="297"/>
      <c r="BK259" s="297"/>
      <c r="BL259" s="297"/>
      <c r="BM259" s="297"/>
      <c r="BN259" s="297"/>
      <c r="BO259" s="297"/>
      <c r="BP259" s="297"/>
      <c r="BQ259" s="297"/>
      <c r="BR259" s="297"/>
      <c r="BS259" s="297"/>
      <c r="BT259" s="297"/>
      <c r="BU259" s="297"/>
      <c r="BV259" s="297"/>
      <c r="BW259" s="297"/>
      <c r="BX259" s="297"/>
      <c r="BY259" s="297"/>
      <c r="BZ259" s="297"/>
      <c r="CA259" s="297"/>
      <c r="CB259" s="297"/>
      <c r="CC259" s="297"/>
      <c r="CD259" s="297"/>
      <c r="CE259" s="297"/>
      <c r="CF259" s="297"/>
      <c r="CG259" s="297"/>
    </row>
    <row r="260" spans="1:85" ht="12" customHeight="1" outlineLevel="4">
      <c r="A260" s="288"/>
      <c r="B260" s="288"/>
      <c r="C260" s="288">
        <v>5</v>
      </c>
      <c r="D260" s="291" t="s">
        <v>2521</v>
      </c>
      <c r="E260" s="246"/>
      <c r="F260" s="246"/>
      <c r="G260" s="244"/>
      <c r="H260" s="244"/>
      <c r="I260" s="244" t="s">
        <v>2127</v>
      </c>
      <c r="J260" s="244"/>
      <c r="K260" s="244"/>
      <c r="L260" s="244"/>
      <c r="M260" s="244"/>
      <c r="N260" s="244"/>
      <c r="O260" s="244"/>
      <c r="P260" s="243">
        <v>45873</v>
      </c>
      <c r="Q260" s="243">
        <v>45877</v>
      </c>
      <c r="R260" s="244"/>
      <c r="S260" s="242">
        <v>5</v>
      </c>
      <c r="T260" s="242">
        <v>5</v>
      </c>
      <c r="U260" s="242">
        <v>5</v>
      </c>
      <c r="V260" s="242">
        <v>5</v>
      </c>
      <c r="W260" s="243"/>
      <c r="X260" s="243"/>
      <c r="Y260" s="251"/>
      <c r="Z260" s="252">
        <v>0</v>
      </c>
      <c r="AA260" s="242">
        <v>1</v>
      </c>
      <c r="AB260" s="246"/>
      <c r="AC260" s="263"/>
      <c r="AD260" s="240">
        <v>1</v>
      </c>
      <c r="AE260" s="304">
        <v>1</v>
      </c>
      <c r="AF260" s="296"/>
      <c r="AG260" s="297"/>
      <c r="AH260" s="297"/>
      <c r="AI260" s="297"/>
      <c r="AJ260" s="297"/>
      <c r="AK260" s="297"/>
      <c r="AL260" s="297"/>
      <c r="AM260" s="297"/>
      <c r="AN260" s="297"/>
      <c r="AO260" s="297"/>
      <c r="AP260" s="297"/>
      <c r="AQ260" s="297"/>
      <c r="AR260" s="297"/>
      <c r="AS260" s="297"/>
      <c r="AT260" s="297"/>
      <c r="AU260" s="297"/>
      <c r="AV260" s="297"/>
      <c r="AW260" s="297"/>
      <c r="AX260" s="297"/>
      <c r="AY260" s="297"/>
      <c r="AZ260" s="297"/>
      <c r="BA260" s="297"/>
      <c r="BB260" s="297"/>
      <c r="BC260" s="297"/>
      <c r="BD260" s="297" t="str">
        <f>"      " &amp; TEXT(AE260,"#0.00%") &amp; " " &amp; "주요 SQL 튜닝" &amp; " " &amp; IF(P260="","",TEXT(P260,"M/D-")) &amp; IF(Q260="","",TEXT(Q260,"M/D")) &amp; " "</f>
        <v xml:space="preserve">      100.00% 주요 SQL 튜닝 8/4-8/8 </v>
      </c>
      <c r="BE260" s="297"/>
      <c r="BF260" s="297"/>
      <c r="BG260" s="297"/>
      <c r="BH260" s="297"/>
      <c r="BI260" s="297"/>
      <c r="BJ260" s="297"/>
      <c r="BK260" s="297"/>
      <c r="BL260" s="297"/>
      <c r="BM260" s="297"/>
      <c r="BN260" s="297"/>
      <c r="BO260" s="297"/>
      <c r="BP260" s="297"/>
      <c r="BQ260" s="297"/>
      <c r="BR260" s="297"/>
      <c r="BS260" s="297"/>
      <c r="BT260" s="297"/>
      <c r="BU260" s="297"/>
      <c r="BV260" s="297"/>
      <c r="BW260" s="297"/>
      <c r="BX260" s="297"/>
      <c r="BY260" s="297"/>
      <c r="BZ260" s="297"/>
      <c r="CA260" s="297"/>
      <c r="CB260" s="297"/>
      <c r="CC260" s="297"/>
      <c r="CD260" s="297"/>
      <c r="CE260" s="297"/>
      <c r="CF260" s="297"/>
      <c r="CG260" s="297"/>
    </row>
    <row r="261" spans="1:85" ht="12" customHeight="1" outlineLevel="3">
      <c r="A261" s="288"/>
      <c r="B261" s="288" t="s">
        <v>2334</v>
      </c>
      <c r="C261" s="288">
        <v>4</v>
      </c>
      <c r="D261" s="291" t="s">
        <v>2522</v>
      </c>
      <c r="E261" s="246"/>
      <c r="F261" s="246"/>
      <c r="G261" s="244"/>
      <c r="H261" s="332" t="s">
        <v>2510</v>
      </c>
      <c r="I261" s="332"/>
      <c r="J261" s="332"/>
      <c r="K261" s="332"/>
      <c r="L261" s="332"/>
      <c r="M261" s="332"/>
      <c r="N261" s="332"/>
      <c r="O261" s="332"/>
      <c r="P261" s="331">
        <v>45880</v>
      </c>
      <c r="Q261" s="331">
        <v>45901</v>
      </c>
      <c r="R261" s="244"/>
      <c r="S261" s="242">
        <v>43</v>
      </c>
      <c r="T261" s="242">
        <v>43</v>
      </c>
      <c r="U261" s="242">
        <v>15</v>
      </c>
      <c r="V261" s="242">
        <v>15</v>
      </c>
      <c r="W261" s="243"/>
      <c r="X261" s="243"/>
      <c r="Y261" s="251">
        <v>0</v>
      </c>
      <c r="Z261" s="252">
        <v>0</v>
      </c>
      <c r="AA261" s="242"/>
      <c r="AB261" s="246"/>
      <c r="AC261" s="263"/>
      <c r="AD261" s="240">
        <v>1</v>
      </c>
      <c r="AE261" s="241">
        <v>1</v>
      </c>
      <c r="AF261" s="296"/>
      <c r="AG261" s="297"/>
      <c r="AH261" s="297"/>
      <c r="AI261" s="297"/>
      <c r="AJ261" s="297"/>
      <c r="AK261" s="297"/>
      <c r="AL261" s="297"/>
      <c r="AM261" s="297"/>
      <c r="AN261" s="297"/>
      <c r="AO261" s="297"/>
      <c r="AP261" s="297"/>
      <c r="AQ261" s="297"/>
      <c r="AR261" s="297"/>
      <c r="AS261" s="297"/>
      <c r="AT261" s="297"/>
      <c r="AU261" s="297"/>
      <c r="AV261" s="297"/>
      <c r="AW261" s="297"/>
      <c r="AX261" s="297"/>
      <c r="AY261" s="297"/>
      <c r="AZ261" s="297"/>
      <c r="BA261" s="297"/>
      <c r="BB261" s="297"/>
      <c r="BC261" s="297"/>
      <c r="BD261" s="297"/>
      <c r="BE261" s="297"/>
      <c r="BF261" s="297"/>
      <c r="BG261" s="297"/>
      <c r="BH261" s="297" t="str">
        <f>"  " &amp; TEXT(AE261,"#0.00%") &amp; " " &amp; "데이터 이관" &amp; " " &amp; IF(P261="","",TEXT(P261,"M/D-")) &amp; IF(Q261="","",TEXT(Q261,"M/D")) &amp; " "</f>
        <v xml:space="preserve">  100.00% 데이터 이관 8/11-9/1 </v>
      </c>
      <c r="BI261" s="297"/>
      <c r="BJ261" s="297"/>
      <c r="BK261" s="297"/>
      <c r="BL261" s="297"/>
      <c r="BM261" s="297"/>
      <c r="BN261" s="297"/>
      <c r="BO261" s="297"/>
      <c r="BP261" s="297"/>
      <c r="BQ261" s="297"/>
      <c r="BR261" s="297"/>
      <c r="BS261" s="297"/>
      <c r="BT261" s="297"/>
      <c r="BU261" s="297"/>
      <c r="BV261" s="297"/>
      <c r="BW261" s="297"/>
      <c r="BX261" s="297"/>
      <c r="BY261" s="297"/>
      <c r="BZ261" s="297"/>
      <c r="CA261" s="297"/>
      <c r="CB261" s="297"/>
      <c r="CC261" s="297"/>
      <c r="CD261" s="297"/>
      <c r="CE261" s="297"/>
      <c r="CF261" s="297"/>
      <c r="CG261" s="297"/>
    </row>
    <row r="262" spans="1:85" ht="12" customHeight="1" outlineLevel="4">
      <c r="A262" s="288"/>
      <c r="B262" s="288"/>
      <c r="C262" s="288">
        <v>5</v>
      </c>
      <c r="D262" s="291" t="s">
        <v>2523</v>
      </c>
      <c r="E262" s="246"/>
      <c r="F262" s="246"/>
      <c r="G262" s="244"/>
      <c r="H262" s="244"/>
      <c r="I262" s="244" t="s">
        <v>2511</v>
      </c>
      <c r="J262" s="244"/>
      <c r="K262" s="244"/>
      <c r="L262" s="244"/>
      <c r="M262" s="244"/>
      <c r="N262" s="244"/>
      <c r="O262" s="244"/>
      <c r="P262" s="243">
        <v>45880</v>
      </c>
      <c r="Q262" s="243">
        <v>45894</v>
      </c>
      <c r="R262" s="244"/>
      <c r="S262" s="242">
        <v>10</v>
      </c>
      <c r="T262" s="242">
        <v>10</v>
      </c>
      <c r="U262" s="242">
        <v>10</v>
      </c>
      <c r="V262" s="242">
        <v>10</v>
      </c>
      <c r="W262" s="243"/>
      <c r="X262" s="243"/>
      <c r="Y262" s="251"/>
      <c r="Z262" s="252">
        <v>0</v>
      </c>
      <c r="AA262" s="242">
        <v>1</v>
      </c>
      <c r="AB262" s="246"/>
      <c r="AC262" s="263"/>
      <c r="AD262" s="240">
        <v>1</v>
      </c>
      <c r="AE262" s="304">
        <v>1</v>
      </c>
      <c r="AF262" s="296"/>
      <c r="AG262" s="297"/>
      <c r="AH262" s="297"/>
      <c r="AI262" s="297"/>
      <c r="AJ262" s="297"/>
      <c r="AK262" s="297"/>
      <c r="AL262" s="297"/>
      <c r="AM262" s="297"/>
      <c r="AN262" s="297"/>
      <c r="AO262" s="297"/>
      <c r="AP262" s="297"/>
      <c r="AQ262" s="297"/>
      <c r="AR262" s="297"/>
      <c r="AS262" s="297"/>
      <c r="AT262" s="297"/>
      <c r="AU262" s="297"/>
      <c r="AV262" s="297"/>
      <c r="AW262" s="297"/>
      <c r="AX262" s="297"/>
      <c r="AY262" s="297"/>
      <c r="AZ262" s="297"/>
      <c r="BA262" s="297"/>
      <c r="BB262" s="297"/>
      <c r="BC262" s="297"/>
      <c r="BD262" s="297"/>
      <c r="BE262" s="297"/>
      <c r="BF262" s="297"/>
      <c r="BG262" s="297" t="str">
        <f>"  " &amp; TEXT(AE262,"#0.00%") &amp; " " &amp; "데이터 이관 환경 구축" &amp; " " &amp; IF(P262="","",TEXT(P262,"M/D-")) &amp; IF(Q262="","",TEXT(Q262,"M/D")) &amp; " "</f>
        <v xml:space="preserve">  100.00% 데이터 이관 환경 구축 8/11-8/25 </v>
      </c>
      <c r="BH262" s="297"/>
      <c r="BI262" s="297"/>
      <c r="BJ262" s="297"/>
      <c r="BK262" s="297"/>
      <c r="BL262" s="297"/>
      <c r="BM262" s="297"/>
      <c r="BN262" s="297"/>
      <c r="BO262" s="297"/>
      <c r="BP262" s="297"/>
      <c r="BQ262" s="297"/>
      <c r="BR262" s="297"/>
      <c r="BS262" s="297"/>
      <c r="BT262" s="297"/>
      <c r="BU262" s="297"/>
      <c r="BV262" s="297"/>
      <c r="BW262" s="297"/>
      <c r="BX262" s="297"/>
      <c r="BY262" s="297"/>
      <c r="BZ262" s="297"/>
      <c r="CA262" s="297"/>
      <c r="CB262" s="297"/>
      <c r="CC262" s="297"/>
      <c r="CD262" s="297"/>
      <c r="CE262" s="297"/>
      <c r="CF262" s="297"/>
      <c r="CG262" s="297"/>
    </row>
    <row r="263" spans="1:85" ht="12" customHeight="1" outlineLevel="4">
      <c r="A263" s="288"/>
      <c r="B263" s="288"/>
      <c r="C263" s="288">
        <v>5</v>
      </c>
      <c r="D263" s="291" t="s">
        <v>2524</v>
      </c>
      <c r="E263" s="246"/>
      <c r="F263" s="246"/>
      <c r="G263" s="244"/>
      <c r="H263" s="244"/>
      <c r="I263" s="244" t="s">
        <v>2512</v>
      </c>
      <c r="J263" s="244"/>
      <c r="K263" s="244"/>
      <c r="L263" s="244"/>
      <c r="M263" s="244"/>
      <c r="N263" s="244"/>
      <c r="O263" s="244"/>
      <c r="P263" s="243">
        <v>45880</v>
      </c>
      <c r="Q263" s="243">
        <v>45894</v>
      </c>
      <c r="R263" s="244"/>
      <c r="S263" s="242">
        <v>10</v>
      </c>
      <c r="T263" s="242">
        <v>10</v>
      </c>
      <c r="U263" s="242">
        <v>10</v>
      </c>
      <c r="V263" s="242">
        <v>10</v>
      </c>
      <c r="W263" s="243"/>
      <c r="X263" s="243"/>
      <c r="Y263" s="251"/>
      <c r="Z263" s="252">
        <v>0</v>
      </c>
      <c r="AA263" s="242">
        <v>1</v>
      </c>
      <c r="AB263" s="246"/>
      <c r="AC263" s="263"/>
      <c r="AD263" s="240">
        <v>1</v>
      </c>
      <c r="AE263" s="304">
        <v>1</v>
      </c>
      <c r="AF263" s="296"/>
      <c r="AG263" s="297"/>
      <c r="AH263" s="297"/>
      <c r="AI263" s="297"/>
      <c r="AJ263" s="297"/>
      <c r="AK263" s="297"/>
      <c r="AL263" s="297"/>
      <c r="AM263" s="297"/>
      <c r="AN263" s="297"/>
      <c r="AO263" s="297"/>
      <c r="AP263" s="297"/>
      <c r="AQ263" s="297"/>
      <c r="AR263" s="297"/>
      <c r="AS263" s="297"/>
      <c r="AT263" s="297"/>
      <c r="AU263" s="297"/>
      <c r="AV263" s="297"/>
      <c r="AW263" s="297"/>
      <c r="AX263" s="297"/>
      <c r="AY263" s="297"/>
      <c r="AZ263" s="297"/>
      <c r="BA263" s="297"/>
      <c r="BB263" s="297"/>
      <c r="BC263" s="297"/>
      <c r="BD263" s="297"/>
      <c r="BE263" s="297"/>
      <c r="BF263" s="297"/>
      <c r="BG263" s="297" t="str">
        <f>"  " &amp; TEXT(AE263,"#0.00%") &amp; " " &amp; "데이터 이관 계획서 작성 및 준비" &amp; " " &amp; IF(P263="","",TEXT(P263,"M/D-")) &amp; IF(Q263="","",TEXT(Q263,"M/D")) &amp; " "</f>
        <v xml:space="preserve">  100.00% 데이터 이관 계획서 작성 및 준비 8/11-8/25 </v>
      </c>
      <c r="BH263" s="297"/>
      <c r="BI263" s="297"/>
      <c r="BJ263" s="297"/>
      <c r="BK263" s="297"/>
      <c r="BL263" s="297"/>
      <c r="BM263" s="297"/>
      <c r="BN263" s="297"/>
      <c r="BO263" s="297"/>
      <c r="BP263" s="297"/>
      <c r="BQ263" s="297"/>
      <c r="BR263" s="297"/>
      <c r="BS263" s="297"/>
      <c r="BT263" s="297"/>
      <c r="BU263" s="297"/>
      <c r="BV263" s="297"/>
      <c r="BW263" s="297"/>
      <c r="BX263" s="297"/>
      <c r="BY263" s="297"/>
      <c r="BZ263" s="297"/>
      <c r="CA263" s="297"/>
      <c r="CB263" s="297"/>
      <c r="CC263" s="297"/>
      <c r="CD263" s="297"/>
      <c r="CE263" s="297"/>
      <c r="CF263" s="297"/>
      <c r="CG263" s="297"/>
    </row>
    <row r="264" spans="1:85" ht="12" customHeight="1" outlineLevel="4">
      <c r="A264" s="288"/>
      <c r="B264" s="288"/>
      <c r="C264" s="288">
        <v>5</v>
      </c>
      <c r="D264" s="291" t="s">
        <v>2525</v>
      </c>
      <c r="E264" s="246"/>
      <c r="F264" s="246"/>
      <c r="G264" s="244"/>
      <c r="H264" s="244"/>
      <c r="I264" s="244" t="s">
        <v>2513</v>
      </c>
      <c r="J264" s="244"/>
      <c r="K264" s="244"/>
      <c r="L264" s="244"/>
      <c r="M264" s="244"/>
      <c r="N264" s="244"/>
      <c r="O264" s="244"/>
      <c r="P264" s="243">
        <v>45880</v>
      </c>
      <c r="Q264" s="243">
        <v>45894</v>
      </c>
      <c r="R264" s="244"/>
      <c r="S264" s="242">
        <v>10</v>
      </c>
      <c r="T264" s="242">
        <v>10</v>
      </c>
      <c r="U264" s="242">
        <v>10</v>
      </c>
      <c r="V264" s="242">
        <v>10</v>
      </c>
      <c r="W264" s="243"/>
      <c r="X264" s="243"/>
      <c r="Y264" s="251"/>
      <c r="Z264" s="252">
        <v>0</v>
      </c>
      <c r="AA264" s="242">
        <v>1</v>
      </c>
      <c r="AB264" s="246"/>
      <c r="AC264" s="263"/>
      <c r="AD264" s="240">
        <v>1</v>
      </c>
      <c r="AE264" s="304">
        <v>1</v>
      </c>
      <c r="AF264" s="296"/>
      <c r="AG264" s="297"/>
      <c r="AH264" s="297"/>
      <c r="AI264" s="297"/>
      <c r="AJ264" s="297"/>
      <c r="AK264" s="297"/>
      <c r="AL264" s="297"/>
      <c r="AM264" s="297"/>
      <c r="AN264" s="297"/>
      <c r="AO264" s="297"/>
      <c r="AP264" s="297"/>
      <c r="AQ264" s="297"/>
      <c r="AR264" s="297"/>
      <c r="AS264" s="297"/>
      <c r="AT264" s="297"/>
      <c r="AU264" s="297"/>
      <c r="AV264" s="297"/>
      <c r="AW264" s="297"/>
      <c r="AX264" s="297"/>
      <c r="AY264" s="297"/>
      <c r="AZ264" s="297"/>
      <c r="BA264" s="297"/>
      <c r="BB264" s="297"/>
      <c r="BC264" s="297"/>
      <c r="BD264" s="297"/>
      <c r="BE264" s="297"/>
      <c r="BF264" s="297"/>
      <c r="BG264" s="297" t="str">
        <f>"  " &amp; TEXT(AE264,"#0.00%") &amp; " " &amp; "데이터 이관 테스트 진행" &amp; " " &amp; IF(P264="","",TEXT(P264,"M/D-")) &amp; IF(Q264="","",TEXT(Q264,"M/D")) &amp; " "</f>
        <v xml:space="preserve">  100.00% 데이터 이관 테스트 진행 8/11-8/25 </v>
      </c>
      <c r="BH264" s="297"/>
      <c r="BI264" s="297"/>
      <c r="BJ264" s="297"/>
      <c r="BK264" s="297"/>
      <c r="BL264" s="297"/>
      <c r="BM264" s="297"/>
      <c r="BN264" s="297"/>
      <c r="BO264" s="297"/>
      <c r="BP264" s="297"/>
      <c r="BQ264" s="297"/>
      <c r="BR264" s="297"/>
      <c r="BS264" s="297"/>
      <c r="BT264" s="297"/>
      <c r="BU264" s="297"/>
      <c r="BV264" s="297"/>
      <c r="BW264" s="297"/>
      <c r="BX264" s="297"/>
      <c r="BY264" s="297"/>
      <c r="BZ264" s="297"/>
      <c r="CA264" s="297"/>
      <c r="CB264" s="297"/>
      <c r="CC264" s="297"/>
      <c r="CD264" s="297"/>
      <c r="CE264" s="297"/>
      <c r="CF264" s="297"/>
      <c r="CG264" s="297"/>
    </row>
    <row r="265" spans="1:85" ht="12" customHeight="1" outlineLevel="4">
      <c r="A265" s="288"/>
      <c r="B265" s="288"/>
      <c r="C265" s="288">
        <v>5</v>
      </c>
      <c r="D265" s="291" t="s">
        <v>2526</v>
      </c>
      <c r="E265" s="246"/>
      <c r="F265" s="246"/>
      <c r="G265" s="246"/>
      <c r="H265" s="244"/>
      <c r="I265" s="244" t="s">
        <v>2514</v>
      </c>
      <c r="J265" s="244"/>
      <c r="K265" s="244"/>
      <c r="L265" s="244"/>
      <c r="M265" s="244"/>
      <c r="N265" s="244"/>
      <c r="O265" s="244"/>
      <c r="P265" s="243">
        <v>45880</v>
      </c>
      <c r="Q265" s="243">
        <v>45894</v>
      </c>
      <c r="R265" s="246"/>
      <c r="S265" s="247">
        <v>10</v>
      </c>
      <c r="T265" s="247">
        <v>10</v>
      </c>
      <c r="U265" s="247">
        <v>10</v>
      </c>
      <c r="V265" s="247">
        <v>10</v>
      </c>
      <c r="W265" s="248"/>
      <c r="X265" s="248"/>
      <c r="Y265" s="265"/>
      <c r="Z265" s="266">
        <v>0</v>
      </c>
      <c r="AA265" s="247">
        <v>1</v>
      </c>
      <c r="AB265" s="246"/>
      <c r="AC265" s="263"/>
      <c r="AD265" s="240">
        <v>1</v>
      </c>
      <c r="AE265" s="304">
        <v>1</v>
      </c>
      <c r="AF265" s="296"/>
      <c r="AG265" s="297"/>
      <c r="AH265" s="297"/>
      <c r="AI265" s="297"/>
      <c r="AJ265" s="297"/>
      <c r="AK265" s="297"/>
      <c r="AL265" s="297"/>
      <c r="AM265" s="297"/>
      <c r="AN265" s="297"/>
      <c r="AO265" s="297"/>
      <c r="AP265" s="297"/>
      <c r="AQ265" s="297"/>
      <c r="AR265" s="297"/>
      <c r="AS265" s="297"/>
      <c r="AT265" s="297"/>
      <c r="AU265" s="297"/>
      <c r="AV265" s="297"/>
      <c r="AW265" s="297"/>
      <c r="AX265" s="297"/>
      <c r="AY265" s="297"/>
      <c r="AZ265" s="297"/>
      <c r="BA265" s="297"/>
      <c r="BB265" s="297"/>
      <c r="BC265" s="297"/>
      <c r="BD265" s="297"/>
      <c r="BE265" s="297"/>
      <c r="BF265" s="297"/>
      <c r="BG265" s="297" t="str">
        <f>"  " &amp; TEXT(AE265,"#0.00%") &amp; " " &amp; "데이터 이행 작업 진행" &amp; " " &amp; IF(P265="","",TEXT(P265,"M/D-")) &amp; IF(Q265="","",TEXT(Q265,"M/D")) &amp; " "</f>
        <v xml:space="preserve">  100.00% 데이터 이행 작업 진행 8/11-8/25 </v>
      </c>
      <c r="BH265" s="297"/>
      <c r="BI265" s="297"/>
      <c r="BJ265" s="297"/>
      <c r="BK265" s="297"/>
      <c r="BL265" s="297"/>
      <c r="BM265" s="297"/>
      <c r="BN265" s="297"/>
      <c r="BO265" s="297"/>
      <c r="BP265" s="297"/>
      <c r="BQ265" s="297"/>
      <c r="BR265" s="297"/>
      <c r="BS265" s="297"/>
      <c r="BT265" s="297"/>
      <c r="BU265" s="297"/>
      <c r="BV265" s="297"/>
      <c r="BW265" s="297"/>
      <c r="BX265" s="297"/>
      <c r="BY265" s="297"/>
      <c r="BZ265" s="297"/>
      <c r="CA265" s="297"/>
      <c r="CB265" s="297"/>
      <c r="CC265" s="297"/>
      <c r="CD265" s="297"/>
      <c r="CE265" s="297"/>
      <c r="CF265" s="297"/>
      <c r="CG265" s="297"/>
    </row>
    <row r="266" spans="1:85" ht="12" customHeight="1" outlineLevel="4">
      <c r="A266" s="288"/>
      <c r="B266" s="288"/>
      <c r="C266" s="288">
        <v>5</v>
      </c>
      <c r="D266" s="291" t="s">
        <v>2527</v>
      </c>
      <c r="E266" s="246"/>
      <c r="F266" s="246"/>
      <c r="G266" s="246"/>
      <c r="H266" s="244"/>
      <c r="I266" s="244" t="s">
        <v>2515</v>
      </c>
      <c r="J266" s="244"/>
      <c r="K266" s="244"/>
      <c r="L266" s="244"/>
      <c r="M266" s="244"/>
      <c r="N266" s="244"/>
      <c r="O266" s="244" t="s">
        <v>2516</v>
      </c>
      <c r="P266" s="243">
        <v>45897</v>
      </c>
      <c r="Q266" s="243">
        <v>45901</v>
      </c>
      <c r="R266" s="246"/>
      <c r="S266" s="247">
        <v>3</v>
      </c>
      <c r="T266" s="247">
        <v>3</v>
      </c>
      <c r="U266" s="247">
        <v>3</v>
      </c>
      <c r="V266" s="247">
        <v>3</v>
      </c>
      <c r="W266" s="248"/>
      <c r="X266" s="248"/>
      <c r="Y266" s="265"/>
      <c r="Z266" s="266">
        <v>0</v>
      </c>
      <c r="AA266" s="247">
        <v>1</v>
      </c>
      <c r="AB266" s="246"/>
      <c r="AC266" s="263"/>
      <c r="AD266" s="240">
        <v>1</v>
      </c>
      <c r="AE266" s="330">
        <v>1</v>
      </c>
      <c r="AF266" s="296"/>
      <c r="AG266" s="297"/>
      <c r="AH266" s="297"/>
      <c r="AI266" s="297"/>
      <c r="AJ266" s="297"/>
      <c r="AK266" s="297"/>
      <c r="AL266" s="297"/>
      <c r="AM266" s="297"/>
      <c r="AN266" s="297"/>
      <c r="AO266" s="297"/>
      <c r="AP266" s="297"/>
      <c r="AQ266" s="297"/>
      <c r="AR266" s="297"/>
      <c r="AS266" s="297"/>
      <c r="AT266" s="297"/>
      <c r="AU266" s="297"/>
      <c r="AV266" s="297"/>
      <c r="AW266" s="297"/>
      <c r="AX266" s="297"/>
      <c r="AY266" s="297"/>
      <c r="AZ266" s="297"/>
      <c r="BA266" s="297"/>
      <c r="BB266" s="297"/>
      <c r="BC266" s="297"/>
      <c r="BD266" s="297"/>
      <c r="BE266" s="297"/>
      <c r="BF266" s="297"/>
      <c r="BG266" s="297"/>
      <c r="BH266" s="297" t="str">
        <f>"  " &amp; TEXT(AE266,"#0.00%") &amp; " " &amp; "데이터 이관 검토 및 확인" &amp; " " &amp; IF(P266="","",TEXT(P266,"M/D-")) &amp; IF(Q266="","",TEXT(Q266,"M/D")) &amp; " "</f>
        <v xml:space="preserve">  100.00% 데이터 이관 검토 및 확인 8/28-9/1 </v>
      </c>
      <c r="BI266" s="297"/>
      <c r="BJ266" s="297"/>
      <c r="BK266" s="297"/>
      <c r="BL266" s="297"/>
      <c r="BM266" s="297"/>
      <c r="BN266" s="297"/>
      <c r="BO266" s="297"/>
      <c r="BP266" s="297"/>
      <c r="BQ266" s="297"/>
      <c r="BR266" s="297"/>
      <c r="BS266" s="297"/>
      <c r="BT266" s="297"/>
      <c r="BU266" s="297"/>
      <c r="BV266" s="297"/>
      <c r="BW266" s="297"/>
      <c r="BX266" s="297"/>
      <c r="BY266" s="297"/>
      <c r="BZ266" s="297"/>
      <c r="CA266" s="297"/>
      <c r="CB266" s="297"/>
      <c r="CC266" s="297"/>
      <c r="CD266" s="297"/>
      <c r="CE266" s="297"/>
      <c r="CF266" s="297"/>
      <c r="CG266" s="297"/>
    </row>
    <row r="267" spans="1:85" ht="12" customHeight="1" outlineLevel="3">
      <c r="A267" s="288"/>
      <c r="B267" s="288" t="s">
        <v>2334</v>
      </c>
      <c r="C267" s="288">
        <v>4</v>
      </c>
      <c r="D267" s="291" t="s">
        <v>2528</v>
      </c>
      <c r="E267" s="246"/>
      <c r="F267" s="246"/>
      <c r="G267" s="246"/>
      <c r="H267" s="244" t="s">
        <v>2539</v>
      </c>
      <c r="I267" s="244"/>
      <c r="J267" s="244"/>
      <c r="K267" s="244"/>
      <c r="L267" s="244"/>
      <c r="M267" s="244"/>
      <c r="N267" s="244"/>
      <c r="O267" s="244"/>
      <c r="P267" s="243">
        <v>45895</v>
      </c>
      <c r="Q267" s="243">
        <v>45896</v>
      </c>
      <c r="R267" s="246"/>
      <c r="S267" s="247">
        <v>4</v>
      </c>
      <c r="T267" s="247">
        <v>4</v>
      </c>
      <c r="U267" s="247">
        <v>2</v>
      </c>
      <c r="V267" s="247">
        <v>2</v>
      </c>
      <c r="W267" s="248"/>
      <c r="X267" s="248"/>
      <c r="Y267" s="265">
        <v>0</v>
      </c>
      <c r="Z267" s="266">
        <v>0</v>
      </c>
      <c r="AA267" s="247"/>
      <c r="AB267" s="246"/>
      <c r="AC267" s="263"/>
      <c r="AD267" s="240">
        <v>1</v>
      </c>
      <c r="AE267" s="241">
        <v>1</v>
      </c>
      <c r="AF267" s="296"/>
      <c r="AG267" s="297"/>
      <c r="AH267" s="297"/>
      <c r="AI267" s="297"/>
      <c r="AJ267" s="297"/>
      <c r="AK267" s="297"/>
      <c r="AL267" s="297"/>
      <c r="AM267" s="297"/>
      <c r="AN267" s="297"/>
      <c r="AO267" s="297"/>
      <c r="AP267" s="297"/>
      <c r="AQ267" s="297"/>
      <c r="AR267" s="297"/>
      <c r="AS267" s="297"/>
      <c r="AT267" s="297"/>
      <c r="AU267" s="297"/>
      <c r="AV267" s="297"/>
      <c r="AW267" s="297"/>
      <c r="AX267" s="297"/>
      <c r="AY267" s="297"/>
      <c r="AZ267" s="297"/>
      <c r="BA267" s="297"/>
      <c r="BB267" s="297"/>
      <c r="BC267" s="297"/>
      <c r="BD267" s="297"/>
      <c r="BE267" s="297"/>
      <c r="BF267" s="297"/>
      <c r="BG267" s="297" t="str">
        <f>"    " &amp; TEXT(AE267,"#0.00%") &amp; " " &amp; "3차 통합테스트 DB 준비" &amp; " " &amp; IF(P267="","",TEXT(P267,"M/D-")) &amp; IF(Q267="","",TEXT(Q267,"M/D")) &amp; " "</f>
        <v xml:space="preserve">    100.00% 3차 통합테스트 DB 준비 8/26-8/27 </v>
      </c>
      <c r="BH267" s="297"/>
      <c r="BI267" s="297"/>
      <c r="BJ267" s="297"/>
      <c r="BK267" s="297"/>
      <c r="BL267" s="297"/>
      <c r="BM267" s="297"/>
      <c r="BN267" s="297"/>
      <c r="BO267" s="297"/>
      <c r="BP267" s="297"/>
      <c r="BQ267" s="297"/>
      <c r="BR267" s="297"/>
      <c r="BS267" s="297"/>
      <c r="BT267" s="297"/>
      <c r="BU267" s="297"/>
      <c r="BV267" s="297"/>
      <c r="BW267" s="297"/>
      <c r="BX267" s="297"/>
      <c r="BY267" s="297"/>
      <c r="BZ267" s="297"/>
      <c r="CA267" s="297"/>
      <c r="CB267" s="297"/>
      <c r="CC267" s="297"/>
      <c r="CD267" s="297"/>
      <c r="CE267" s="297"/>
      <c r="CF267" s="297"/>
      <c r="CG267" s="297"/>
    </row>
    <row r="268" spans="1:85" ht="12" customHeight="1" outlineLevel="4">
      <c r="A268" s="288"/>
      <c r="B268" s="288"/>
      <c r="C268" s="288">
        <v>5</v>
      </c>
      <c r="D268" s="291" t="s">
        <v>2529</v>
      </c>
      <c r="E268" s="246"/>
      <c r="F268" s="246"/>
      <c r="G268" s="246"/>
      <c r="H268" s="244"/>
      <c r="I268" s="244" t="s">
        <v>2503</v>
      </c>
      <c r="J268" s="244"/>
      <c r="K268" s="244"/>
      <c r="L268" s="244"/>
      <c r="M268" s="244"/>
      <c r="N268" s="244"/>
      <c r="O268" s="244"/>
      <c r="P268" s="243">
        <v>45895</v>
      </c>
      <c r="Q268" s="243">
        <v>45896</v>
      </c>
      <c r="R268" s="246"/>
      <c r="S268" s="247">
        <v>2</v>
      </c>
      <c r="T268" s="247">
        <v>2</v>
      </c>
      <c r="U268" s="247">
        <v>2</v>
      </c>
      <c r="V268" s="247">
        <v>2</v>
      </c>
      <c r="W268" s="248"/>
      <c r="X268" s="248"/>
      <c r="Y268" s="265"/>
      <c r="Z268" s="266">
        <v>0</v>
      </c>
      <c r="AA268" s="247">
        <v>1</v>
      </c>
      <c r="AB268" s="246"/>
      <c r="AC268" s="263"/>
      <c r="AD268" s="240">
        <v>1</v>
      </c>
      <c r="AE268" s="330">
        <v>1</v>
      </c>
      <c r="AF268" s="296"/>
      <c r="AG268" s="297"/>
      <c r="AH268" s="297"/>
      <c r="AI268" s="297"/>
      <c r="AJ268" s="297"/>
      <c r="AK268" s="297"/>
      <c r="AL268" s="297"/>
      <c r="AM268" s="297"/>
      <c r="AN268" s="297"/>
      <c r="AO268" s="297"/>
      <c r="AP268" s="297"/>
      <c r="AQ268" s="297"/>
      <c r="AR268" s="297"/>
      <c r="AS268" s="297"/>
      <c r="AT268" s="297"/>
      <c r="AU268" s="297"/>
      <c r="AV268" s="297"/>
      <c r="AW268" s="297"/>
      <c r="AX268" s="297"/>
      <c r="AY268" s="297"/>
      <c r="AZ268" s="297"/>
      <c r="BA268" s="297"/>
      <c r="BB268" s="297"/>
      <c r="BC268" s="297"/>
      <c r="BD268" s="297"/>
      <c r="BE268" s="297"/>
      <c r="BF268" s="297"/>
      <c r="BG268" s="297" t="str">
        <f>"    " &amp; TEXT(AE268,"#0.00%") &amp; " " &amp; "통합 테스트 DB 환경 준비" &amp; " " &amp; IF(P268="","",TEXT(P268,"M/D-")) &amp; IF(Q268="","",TEXT(Q268,"M/D")) &amp; " "</f>
        <v xml:space="preserve">    100.00% 통합 테스트 DB 환경 준비 8/26-8/27 </v>
      </c>
      <c r="BH268" s="297"/>
      <c r="BI268" s="297"/>
      <c r="BJ268" s="297"/>
      <c r="BK268" s="297"/>
      <c r="BL268" s="297"/>
      <c r="BM268" s="297"/>
      <c r="BN268" s="297"/>
      <c r="BO268" s="297"/>
      <c r="BP268" s="297"/>
      <c r="BQ268" s="297"/>
      <c r="BR268" s="297"/>
      <c r="BS268" s="297"/>
      <c r="BT268" s="297"/>
      <c r="BU268" s="297"/>
      <c r="BV268" s="297"/>
      <c r="BW268" s="297"/>
      <c r="BX268" s="297"/>
      <c r="BY268" s="297"/>
      <c r="BZ268" s="297"/>
      <c r="CA268" s="297"/>
      <c r="CB268" s="297"/>
      <c r="CC268" s="297"/>
      <c r="CD268" s="297"/>
      <c r="CE268" s="297"/>
      <c r="CF268" s="297"/>
      <c r="CG268" s="297"/>
    </row>
    <row r="269" spans="1:85" ht="12" customHeight="1" outlineLevel="4">
      <c r="A269" s="288"/>
      <c r="B269" s="288"/>
      <c r="C269" s="288">
        <v>5</v>
      </c>
      <c r="D269" s="291" t="s">
        <v>2532</v>
      </c>
      <c r="E269" s="246"/>
      <c r="F269" s="246"/>
      <c r="G269" s="246"/>
      <c r="H269" s="244"/>
      <c r="I269" s="244" t="s">
        <v>2504</v>
      </c>
      <c r="J269" s="244"/>
      <c r="K269" s="244"/>
      <c r="L269" s="244"/>
      <c r="M269" s="244"/>
      <c r="N269" s="244"/>
      <c r="O269" s="244"/>
      <c r="P269" s="243">
        <v>45895</v>
      </c>
      <c r="Q269" s="243">
        <v>45896</v>
      </c>
      <c r="R269" s="246"/>
      <c r="S269" s="247">
        <v>2</v>
      </c>
      <c r="T269" s="247">
        <v>2</v>
      </c>
      <c r="U269" s="247">
        <v>2</v>
      </c>
      <c r="V269" s="247">
        <v>2</v>
      </c>
      <c r="W269" s="248"/>
      <c r="X269" s="248"/>
      <c r="Y269" s="265"/>
      <c r="Z269" s="266">
        <v>0</v>
      </c>
      <c r="AA269" s="247">
        <v>1</v>
      </c>
      <c r="AB269" s="246"/>
      <c r="AC269" s="263"/>
      <c r="AD269" s="240">
        <v>1</v>
      </c>
      <c r="AE269" s="330">
        <v>1</v>
      </c>
      <c r="AF269" s="296"/>
      <c r="AG269" s="297"/>
      <c r="AH269" s="297"/>
      <c r="AI269" s="297"/>
      <c r="AJ269" s="297"/>
      <c r="AK269" s="297"/>
      <c r="AL269" s="297"/>
      <c r="AM269" s="297"/>
      <c r="AN269" s="297"/>
      <c r="AO269" s="297"/>
      <c r="AP269" s="297"/>
      <c r="AQ269" s="297"/>
      <c r="AR269" s="297"/>
      <c r="AS269" s="297"/>
      <c r="AT269" s="297"/>
      <c r="AU269" s="297"/>
      <c r="AV269" s="297"/>
      <c r="AW269" s="297"/>
      <c r="AX269" s="297"/>
      <c r="AY269" s="297"/>
      <c r="AZ269" s="297"/>
      <c r="BA269" s="297"/>
      <c r="BB269" s="297"/>
      <c r="BC269" s="297"/>
      <c r="BD269" s="297"/>
      <c r="BE269" s="297"/>
      <c r="BF269" s="297"/>
      <c r="BG269" s="297" t="str">
        <f>"    " &amp; TEXT(AE269,"#0.00%") &amp; " " &amp; "테스트 데이터 이관 및 검증" &amp; " " &amp; IF(P269="","",TEXT(P269,"M/D-")) &amp; IF(Q269="","",TEXT(Q269,"M/D")) &amp; " "</f>
        <v xml:space="preserve">    100.00% 테스트 데이터 이관 및 검증 8/26-8/27 </v>
      </c>
      <c r="BH269" s="297"/>
      <c r="BI269" s="297"/>
      <c r="BJ269" s="297"/>
      <c r="BK269" s="297"/>
      <c r="BL269" s="297"/>
      <c r="BM269" s="297"/>
      <c r="BN269" s="297"/>
      <c r="BO269" s="297"/>
      <c r="BP269" s="297"/>
      <c r="BQ269" s="297"/>
      <c r="BR269" s="297"/>
      <c r="BS269" s="297"/>
      <c r="BT269" s="297"/>
      <c r="BU269" s="297"/>
      <c r="BV269" s="297"/>
      <c r="BW269" s="297"/>
      <c r="BX269" s="297"/>
      <c r="BY269" s="297"/>
      <c r="BZ269" s="297"/>
      <c r="CA269" s="297"/>
      <c r="CB269" s="297"/>
      <c r="CC269" s="297"/>
      <c r="CD269" s="297"/>
      <c r="CE269" s="297"/>
      <c r="CF269" s="297"/>
      <c r="CG269" s="297"/>
    </row>
    <row r="270" spans="1:85" ht="12" customHeight="1" outlineLevel="3">
      <c r="A270" s="288"/>
      <c r="B270" s="288" t="s">
        <v>2334</v>
      </c>
      <c r="C270" s="288">
        <v>4</v>
      </c>
      <c r="D270" s="291" t="s">
        <v>2533</v>
      </c>
      <c r="E270" s="246"/>
      <c r="F270" s="246"/>
      <c r="G270" s="246"/>
      <c r="H270" s="244" t="s">
        <v>2567</v>
      </c>
      <c r="I270" s="244"/>
      <c r="J270" s="244"/>
      <c r="K270" s="244"/>
      <c r="L270" s="244"/>
      <c r="M270" s="244"/>
      <c r="N270" s="244"/>
      <c r="O270" s="244"/>
      <c r="P270" s="243">
        <v>45897</v>
      </c>
      <c r="Q270" s="243">
        <v>45901</v>
      </c>
      <c r="R270" s="246"/>
      <c r="S270" s="247">
        <v>9</v>
      </c>
      <c r="T270" s="247">
        <v>9</v>
      </c>
      <c r="U270" s="247">
        <v>3</v>
      </c>
      <c r="V270" s="247">
        <v>3</v>
      </c>
      <c r="W270" s="248"/>
      <c r="X270" s="248"/>
      <c r="Y270" s="265">
        <v>0</v>
      </c>
      <c r="Z270" s="266">
        <v>0</v>
      </c>
      <c r="AA270" s="247"/>
      <c r="AB270" s="246"/>
      <c r="AC270" s="263"/>
      <c r="AD270" s="240">
        <v>1</v>
      </c>
      <c r="AE270" s="241">
        <v>1</v>
      </c>
      <c r="AF270" s="296"/>
      <c r="AG270" s="297"/>
      <c r="AH270" s="297"/>
      <c r="AI270" s="297"/>
      <c r="AJ270" s="297"/>
      <c r="AK270" s="297"/>
      <c r="AL270" s="297"/>
      <c r="AM270" s="297"/>
      <c r="AN270" s="297"/>
      <c r="AO270" s="297"/>
      <c r="AP270" s="297"/>
      <c r="AQ270" s="297"/>
      <c r="AR270" s="297"/>
      <c r="AS270" s="297"/>
      <c r="AT270" s="297"/>
      <c r="AU270" s="297"/>
      <c r="AV270" s="297"/>
      <c r="AW270" s="297"/>
      <c r="AX270" s="297"/>
      <c r="AY270" s="297"/>
      <c r="AZ270" s="297"/>
      <c r="BA270" s="297"/>
      <c r="BB270" s="297"/>
      <c r="BC270" s="297"/>
      <c r="BD270" s="297"/>
      <c r="BE270" s="297"/>
      <c r="BF270" s="297"/>
      <c r="BG270" s="297"/>
      <c r="BH270" s="297" t="str">
        <f>"  " &amp; TEXT(AE270,"#0.00%") &amp; " " &amp; "1차 오픈 작업" &amp; " " &amp; IF(P270="","",TEXT(P270,"M/D-")) &amp; IF(Q270="","",TEXT(Q270,"M/D")) &amp; " "</f>
        <v xml:space="preserve">  100.00% 1차 오픈 작업 8/28-9/1 </v>
      </c>
      <c r="BI270" s="297"/>
      <c r="BJ270" s="297"/>
      <c r="BK270" s="297"/>
      <c r="BL270" s="297"/>
      <c r="BM270" s="297"/>
      <c r="BN270" s="297"/>
      <c r="BO270" s="297"/>
      <c r="BP270" s="297"/>
      <c r="BQ270" s="297"/>
      <c r="BR270" s="297"/>
      <c r="BS270" s="297"/>
      <c r="BT270" s="297"/>
      <c r="BU270" s="297"/>
      <c r="BV270" s="297"/>
      <c r="BW270" s="297"/>
      <c r="BX270" s="297"/>
      <c r="BY270" s="297"/>
      <c r="BZ270" s="297"/>
      <c r="CA270" s="297"/>
      <c r="CB270" s="297"/>
      <c r="CC270" s="297"/>
      <c r="CD270" s="297"/>
      <c r="CE270" s="297"/>
      <c r="CF270" s="297"/>
      <c r="CG270" s="297"/>
    </row>
    <row r="271" spans="1:85" ht="12" customHeight="1" outlineLevel="4">
      <c r="A271" s="288"/>
      <c r="B271" s="288"/>
      <c r="C271" s="288">
        <v>5</v>
      </c>
      <c r="D271" s="291" t="s">
        <v>2534</v>
      </c>
      <c r="E271" s="246"/>
      <c r="F271" s="246"/>
      <c r="G271" s="246"/>
      <c r="H271" s="244"/>
      <c r="I271" s="244" t="s">
        <v>2530</v>
      </c>
      <c r="J271" s="244"/>
      <c r="K271" s="244"/>
      <c r="L271" s="244"/>
      <c r="M271" s="244"/>
      <c r="N271" s="244"/>
      <c r="O271" s="244"/>
      <c r="P271" s="243">
        <v>45897</v>
      </c>
      <c r="Q271" s="243">
        <v>45901</v>
      </c>
      <c r="R271" s="246"/>
      <c r="S271" s="247">
        <v>3</v>
      </c>
      <c r="T271" s="247">
        <v>3</v>
      </c>
      <c r="U271" s="247">
        <v>3</v>
      </c>
      <c r="V271" s="247">
        <v>3</v>
      </c>
      <c r="W271" s="248"/>
      <c r="X271" s="248"/>
      <c r="Y271" s="265"/>
      <c r="Z271" s="266">
        <v>0</v>
      </c>
      <c r="AA271" s="247">
        <v>1</v>
      </c>
      <c r="AB271" s="246"/>
      <c r="AC271" s="263"/>
      <c r="AD271" s="240">
        <v>1</v>
      </c>
      <c r="AE271" s="330">
        <v>1</v>
      </c>
      <c r="AF271" s="296"/>
      <c r="AG271" s="297"/>
      <c r="AH271" s="297"/>
      <c r="AI271" s="297"/>
      <c r="AJ271" s="297"/>
      <c r="AK271" s="297"/>
      <c r="AL271" s="297"/>
      <c r="AM271" s="297"/>
      <c r="AN271" s="297"/>
      <c r="AO271" s="297"/>
      <c r="AP271" s="297"/>
      <c r="AQ271" s="297"/>
      <c r="AR271" s="297"/>
      <c r="AS271" s="297"/>
      <c r="AT271" s="297"/>
      <c r="AU271" s="297"/>
      <c r="AV271" s="297"/>
      <c r="AW271" s="297"/>
      <c r="AX271" s="297"/>
      <c r="AY271" s="297"/>
      <c r="AZ271" s="297"/>
      <c r="BA271" s="297"/>
      <c r="BB271" s="297"/>
      <c r="BC271" s="297"/>
      <c r="BD271" s="297"/>
      <c r="BE271" s="297"/>
      <c r="BF271" s="297"/>
      <c r="BG271" s="297"/>
      <c r="BH271" s="297" t="str">
        <f>"  " &amp; TEXT(AE271,"#0.00%") &amp; " " &amp; "오픈 관련 DB 작업 진행" &amp; " " &amp; IF(P271="","",TEXT(P271,"M/D-")) &amp; IF(Q271="","",TEXT(Q271,"M/D")) &amp; " "</f>
        <v xml:space="preserve">  100.00% 오픈 관련 DB 작업 진행 8/28-9/1 </v>
      </c>
      <c r="BI271" s="297"/>
      <c r="BJ271" s="297"/>
      <c r="BK271" s="297"/>
      <c r="BL271" s="297"/>
      <c r="BM271" s="297"/>
      <c r="BN271" s="297"/>
      <c r="BO271" s="297"/>
      <c r="BP271" s="297"/>
      <c r="BQ271" s="297"/>
      <c r="BR271" s="297"/>
      <c r="BS271" s="297"/>
      <c r="BT271" s="297"/>
      <c r="BU271" s="297"/>
      <c r="BV271" s="297"/>
      <c r="BW271" s="297"/>
      <c r="BX271" s="297"/>
      <c r="BY271" s="297"/>
      <c r="BZ271" s="297"/>
      <c r="CA271" s="297"/>
      <c r="CB271" s="297"/>
      <c r="CC271" s="297"/>
      <c r="CD271" s="297"/>
      <c r="CE271" s="297"/>
      <c r="CF271" s="297"/>
      <c r="CG271" s="297"/>
    </row>
    <row r="272" spans="1:85" ht="12" customHeight="1" outlineLevel="4">
      <c r="A272" s="288"/>
      <c r="B272" s="288"/>
      <c r="C272" s="288">
        <v>5</v>
      </c>
      <c r="D272" s="291" t="s">
        <v>2535</v>
      </c>
      <c r="E272" s="246"/>
      <c r="F272" s="246"/>
      <c r="G272" s="246"/>
      <c r="H272" s="244"/>
      <c r="I272" s="244" t="s">
        <v>2241</v>
      </c>
      <c r="J272" s="244"/>
      <c r="K272" s="244"/>
      <c r="L272" s="244"/>
      <c r="M272" s="244"/>
      <c r="N272" s="244"/>
      <c r="O272" s="244"/>
      <c r="P272" s="243">
        <v>45897</v>
      </c>
      <c r="Q272" s="243">
        <v>45901</v>
      </c>
      <c r="R272" s="246"/>
      <c r="S272" s="247">
        <v>3</v>
      </c>
      <c r="T272" s="247">
        <v>3</v>
      </c>
      <c r="U272" s="247">
        <v>3</v>
      </c>
      <c r="V272" s="247">
        <v>3</v>
      </c>
      <c r="W272" s="248"/>
      <c r="X272" s="248"/>
      <c r="Y272" s="265"/>
      <c r="Z272" s="266">
        <v>0</v>
      </c>
      <c r="AA272" s="247">
        <v>1</v>
      </c>
      <c r="AB272" s="246"/>
      <c r="AC272" s="263"/>
      <c r="AD272" s="240">
        <v>1</v>
      </c>
      <c r="AE272" s="330">
        <v>1</v>
      </c>
      <c r="AF272" s="296"/>
      <c r="AG272" s="297"/>
      <c r="AH272" s="297"/>
      <c r="AI272" s="297"/>
      <c r="AJ272" s="297"/>
      <c r="AK272" s="297"/>
      <c r="AL272" s="297"/>
      <c r="AM272" s="297"/>
      <c r="AN272" s="297"/>
      <c r="AO272" s="297"/>
      <c r="AP272" s="297"/>
      <c r="AQ272" s="297"/>
      <c r="AR272" s="297"/>
      <c r="AS272" s="297"/>
      <c r="AT272" s="297"/>
      <c r="AU272" s="297"/>
      <c r="AV272" s="297"/>
      <c r="AW272" s="297"/>
      <c r="AX272" s="297"/>
      <c r="AY272" s="297"/>
      <c r="AZ272" s="297"/>
      <c r="BA272" s="297"/>
      <c r="BB272" s="297"/>
      <c r="BC272" s="297"/>
      <c r="BD272" s="297"/>
      <c r="BE272" s="297"/>
      <c r="BF272" s="297"/>
      <c r="BG272" s="297"/>
      <c r="BH272" s="297" t="str">
        <f>"  " &amp; TEXT(AE272,"#0.00%") &amp; " " &amp; "파티션 자동관리 배치 수정 및 적용" &amp; " " &amp; IF(P272="","",TEXT(P272,"M/D-")) &amp; IF(Q272="","",TEXT(Q272,"M/D")) &amp; " "</f>
        <v xml:space="preserve">  100.00% 파티션 자동관리 배치 수정 및 적용 8/28-9/1 </v>
      </c>
      <c r="BI272" s="297"/>
      <c r="BJ272" s="297"/>
      <c r="BK272" s="297"/>
      <c r="BL272" s="297"/>
      <c r="BM272" s="297"/>
      <c r="BN272" s="297"/>
      <c r="BO272" s="297"/>
      <c r="BP272" s="297"/>
      <c r="BQ272" s="297"/>
      <c r="BR272" s="297"/>
      <c r="BS272" s="297"/>
      <c r="BT272" s="297"/>
      <c r="BU272" s="297"/>
      <c r="BV272" s="297"/>
      <c r="BW272" s="297"/>
      <c r="BX272" s="297"/>
      <c r="BY272" s="297"/>
      <c r="BZ272" s="297"/>
      <c r="CA272" s="297"/>
      <c r="CB272" s="297"/>
      <c r="CC272" s="297"/>
      <c r="CD272" s="297"/>
      <c r="CE272" s="297"/>
      <c r="CF272" s="297"/>
      <c r="CG272" s="297"/>
    </row>
    <row r="273" spans="1:85" ht="12" customHeight="1" outlineLevel="4">
      <c r="A273" s="288"/>
      <c r="B273" s="288"/>
      <c r="C273" s="288">
        <v>5</v>
      </c>
      <c r="D273" s="291" t="s">
        <v>2536</v>
      </c>
      <c r="E273" s="246"/>
      <c r="F273" s="246"/>
      <c r="G273" s="246"/>
      <c r="H273" s="244"/>
      <c r="I273" s="244" t="s">
        <v>2531</v>
      </c>
      <c r="J273" s="244"/>
      <c r="K273" s="244"/>
      <c r="L273" s="244"/>
      <c r="M273" s="244"/>
      <c r="N273" s="244"/>
      <c r="O273" s="244"/>
      <c r="P273" s="243">
        <v>45897</v>
      </c>
      <c r="Q273" s="243">
        <v>45901</v>
      </c>
      <c r="R273" s="246"/>
      <c r="S273" s="247">
        <v>3</v>
      </c>
      <c r="T273" s="247">
        <v>3</v>
      </c>
      <c r="U273" s="247">
        <v>3</v>
      </c>
      <c r="V273" s="247">
        <v>3</v>
      </c>
      <c r="W273" s="248"/>
      <c r="X273" s="248"/>
      <c r="Y273" s="265"/>
      <c r="Z273" s="266">
        <v>0</v>
      </c>
      <c r="AA273" s="247">
        <v>1</v>
      </c>
      <c r="AB273" s="246"/>
      <c r="AC273" s="263"/>
      <c r="AD273" s="240">
        <v>1</v>
      </c>
      <c r="AE273" s="330">
        <v>1</v>
      </c>
      <c r="AF273" s="296"/>
      <c r="AG273" s="297"/>
      <c r="AH273" s="297"/>
      <c r="AI273" s="297"/>
      <c r="AJ273" s="297"/>
      <c r="AK273" s="297"/>
      <c r="AL273" s="297"/>
      <c r="AM273" s="297"/>
      <c r="AN273" s="297"/>
      <c r="AO273" s="297"/>
      <c r="AP273" s="297"/>
      <c r="AQ273" s="297"/>
      <c r="AR273" s="297"/>
      <c r="AS273" s="297"/>
      <c r="AT273" s="297"/>
      <c r="AU273" s="297"/>
      <c r="AV273" s="297"/>
      <c r="AW273" s="297"/>
      <c r="AX273" s="297"/>
      <c r="AY273" s="297"/>
      <c r="AZ273" s="297"/>
      <c r="BA273" s="297"/>
      <c r="BB273" s="297"/>
      <c r="BC273" s="297"/>
      <c r="BD273" s="297"/>
      <c r="BE273" s="297"/>
      <c r="BF273" s="297"/>
      <c r="BG273" s="297"/>
      <c r="BH273" s="297" t="str">
        <f>"  " &amp; TEXT(AE273,"#0.00%") &amp; " " &amp; "모니터링 관련 준비 및 적용" &amp; " " &amp; IF(P273="","",TEXT(P273,"M/D-")) &amp; IF(Q273="","",TEXT(Q273,"M/D")) &amp; " "</f>
        <v xml:space="preserve">  100.00% 모니터링 관련 준비 및 적용 8/28-9/1 </v>
      </c>
      <c r="BI273" s="297"/>
      <c r="BJ273" s="297"/>
      <c r="BK273" s="297"/>
      <c r="BL273" s="297"/>
      <c r="BM273" s="297"/>
      <c r="BN273" s="297"/>
      <c r="BO273" s="297"/>
      <c r="BP273" s="297"/>
      <c r="BQ273" s="297"/>
      <c r="BR273" s="297"/>
      <c r="BS273" s="297"/>
      <c r="BT273" s="297"/>
      <c r="BU273" s="297"/>
      <c r="BV273" s="297"/>
      <c r="BW273" s="297"/>
      <c r="BX273" s="297"/>
      <c r="BY273" s="297"/>
      <c r="BZ273" s="297"/>
      <c r="CA273" s="297"/>
      <c r="CB273" s="297"/>
      <c r="CC273" s="297"/>
      <c r="CD273" s="297"/>
      <c r="CE273" s="297"/>
      <c r="CF273" s="297"/>
      <c r="CG273" s="297"/>
    </row>
    <row r="274" spans="1:85" ht="12" customHeight="1" outlineLevel="3">
      <c r="A274" s="288"/>
      <c r="B274" s="288" t="s">
        <v>2334</v>
      </c>
      <c r="C274" s="288">
        <v>4</v>
      </c>
      <c r="D274" s="291" t="s">
        <v>2537</v>
      </c>
      <c r="E274" s="246"/>
      <c r="F274" s="246"/>
      <c r="G274" s="246"/>
      <c r="H274" s="332" t="s">
        <v>2563</v>
      </c>
      <c r="I274" s="244"/>
      <c r="J274" s="244"/>
      <c r="K274" s="244"/>
      <c r="L274" s="244"/>
      <c r="M274" s="244"/>
      <c r="N274" s="244"/>
      <c r="O274" s="244"/>
      <c r="P274" s="243">
        <v>45902</v>
      </c>
      <c r="Q274" s="243">
        <v>45915</v>
      </c>
      <c r="R274" s="246"/>
      <c r="S274" s="247">
        <v>34</v>
      </c>
      <c r="T274" s="247">
        <v>34</v>
      </c>
      <c r="U274" s="247">
        <v>10</v>
      </c>
      <c r="V274" s="247">
        <v>10</v>
      </c>
      <c r="W274" s="248"/>
      <c r="X274" s="248"/>
      <c r="Y274" s="265">
        <v>0</v>
      </c>
      <c r="Z274" s="266">
        <v>0</v>
      </c>
      <c r="AA274" s="247"/>
      <c r="AB274" s="246"/>
      <c r="AC274" s="263"/>
      <c r="AD274" s="240">
        <v>1</v>
      </c>
      <c r="AE274" s="241">
        <v>1</v>
      </c>
      <c r="AF274" s="296"/>
      <c r="AG274" s="297"/>
      <c r="AH274" s="297"/>
      <c r="AI274" s="297"/>
      <c r="AJ274" s="297"/>
      <c r="AK274" s="297"/>
      <c r="AL274" s="297"/>
      <c r="AM274" s="297"/>
      <c r="AN274" s="297"/>
      <c r="AO274" s="297"/>
      <c r="AP274" s="297"/>
      <c r="AQ274" s="297"/>
      <c r="AR274" s="297"/>
      <c r="AS274" s="297"/>
      <c r="AT274" s="297"/>
      <c r="AU274" s="297"/>
      <c r="AV274" s="297"/>
      <c r="AW274" s="297"/>
      <c r="AX274" s="297"/>
      <c r="AY274" s="297"/>
      <c r="AZ274" s="297"/>
      <c r="BA274" s="297"/>
      <c r="BB274" s="297"/>
      <c r="BC274" s="297"/>
      <c r="BD274" s="297"/>
      <c r="BE274" s="297"/>
      <c r="BF274" s="297"/>
      <c r="BG274" s="297"/>
      <c r="BH274" s="297"/>
      <c r="BI274" s="297"/>
      <c r="BJ274" s="297" t="str">
        <f>"  " &amp; TEXT(AE274,"#0.00%") &amp; " " &amp; "3차 통합테스트 수행 및 DB 개선작업 " &amp; " " &amp; IF(P274="","",TEXT(P274,"M/D-")) &amp; IF(Q274="","",TEXT(Q274,"M/D")) &amp; " "</f>
        <v xml:space="preserve">  100.00% 3차 통합테스트 수행 및 DB 개선작업  9/2-9/15 </v>
      </c>
      <c r="BK274" s="297"/>
      <c r="BL274" s="297"/>
      <c r="BM274" s="297"/>
      <c r="BN274" s="297"/>
      <c r="BO274" s="297"/>
      <c r="BP274" s="297"/>
      <c r="BQ274" s="297"/>
      <c r="BR274" s="297"/>
      <c r="BS274" s="297"/>
      <c r="BT274" s="297"/>
      <c r="BU274" s="297"/>
      <c r="BV274" s="297"/>
      <c r="BW274" s="297"/>
      <c r="BX274" s="297"/>
      <c r="BY274" s="297"/>
      <c r="BZ274" s="297"/>
      <c r="CA274" s="297"/>
      <c r="CB274" s="297"/>
      <c r="CC274" s="297"/>
      <c r="CD274" s="297"/>
      <c r="CE274" s="297"/>
      <c r="CF274" s="297"/>
      <c r="CG274" s="297"/>
    </row>
    <row r="275" spans="1:85" ht="12" customHeight="1" outlineLevel="4">
      <c r="A275" s="288"/>
      <c r="B275" s="288"/>
      <c r="C275" s="288">
        <v>5</v>
      </c>
      <c r="D275" s="291" t="s">
        <v>2538</v>
      </c>
      <c r="E275" s="246"/>
      <c r="F275" s="246"/>
      <c r="G275" s="246"/>
      <c r="H275" s="244"/>
      <c r="I275" s="244" t="s">
        <v>2124</v>
      </c>
      <c r="J275" s="244"/>
      <c r="K275" s="244"/>
      <c r="L275" s="244"/>
      <c r="M275" s="244"/>
      <c r="N275" s="244"/>
      <c r="O275" s="244"/>
      <c r="P275" s="243">
        <v>45902</v>
      </c>
      <c r="Q275" s="243">
        <v>45911</v>
      </c>
      <c r="R275" s="246"/>
      <c r="S275" s="247">
        <v>8</v>
      </c>
      <c r="T275" s="247">
        <v>8</v>
      </c>
      <c r="U275" s="247">
        <v>8</v>
      </c>
      <c r="V275" s="247">
        <v>8</v>
      </c>
      <c r="W275" s="248"/>
      <c r="X275" s="248"/>
      <c r="Y275" s="265"/>
      <c r="Z275" s="266">
        <v>0</v>
      </c>
      <c r="AA275" s="247">
        <v>1</v>
      </c>
      <c r="AB275" s="246"/>
      <c r="AC275" s="263"/>
      <c r="AD275" s="240">
        <v>1</v>
      </c>
      <c r="AE275" s="330">
        <v>1</v>
      </c>
      <c r="AF275" s="296"/>
      <c r="AG275" s="297"/>
      <c r="AH275" s="297"/>
      <c r="AI275" s="297"/>
      <c r="AJ275" s="297"/>
      <c r="AK275" s="297"/>
      <c r="AL275" s="297"/>
      <c r="AM275" s="297"/>
      <c r="AN275" s="297"/>
      <c r="AO275" s="297"/>
      <c r="AP275" s="297"/>
      <c r="AQ275" s="297"/>
      <c r="AR275" s="297"/>
      <c r="AS275" s="297"/>
      <c r="AT275" s="297"/>
      <c r="AU275" s="297"/>
      <c r="AV275" s="297"/>
      <c r="AW275" s="297"/>
      <c r="AX275" s="297"/>
      <c r="AY275" s="297"/>
      <c r="AZ275" s="297"/>
      <c r="BA275" s="297"/>
      <c r="BB275" s="297"/>
      <c r="BC275" s="297"/>
      <c r="BD275" s="297"/>
      <c r="BE275" s="297"/>
      <c r="BF275" s="297"/>
      <c r="BG275" s="297"/>
      <c r="BH275" s="297"/>
      <c r="BI275" s="297" t="str">
        <f>"     " &amp; TEXT(AE275,"#0.00%") &amp; " " &amp; "인덱스 최적화" &amp; " " &amp; IF(P275="","",TEXT(P275,"M/D-")) &amp; IF(Q275="","",TEXT(Q275,"M/D")) &amp; " "</f>
        <v xml:space="preserve">     100.00% 인덱스 최적화 9/2-9/11 </v>
      </c>
      <c r="BJ275" s="297"/>
      <c r="BK275" s="297"/>
      <c r="BL275" s="297"/>
      <c r="BM275" s="297"/>
      <c r="BN275" s="297"/>
      <c r="BO275" s="297"/>
      <c r="BP275" s="297"/>
      <c r="BQ275" s="297"/>
      <c r="BR275" s="297"/>
      <c r="BS275" s="297"/>
      <c r="BT275" s="297"/>
      <c r="BU275" s="297"/>
      <c r="BV275" s="297"/>
      <c r="BW275" s="297"/>
      <c r="BX275" s="297"/>
      <c r="BY275" s="297"/>
      <c r="BZ275" s="297"/>
      <c r="CA275" s="297"/>
      <c r="CB275" s="297"/>
      <c r="CC275" s="297"/>
      <c r="CD275" s="297"/>
      <c r="CE275" s="297"/>
      <c r="CF275" s="297"/>
      <c r="CG275" s="297"/>
    </row>
    <row r="276" spans="1:85" ht="12" customHeight="1" outlineLevel="4">
      <c r="A276" s="288"/>
      <c r="B276" s="288"/>
      <c r="C276" s="288">
        <v>5</v>
      </c>
      <c r="D276" s="291" t="s">
        <v>2543</v>
      </c>
      <c r="E276" s="246"/>
      <c r="F276" s="246"/>
      <c r="G276" s="246"/>
      <c r="H276" s="244"/>
      <c r="I276" s="244" t="s">
        <v>2125</v>
      </c>
      <c r="J276" s="244"/>
      <c r="K276" s="244"/>
      <c r="L276" s="244"/>
      <c r="M276" s="244"/>
      <c r="N276" s="244"/>
      <c r="O276" s="244"/>
      <c r="P276" s="243">
        <v>45902</v>
      </c>
      <c r="Q276" s="243">
        <v>45911</v>
      </c>
      <c r="R276" s="246"/>
      <c r="S276" s="247">
        <v>8</v>
      </c>
      <c r="T276" s="247">
        <v>8</v>
      </c>
      <c r="U276" s="247">
        <v>8</v>
      </c>
      <c r="V276" s="247">
        <v>8</v>
      </c>
      <c r="W276" s="248"/>
      <c r="X276" s="248"/>
      <c r="Y276" s="265"/>
      <c r="Z276" s="266">
        <v>0</v>
      </c>
      <c r="AA276" s="247">
        <v>1</v>
      </c>
      <c r="AB276" s="246"/>
      <c r="AC276" s="263"/>
      <c r="AD276" s="240">
        <v>1</v>
      </c>
      <c r="AE276" s="330">
        <v>1</v>
      </c>
      <c r="AF276" s="296"/>
      <c r="AG276" s="297"/>
      <c r="AH276" s="297"/>
      <c r="AI276" s="297"/>
      <c r="AJ276" s="297"/>
      <c r="AK276" s="297"/>
      <c r="AL276" s="297"/>
      <c r="AM276" s="297"/>
      <c r="AN276" s="297"/>
      <c r="AO276" s="297"/>
      <c r="AP276" s="297"/>
      <c r="AQ276" s="297"/>
      <c r="AR276" s="297"/>
      <c r="AS276" s="297"/>
      <c r="AT276" s="297"/>
      <c r="AU276" s="297"/>
      <c r="AV276" s="297"/>
      <c r="AW276" s="297"/>
      <c r="AX276" s="297"/>
      <c r="AY276" s="297"/>
      <c r="AZ276" s="297"/>
      <c r="BA276" s="297"/>
      <c r="BB276" s="297"/>
      <c r="BC276" s="297"/>
      <c r="BD276" s="297"/>
      <c r="BE276" s="297"/>
      <c r="BF276" s="297"/>
      <c r="BG276" s="297"/>
      <c r="BH276" s="297"/>
      <c r="BI276" s="297" t="str">
        <f>"     " &amp; TEXT(AE276,"#0.00%") &amp; " " &amp; "시퀀스 정비" &amp; " " &amp; IF(P276="","",TEXT(P276,"M/D-")) &amp; IF(Q276="","",TEXT(Q276,"M/D")) &amp; " "</f>
        <v xml:space="preserve">     100.00% 시퀀스 정비 9/2-9/11 </v>
      </c>
      <c r="BJ276" s="297"/>
      <c r="BK276" s="297"/>
      <c r="BL276" s="297"/>
      <c r="BM276" s="297"/>
      <c r="BN276" s="297"/>
      <c r="BO276" s="297"/>
      <c r="BP276" s="297"/>
      <c r="BQ276" s="297"/>
      <c r="BR276" s="297"/>
      <c r="BS276" s="297"/>
      <c r="BT276" s="297"/>
      <c r="BU276" s="297"/>
      <c r="BV276" s="297"/>
      <c r="BW276" s="297"/>
      <c r="BX276" s="297"/>
      <c r="BY276" s="297"/>
      <c r="BZ276" s="297"/>
      <c r="CA276" s="297"/>
      <c r="CB276" s="297"/>
      <c r="CC276" s="297"/>
      <c r="CD276" s="297"/>
      <c r="CE276" s="297"/>
      <c r="CF276" s="297"/>
      <c r="CG276" s="297"/>
    </row>
    <row r="277" spans="1:85" ht="12" customHeight="1" outlineLevel="4">
      <c r="A277" s="288"/>
      <c r="B277" s="288"/>
      <c r="C277" s="288">
        <v>5</v>
      </c>
      <c r="D277" s="291" t="s">
        <v>2544</v>
      </c>
      <c r="E277" s="246"/>
      <c r="F277" s="246"/>
      <c r="G277" s="246"/>
      <c r="H277" s="244"/>
      <c r="I277" s="244" t="s">
        <v>2126</v>
      </c>
      <c r="J277" s="244"/>
      <c r="K277" s="244"/>
      <c r="L277" s="244"/>
      <c r="M277" s="244"/>
      <c r="N277" s="244"/>
      <c r="O277" s="244"/>
      <c r="P277" s="243">
        <v>45902</v>
      </c>
      <c r="Q277" s="243">
        <v>45911</v>
      </c>
      <c r="R277" s="246"/>
      <c r="S277" s="247">
        <v>8</v>
      </c>
      <c r="T277" s="247">
        <v>8</v>
      </c>
      <c r="U277" s="247">
        <v>8</v>
      </c>
      <c r="V277" s="247">
        <v>8</v>
      </c>
      <c r="W277" s="248"/>
      <c r="X277" s="248"/>
      <c r="Y277" s="265"/>
      <c r="Z277" s="266">
        <v>0</v>
      </c>
      <c r="AA277" s="247">
        <v>1</v>
      </c>
      <c r="AB277" s="246"/>
      <c r="AC277" s="263"/>
      <c r="AD277" s="240">
        <v>1</v>
      </c>
      <c r="AE277" s="330">
        <v>1</v>
      </c>
      <c r="AF277" s="296"/>
      <c r="AG277" s="297"/>
      <c r="AH277" s="297"/>
      <c r="AI277" s="297"/>
      <c r="AJ277" s="297"/>
      <c r="AK277" s="297"/>
      <c r="AL277" s="297"/>
      <c r="AM277" s="297"/>
      <c r="AN277" s="297"/>
      <c r="AO277" s="297"/>
      <c r="AP277" s="297"/>
      <c r="AQ277" s="297"/>
      <c r="AR277" s="297"/>
      <c r="AS277" s="297"/>
      <c r="AT277" s="297"/>
      <c r="AU277" s="297"/>
      <c r="AV277" s="297"/>
      <c r="AW277" s="297"/>
      <c r="AX277" s="297"/>
      <c r="AY277" s="297"/>
      <c r="AZ277" s="297"/>
      <c r="BA277" s="297"/>
      <c r="BB277" s="297"/>
      <c r="BC277" s="297"/>
      <c r="BD277" s="297"/>
      <c r="BE277" s="297"/>
      <c r="BF277" s="297"/>
      <c r="BG277" s="297"/>
      <c r="BH277" s="297"/>
      <c r="BI277" s="297" t="str">
        <f>"     " &amp; TEXT(AE277,"#0.00%") &amp; " " &amp; "테이블/뷰/펑션 구조 개선" &amp; " " &amp; IF(P277="","",TEXT(P277,"M/D-")) &amp; IF(Q277="","",TEXT(Q277,"M/D")) &amp; " "</f>
        <v xml:space="preserve">     100.00% 테이블/뷰/펑션 구조 개선 9/2-9/11 </v>
      </c>
      <c r="BJ277" s="297"/>
      <c r="BK277" s="297"/>
      <c r="BL277" s="297"/>
      <c r="BM277" s="297"/>
      <c r="BN277" s="297"/>
      <c r="BO277" s="297"/>
      <c r="BP277" s="297"/>
      <c r="BQ277" s="297"/>
      <c r="BR277" s="297"/>
      <c r="BS277" s="297"/>
      <c r="BT277" s="297"/>
      <c r="BU277" s="297"/>
      <c r="BV277" s="297"/>
      <c r="BW277" s="297"/>
      <c r="BX277" s="297"/>
      <c r="BY277" s="297"/>
      <c r="BZ277" s="297"/>
      <c r="CA277" s="297"/>
      <c r="CB277" s="297"/>
      <c r="CC277" s="297"/>
      <c r="CD277" s="297"/>
      <c r="CE277" s="297"/>
      <c r="CF277" s="297"/>
      <c r="CG277" s="297"/>
    </row>
    <row r="278" spans="1:85" ht="12" customHeight="1" outlineLevel="4">
      <c r="A278" s="288"/>
      <c r="B278" s="288"/>
      <c r="C278" s="288">
        <v>5</v>
      </c>
      <c r="D278" s="291" t="s">
        <v>2545</v>
      </c>
      <c r="E278" s="246"/>
      <c r="F278" s="246"/>
      <c r="G278" s="246"/>
      <c r="H278" s="244"/>
      <c r="I278" s="244" t="s">
        <v>2127</v>
      </c>
      <c r="J278" s="244"/>
      <c r="K278" s="244"/>
      <c r="L278" s="244"/>
      <c r="M278" s="244"/>
      <c r="N278" s="244"/>
      <c r="O278" s="244"/>
      <c r="P278" s="243">
        <v>45902</v>
      </c>
      <c r="Q278" s="243">
        <v>45915</v>
      </c>
      <c r="R278" s="246"/>
      <c r="S278" s="247">
        <v>10</v>
      </c>
      <c r="T278" s="247">
        <v>10</v>
      </c>
      <c r="U278" s="247">
        <v>10</v>
      </c>
      <c r="V278" s="247">
        <v>10</v>
      </c>
      <c r="W278" s="248"/>
      <c r="X278" s="248"/>
      <c r="Y278" s="265"/>
      <c r="Z278" s="266">
        <v>0</v>
      </c>
      <c r="AA278" s="247">
        <v>1</v>
      </c>
      <c r="AB278" s="246"/>
      <c r="AC278" s="263"/>
      <c r="AD278" s="240">
        <v>1</v>
      </c>
      <c r="AE278" s="330">
        <v>1</v>
      </c>
      <c r="AF278" s="296"/>
      <c r="AG278" s="297"/>
      <c r="AH278" s="297"/>
      <c r="AI278" s="297"/>
      <c r="AJ278" s="297"/>
      <c r="AK278" s="297"/>
      <c r="AL278" s="297"/>
      <c r="AM278" s="297"/>
      <c r="AN278" s="297"/>
      <c r="AO278" s="297"/>
      <c r="AP278" s="297"/>
      <c r="AQ278" s="297"/>
      <c r="AR278" s="297"/>
      <c r="AS278" s="297"/>
      <c r="AT278" s="297"/>
      <c r="AU278" s="297"/>
      <c r="AV278" s="297"/>
      <c r="AW278" s="297"/>
      <c r="AX278" s="297"/>
      <c r="AY278" s="297"/>
      <c r="AZ278" s="297"/>
      <c r="BA278" s="297"/>
      <c r="BB278" s="297"/>
      <c r="BC278" s="297"/>
      <c r="BD278" s="297"/>
      <c r="BE278" s="297"/>
      <c r="BF278" s="297"/>
      <c r="BG278" s="297"/>
      <c r="BH278" s="297"/>
      <c r="BI278" s="297"/>
      <c r="BJ278" s="297" t="str">
        <f>"  " &amp; TEXT(AE278,"#0.00%") &amp; " " &amp; "주요 SQL 튜닝" &amp; " " &amp; IF(P278="","",TEXT(P278,"M/D-")) &amp; IF(Q278="","",TEXT(Q278,"M/D")) &amp; " "</f>
        <v xml:space="preserve">  100.00% 주요 SQL 튜닝 9/2-9/15 </v>
      </c>
      <c r="BK278" s="297"/>
      <c r="BL278" s="297"/>
      <c r="BM278" s="297"/>
      <c r="BN278" s="297"/>
      <c r="BO278" s="297"/>
      <c r="BP278" s="297"/>
      <c r="BQ278" s="297"/>
      <c r="BR278" s="297"/>
      <c r="BS278" s="297"/>
      <c r="BT278" s="297"/>
      <c r="BU278" s="297"/>
      <c r="BV278" s="297"/>
      <c r="BW278" s="297"/>
      <c r="BX278" s="297"/>
      <c r="BY278" s="297"/>
      <c r="BZ278" s="297"/>
      <c r="CA278" s="297"/>
      <c r="CB278" s="297"/>
      <c r="CC278" s="297"/>
      <c r="CD278" s="297"/>
      <c r="CE278" s="297"/>
      <c r="CF278" s="297"/>
      <c r="CG278" s="297"/>
    </row>
    <row r="279" spans="1:85" ht="12" customHeight="1" outlineLevel="3">
      <c r="A279" s="288"/>
      <c r="B279" s="288" t="s">
        <v>2334</v>
      </c>
      <c r="C279" s="288">
        <v>4</v>
      </c>
      <c r="D279" s="291" t="s">
        <v>2546</v>
      </c>
      <c r="E279" s="246"/>
      <c r="F279" s="246"/>
      <c r="G279" s="246"/>
      <c r="H279" s="244" t="s">
        <v>2540</v>
      </c>
      <c r="I279" s="244"/>
      <c r="J279" s="244"/>
      <c r="K279" s="244"/>
      <c r="L279" s="244"/>
      <c r="M279" s="244"/>
      <c r="N279" s="244"/>
      <c r="O279" s="244"/>
      <c r="P279" s="243">
        <v>45945</v>
      </c>
      <c r="Q279" s="243">
        <v>45946</v>
      </c>
      <c r="R279" s="246"/>
      <c r="S279" s="247">
        <v>4</v>
      </c>
      <c r="T279" s="247">
        <v>4</v>
      </c>
      <c r="U279" s="247">
        <v>2</v>
      </c>
      <c r="V279" s="247">
        <v>2</v>
      </c>
      <c r="W279" s="248"/>
      <c r="X279" s="248"/>
      <c r="Y279" s="265">
        <v>0</v>
      </c>
      <c r="Z279" s="266">
        <v>0</v>
      </c>
      <c r="AA279" s="247"/>
      <c r="AB279" s="246"/>
      <c r="AC279" s="263"/>
      <c r="AD279" s="240">
        <v>1</v>
      </c>
      <c r="AE279" s="241">
        <v>1</v>
      </c>
      <c r="AF279" s="296"/>
      <c r="AG279" s="297"/>
      <c r="AH279" s="297"/>
      <c r="AI279" s="297"/>
      <c r="AJ279" s="297"/>
      <c r="AK279" s="297"/>
      <c r="AL279" s="297"/>
      <c r="AM279" s="297"/>
      <c r="AN279" s="297"/>
      <c r="AO279" s="297"/>
      <c r="AP279" s="297"/>
      <c r="AQ279" s="297"/>
      <c r="AR279" s="297"/>
      <c r="AS279" s="297"/>
      <c r="AT279" s="297"/>
      <c r="AU279" s="297"/>
      <c r="AV279" s="297"/>
      <c r="AW279" s="297"/>
      <c r="AX279" s="297"/>
      <c r="AY279" s="297"/>
      <c r="AZ279" s="297"/>
      <c r="BA279" s="297"/>
      <c r="BB279" s="297"/>
      <c r="BC279" s="297"/>
      <c r="BD279" s="297"/>
      <c r="BE279" s="297"/>
      <c r="BF279" s="297"/>
      <c r="BG279" s="297"/>
      <c r="BH279" s="297"/>
      <c r="BI279" s="297"/>
      <c r="BJ279" s="297"/>
      <c r="BK279" s="297"/>
      <c r="BL279" s="297"/>
      <c r="BM279" s="297"/>
      <c r="BN279" s="297" t="str">
        <f>"     " &amp; TEXT(AE279,"#0.00%") &amp; " " &amp; "DB 점검" &amp; " " &amp; IF(P279="","",TEXT(P279,"M/D-")) &amp; IF(Q279="","",TEXT(Q279,"M/D")) &amp; " "</f>
        <v xml:space="preserve">     100.00% DB 점검 10/15-10/16 </v>
      </c>
      <c r="BO279" s="297"/>
      <c r="BP279" s="297"/>
      <c r="BQ279" s="297"/>
      <c r="BR279" s="297"/>
      <c r="BS279" s="297"/>
      <c r="BT279" s="297"/>
      <c r="BU279" s="297"/>
      <c r="BV279" s="297"/>
      <c r="BW279" s="297"/>
      <c r="BX279" s="297"/>
      <c r="BY279" s="297"/>
      <c r="BZ279" s="297"/>
      <c r="CA279" s="297"/>
      <c r="CB279" s="297"/>
      <c r="CC279" s="297"/>
      <c r="CD279" s="297"/>
      <c r="CE279" s="297"/>
      <c r="CF279" s="297"/>
      <c r="CG279" s="297"/>
    </row>
    <row r="280" spans="1:85" ht="12" customHeight="1" outlineLevel="4">
      <c r="A280" s="288"/>
      <c r="B280" s="288"/>
      <c r="C280" s="288">
        <v>5</v>
      </c>
      <c r="D280" s="291" t="s">
        <v>2547</v>
      </c>
      <c r="E280" s="246"/>
      <c r="F280" s="246"/>
      <c r="G280" s="246"/>
      <c r="H280" s="244"/>
      <c r="I280" s="244" t="s">
        <v>2541</v>
      </c>
      <c r="J280" s="244"/>
      <c r="K280" s="244"/>
      <c r="L280" s="244"/>
      <c r="M280" s="244"/>
      <c r="N280" s="244"/>
      <c r="O280" s="244"/>
      <c r="P280" s="243">
        <v>45945</v>
      </c>
      <c r="Q280" s="243">
        <v>45946</v>
      </c>
      <c r="R280" s="246"/>
      <c r="S280" s="247">
        <v>2</v>
      </c>
      <c r="T280" s="247">
        <v>2</v>
      </c>
      <c r="U280" s="247">
        <v>2</v>
      </c>
      <c r="V280" s="247">
        <v>2</v>
      </c>
      <c r="W280" s="248"/>
      <c r="X280" s="248"/>
      <c r="Y280" s="265"/>
      <c r="Z280" s="266">
        <v>0</v>
      </c>
      <c r="AA280" s="247">
        <v>1</v>
      </c>
      <c r="AB280" s="246"/>
      <c r="AC280" s="263"/>
      <c r="AD280" s="240">
        <v>1</v>
      </c>
      <c r="AE280" s="330">
        <v>1</v>
      </c>
      <c r="AF280" s="296"/>
      <c r="AG280" s="297"/>
      <c r="AH280" s="297"/>
      <c r="AI280" s="297"/>
      <c r="AJ280" s="297"/>
      <c r="AK280" s="297"/>
      <c r="AL280" s="297"/>
      <c r="AM280" s="297"/>
      <c r="AN280" s="297"/>
      <c r="AO280" s="297"/>
      <c r="AP280" s="297"/>
      <c r="AQ280" s="297"/>
      <c r="AR280" s="297"/>
      <c r="AS280" s="297"/>
      <c r="AT280" s="297"/>
      <c r="AU280" s="297"/>
      <c r="AV280" s="297"/>
      <c r="AW280" s="297"/>
      <c r="AX280" s="297"/>
      <c r="AY280" s="297"/>
      <c r="AZ280" s="297"/>
      <c r="BA280" s="297"/>
      <c r="BB280" s="297"/>
      <c r="BC280" s="297"/>
      <c r="BD280" s="297"/>
      <c r="BE280" s="297"/>
      <c r="BF280" s="297"/>
      <c r="BG280" s="297"/>
      <c r="BH280" s="297"/>
      <c r="BI280" s="297"/>
      <c r="BJ280" s="297"/>
      <c r="BK280" s="297"/>
      <c r="BL280" s="297"/>
      <c r="BM280" s="297"/>
      <c r="BN280" s="297" t="str">
        <f>"     " &amp; TEXT(AE280,"#0.00%") &amp; " " &amp; "이관 환경 상태 점검" &amp; " " &amp; IF(P280="","",TEXT(P280,"M/D-")) &amp; IF(Q280="","",TEXT(Q280,"M/D")) &amp; " "</f>
        <v xml:space="preserve">     100.00% 이관 환경 상태 점검 10/15-10/16 </v>
      </c>
      <c r="BO280" s="297"/>
      <c r="BP280" s="297"/>
      <c r="BQ280" s="297"/>
      <c r="BR280" s="297"/>
      <c r="BS280" s="297"/>
      <c r="BT280" s="297"/>
      <c r="BU280" s="297"/>
      <c r="BV280" s="297"/>
      <c r="BW280" s="297"/>
      <c r="BX280" s="297"/>
      <c r="BY280" s="297"/>
      <c r="BZ280" s="297"/>
      <c r="CA280" s="297"/>
      <c r="CB280" s="297"/>
      <c r="CC280" s="297"/>
      <c r="CD280" s="297"/>
      <c r="CE280" s="297"/>
      <c r="CF280" s="297"/>
      <c r="CG280" s="297"/>
    </row>
    <row r="281" spans="1:85" ht="12" customHeight="1" outlineLevel="4">
      <c r="A281" s="288"/>
      <c r="B281" s="288"/>
      <c r="C281" s="288">
        <v>5</v>
      </c>
      <c r="D281" s="291" t="s">
        <v>2548</v>
      </c>
      <c r="E281" s="246"/>
      <c r="F281" s="246"/>
      <c r="G281" s="246"/>
      <c r="H281" s="244"/>
      <c r="I281" s="244" t="s">
        <v>2542</v>
      </c>
      <c r="J281" s="244"/>
      <c r="K281" s="244"/>
      <c r="L281" s="244"/>
      <c r="M281" s="244"/>
      <c r="N281" s="244"/>
      <c r="O281" s="244"/>
      <c r="P281" s="243">
        <v>45945</v>
      </c>
      <c r="Q281" s="243">
        <v>45946</v>
      </c>
      <c r="R281" s="246"/>
      <c r="S281" s="247">
        <v>2</v>
      </c>
      <c r="T281" s="247">
        <v>2</v>
      </c>
      <c r="U281" s="247">
        <v>2</v>
      </c>
      <c r="V281" s="247">
        <v>2</v>
      </c>
      <c r="W281" s="248"/>
      <c r="X281" s="248"/>
      <c r="Y281" s="265"/>
      <c r="Z281" s="266">
        <v>0</v>
      </c>
      <c r="AA281" s="247">
        <v>1</v>
      </c>
      <c r="AB281" s="246"/>
      <c r="AC281" s="263"/>
      <c r="AD281" s="240">
        <v>1</v>
      </c>
      <c r="AE281" s="330">
        <v>1</v>
      </c>
      <c r="AF281" s="296"/>
      <c r="AG281" s="297"/>
      <c r="AH281" s="297"/>
      <c r="AI281" s="297"/>
      <c r="AJ281" s="297"/>
      <c r="AK281" s="297"/>
      <c r="AL281" s="297"/>
      <c r="AM281" s="297"/>
      <c r="AN281" s="297"/>
      <c r="AO281" s="297"/>
      <c r="AP281" s="297"/>
      <c r="AQ281" s="297"/>
      <c r="AR281" s="297"/>
      <c r="AS281" s="297"/>
      <c r="AT281" s="297"/>
      <c r="AU281" s="297"/>
      <c r="AV281" s="297"/>
      <c r="AW281" s="297"/>
      <c r="AX281" s="297"/>
      <c r="AY281" s="297"/>
      <c r="AZ281" s="297"/>
      <c r="BA281" s="297"/>
      <c r="BB281" s="297"/>
      <c r="BC281" s="297"/>
      <c r="BD281" s="297"/>
      <c r="BE281" s="297"/>
      <c r="BF281" s="297"/>
      <c r="BG281" s="297"/>
      <c r="BH281" s="297"/>
      <c r="BI281" s="297"/>
      <c r="BJ281" s="297"/>
      <c r="BK281" s="297"/>
      <c r="BL281" s="297"/>
      <c r="BM281" s="297"/>
      <c r="BN281" s="297" t="str">
        <f>"     " &amp; TEXT(AE281,"#0.00%") &amp; " " &amp; "DB 상태 점검" &amp; " " &amp; IF(P281="","",TEXT(P281,"M/D-")) &amp; IF(Q281="","",TEXT(Q281,"M/D")) &amp; " "</f>
        <v xml:space="preserve">     100.00% DB 상태 점검 10/15-10/16 </v>
      </c>
      <c r="BO281" s="297"/>
      <c r="BP281" s="297"/>
      <c r="BQ281" s="297"/>
      <c r="BR281" s="297"/>
      <c r="BS281" s="297"/>
      <c r="BT281" s="297"/>
      <c r="BU281" s="297"/>
      <c r="BV281" s="297"/>
      <c r="BW281" s="297"/>
      <c r="BX281" s="297"/>
      <c r="BY281" s="297"/>
      <c r="BZ281" s="297"/>
      <c r="CA281" s="297"/>
      <c r="CB281" s="297"/>
      <c r="CC281" s="297"/>
      <c r="CD281" s="297"/>
      <c r="CE281" s="297"/>
      <c r="CF281" s="297"/>
      <c r="CG281" s="297"/>
    </row>
    <row r="282" spans="1:85" ht="12" customHeight="1" outlineLevel="3">
      <c r="A282" s="288"/>
      <c r="B282" s="288" t="s">
        <v>2334</v>
      </c>
      <c r="C282" s="288">
        <v>4</v>
      </c>
      <c r="D282" s="291" t="s">
        <v>2549</v>
      </c>
      <c r="E282" s="246"/>
      <c r="F282" s="246"/>
      <c r="G282" s="246"/>
      <c r="H282" s="244" t="s">
        <v>2568</v>
      </c>
      <c r="I282" s="244"/>
      <c r="J282" s="244"/>
      <c r="K282" s="244"/>
      <c r="L282" s="244"/>
      <c r="M282" s="244"/>
      <c r="N282" s="244"/>
      <c r="O282" s="244"/>
      <c r="P282" s="243">
        <v>45957</v>
      </c>
      <c r="Q282" s="243">
        <v>45964</v>
      </c>
      <c r="R282" s="246"/>
      <c r="S282" s="247">
        <v>11</v>
      </c>
      <c r="T282" s="247">
        <v>11</v>
      </c>
      <c r="U282" s="247">
        <v>6</v>
      </c>
      <c r="V282" s="247">
        <v>6</v>
      </c>
      <c r="W282" s="248"/>
      <c r="X282" s="248"/>
      <c r="Y282" s="265">
        <v>0</v>
      </c>
      <c r="Z282" s="266">
        <v>0</v>
      </c>
      <c r="AA282" s="247"/>
      <c r="AB282" s="246"/>
      <c r="AC282" s="263"/>
      <c r="AD282" s="240">
        <v>1</v>
      </c>
      <c r="AE282" s="241">
        <v>1</v>
      </c>
      <c r="AF282" s="296"/>
      <c r="AG282" s="297"/>
      <c r="AH282" s="297"/>
      <c r="AI282" s="297"/>
      <c r="AJ282" s="297"/>
      <c r="AK282" s="297"/>
      <c r="AL282" s="297"/>
      <c r="AM282" s="297"/>
      <c r="AN282" s="297"/>
      <c r="AO282" s="297"/>
      <c r="AP282" s="297"/>
      <c r="AQ282" s="297"/>
      <c r="AR282" s="297"/>
      <c r="AS282" s="297"/>
      <c r="AT282" s="297"/>
      <c r="AU282" s="297"/>
      <c r="AV282" s="297"/>
      <c r="AW282" s="297"/>
      <c r="AX282" s="297"/>
      <c r="AY282" s="297"/>
      <c r="AZ282" s="297"/>
      <c r="BA282" s="297"/>
      <c r="BB282" s="297"/>
      <c r="BC282" s="297"/>
      <c r="BD282" s="297"/>
      <c r="BE282" s="297"/>
      <c r="BF282" s="297"/>
      <c r="BG282" s="297"/>
      <c r="BH282" s="297"/>
      <c r="BI282" s="297"/>
      <c r="BJ282" s="297"/>
      <c r="BK282" s="297"/>
      <c r="BL282" s="297"/>
      <c r="BM282" s="297"/>
      <c r="BN282" s="297"/>
      <c r="BO282" s="297"/>
      <c r="BP282" s="297"/>
      <c r="BQ282" s="297" t="str">
        <f>"  " &amp; TEXT(AE282,"#0.00%") &amp; " " &amp; "2차 오픈 작업" &amp; " " &amp; IF(P282="","",TEXT(P282,"M/D-")) &amp; IF(Q282="","",TEXT(Q282,"M/D")) &amp; " "</f>
        <v xml:space="preserve">  100.00% 2차 오픈 작업 10/27-11/3 </v>
      </c>
      <c r="BR282" s="297"/>
      <c r="BS282" s="297"/>
      <c r="BT282" s="297"/>
      <c r="BU282" s="297"/>
      <c r="BV282" s="297"/>
      <c r="BW282" s="297"/>
      <c r="BX282" s="297"/>
      <c r="BY282" s="297"/>
      <c r="BZ282" s="297"/>
      <c r="CA282" s="297"/>
      <c r="CB282" s="297"/>
      <c r="CC282" s="297"/>
      <c r="CD282" s="297"/>
      <c r="CE282" s="297"/>
      <c r="CF282" s="297"/>
      <c r="CG282" s="297"/>
    </row>
    <row r="283" spans="1:85" ht="12" customHeight="1" outlineLevel="4">
      <c r="A283" s="288"/>
      <c r="B283" s="288"/>
      <c r="C283" s="288">
        <v>5</v>
      </c>
      <c r="D283" s="291" t="s">
        <v>2550</v>
      </c>
      <c r="E283" s="246"/>
      <c r="F283" s="246"/>
      <c r="G283" s="246"/>
      <c r="H283" s="244"/>
      <c r="I283" s="244" t="s">
        <v>2551</v>
      </c>
      <c r="J283" s="244"/>
      <c r="K283" s="244"/>
      <c r="L283" s="244"/>
      <c r="M283" s="244"/>
      <c r="N283" s="244"/>
      <c r="O283" s="244"/>
      <c r="P283" s="243">
        <v>45957</v>
      </c>
      <c r="Q283" s="243">
        <v>45961</v>
      </c>
      <c r="R283" s="246"/>
      <c r="S283" s="247">
        <v>5</v>
      </c>
      <c r="T283" s="247">
        <v>5</v>
      </c>
      <c r="U283" s="247">
        <v>5</v>
      </c>
      <c r="V283" s="247">
        <v>5</v>
      </c>
      <c r="W283" s="248"/>
      <c r="X283" s="248"/>
      <c r="Y283" s="265"/>
      <c r="Z283" s="266">
        <v>0</v>
      </c>
      <c r="AA283" s="247">
        <v>1</v>
      </c>
      <c r="AB283" s="246"/>
      <c r="AC283" s="263"/>
      <c r="AD283" s="240">
        <v>1</v>
      </c>
      <c r="AE283" s="330">
        <v>1</v>
      </c>
      <c r="AF283" s="296"/>
      <c r="AG283" s="297"/>
      <c r="AH283" s="297"/>
      <c r="AI283" s="297"/>
      <c r="AJ283" s="297"/>
      <c r="AK283" s="297"/>
      <c r="AL283" s="297"/>
      <c r="AM283" s="297"/>
      <c r="AN283" s="297"/>
      <c r="AO283" s="297"/>
      <c r="AP283" s="297"/>
      <c r="AQ283" s="297"/>
      <c r="AR283" s="297"/>
      <c r="AS283" s="297"/>
      <c r="AT283" s="297"/>
      <c r="AU283" s="297"/>
      <c r="AV283" s="297"/>
      <c r="AW283" s="297"/>
      <c r="AX283" s="297"/>
      <c r="AY283" s="297"/>
      <c r="AZ283" s="297"/>
      <c r="BA283" s="297"/>
      <c r="BB283" s="297"/>
      <c r="BC283" s="297"/>
      <c r="BD283" s="297"/>
      <c r="BE283" s="297"/>
      <c r="BF283" s="297"/>
      <c r="BG283" s="297"/>
      <c r="BH283" s="297"/>
      <c r="BI283" s="297"/>
      <c r="BJ283" s="297"/>
      <c r="BK283" s="297"/>
      <c r="BL283" s="297"/>
      <c r="BM283" s="297"/>
      <c r="BN283" s="297"/>
      <c r="BO283" s="297"/>
      <c r="BP283" s="297" t="str">
        <f>"      " &amp; TEXT(AE283,"#0.00%") &amp; " " &amp; "오픈 관련 DB 작업 준비" &amp; " " &amp; IF(P283="","",TEXT(P283,"M/D-")) &amp; IF(Q283="","",TEXT(Q283,"M/D")) &amp; " "</f>
        <v xml:space="preserve">      100.00% 오픈 관련 DB 작업 준비 10/27-10/31 </v>
      </c>
      <c r="BQ283" s="297"/>
      <c r="BR283" s="297"/>
      <c r="BS283" s="297"/>
      <c r="BT283" s="297"/>
      <c r="BU283" s="297"/>
      <c r="BV283" s="297"/>
      <c r="BW283" s="297"/>
      <c r="BX283" s="297"/>
      <c r="BY283" s="297"/>
      <c r="BZ283" s="297"/>
      <c r="CA283" s="297"/>
      <c r="CB283" s="297"/>
      <c r="CC283" s="297"/>
      <c r="CD283" s="297"/>
      <c r="CE283" s="297"/>
      <c r="CF283" s="297"/>
      <c r="CG283" s="297"/>
    </row>
    <row r="284" spans="1:85" ht="12" customHeight="1" outlineLevel="4">
      <c r="A284" s="288"/>
      <c r="B284" s="288"/>
      <c r="C284" s="288">
        <v>5</v>
      </c>
      <c r="D284" s="291" t="s">
        <v>2554</v>
      </c>
      <c r="E284" s="246"/>
      <c r="F284" s="246"/>
      <c r="G284" s="246"/>
      <c r="H284" s="244"/>
      <c r="I284" s="244" t="s">
        <v>2552</v>
      </c>
      <c r="J284" s="244"/>
      <c r="K284" s="244"/>
      <c r="L284" s="244"/>
      <c r="M284" s="244"/>
      <c r="N284" s="244"/>
      <c r="O284" s="244" t="s">
        <v>2516</v>
      </c>
      <c r="P284" s="243">
        <v>45957</v>
      </c>
      <c r="Q284" s="243">
        <v>45961</v>
      </c>
      <c r="R284" s="246"/>
      <c r="S284" s="247">
        <v>5</v>
      </c>
      <c r="T284" s="247">
        <v>5</v>
      </c>
      <c r="U284" s="247">
        <v>5</v>
      </c>
      <c r="V284" s="247">
        <v>5</v>
      </c>
      <c r="W284" s="248"/>
      <c r="X284" s="248"/>
      <c r="Y284" s="265"/>
      <c r="Z284" s="266">
        <v>0</v>
      </c>
      <c r="AA284" s="247">
        <v>1</v>
      </c>
      <c r="AB284" s="246"/>
      <c r="AC284" s="263"/>
      <c r="AD284" s="240">
        <v>1</v>
      </c>
      <c r="AE284" s="330">
        <v>1</v>
      </c>
      <c r="AF284" s="296"/>
      <c r="AG284" s="297"/>
      <c r="AH284" s="297"/>
      <c r="AI284" s="297"/>
      <c r="AJ284" s="297"/>
      <c r="AK284" s="297"/>
      <c r="AL284" s="297"/>
      <c r="AM284" s="297"/>
      <c r="AN284" s="297"/>
      <c r="AO284" s="297"/>
      <c r="AP284" s="297"/>
      <c r="AQ284" s="297"/>
      <c r="AR284" s="297"/>
      <c r="AS284" s="297"/>
      <c r="AT284" s="297"/>
      <c r="AU284" s="297"/>
      <c r="AV284" s="297"/>
      <c r="AW284" s="297"/>
      <c r="AX284" s="297"/>
      <c r="AY284" s="297"/>
      <c r="AZ284" s="297"/>
      <c r="BA284" s="297"/>
      <c r="BB284" s="297"/>
      <c r="BC284" s="297"/>
      <c r="BD284" s="297"/>
      <c r="BE284" s="297"/>
      <c r="BF284" s="297"/>
      <c r="BG284" s="297"/>
      <c r="BH284" s="297"/>
      <c r="BI284" s="297"/>
      <c r="BJ284" s="297"/>
      <c r="BK284" s="297"/>
      <c r="BL284" s="297"/>
      <c r="BM284" s="297"/>
      <c r="BN284" s="297"/>
      <c r="BO284" s="297"/>
      <c r="BP284" s="297" t="str">
        <f>"      " &amp; TEXT(AE284,"#0.00%") &amp; " " &amp; "2차 데이터 이관 검토 및 확인" &amp; " " &amp; IF(P284="","",TEXT(P284,"M/D-")) &amp; IF(Q284="","",TEXT(Q284,"M/D")) &amp; " "</f>
        <v xml:space="preserve">      100.00% 2차 데이터 이관 검토 및 확인 10/27-10/31 </v>
      </c>
      <c r="BQ284" s="297"/>
      <c r="BR284" s="297"/>
      <c r="BS284" s="297"/>
      <c r="BT284" s="297"/>
      <c r="BU284" s="297"/>
      <c r="BV284" s="297"/>
      <c r="BW284" s="297"/>
      <c r="BX284" s="297"/>
      <c r="BY284" s="297"/>
      <c r="BZ284" s="297"/>
      <c r="CA284" s="297"/>
      <c r="CB284" s="297"/>
      <c r="CC284" s="297"/>
      <c r="CD284" s="297"/>
      <c r="CE284" s="297"/>
      <c r="CF284" s="297"/>
      <c r="CG284" s="297"/>
    </row>
    <row r="285" spans="1:85" ht="12" customHeight="1" outlineLevel="4">
      <c r="A285" s="288"/>
      <c r="B285" s="288"/>
      <c r="C285" s="288">
        <v>5</v>
      </c>
      <c r="D285" s="291" t="s">
        <v>2555</v>
      </c>
      <c r="E285" s="246"/>
      <c r="F285" s="246"/>
      <c r="G285" s="246"/>
      <c r="H285" s="244"/>
      <c r="I285" s="244" t="s">
        <v>2553</v>
      </c>
      <c r="J285" s="244"/>
      <c r="K285" s="244"/>
      <c r="L285" s="244"/>
      <c r="M285" s="244"/>
      <c r="N285" s="244"/>
      <c r="O285" s="244" t="s">
        <v>2516</v>
      </c>
      <c r="P285" s="243">
        <v>45964</v>
      </c>
      <c r="Q285" s="243">
        <v>45964</v>
      </c>
      <c r="R285" s="246"/>
      <c r="S285" s="247">
        <v>1</v>
      </c>
      <c r="T285" s="247">
        <v>1</v>
      </c>
      <c r="U285" s="247">
        <v>1</v>
      </c>
      <c r="V285" s="247">
        <v>1</v>
      </c>
      <c r="W285" s="248"/>
      <c r="X285" s="248"/>
      <c r="Y285" s="265"/>
      <c r="Z285" s="266">
        <v>0</v>
      </c>
      <c r="AA285" s="247">
        <v>1</v>
      </c>
      <c r="AB285" s="246"/>
      <c r="AC285" s="263"/>
      <c r="AD285" s="240">
        <v>1</v>
      </c>
      <c r="AE285" s="330">
        <v>1</v>
      </c>
      <c r="AF285" s="296"/>
      <c r="AG285" s="297"/>
      <c r="AH285" s="297"/>
      <c r="AI285" s="297"/>
      <c r="AJ285" s="297"/>
      <c r="AK285" s="297"/>
      <c r="AL285" s="297"/>
      <c r="AM285" s="297"/>
      <c r="AN285" s="297"/>
      <c r="AO285" s="297"/>
      <c r="AP285" s="297"/>
      <c r="AQ285" s="297"/>
      <c r="AR285" s="297"/>
      <c r="AS285" s="297"/>
      <c r="AT285" s="297"/>
      <c r="AU285" s="297"/>
      <c r="AV285" s="297"/>
      <c r="AW285" s="297"/>
      <c r="AX285" s="297"/>
      <c r="AY285" s="297"/>
      <c r="AZ285" s="297"/>
      <c r="BA285" s="297"/>
      <c r="BB285" s="297"/>
      <c r="BC285" s="297"/>
      <c r="BD285" s="297"/>
      <c r="BE285" s="297"/>
      <c r="BF285" s="297"/>
      <c r="BG285" s="297"/>
      <c r="BH285" s="297"/>
      <c r="BI285" s="297"/>
      <c r="BJ285" s="297"/>
      <c r="BK285" s="297"/>
      <c r="BL285" s="297"/>
      <c r="BM285" s="297"/>
      <c r="BN285" s="297"/>
      <c r="BO285" s="297"/>
      <c r="BP285" s="297"/>
      <c r="BQ285" s="297" t="str">
        <f>"  " &amp; TEXT(AE285,"#0.00%") &amp; " " &amp; "2차 데이터 이관 및 이행 진행" &amp; " " &amp; IF(P285="","",TEXT(P285,"M/D-")) &amp; IF(Q285="","",TEXT(Q285,"M/D")) &amp; " "</f>
        <v xml:space="preserve">  100.00% 2차 데이터 이관 및 이행 진행 11/3-11/3 </v>
      </c>
      <c r="BR285" s="297"/>
      <c r="BS285" s="297"/>
      <c r="BT285" s="297"/>
      <c r="BU285" s="297"/>
      <c r="BV285" s="297"/>
      <c r="BW285" s="297"/>
      <c r="BX285" s="297"/>
      <c r="BY285" s="297"/>
      <c r="BZ285" s="297"/>
      <c r="CA285" s="297"/>
      <c r="CB285" s="297"/>
      <c r="CC285" s="297"/>
      <c r="CD285" s="297"/>
      <c r="CE285" s="297"/>
      <c r="CF285" s="297"/>
      <c r="CG285" s="297"/>
    </row>
    <row r="286" spans="1:85" ht="12" customHeight="1" outlineLevel="3">
      <c r="A286" s="288"/>
      <c r="B286" s="288" t="s">
        <v>2334</v>
      </c>
      <c r="C286" s="288">
        <v>4</v>
      </c>
      <c r="D286" s="291" t="s">
        <v>2556</v>
      </c>
      <c r="E286" s="246"/>
      <c r="F286" s="246"/>
      <c r="G286" s="246"/>
      <c r="H286" s="246" t="s">
        <v>2128</v>
      </c>
      <c r="I286" s="246"/>
      <c r="J286" s="246"/>
      <c r="K286" s="246"/>
      <c r="L286" s="246"/>
      <c r="M286" s="246"/>
      <c r="N286" s="246"/>
      <c r="O286" s="246"/>
      <c r="P286" s="248">
        <v>45968</v>
      </c>
      <c r="Q286" s="248">
        <v>45975</v>
      </c>
      <c r="R286" s="246"/>
      <c r="S286" s="247">
        <v>12.6</v>
      </c>
      <c r="T286" s="247">
        <v>12.6</v>
      </c>
      <c r="U286" s="247">
        <v>6</v>
      </c>
      <c r="V286" s="247">
        <v>6</v>
      </c>
      <c r="W286" s="248"/>
      <c r="X286" s="248"/>
      <c r="Y286" s="265">
        <v>0</v>
      </c>
      <c r="Z286" s="266">
        <v>0</v>
      </c>
      <c r="AA286" s="247"/>
      <c r="AB286" s="246"/>
      <c r="AC286" s="264"/>
      <c r="AD286" s="240">
        <v>1</v>
      </c>
      <c r="AE286" s="241">
        <v>1</v>
      </c>
      <c r="AF286" s="296"/>
      <c r="AG286" s="297"/>
      <c r="AH286" s="297"/>
      <c r="AI286" s="297"/>
      <c r="AJ286" s="297"/>
      <c r="AK286" s="297"/>
      <c r="AL286" s="297"/>
      <c r="AM286" s="297"/>
      <c r="AN286" s="297"/>
      <c r="AO286" s="297"/>
      <c r="AP286" s="297"/>
      <c r="AQ286" s="297"/>
      <c r="AR286" s="297"/>
      <c r="AS286" s="297"/>
      <c r="AT286" s="297"/>
      <c r="AU286" s="297"/>
      <c r="AV286" s="297"/>
      <c r="AW286" s="297"/>
      <c r="AX286" s="297"/>
      <c r="AY286" s="297"/>
      <c r="AZ286" s="297"/>
      <c r="BA286" s="297"/>
      <c r="BB286" s="297"/>
      <c r="BC286" s="297"/>
      <c r="BD286" s="297"/>
      <c r="BE286" s="297"/>
      <c r="BF286" s="297"/>
      <c r="BG286" s="297"/>
      <c r="BH286" s="297"/>
      <c r="BI286" s="297"/>
      <c r="BJ286" s="297"/>
      <c r="BK286" s="297"/>
      <c r="BL286" s="297"/>
      <c r="BM286" s="297"/>
      <c r="BN286" s="297"/>
      <c r="BO286" s="297"/>
      <c r="BP286" s="297"/>
      <c r="BQ286" s="297"/>
      <c r="BR286" s="297" t="str">
        <f>"      " &amp; TEXT(AE286,"#0.00%") &amp; " " &amp; "산출물 작성" &amp; " " &amp; IF(P286="","",TEXT(P286,"M/D-")) &amp; IF(Q286="","",TEXT(Q286,"M/D")) &amp; " "</f>
        <v xml:space="preserve">      100.00% 산출물 작성 11/7-11/14 </v>
      </c>
      <c r="BS286" s="297"/>
      <c r="BT286" s="297"/>
      <c r="BU286" s="297"/>
      <c r="BV286" s="297"/>
      <c r="BW286" s="297"/>
      <c r="BX286" s="297"/>
      <c r="BY286" s="297"/>
      <c r="BZ286" s="297"/>
      <c r="CA286" s="297"/>
      <c r="CB286" s="297"/>
      <c r="CC286" s="297"/>
      <c r="CD286" s="297"/>
      <c r="CE286" s="297"/>
      <c r="CF286" s="297"/>
      <c r="CG286" s="297"/>
    </row>
    <row r="287" spans="1:85" ht="12" customHeight="1" outlineLevel="4">
      <c r="A287" s="288"/>
      <c r="B287" s="288"/>
      <c r="C287" s="288">
        <v>5</v>
      </c>
      <c r="D287" s="291" t="s">
        <v>2557</v>
      </c>
      <c r="E287" s="246"/>
      <c r="F287" s="246"/>
      <c r="G287" s="246"/>
      <c r="H287" s="246"/>
      <c r="I287" s="244" t="s">
        <v>2129</v>
      </c>
      <c r="J287" s="244"/>
      <c r="K287" s="244"/>
      <c r="L287" s="244"/>
      <c r="M287" s="244"/>
      <c r="N287" s="244"/>
      <c r="O287" s="244"/>
      <c r="P287" s="243">
        <v>45968</v>
      </c>
      <c r="Q287" s="243">
        <v>45975</v>
      </c>
      <c r="R287" s="246"/>
      <c r="S287" s="247">
        <v>6</v>
      </c>
      <c r="T287" s="247">
        <v>6</v>
      </c>
      <c r="U287" s="247">
        <v>6</v>
      </c>
      <c r="V287" s="247">
        <v>6</v>
      </c>
      <c r="W287" s="248"/>
      <c r="X287" s="248"/>
      <c r="Y287" s="265"/>
      <c r="Z287" s="266">
        <v>0</v>
      </c>
      <c r="AA287" s="247">
        <v>1</v>
      </c>
      <c r="AB287" s="246"/>
      <c r="AC287" s="264"/>
      <c r="AD287" s="240">
        <v>1</v>
      </c>
      <c r="AE287" s="330">
        <v>1</v>
      </c>
      <c r="AF287" s="296"/>
      <c r="AG287" s="297"/>
      <c r="AH287" s="297"/>
      <c r="AI287" s="297"/>
      <c r="AJ287" s="297"/>
      <c r="AK287" s="297"/>
      <c r="AL287" s="297"/>
      <c r="AM287" s="297"/>
      <c r="AN287" s="297"/>
      <c r="AO287" s="297"/>
      <c r="AP287" s="297"/>
      <c r="AQ287" s="297"/>
      <c r="AR287" s="297"/>
      <c r="AS287" s="297"/>
      <c r="AT287" s="297"/>
      <c r="AU287" s="297"/>
      <c r="AV287" s="297"/>
      <c r="AW287" s="297"/>
      <c r="AX287" s="297"/>
      <c r="AY287" s="297"/>
      <c r="AZ287" s="297"/>
      <c r="BA287" s="297"/>
      <c r="BB287" s="297"/>
      <c r="BC287" s="297"/>
      <c r="BD287" s="297"/>
      <c r="BE287" s="297"/>
      <c r="BF287" s="297"/>
      <c r="BG287" s="297"/>
      <c r="BH287" s="297"/>
      <c r="BI287" s="297"/>
      <c r="BJ287" s="297"/>
      <c r="BK287" s="297"/>
      <c r="BL287" s="297"/>
      <c r="BM287" s="297"/>
      <c r="BN287" s="297"/>
      <c r="BO287" s="297"/>
      <c r="BP287" s="297"/>
      <c r="BQ287" s="297"/>
      <c r="BR287" s="297" t="str">
        <f>"      " &amp; TEXT(AE287,"#0.00%") &amp; " " &amp; "정책/모델/운영 산출물 종합 정리" &amp; " " &amp; IF(P287="","",TEXT(P287,"M/D-")) &amp; IF(Q287="","",TEXT(Q287,"M/D")) &amp; " "</f>
        <v xml:space="preserve">      100.00% 정책/모델/운영 산출물 종합 정리 11/7-11/14 </v>
      </c>
      <c r="BS287" s="297"/>
      <c r="BT287" s="297"/>
      <c r="BU287" s="297"/>
      <c r="BV287" s="297"/>
      <c r="BW287" s="297"/>
      <c r="BX287" s="297"/>
      <c r="BY287" s="297"/>
      <c r="BZ287" s="297"/>
      <c r="CA287" s="297"/>
      <c r="CB287" s="297"/>
      <c r="CC287" s="297"/>
      <c r="CD287" s="297"/>
      <c r="CE287" s="297"/>
      <c r="CF287" s="297"/>
      <c r="CG287" s="297"/>
    </row>
    <row r="288" spans="1:85" ht="12" customHeight="1" outlineLevel="4">
      <c r="A288" s="288"/>
      <c r="B288" s="288"/>
      <c r="C288" s="288">
        <v>5</v>
      </c>
      <c r="D288" s="291" t="s">
        <v>2559</v>
      </c>
      <c r="E288" s="246"/>
      <c r="F288" s="246"/>
      <c r="G288" s="246"/>
      <c r="H288" s="246"/>
      <c r="I288" s="244" t="s">
        <v>2562</v>
      </c>
      <c r="J288" s="244"/>
      <c r="K288" s="244"/>
      <c r="L288" s="244"/>
      <c r="M288" s="244"/>
      <c r="N288" s="244"/>
      <c r="O288" s="244"/>
      <c r="P288" s="243">
        <v>45968</v>
      </c>
      <c r="Q288" s="243">
        <v>45975</v>
      </c>
      <c r="R288" s="246"/>
      <c r="S288" s="247">
        <v>6</v>
      </c>
      <c r="T288" s="247">
        <v>6</v>
      </c>
      <c r="U288" s="247">
        <v>6</v>
      </c>
      <c r="V288" s="247">
        <v>6</v>
      </c>
      <c r="W288" s="248"/>
      <c r="X288" s="248"/>
      <c r="Y288" s="265"/>
      <c r="Z288" s="266">
        <v>0</v>
      </c>
      <c r="AA288" s="247">
        <v>1</v>
      </c>
      <c r="AB288" s="246"/>
      <c r="AC288" s="264"/>
      <c r="AD288" s="240">
        <v>1</v>
      </c>
      <c r="AE288" s="330">
        <v>1</v>
      </c>
      <c r="AF288" s="296"/>
      <c r="AG288" s="297"/>
      <c r="AH288" s="297"/>
      <c r="AI288" s="297"/>
      <c r="AJ288" s="297"/>
      <c r="AK288" s="297"/>
      <c r="AL288" s="297"/>
      <c r="AM288" s="297"/>
      <c r="AN288" s="297"/>
      <c r="AO288" s="297"/>
      <c r="AP288" s="297"/>
      <c r="AQ288" s="297"/>
      <c r="AR288" s="297"/>
      <c r="AS288" s="297"/>
      <c r="AT288" s="297"/>
      <c r="AU288" s="297"/>
      <c r="AV288" s="297"/>
      <c r="AW288" s="297"/>
      <c r="AX288" s="297"/>
      <c r="AY288" s="297"/>
      <c r="AZ288" s="297"/>
      <c r="BA288" s="297"/>
      <c r="BB288" s="297"/>
      <c r="BC288" s="297"/>
      <c r="BD288" s="297"/>
      <c r="BE288" s="297"/>
      <c r="BF288" s="297"/>
      <c r="BG288" s="297"/>
      <c r="BH288" s="297"/>
      <c r="BI288" s="297"/>
      <c r="BJ288" s="297"/>
      <c r="BK288" s="297"/>
      <c r="BL288" s="297"/>
      <c r="BM288" s="297"/>
      <c r="BN288" s="297"/>
      <c r="BO288" s="297"/>
      <c r="BP288" s="297"/>
      <c r="BQ288" s="297"/>
      <c r="BR288" s="297" t="str">
        <f>"      " &amp; TEXT(AE288,"#0.00%") &amp; " " &amp; "인수인계 문서 작성" &amp; " " &amp; IF(P288="","",TEXT(P288,"M/D-")) &amp; IF(Q288="","",TEXT(Q288,"M/D")) &amp; " "</f>
        <v xml:space="preserve">      100.00% 인수인계 문서 작성 11/7-11/14 </v>
      </c>
      <c r="BS288" s="297"/>
      <c r="BT288" s="297"/>
      <c r="BU288" s="297"/>
      <c r="BV288" s="297"/>
      <c r="BW288" s="297"/>
      <c r="BX288" s="297"/>
      <c r="BY288" s="297"/>
      <c r="BZ288" s="297"/>
      <c r="CA288" s="297"/>
      <c r="CB288" s="297"/>
      <c r="CC288" s="297"/>
      <c r="CD288" s="297"/>
      <c r="CE288" s="297"/>
      <c r="CF288" s="297"/>
      <c r="CG288" s="297"/>
    </row>
    <row r="289" spans="1:85" ht="12" customHeight="1" outlineLevel="4">
      <c r="A289" s="288"/>
      <c r="B289" s="288"/>
      <c r="C289" s="288">
        <v>5</v>
      </c>
      <c r="D289" s="313" t="s">
        <v>2560</v>
      </c>
      <c r="E289" s="314"/>
      <c r="F289" s="314"/>
      <c r="G289" s="314"/>
      <c r="H289" s="314"/>
      <c r="I289" s="244" t="s">
        <v>2561</v>
      </c>
      <c r="J289" s="244"/>
      <c r="K289" s="244"/>
      <c r="L289" s="244"/>
      <c r="M289" s="244"/>
      <c r="N289" s="244"/>
      <c r="O289" s="244" t="s">
        <v>2558</v>
      </c>
      <c r="P289" s="243">
        <v>45968</v>
      </c>
      <c r="Q289" s="243">
        <v>45975</v>
      </c>
      <c r="R289" s="244"/>
      <c r="S289" s="242">
        <v>0.60000000000000009</v>
      </c>
      <c r="T289" s="242">
        <v>0.60000000000000009</v>
      </c>
      <c r="U289" s="242">
        <v>6</v>
      </c>
      <c r="V289" s="242">
        <v>6</v>
      </c>
      <c r="W289" s="243"/>
      <c r="X289" s="243"/>
      <c r="Y289" s="251"/>
      <c r="Z289" s="252">
        <v>0</v>
      </c>
      <c r="AA289" s="242">
        <v>0.1</v>
      </c>
      <c r="AB289" s="246" t="s">
        <v>1844</v>
      </c>
      <c r="AC289" s="311" t="s">
        <v>2195</v>
      </c>
      <c r="AD289" s="239">
        <v>1</v>
      </c>
      <c r="AE289" s="330">
        <v>1</v>
      </c>
      <c r="AF289" s="296"/>
      <c r="AG289" s="297"/>
      <c r="AH289" s="297"/>
      <c r="AI289" s="297"/>
      <c r="AJ289" s="297"/>
      <c r="AK289" s="297"/>
      <c r="AL289" s="297"/>
      <c r="AM289" s="297"/>
      <c r="AN289" s="297"/>
      <c r="AO289" s="297"/>
      <c r="AP289" s="297"/>
      <c r="AQ289" s="297"/>
      <c r="AR289" s="297"/>
      <c r="AS289" s="297"/>
      <c r="AT289" s="297"/>
      <c r="AU289" s="297"/>
      <c r="AV289" s="297"/>
      <c r="AW289" s="297"/>
      <c r="AX289" s="297"/>
      <c r="AY289" s="297"/>
      <c r="AZ289" s="297"/>
      <c r="BA289" s="297"/>
      <c r="BB289" s="297"/>
      <c r="BC289" s="297"/>
      <c r="BD289" s="297"/>
      <c r="BE289" s="297"/>
      <c r="BF289" s="297"/>
      <c r="BG289" s="297"/>
      <c r="BH289" s="297"/>
      <c r="BI289" s="297"/>
      <c r="BJ289" s="297"/>
      <c r="BK289" s="297"/>
      <c r="BL289" s="297"/>
      <c r="BM289" s="297"/>
      <c r="BN289" s="297"/>
      <c r="BO289" s="297"/>
      <c r="BP289" s="297"/>
      <c r="BQ289" s="297"/>
      <c r="BR289" s="297" t="str">
        <f>"      " &amp; TEXT(AE289,"#0.00%") &amp; " " &amp; "최종 인수인계" &amp; "(유운오님)" &amp; " " &amp; IF(P289="","",TEXT(P289,"M/D-")) &amp; IF(Q289="","",TEXT(Q289,"M/D")) &amp; " "</f>
        <v xml:space="preserve">      100.00% 최종 인수인계(유운오님) 11/7-11/14 </v>
      </c>
      <c r="BS289" s="297"/>
      <c r="BT289" s="297"/>
      <c r="BU289" s="297"/>
      <c r="BV289" s="297"/>
      <c r="BW289" s="297"/>
      <c r="BX289" s="297"/>
      <c r="BY289" s="297"/>
      <c r="BZ289" s="297"/>
      <c r="CA289" s="297"/>
      <c r="CB289" s="297"/>
      <c r="CC289" s="297"/>
      <c r="CD289" s="297"/>
      <c r="CE289" s="297"/>
      <c r="CF289" s="297"/>
      <c r="CG289" s="297"/>
    </row>
    <row r="290" spans="1:85">
      <c r="A290" s="288"/>
      <c r="B290" s="288" t="s">
        <v>2334</v>
      </c>
      <c r="C290" s="288">
        <v>1</v>
      </c>
      <c r="D290" s="313" t="s">
        <v>1465</v>
      </c>
      <c r="E290" s="314" t="s">
        <v>1584</v>
      </c>
      <c r="F290" s="314"/>
      <c r="G290" s="314"/>
      <c r="H290" s="314"/>
      <c r="I290" s="314"/>
      <c r="J290" s="314"/>
      <c r="K290" s="314"/>
      <c r="L290" s="314"/>
      <c r="M290" s="314"/>
      <c r="N290" s="314"/>
      <c r="O290" s="314"/>
      <c r="P290" s="243">
        <v>45705</v>
      </c>
      <c r="Q290" s="243">
        <v>45898</v>
      </c>
      <c r="R290" s="246"/>
      <c r="S290" s="247">
        <v>5558.5</v>
      </c>
      <c r="T290" s="247">
        <v>5558.5</v>
      </c>
      <c r="U290" s="247">
        <v>134</v>
      </c>
      <c r="V290" s="247">
        <v>134</v>
      </c>
      <c r="W290" s="248"/>
      <c r="X290" s="248"/>
      <c r="Y290" s="265">
        <v>0</v>
      </c>
      <c r="Z290" s="266">
        <v>0</v>
      </c>
      <c r="AA290" s="247"/>
      <c r="AB290" s="246" t="s">
        <v>1844</v>
      </c>
      <c r="AC290" s="312" t="s">
        <v>2194</v>
      </c>
      <c r="AD290" s="240">
        <v>1</v>
      </c>
      <c r="AE290" s="241">
        <v>1</v>
      </c>
      <c r="AF290" s="296"/>
      <c r="AG290" s="297"/>
      <c r="AH290" s="297"/>
      <c r="AI290" s="297"/>
      <c r="AJ290" s="297"/>
      <c r="AK290" s="297"/>
      <c r="AL290" s="297"/>
      <c r="AM290" s="297"/>
      <c r="AN290" s="297"/>
      <c r="AO290" s="297"/>
      <c r="AP290" s="297"/>
      <c r="AQ290" s="297"/>
      <c r="AR290" s="297"/>
      <c r="AS290" s="297"/>
      <c r="AT290" s="297"/>
      <c r="AU290" s="297"/>
      <c r="AV290" s="297"/>
      <c r="AW290" s="297"/>
      <c r="AX290" s="297"/>
      <c r="AY290" s="297"/>
      <c r="AZ290" s="297"/>
      <c r="BA290" s="297"/>
      <c r="BB290" s="297"/>
      <c r="BC290" s="297"/>
      <c r="BD290" s="297"/>
      <c r="BE290" s="297"/>
      <c r="BF290" s="297"/>
      <c r="BG290" s="297" t="str">
        <f>"      " &amp; TEXT(AE290,"#0.00%") &amp; " " &amp; "시스템 구축" &amp; "(유운오님)" &amp; " " &amp; IF(P290="","",TEXT(P290,"M/D-")) &amp; IF(Q290="","",TEXT(Q290,"M/D")) &amp; " "</f>
        <v xml:space="preserve">      100.00% 시스템 구축(유운오님) 2/17-8/29 </v>
      </c>
      <c r="BH290" s="297"/>
      <c r="BI290" s="297"/>
      <c r="BJ290" s="297"/>
      <c r="BK290" s="297"/>
      <c r="BL290" s="297"/>
      <c r="BM290" s="297"/>
      <c r="BN290" s="297"/>
      <c r="BO290" s="297"/>
      <c r="BP290" s="297"/>
      <c r="BQ290" s="297"/>
      <c r="BR290" s="297"/>
      <c r="BS290" s="297"/>
      <c r="BT290" s="297"/>
      <c r="BU290" s="297"/>
      <c r="BV290" s="297"/>
      <c r="BW290" s="297"/>
      <c r="BX290" s="297"/>
      <c r="BY290" s="297"/>
      <c r="BZ290" s="297"/>
      <c r="CA290" s="297"/>
      <c r="CB290" s="297"/>
      <c r="CC290" s="297"/>
      <c r="CD290" s="297"/>
      <c r="CE290" s="297"/>
      <c r="CF290" s="297"/>
      <c r="CG290" s="297"/>
    </row>
    <row r="291" spans="1:85" ht="12" customHeight="1" outlineLevel="1">
      <c r="A291" s="288"/>
      <c r="B291" s="288" t="s">
        <v>2334</v>
      </c>
      <c r="C291" s="288">
        <v>2</v>
      </c>
      <c r="D291" s="291" t="s">
        <v>1696</v>
      </c>
      <c r="E291" s="246"/>
      <c r="F291" s="246" t="s">
        <v>1583</v>
      </c>
      <c r="G291" s="244"/>
      <c r="H291" s="244"/>
      <c r="I291" s="244"/>
      <c r="J291" s="244"/>
      <c r="K291" s="244"/>
      <c r="L291" s="244"/>
      <c r="M291" s="244"/>
      <c r="N291" s="244"/>
      <c r="O291" s="244"/>
      <c r="P291" s="243">
        <v>45705</v>
      </c>
      <c r="Q291" s="243">
        <v>45898</v>
      </c>
      <c r="R291" s="246"/>
      <c r="S291" s="247">
        <v>2238</v>
      </c>
      <c r="T291" s="247">
        <v>2238</v>
      </c>
      <c r="U291" s="247">
        <v>134</v>
      </c>
      <c r="V291" s="247">
        <v>134</v>
      </c>
      <c r="W291" s="248"/>
      <c r="X291" s="248"/>
      <c r="Y291" s="265">
        <v>0</v>
      </c>
      <c r="Z291" s="266">
        <v>0</v>
      </c>
      <c r="AA291" s="247"/>
      <c r="AB291" s="246"/>
      <c r="AC291" s="264"/>
      <c r="AD291" s="240">
        <v>1</v>
      </c>
      <c r="AE291" s="241">
        <v>1</v>
      </c>
      <c r="AF291" s="296"/>
      <c r="AG291" s="297"/>
      <c r="AH291" s="297"/>
      <c r="AI291" s="297"/>
      <c r="AJ291" s="297"/>
      <c r="AK291" s="297"/>
      <c r="AL291" s="297"/>
      <c r="AM291" s="297"/>
      <c r="AN291" s="297"/>
      <c r="AO291" s="297"/>
      <c r="AP291" s="297"/>
      <c r="AQ291" s="297"/>
      <c r="AR291" s="297"/>
      <c r="AS291" s="297"/>
      <c r="AT291" s="297"/>
      <c r="AU291" s="297"/>
      <c r="AV291" s="297"/>
      <c r="AW291" s="297"/>
      <c r="AX291" s="297"/>
      <c r="AY291" s="297"/>
      <c r="AZ291" s="297"/>
      <c r="BA291" s="297"/>
      <c r="BB291" s="297"/>
      <c r="BC291" s="297"/>
      <c r="BD291" s="297"/>
      <c r="BE291" s="297"/>
      <c r="BF291" s="297"/>
      <c r="BG291" s="297" t="str">
        <f>"      " &amp; TEXT(AE291,"#0.00%") &amp; " " &amp; "POS 구축" &amp; " " &amp; IF(P291="","",TEXT(P291,"M/D-")) &amp; IF(Q291="","",TEXT(Q291,"M/D")) &amp; " "</f>
        <v xml:space="preserve">      100.00% POS 구축 2/17-8/29 </v>
      </c>
      <c r="BH291" s="297"/>
      <c r="BI291" s="297"/>
      <c r="BJ291" s="297"/>
      <c r="BK291" s="297"/>
      <c r="BL291" s="297"/>
      <c r="BM291" s="297"/>
      <c r="BN291" s="297"/>
      <c r="BO291" s="297"/>
      <c r="BP291" s="297"/>
      <c r="BQ291" s="297"/>
      <c r="BR291" s="297"/>
      <c r="BS291" s="297"/>
      <c r="BT291" s="297"/>
      <c r="BU291" s="297"/>
      <c r="BV291" s="297"/>
      <c r="BW291" s="297"/>
      <c r="BX291" s="297"/>
      <c r="BY291" s="297"/>
      <c r="BZ291" s="297"/>
      <c r="CA291" s="297"/>
      <c r="CB291" s="297"/>
      <c r="CC291" s="297"/>
      <c r="CD291" s="297"/>
      <c r="CE291" s="297"/>
      <c r="CF291" s="297"/>
      <c r="CG291" s="297"/>
    </row>
    <row r="292" spans="1:85" ht="12" customHeight="1" outlineLevel="2">
      <c r="A292" s="288"/>
      <c r="B292" s="288" t="s">
        <v>2334</v>
      </c>
      <c r="C292" s="288">
        <v>3</v>
      </c>
      <c r="D292" s="291" t="s">
        <v>1697</v>
      </c>
      <c r="E292" s="246"/>
      <c r="F292" s="246"/>
      <c r="G292" s="244" t="s">
        <v>1424</v>
      </c>
      <c r="H292" s="244"/>
      <c r="I292" s="244"/>
      <c r="J292" s="244"/>
      <c r="K292" s="244"/>
      <c r="L292" s="244"/>
      <c r="M292" s="244"/>
      <c r="N292" s="244"/>
      <c r="O292" s="244"/>
      <c r="P292" s="243">
        <v>45705</v>
      </c>
      <c r="Q292" s="243">
        <v>45762</v>
      </c>
      <c r="R292" s="246"/>
      <c r="S292" s="247">
        <v>71</v>
      </c>
      <c r="T292" s="247">
        <v>71</v>
      </c>
      <c r="U292" s="247">
        <v>41</v>
      </c>
      <c r="V292" s="247">
        <v>41</v>
      </c>
      <c r="W292" s="248"/>
      <c r="X292" s="248"/>
      <c r="Y292" s="265">
        <v>0</v>
      </c>
      <c r="Z292" s="266">
        <v>0</v>
      </c>
      <c r="AA292" s="247"/>
      <c r="AB292" s="246" t="s">
        <v>1844</v>
      </c>
      <c r="AC292" s="316" t="s">
        <v>2198</v>
      </c>
      <c r="AD292" s="240">
        <v>1</v>
      </c>
      <c r="AE292" s="328">
        <v>1</v>
      </c>
      <c r="AF292" s="296"/>
      <c r="AG292" s="297"/>
      <c r="AH292" s="297"/>
      <c r="AI292" s="297"/>
      <c r="AJ292" s="297"/>
      <c r="AK292" s="297"/>
      <c r="AL292" s="297"/>
      <c r="AM292" s="297"/>
      <c r="AN292" s="297" t="str">
        <f>"   " &amp; TEXT(AE292,"#0.00%") &amp; " " &amp; "분석" &amp; "(유운오님)" &amp; " " &amp; IF(P292="","",TEXT(P292,"M/D-")) &amp; IF(Q292="","",TEXT(Q292,"M/D")) &amp; " "</f>
        <v xml:space="preserve">   100.00% 분석(유운오님) 2/17-4/15 </v>
      </c>
      <c r="AO292" s="297"/>
      <c r="AP292" s="297"/>
      <c r="AQ292" s="297"/>
      <c r="AR292" s="297"/>
      <c r="AS292" s="297"/>
      <c r="AT292" s="297"/>
      <c r="AU292" s="297"/>
      <c r="AV292" s="297"/>
      <c r="AW292" s="297"/>
      <c r="AX292" s="297"/>
      <c r="AY292" s="297"/>
      <c r="AZ292" s="297"/>
      <c r="BA292" s="297"/>
      <c r="BB292" s="297"/>
      <c r="BC292" s="297"/>
      <c r="BD292" s="297"/>
      <c r="BE292" s="297"/>
      <c r="BF292" s="297"/>
      <c r="BG292" s="297"/>
      <c r="BH292" s="297"/>
      <c r="BI292" s="297"/>
      <c r="BJ292" s="297"/>
      <c r="BK292" s="297"/>
      <c r="BL292" s="297"/>
      <c r="BM292" s="297"/>
      <c r="BN292" s="297"/>
      <c r="BO292" s="297"/>
      <c r="BP292" s="297"/>
      <c r="BQ292" s="297"/>
      <c r="BR292" s="297"/>
      <c r="BS292" s="297"/>
      <c r="BT292" s="297"/>
      <c r="BU292" s="297"/>
      <c r="BV292" s="297"/>
      <c r="BW292" s="297"/>
      <c r="BX292" s="297"/>
      <c r="BY292" s="297"/>
      <c r="BZ292" s="297"/>
      <c r="CA292" s="297"/>
      <c r="CB292" s="297"/>
      <c r="CC292" s="297"/>
      <c r="CD292" s="297"/>
      <c r="CE292" s="297"/>
      <c r="CF292" s="297"/>
      <c r="CG292" s="297"/>
    </row>
    <row r="293" spans="1:85" ht="12" customHeight="1" outlineLevel="3">
      <c r="A293" s="288"/>
      <c r="B293" s="288"/>
      <c r="C293" s="288">
        <v>4</v>
      </c>
      <c r="D293" s="291" t="s">
        <v>1808</v>
      </c>
      <c r="E293" s="246"/>
      <c r="F293" s="246"/>
      <c r="G293" s="244"/>
      <c r="H293" s="244" t="s">
        <v>2188</v>
      </c>
      <c r="I293" s="244"/>
      <c r="J293" s="244"/>
      <c r="K293" s="244"/>
      <c r="L293" s="244"/>
      <c r="M293" s="244"/>
      <c r="N293" s="244"/>
      <c r="O293" s="244"/>
      <c r="P293" s="243">
        <v>45705</v>
      </c>
      <c r="Q293" s="243">
        <v>45747</v>
      </c>
      <c r="R293" s="246"/>
      <c r="S293" s="247">
        <v>30</v>
      </c>
      <c r="T293" s="247">
        <v>30</v>
      </c>
      <c r="U293" s="247">
        <v>30</v>
      </c>
      <c r="V293" s="247">
        <v>30</v>
      </c>
      <c r="W293" s="248"/>
      <c r="X293" s="248"/>
      <c r="Y293" s="265"/>
      <c r="Z293" s="266">
        <v>0</v>
      </c>
      <c r="AA293" s="247">
        <v>1</v>
      </c>
      <c r="AB293" s="246" t="s">
        <v>1845</v>
      </c>
      <c r="AC293" s="264"/>
      <c r="AD293" s="240">
        <v>1</v>
      </c>
      <c r="AE293" s="330">
        <v>1</v>
      </c>
      <c r="AF293" s="296"/>
      <c r="AG293" s="297"/>
      <c r="AH293" s="297"/>
      <c r="AI293" s="297"/>
      <c r="AJ293" s="297"/>
      <c r="AK293" s="297"/>
      <c r="AL293" s="297" t="str">
        <f>"  " &amp; TEXT(AE293,"#0.00%") &amp; " " &amp; "기능목록 정의(Product Backlog)" &amp; "(문강우님)" &amp; " " &amp; IF(P293="","",TEXT(P293,"M/D-")) &amp; IF(Q293="","",TEXT(Q293,"M/D")) &amp; " "</f>
        <v xml:space="preserve">  100.00% 기능목록 정의(Product Backlog)(문강우님) 2/17-3/31 </v>
      </c>
      <c r="AM293" s="297"/>
      <c r="AN293" s="297"/>
      <c r="AO293" s="297"/>
      <c r="AP293" s="297"/>
      <c r="AQ293" s="297"/>
      <c r="AR293" s="297"/>
      <c r="AS293" s="297"/>
      <c r="AT293" s="297"/>
      <c r="AU293" s="297"/>
      <c r="AV293" s="297"/>
      <c r="AW293" s="297"/>
      <c r="AX293" s="297"/>
      <c r="AY293" s="297"/>
      <c r="AZ293" s="297"/>
      <c r="BA293" s="297"/>
      <c r="BB293" s="297"/>
      <c r="BC293" s="297"/>
      <c r="BD293" s="297"/>
      <c r="BE293" s="297"/>
      <c r="BF293" s="297"/>
      <c r="BG293" s="297"/>
      <c r="BH293" s="297"/>
      <c r="BI293" s="297"/>
      <c r="BJ293" s="297"/>
      <c r="BK293" s="297"/>
      <c r="BL293" s="297"/>
      <c r="BM293" s="297"/>
      <c r="BN293" s="297"/>
      <c r="BO293" s="297"/>
      <c r="BP293" s="297"/>
      <c r="BQ293" s="297"/>
      <c r="BR293" s="297"/>
      <c r="BS293" s="297"/>
      <c r="BT293" s="297"/>
      <c r="BU293" s="297"/>
      <c r="BV293" s="297"/>
      <c r="BW293" s="297"/>
      <c r="BX293" s="297"/>
      <c r="BY293" s="297"/>
      <c r="BZ293" s="297"/>
      <c r="CA293" s="297"/>
      <c r="CB293" s="297"/>
      <c r="CC293" s="297"/>
      <c r="CD293" s="297"/>
      <c r="CE293" s="297"/>
      <c r="CF293" s="297"/>
      <c r="CG293" s="297"/>
    </row>
    <row r="294" spans="1:85" ht="12" customHeight="1" outlineLevel="3">
      <c r="A294" s="288"/>
      <c r="B294" s="288"/>
      <c r="C294" s="288">
        <v>4</v>
      </c>
      <c r="D294" s="291" t="s">
        <v>1809</v>
      </c>
      <c r="E294" s="246"/>
      <c r="F294" s="246"/>
      <c r="G294" s="244"/>
      <c r="H294" s="244" t="s">
        <v>2189</v>
      </c>
      <c r="I294" s="244"/>
      <c r="J294" s="244"/>
      <c r="K294" s="244"/>
      <c r="L294" s="244"/>
      <c r="M294" s="244"/>
      <c r="N294" s="244"/>
      <c r="O294" s="244"/>
      <c r="P294" s="243">
        <v>45705</v>
      </c>
      <c r="Q294" s="243">
        <v>45762</v>
      </c>
      <c r="R294" s="246"/>
      <c r="S294" s="247">
        <v>41</v>
      </c>
      <c r="T294" s="247">
        <v>41</v>
      </c>
      <c r="U294" s="247">
        <v>41</v>
      </c>
      <c r="V294" s="247">
        <v>41</v>
      </c>
      <c r="W294" s="248"/>
      <c r="X294" s="248"/>
      <c r="Y294" s="265"/>
      <c r="Z294" s="266">
        <v>0</v>
      </c>
      <c r="AA294" s="247">
        <v>1</v>
      </c>
      <c r="AB294" s="246" t="s">
        <v>1845</v>
      </c>
      <c r="AC294" s="264"/>
      <c r="AD294" s="240">
        <v>1</v>
      </c>
      <c r="AE294" s="330">
        <v>1</v>
      </c>
      <c r="AF294" s="296"/>
      <c r="AG294" s="297"/>
      <c r="AH294" s="297"/>
      <c r="AI294" s="297"/>
      <c r="AJ294" s="297"/>
      <c r="AK294" s="297"/>
      <c r="AL294" s="297"/>
      <c r="AM294" s="297"/>
      <c r="AN294" s="297" t="str">
        <f>"   " &amp; TEXT(AE294,"#0.00%") &amp; " " &amp; "요구사항 분석 및 용어정의" &amp; "(문강우님)" &amp; " " &amp; IF(P294="","",TEXT(P294,"M/D-")) &amp; IF(Q294="","",TEXT(Q294,"M/D")) &amp; " "</f>
        <v xml:space="preserve">   100.00% 요구사항 분석 및 용어정의(문강우님) 2/17-4/15 </v>
      </c>
      <c r="AO294" s="297"/>
      <c r="AP294" s="297"/>
      <c r="AQ294" s="297"/>
      <c r="AR294" s="297"/>
      <c r="AS294" s="297"/>
      <c r="AT294" s="297"/>
      <c r="AU294" s="297"/>
      <c r="AV294" s="297"/>
      <c r="AW294" s="297"/>
      <c r="AX294" s="297"/>
      <c r="AY294" s="297"/>
      <c r="AZ294" s="297"/>
      <c r="BA294" s="297"/>
      <c r="BB294" s="297"/>
      <c r="BC294" s="297"/>
      <c r="BD294" s="297"/>
      <c r="BE294" s="297"/>
      <c r="BF294" s="297"/>
      <c r="BG294" s="297"/>
      <c r="BH294" s="297"/>
      <c r="BI294" s="297"/>
      <c r="BJ294" s="297"/>
      <c r="BK294" s="297"/>
      <c r="BL294" s="297"/>
      <c r="BM294" s="297"/>
      <c r="BN294" s="297"/>
      <c r="BO294" s="297"/>
      <c r="BP294" s="297"/>
      <c r="BQ294" s="297"/>
      <c r="BR294" s="297"/>
      <c r="BS294" s="297"/>
      <c r="BT294" s="297"/>
      <c r="BU294" s="297"/>
      <c r="BV294" s="297"/>
      <c r="BW294" s="297"/>
      <c r="BX294" s="297"/>
      <c r="BY294" s="297"/>
      <c r="BZ294" s="297"/>
      <c r="CA294" s="297"/>
      <c r="CB294" s="297"/>
      <c r="CC294" s="297"/>
      <c r="CD294" s="297"/>
      <c r="CE294" s="297"/>
      <c r="CF294" s="297"/>
      <c r="CG294" s="297"/>
    </row>
    <row r="295" spans="1:85" ht="12" customHeight="1" outlineLevel="2">
      <c r="A295" s="288"/>
      <c r="B295" s="288" t="s">
        <v>2334</v>
      </c>
      <c r="C295" s="288">
        <v>3</v>
      </c>
      <c r="D295" s="291" t="s">
        <v>1698</v>
      </c>
      <c r="E295" s="246"/>
      <c r="F295" s="246"/>
      <c r="G295" s="244" t="s">
        <v>1427</v>
      </c>
      <c r="H295" s="244"/>
      <c r="I295" s="244"/>
      <c r="J295" s="244"/>
      <c r="K295" s="244"/>
      <c r="L295" s="244"/>
      <c r="M295" s="244"/>
      <c r="N295" s="244"/>
      <c r="O295" s="244"/>
      <c r="P295" s="243">
        <v>45733</v>
      </c>
      <c r="Q295" s="243">
        <v>45775</v>
      </c>
      <c r="R295" s="246"/>
      <c r="S295" s="247">
        <v>681</v>
      </c>
      <c r="T295" s="247">
        <v>681</v>
      </c>
      <c r="U295" s="247">
        <v>31</v>
      </c>
      <c r="V295" s="247">
        <v>31</v>
      </c>
      <c r="W295" s="248"/>
      <c r="X295" s="248"/>
      <c r="Y295" s="265">
        <v>0</v>
      </c>
      <c r="Z295" s="266">
        <v>0</v>
      </c>
      <c r="AA295" s="247"/>
      <c r="AB295" s="246" t="s">
        <v>1843</v>
      </c>
      <c r="AC295" s="317" t="s">
        <v>2196</v>
      </c>
      <c r="AD295" s="240">
        <v>1</v>
      </c>
      <c r="AE295" s="328">
        <v>1</v>
      </c>
      <c r="AF295" s="296"/>
      <c r="AG295" s="297"/>
      <c r="AH295" s="297"/>
      <c r="AI295" s="297"/>
      <c r="AJ295" s="297"/>
      <c r="AK295" s="297"/>
      <c r="AL295" s="297"/>
      <c r="AM295" s="297"/>
      <c r="AN295" s="297"/>
      <c r="AO295" s="297"/>
      <c r="AP295" s="297" t="str">
        <f>"  " &amp; TEXT(AE295,"#0.00%") &amp; " " &amp; "설계" &amp; "(류행석님)" &amp; " " &amp; IF(P295="","",TEXT(P295,"M/D-")) &amp; IF(Q295="","",TEXT(Q295,"M/D")) &amp; " "</f>
        <v xml:space="preserve">  100.00% 설계(류행석님) 3/17-4/28 </v>
      </c>
      <c r="AQ295" s="297"/>
      <c r="AR295" s="297"/>
      <c r="AS295" s="297"/>
      <c r="AT295" s="297"/>
      <c r="AU295" s="297"/>
      <c r="AV295" s="297"/>
      <c r="AW295" s="297"/>
      <c r="AX295" s="297"/>
      <c r="AY295" s="297"/>
      <c r="AZ295" s="297"/>
      <c r="BA295" s="297"/>
      <c r="BB295" s="297"/>
      <c r="BC295" s="297"/>
      <c r="BD295" s="297"/>
      <c r="BE295" s="297"/>
      <c r="BF295" s="297"/>
      <c r="BG295" s="297"/>
      <c r="BH295" s="297"/>
      <c r="BI295" s="297"/>
      <c r="BJ295" s="297"/>
      <c r="BK295" s="297"/>
      <c r="BL295" s="297"/>
      <c r="BM295" s="297"/>
      <c r="BN295" s="297"/>
      <c r="BO295" s="297"/>
      <c r="BP295" s="297"/>
      <c r="BQ295" s="297"/>
      <c r="BR295" s="297"/>
      <c r="BS295" s="297"/>
      <c r="BT295" s="297"/>
      <c r="BU295" s="297"/>
      <c r="BV295" s="297"/>
      <c r="BW295" s="297"/>
      <c r="BX295" s="297"/>
      <c r="BY295" s="297"/>
      <c r="BZ295" s="297"/>
      <c r="CA295" s="297"/>
      <c r="CB295" s="297"/>
      <c r="CC295" s="297"/>
      <c r="CD295" s="297"/>
      <c r="CE295" s="297"/>
      <c r="CF295" s="297"/>
      <c r="CG295" s="297"/>
    </row>
    <row r="296" spans="1:85" ht="12" customHeight="1" outlineLevel="3">
      <c r="A296" s="288"/>
      <c r="B296" s="288"/>
      <c r="C296" s="288">
        <v>4</v>
      </c>
      <c r="D296" s="291" t="s">
        <v>1860</v>
      </c>
      <c r="E296" s="246"/>
      <c r="F296" s="246"/>
      <c r="G296" s="244"/>
      <c r="H296" s="244" t="s">
        <v>1587</v>
      </c>
      <c r="I296" s="244"/>
      <c r="J296" s="244"/>
      <c r="K296" s="244"/>
      <c r="L296" s="244"/>
      <c r="M296" s="244"/>
      <c r="N296" s="244"/>
      <c r="O296" s="244"/>
      <c r="P296" s="243">
        <v>45733</v>
      </c>
      <c r="Q296" s="243">
        <v>45758</v>
      </c>
      <c r="R296" s="246"/>
      <c r="S296" s="247">
        <v>100</v>
      </c>
      <c r="T296" s="247">
        <v>100</v>
      </c>
      <c r="U296" s="247">
        <v>20</v>
      </c>
      <c r="V296" s="247">
        <v>20</v>
      </c>
      <c r="W296" s="248"/>
      <c r="X296" s="248"/>
      <c r="Y296" s="265"/>
      <c r="Z296" s="266">
        <v>0</v>
      </c>
      <c r="AA296" s="247">
        <v>5</v>
      </c>
      <c r="AB296" s="246" t="s">
        <v>1843</v>
      </c>
      <c r="AC296" s="311" t="s">
        <v>2197</v>
      </c>
      <c r="AD296" s="240">
        <v>1</v>
      </c>
      <c r="AE296" s="330">
        <v>1</v>
      </c>
      <c r="AF296" s="296"/>
      <c r="AG296" s="297"/>
      <c r="AH296" s="297"/>
      <c r="AI296" s="297"/>
      <c r="AJ296" s="297"/>
      <c r="AK296" s="297"/>
      <c r="AL296" s="297"/>
      <c r="AM296" s="297" t="str">
        <f>"      " &amp; TEXT(AE296,"#0.00%") &amp; " " &amp; "기획" &amp; "(류행석님)" &amp; " " &amp; IF(P296="","",TEXT(P296,"M/D-")) &amp; IF(Q296="","",TEXT(Q296,"M/D")) &amp; " "</f>
        <v xml:space="preserve">      100.00% 기획(류행석님) 3/17-4/11 </v>
      </c>
      <c r="AN296" s="297"/>
      <c r="AO296" s="297"/>
      <c r="AP296" s="297"/>
      <c r="AQ296" s="297"/>
      <c r="AR296" s="297"/>
      <c r="AS296" s="297"/>
      <c r="AT296" s="297"/>
      <c r="AU296" s="297"/>
      <c r="AV296" s="297"/>
      <c r="AW296" s="297"/>
      <c r="AX296" s="297"/>
      <c r="AY296" s="297"/>
      <c r="AZ296" s="297"/>
      <c r="BA296" s="297"/>
      <c r="BB296" s="297"/>
      <c r="BC296" s="297"/>
      <c r="BD296" s="297"/>
      <c r="BE296" s="297"/>
      <c r="BF296" s="297"/>
      <c r="BG296" s="297"/>
      <c r="BH296" s="297"/>
      <c r="BI296" s="297"/>
      <c r="BJ296" s="297"/>
      <c r="BK296" s="297"/>
      <c r="BL296" s="297"/>
      <c r="BM296" s="297"/>
      <c r="BN296" s="297"/>
      <c r="BO296" s="297"/>
      <c r="BP296" s="297"/>
      <c r="BQ296" s="297"/>
      <c r="BR296" s="297"/>
      <c r="BS296" s="297"/>
      <c r="BT296" s="297"/>
      <c r="BU296" s="297"/>
      <c r="BV296" s="297"/>
      <c r="BW296" s="297"/>
      <c r="BX296" s="297"/>
      <c r="BY296" s="297"/>
      <c r="BZ296" s="297"/>
      <c r="CA296" s="297"/>
      <c r="CB296" s="297"/>
      <c r="CC296" s="297"/>
      <c r="CD296" s="297"/>
      <c r="CE296" s="297"/>
      <c r="CF296" s="297"/>
      <c r="CG296" s="297"/>
    </row>
    <row r="297" spans="1:85" ht="12" customHeight="1" outlineLevel="3">
      <c r="A297" s="288"/>
      <c r="B297" s="288"/>
      <c r="C297" s="288">
        <v>4</v>
      </c>
      <c r="D297" s="291" t="s">
        <v>1861</v>
      </c>
      <c r="E297" s="246"/>
      <c r="F297" s="246"/>
      <c r="G297" s="244"/>
      <c r="H297" s="244" t="s">
        <v>2048</v>
      </c>
      <c r="I297" s="244"/>
      <c r="J297" s="244"/>
      <c r="K297" s="244"/>
      <c r="L297" s="244"/>
      <c r="M297" s="244"/>
      <c r="N297" s="244"/>
      <c r="O297" s="244"/>
      <c r="P297" s="243">
        <v>45733</v>
      </c>
      <c r="Q297" s="243">
        <v>45765</v>
      </c>
      <c r="R297" s="246"/>
      <c r="S297" s="247">
        <v>50</v>
      </c>
      <c r="T297" s="247">
        <v>50</v>
      </c>
      <c r="U297" s="247">
        <v>25</v>
      </c>
      <c r="V297" s="247">
        <v>25</v>
      </c>
      <c r="W297" s="248"/>
      <c r="X297" s="248"/>
      <c r="Y297" s="265"/>
      <c r="Z297" s="266">
        <v>0</v>
      </c>
      <c r="AA297" s="247">
        <v>2</v>
      </c>
      <c r="AB297" s="246" t="s">
        <v>1843</v>
      </c>
      <c r="AC297" s="264"/>
      <c r="AD297" s="240">
        <v>1</v>
      </c>
      <c r="AE297" s="330">
        <v>1</v>
      </c>
      <c r="AF297" s="296"/>
      <c r="AG297" s="297"/>
      <c r="AH297" s="297"/>
      <c r="AI297" s="297"/>
      <c r="AJ297" s="297"/>
      <c r="AK297" s="297"/>
      <c r="AL297" s="297"/>
      <c r="AM297" s="297"/>
      <c r="AN297" s="297" t="str">
        <f>"      " &amp; TEXT(AE297,"#0.00%") &amp; " " &amp; "공통" &amp; "(류행석님)" &amp; " " &amp; IF(P297="","",TEXT(P297,"M/D-")) &amp; IF(Q297="","",TEXT(Q297,"M/D")) &amp; " "</f>
        <v xml:space="preserve">      100.00% 공통(류행석님) 3/17-4/18 </v>
      </c>
      <c r="AO297" s="297"/>
      <c r="AP297" s="297"/>
      <c r="AQ297" s="297"/>
      <c r="AR297" s="297"/>
      <c r="AS297" s="297"/>
      <c r="AT297" s="297"/>
      <c r="AU297" s="297"/>
      <c r="AV297" s="297"/>
      <c r="AW297" s="297"/>
      <c r="AX297" s="297"/>
      <c r="AY297" s="297"/>
      <c r="AZ297" s="297"/>
      <c r="BA297" s="297"/>
      <c r="BB297" s="297"/>
      <c r="BC297" s="297"/>
      <c r="BD297" s="297"/>
      <c r="BE297" s="297"/>
      <c r="BF297" s="297"/>
      <c r="BG297" s="297"/>
      <c r="BH297" s="297"/>
      <c r="BI297" s="297"/>
      <c r="BJ297" s="297"/>
      <c r="BK297" s="297"/>
      <c r="BL297" s="297"/>
      <c r="BM297" s="297"/>
      <c r="BN297" s="297"/>
      <c r="BO297" s="297"/>
      <c r="BP297" s="297"/>
      <c r="BQ297" s="297"/>
      <c r="BR297" s="297"/>
      <c r="BS297" s="297"/>
      <c r="BT297" s="297"/>
      <c r="BU297" s="297"/>
      <c r="BV297" s="297"/>
      <c r="BW297" s="297"/>
      <c r="BX297" s="297"/>
      <c r="BY297" s="297"/>
      <c r="BZ297" s="297"/>
      <c r="CA297" s="297"/>
      <c r="CB297" s="297"/>
      <c r="CC297" s="297"/>
      <c r="CD297" s="297"/>
      <c r="CE297" s="297"/>
      <c r="CF297" s="297"/>
      <c r="CG297" s="297"/>
    </row>
    <row r="298" spans="1:85" ht="12" customHeight="1" outlineLevel="3">
      <c r="A298" s="288"/>
      <c r="B298" s="288"/>
      <c r="C298" s="288">
        <v>4</v>
      </c>
      <c r="D298" s="291" t="s">
        <v>1862</v>
      </c>
      <c r="E298" s="246"/>
      <c r="F298" s="246"/>
      <c r="G298" s="244"/>
      <c r="H298" s="244" t="s">
        <v>2248</v>
      </c>
      <c r="I298" s="244"/>
      <c r="J298" s="244"/>
      <c r="K298" s="244"/>
      <c r="L298" s="244"/>
      <c r="M298" s="244"/>
      <c r="N298" s="244"/>
      <c r="O298" s="244"/>
      <c r="P298" s="243">
        <v>45733</v>
      </c>
      <c r="Q298" s="243">
        <v>45751</v>
      </c>
      <c r="R298" s="246"/>
      <c r="S298" s="247">
        <v>75</v>
      </c>
      <c r="T298" s="247">
        <v>75</v>
      </c>
      <c r="U298" s="247">
        <v>15</v>
      </c>
      <c r="V298" s="247">
        <v>15</v>
      </c>
      <c r="W298" s="248"/>
      <c r="X298" s="248"/>
      <c r="Y298" s="265"/>
      <c r="Z298" s="266">
        <v>0</v>
      </c>
      <c r="AA298" s="247">
        <v>5</v>
      </c>
      <c r="AB298" s="246" t="s">
        <v>1845</v>
      </c>
      <c r="AC298" s="311" t="s">
        <v>2197</v>
      </c>
      <c r="AD298" s="240">
        <v>1</v>
      </c>
      <c r="AE298" s="330">
        <v>1</v>
      </c>
      <c r="AF298" s="296"/>
      <c r="AG298" s="297"/>
      <c r="AH298" s="297"/>
      <c r="AI298" s="297"/>
      <c r="AJ298" s="297"/>
      <c r="AK298" s="297"/>
      <c r="AL298" s="297" t="str">
        <f>"      " &amp; TEXT(AE298,"#0.00%") &amp; " " &amp; "H/W연동" &amp; "(문강우님)" &amp; " " &amp; IF(P298="","",TEXT(P298,"M/D-")) &amp; IF(Q298="","",TEXT(Q298,"M/D")) &amp; " "</f>
        <v xml:space="preserve">      100.00% H/W연동(문강우님) 3/17-4/4 </v>
      </c>
      <c r="AM298" s="297"/>
      <c r="AN298" s="297"/>
      <c r="AO298" s="297"/>
      <c r="AP298" s="297"/>
      <c r="AQ298" s="297"/>
      <c r="AR298" s="297"/>
      <c r="AS298" s="297"/>
      <c r="AT298" s="297"/>
      <c r="AU298" s="297"/>
      <c r="AV298" s="297"/>
      <c r="AW298" s="297"/>
      <c r="AX298" s="297"/>
      <c r="AY298" s="297"/>
      <c r="AZ298" s="297"/>
      <c r="BA298" s="297"/>
      <c r="BB298" s="297"/>
      <c r="BC298" s="297"/>
      <c r="BD298" s="297"/>
      <c r="BE298" s="297"/>
      <c r="BF298" s="297"/>
      <c r="BG298" s="297"/>
      <c r="BH298" s="297"/>
      <c r="BI298" s="297"/>
      <c r="BJ298" s="297"/>
      <c r="BK298" s="297"/>
      <c r="BL298" s="297"/>
      <c r="BM298" s="297"/>
      <c r="BN298" s="297"/>
      <c r="BO298" s="297"/>
      <c r="BP298" s="297"/>
      <c r="BQ298" s="297"/>
      <c r="BR298" s="297"/>
      <c r="BS298" s="297"/>
      <c r="BT298" s="297"/>
      <c r="BU298" s="297"/>
      <c r="BV298" s="297"/>
      <c r="BW298" s="297"/>
      <c r="BX298" s="297"/>
      <c r="BY298" s="297"/>
      <c r="BZ298" s="297"/>
      <c r="CA298" s="297"/>
      <c r="CB298" s="297"/>
      <c r="CC298" s="297"/>
      <c r="CD298" s="297"/>
      <c r="CE298" s="297"/>
      <c r="CF298" s="297"/>
      <c r="CG298" s="297"/>
    </row>
    <row r="299" spans="1:85" ht="12" customHeight="1" outlineLevel="3">
      <c r="A299" s="288"/>
      <c r="B299" s="288"/>
      <c r="C299" s="288">
        <v>4</v>
      </c>
      <c r="D299" s="291" t="s">
        <v>1863</v>
      </c>
      <c r="E299" s="246"/>
      <c r="F299" s="246"/>
      <c r="G299" s="244"/>
      <c r="H299" s="244" t="s">
        <v>1825</v>
      </c>
      <c r="I299" s="244"/>
      <c r="J299" s="244"/>
      <c r="K299" s="244"/>
      <c r="L299" s="244"/>
      <c r="M299" s="244"/>
      <c r="N299" s="244"/>
      <c r="O299" s="244"/>
      <c r="P299" s="243">
        <v>45740</v>
      </c>
      <c r="Q299" s="243">
        <v>45765</v>
      </c>
      <c r="R299" s="246"/>
      <c r="S299" s="247">
        <v>40</v>
      </c>
      <c r="T299" s="247">
        <v>40</v>
      </c>
      <c r="U299" s="247">
        <v>20</v>
      </c>
      <c r="V299" s="247">
        <v>20</v>
      </c>
      <c r="W299" s="248"/>
      <c r="X299" s="248"/>
      <c r="Y299" s="265"/>
      <c r="Z299" s="266">
        <v>0</v>
      </c>
      <c r="AA299" s="247">
        <v>2</v>
      </c>
      <c r="AB299" s="246" t="s">
        <v>1844</v>
      </c>
      <c r="AC299" s="264"/>
      <c r="AD299" s="240">
        <v>1</v>
      </c>
      <c r="AE299" s="330">
        <v>1</v>
      </c>
      <c r="AF299" s="296"/>
      <c r="AG299" s="297"/>
      <c r="AH299" s="297"/>
      <c r="AI299" s="297"/>
      <c r="AJ299" s="297"/>
      <c r="AK299" s="297"/>
      <c r="AL299" s="297"/>
      <c r="AM299" s="297"/>
      <c r="AN299" s="297" t="str">
        <f>"      " &amp; TEXT(AE299,"#0.00%") &amp; " " &amp; "메인화면" &amp; "(유운오님)" &amp; " " &amp; IF(P299="","",TEXT(P299,"M/D-")) &amp; IF(Q299="","",TEXT(Q299,"M/D")) &amp; " "</f>
        <v xml:space="preserve">      100.00% 메인화면(유운오님) 3/24-4/18 </v>
      </c>
      <c r="AO299" s="297"/>
      <c r="AP299" s="297"/>
      <c r="AQ299" s="297"/>
      <c r="AR299" s="297"/>
      <c r="AS299" s="297"/>
      <c r="AT299" s="297"/>
      <c r="AU299" s="297"/>
      <c r="AV299" s="297"/>
      <c r="AW299" s="297"/>
      <c r="AX299" s="297"/>
      <c r="AY299" s="297"/>
      <c r="AZ299" s="297"/>
      <c r="BA299" s="297"/>
      <c r="BB299" s="297"/>
      <c r="BC299" s="297"/>
      <c r="BD299" s="297"/>
      <c r="BE299" s="297"/>
      <c r="BF299" s="297"/>
      <c r="BG299" s="297"/>
      <c r="BH299" s="297"/>
      <c r="BI299" s="297"/>
      <c r="BJ299" s="297"/>
      <c r="BK299" s="297"/>
      <c r="BL299" s="297"/>
      <c r="BM299" s="297"/>
      <c r="BN299" s="297"/>
      <c r="BO299" s="297"/>
      <c r="BP299" s="297"/>
      <c r="BQ299" s="297"/>
      <c r="BR299" s="297"/>
      <c r="BS299" s="297"/>
      <c r="BT299" s="297"/>
      <c r="BU299" s="297"/>
      <c r="BV299" s="297"/>
      <c r="BW299" s="297"/>
      <c r="BX299" s="297"/>
      <c r="BY299" s="297"/>
      <c r="BZ299" s="297"/>
      <c r="CA299" s="297"/>
      <c r="CB299" s="297"/>
      <c r="CC299" s="297"/>
      <c r="CD299" s="297"/>
      <c r="CE299" s="297"/>
      <c r="CF299" s="297"/>
      <c r="CG299" s="297"/>
    </row>
    <row r="300" spans="1:85" ht="12" customHeight="1" outlineLevel="3">
      <c r="A300" s="288"/>
      <c r="B300" s="288"/>
      <c r="C300" s="288">
        <v>4</v>
      </c>
      <c r="D300" s="291" t="s">
        <v>1864</v>
      </c>
      <c r="E300" s="246"/>
      <c r="F300" s="246"/>
      <c r="G300" s="244"/>
      <c r="H300" s="244" t="s">
        <v>2249</v>
      </c>
      <c r="I300" s="244"/>
      <c r="J300" s="244"/>
      <c r="K300" s="244"/>
      <c r="L300" s="244"/>
      <c r="M300" s="244"/>
      <c r="N300" s="244"/>
      <c r="O300" s="244"/>
      <c r="P300" s="243">
        <v>45733</v>
      </c>
      <c r="Q300" s="243">
        <v>45765</v>
      </c>
      <c r="R300" s="246"/>
      <c r="S300" s="247">
        <v>125</v>
      </c>
      <c r="T300" s="247">
        <v>125</v>
      </c>
      <c r="U300" s="247">
        <v>25</v>
      </c>
      <c r="V300" s="247">
        <v>25</v>
      </c>
      <c r="W300" s="248"/>
      <c r="X300" s="248"/>
      <c r="Y300" s="265"/>
      <c r="Z300" s="266">
        <v>0</v>
      </c>
      <c r="AA300" s="247">
        <v>5</v>
      </c>
      <c r="AB300" s="246" t="s">
        <v>1844</v>
      </c>
      <c r="AC300" s="264"/>
      <c r="AD300" s="240">
        <v>1</v>
      </c>
      <c r="AE300" s="330">
        <v>1</v>
      </c>
      <c r="AF300" s="296"/>
      <c r="AG300" s="297"/>
      <c r="AH300" s="297"/>
      <c r="AI300" s="297"/>
      <c r="AJ300" s="297"/>
      <c r="AK300" s="297"/>
      <c r="AL300" s="297"/>
      <c r="AM300" s="297"/>
      <c r="AN300" s="297" t="str">
        <f>"      " &amp; TEXT(AE300,"#0.00%") &amp; " " &amp; "결제" &amp; "(유운오님)" &amp; " " &amp; IF(P300="","",TEXT(P300,"M/D-")) &amp; IF(Q300="","",TEXT(Q300,"M/D")) &amp; " "</f>
        <v xml:space="preserve">      100.00% 결제(유운오님) 3/17-4/18 </v>
      </c>
      <c r="AO300" s="297"/>
      <c r="AP300" s="297"/>
      <c r="AQ300" s="297"/>
      <c r="AR300" s="297"/>
      <c r="AS300" s="297"/>
      <c r="AT300" s="297"/>
      <c r="AU300" s="297"/>
      <c r="AV300" s="297"/>
      <c r="AW300" s="297"/>
      <c r="AX300" s="297"/>
      <c r="AY300" s="297"/>
      <c r="AZ300" s="297"/>
      <c r="BA300" s="297"/>
      <c r="BB300" s="297"/>
      <c r="BC300" s="297"/>
      <c r="BD300" s="297"/>
      <c r="BE300" s="297"/>
      <c r="BF300" s="297"/>
      <c r="BG300" s="297"/>
      <c r="BH300" s="297"/>
      <c r="BI300" s="297"/>
      <c r="BJ300" s="297"/>
      <c r="BK300" s="297"/>
      <c r="BL300" s="297"/>
      <c r="BM300" s="297"/>
      <c r="BN300" s="297"/>
      <c r="BO300" s="297"/>
      <c r="BP300" s="297"/>
      <c r="BQ300" s="297"/>
      <c r="BR300" s="297"/>
      <c r="BS300" s="297"/>
      <c r="BT300" s="297"/>
      <c r="BU300" s="297"/>
      <c r="BV300" s="297"/>
      <c r="BW300" s="297"/>
      <c r="BX300" s="297"/>
      <c r="BY300" s="297"/>
      <c r="BZ300" s="297"/>
      <c r="CA300" s="297"/>
      <c r="CB300" s="297"/>
      <c r="CC300" s="297"/>
      <c r="CD300" s="297"/>
      <c r="CE300" s="297"/>
      <c r="CF300" s="297"/>
      <c r="CG300" s="297"/>
    </row>
    <row r="301" spans="1:85" ht="12" customHeight="1" outlineLevel="3">
      <c r="A301" s="288"/>
      <c r="B301" s="288"/>
      <c r="C301" s="288">
        <v>4</v>
      </c>
      <c r="D301" s="291" t="s">
        <v>1865</v>
      </c>
      <c r="E301" s="246"/>
      <c r="F301" s="246"/>
      <c r="G301" s="244"/>
      <c r="H301" s="244" t="s">
        <v>2251</v>
      </c>
      <c r="I301" s="244"/>
      <c r="J301" s="244"/>
      <c r="K301" s="244"/>
      <c r="L301" s="244"/>
      <c r="M301" s="244"/>
      <c r="N301" s="244"/>
      <c r="O301" s="244"/>
      <c r="P301" s="243">
        <v>45733</v>
      </c>
      <c r="Q301" s="243">
        <v>45751</v>
      </c>
      <c r="R301" s="246"/>
      <c r="S301" s="247">
        <v>30</v>
      </c>
      <c r="T301" s="247">
        <v>30</v>
      </c>
      <c r="U301" s="247">
        <v>15</v>
      </c>
      <c r="V301" s="247">
        <v>15</v>
      </c>
      <c r="W301" s="248"/>
      <c r="X301" s="248"/>
      <c r="Y301" s="265"/>
      <c r="Z301" s="266">
        <v>0</v>
      </c>
      <c r="AA301" s="247">
        <v>2</v>
      </c>
      <c r="AB301" s="246" t="s">
        <v>1845</v>
      </c>
      <c r="AC301" s="316"/>
      <c r="AD301" s="240">
        <v>1</v>
      </c>
      <c r="AE301" s="330">
        <v>1</v>
      </c>
      <c r="AF301" s="296"/>
      <c r="AG301" s="297"/>
      <c r="AH301" s="297"/>
      <c r="AI301" s="297"/>
      <c r="AJ301" s="297"/>
      <c r="AK301" s="297"/>
      <c r="AL301" s="297" t="str">
        <f>"      " &amp; TEXT(AE301,"#0.00%") &amp; " " &amp; "정산" &amp; "(문강우님)" &amp; " " &amp; IF(P301="","",TEXT(P301,"M/D-")) &amp; IF(Q301="","",TEXT(Q301,"M/D")) &amp; " "</f>
        <v xml:space="preserve">      100.00% 정산(문강우님) 3/17-4/4 </v>
      </c>
      <c r="AM301" s="297"/>
      <c r="AN301" s="297"/>
      <c r="AO301" s="297"/>
      <c r="AP301" s="297"/>
      <c r="AQ301" s="297"/>
      <c r="AR301" s="297"/>
      <c r="AS301" s="297"/>
      <c r="AT301" s="297"/>
      <c r="AU301" s="297"/>
      <c r="AV301" s="297"/>
      <c r="AW301" s="297"/>
      <c r="AX301" s="297"/>
      <c r="AY301" s="297"/>
      <c r="AZ301" s="297"/>
      <c r="BA301" s="297"/>
      <c r="BB301" s="297"/>
      <c r="BC301" s="297"/>
      <c r="BD301" s="297"/>
      <c r="BE301" s="297"/>
      <c r="BF301" s="297"/>
      <c r="BG301" s="297"/>
      <c r="BH301" s="297"/>
      <c r="BI301" s="297"/>
      <c r="BJ301" s="297"/>
      <c r="BK301" s="297"/>
      <c r="BL301" s="297"/>
      <c r="BM301" s="297"/>
      <c r="BN301" s="297"/>
      <c r="BO301" s="297"/>
      <c r="BP301" s="297"/>
      <c r="BQ301" s="297"/>
      <c r="BR301" s="297"/>
      <c r="BS301" s="297"/>
      <c r="BT301" s="297"/>
      <c r="BU301" s="297"/>
      <c r="BV301" s="297"/>
      <c r="BW301" s="297"/>
      <c r="BX301" s="297"/>
      <c r="BY301" s="297"/>
      <c r="BZ301" s="297"/>
      <c r="CA301" s="297"/>
      <c r="CB301" s="297"/>
      <c r="CC301" s="297"/>
      <c r="CD301" s="297"/>
      <c r="CE301" s="297"/>
      <c r="CF301" s="297"/>
      <c r="CG301" s="297"/>
    </row>
    <row r="302" spans="1:85" ht="12" customHeight="1" outlineLevel="3">
      <c r="A302" s="288"/>
      <c r="B302" s="288"/>
      <c r="C302" s="288">
        <v>4</v>
      </c>
      <c r="D302" s="291" t="s">
        <v>1866</v>
      </c>
      <c r="E302" s="246"/>
      <c r="F302" s="246"/>
      <c r="G302" s="244"/>
      <c r="H302" s="244" t="s">
        <v>2252</v>
      </c>
      <c r="I302" s="244"/>
      <c r="J302" s="244"/>
      <c r="K302" s="244"/>
      <c r="L302" s="244"/>
      <c r="M302" s="244"/>
      <c r="N302" s="244"/>
      <c r="O302" s="244"/>
      <c r="P302" s="243">
        <v>45733</v>
      </c>
      <c r="Q302" s="243">
        <v>45758</v>
      </c>
      <c r="R302" s="246"/>
      <c r="S302" s="247">
        <v>40</v>
      </c>
      <c r="T302" s="247">
        <v>40</v>
      </c>
      <c r="U302" s="247">
        <v>20</v>
      </c>
      <c r="V302" s="247">
        <v>20</v>
      </c>
      <c r="W302" s="248"/>
      <c r="X302" s="248"/>
      <c r="Y302" s="265"/>
      <c r="Z302" s="266">
        <v>0</v>
      </c>
      <c r="AA302" s="247">
        <v>2</v>
      </c>
      <c r="AB302" s="246" t="s">
        <v>1843</v>
      </c>
      <c r="AC302" s="264"/>
      <c r="AD302" s="240">
        <v>1</v>
      </c>
      <c r="AE302" s="330">
        <v>1</v>
      </c>
      <c r="AF302" s="296"/>
      <c r="AG302" s="297"/>
      <c r="AH302" s="297"/>
      <c r="AI302" s="297"/>
      <c r="AJ302" s="297"/>
      <c r="AK302" s="297"/>
      <c r="AL302" s="297"/>
      <c r="AM302" s="297" t="str">
        <f>"      " &amp; TEXT(AE302,"#0.00%") &amp; " " &amp; "영수증" &amp; "(류행석님)" &amp; " " &amp; IF(P302="","",TEXT(P302,"M/D-")) &amp; IF(Q302="","",TEXT(Q302,"M/D")) &amp; " "</f>
        <v xml:space="preserve">      100.00% 영수증(류행석님) 3/17-4/11 </v>
      </c>
      <c r="AN302" s="297"/>
      <c r="AO302" s="297"/>
      <c r="AP302" s="297"/>
      <c r="AQ302" s="297"/>
      <c r="AR302" s="297"/>
      <c r="AS302" s="297"/>
      <c r="AT302" s="297"/>
      <c r="AU302" s="297"/>
      <c r="AV302" s="297"/>
      <c r="AW302" s="297"/>
      <c r="AX302" s="297"/>
      <c r="AY302" s="297"/>
      <c r="AZ302" s="297"/>
      <c r="BA302" s="297"/>
      <c r="BB302" s="297"/>
      <c r="BC302" s="297"/>
      <c r="BD302" s="297"/>
      <c r="BE302" s="297"/>
      <c r="BF302" s="297"/>
      <c r="BG302" s="297"/>
      <c r="BH302" s="297"/>
      <c r="BI302" s="297"/>
      <c r="BJ302" s="297"/>
      <c r="BK302" s="297"/>
      <c r="BL302" s="297"/>
      <c r="BM302" s="297"/>
      <c r="BN302" s="297"/>
      <c r="BO302" s="297"/>
      <c r="BP302" s="297"/>
      <c r="BQ302" s="297"/>
      <c r="BR302" s="297"/>
      <c r="BS302" s="297"/>
      <c r="BT302" s="297"/>
      <c r="BU302" s="297"/>
      <c r="BV302" s="297"/>
      <c r="BW302" s="297"/>
      <c r="BX302" s="297"/>
      <c r="BY302" s="297"/>
      <c r="BZ302" s="297"/>
      <c r="CA302" s="297"/>
      <c r="CB302" s="297"/>
      <c r="CC302" s="297"/>
      <c r="CD302" s="297"/>
      <c r="CE302" s="297"/>
      <c r="CF302" s="297"/>
      <c r="CG302" s="297"/>
    </row>
    <row r="303" spans="1:85" ht="12" customHeight="1" outlineLevel="3">
      <c r="A303" s="288"/>
      <c r="B303" s="288"/>
      <c r="C303" s="288">
        <v>4</v>
      </c>
      <c r="D303" s="291" t="s">
        <v>1867</v>
      </c>
      <c r="E303" s="246"/>
      <c r="F303" s="246"/>
      <c r="G303" s="244"/>
      <c r="H303" s="314" t="s">
        <v>2253</v>
      </c>
      <c r="I303" s="314"/>
      <c r="J303" s="314"/>
      <c r="K303" s="314"/>
      <c r="L303" s="314"/>
      <c r="M303" s="314"/>
      <c r="N303" s="314"/>
      <c r="O303" s="314"/>
      <c r="P303" s="243">
        <v>45740</v>
      </c>
      <c r="Q303" s="243">
        <v>45758</v>
      </c>
      <c r="R303" s="246"/>
      <c r="S303" s="247">
        <v>75</v>
      </c>
      <c r="T303" s="247">
        <v>75</v>
      </c>
      <c r="U303" s="247">
        <v>15</v>
      </c>
      <c r="V303" s="247">
        <v>15</v>
      </c>
      <c r="W303" s="248"/>
      <c r="X303" s="248"/>
      <c r="Y303" s="265"/>
      <c r="Z303" s="266">
        <v>0</v>
      </c>
      <c r="AA303" s="247">
        <v>5</v>
      </c>
      <c r="AB303" s="246" t="s">
        <v>1844</v>
      </c>
      <c r="AC303" s="264"/>
      <c r="AD303" s="240">
        <v>1</v>
      </c>
      <c r="AE303" s="330">
        <v>1</v>
      </c>
      <c r="AF303" s="296"/>
      <c r="AG303" s="297"/>
      <c r="AH303" s="297"/>
      <c r="AI303" s="297"/>
      <c r="AJ303" s="297"/>
      <c r="AK303" s="297"/>
      <c r="AL303" s="297"/>
      <c r="AM303" s="297" t="str">
        <f>"      " &amp; TEXT(AE303,"#0.00%") &amp; " " &amp; "부가기능" &amp; "(유운오님)" &amp; " " &amp; IF(P303="","",TEXT(P303,"M/D-")) &amp; IF(Q303="","",TEXT(Q303,"M/D")) &amp; " "</f>
        <v xml:space="preserve">      100.00% 부가기능(유운오님) 3/24-4/11 </v>
      </c>
      <c r="AN303" s="297"/>
      <c r="AO303" s="297"/>
      <c r="AP303" s="297"/>
      <c r="AQ303" s="297"/>
      <c r="AR303" s="297"/>
      <c r="AS303" s="297"/>
      <c r="AT303" s="297"/>
      <c r="AU303" s="297"/>
      <c r="AV303" s="297"/>
      <c r="AW303" s="297"/>
      <c r="AX303" s="297"/>
      <c r="AY303" s="297"/>
      <c r="AZ303" s="297"/>
      <c r="BA303" s="297"/>
      <c r="BB303" s="297"/>
      <c r="BC303" s="297"/>
      <c r="BD303" s="297"/>
      <c r="BE303" s="297"/>
      <c r="BF303" s="297"/>
      <c r="BG303" s="297"/>
      <c r="BH303" s="297"/>
      <c r="BI303" s="297"/>
      <c r="BJ303" s="297"/>
      <c r="BK303" s="297"/>
      <c r="BL303" s="297"/>
      <c r="BM303" s="297"/>
      <c r="BN303" s="297"/>
      <c r="BO303" s="297"/>
      <c r="BP303" s="297"/>
      <c r="BQ303" s="297"/>
      <c r="BR303" s="297"/>
      <c r="BS303" s="297"/>
      <c r="BT303" s="297"/>
      <c r="BU303" s="297"/>
      <c r="BV303" s="297"/>
      <c r="BW303" s="297"/>
      <c r="BX303" s="297"/>
      <c r="BY303" s="297"/>
      <c r="BZ303" s="297"/>
      <c r="CA303" s="297"/>
      <c r="CB303" s="297"/>
      <c r="CC303" s="297"/>
      <c r="CD303" s="297"/>
      <c r="CE303" s="297"/>
      <c r="CF303" s="297"/>
      <c r="CG303" s="297"/>
    </row>
    <row r="304" spans="1:85" ht="12" customHeight="1" outlineLevel="3">
      <c r="A304" s="288"/>
      <c r="B304" s="288"/>
      <c r="C304" s="288">
        <v>4</v>
      </c>
      <c r="D304" s="291" t="s">
        <v>1868</v>
      </c>
      <c r="E304" s="246"/>
      <c r="F304" s="246"/>
      <c r="G304" s="244"/>
      <c r="H304" s="244" t="s">
        <v>2254</v>
      </c>
      <c r="I304" s="244"/>
      <c r="J304" s="244"/>
      <c r="K304" s="244"/>
      <c r="L304" s="244"/>
      <c r="M304" s="244"/>
      <c r="N304" s="244"/>
      <c r="O304" s="244"/>
      <c r="P304" s="243">
        <v>45740</v>
      </c>
      <c r="Q304" s="243">
        <v>45758</v>
      </c>
      <c r="R304" s="246"/>
      <c r="S304" s="247">
        <v>30</v>
      </c>
      <c r="T304" s="247">
        <v>30</v>
      </c>
      <c r="U304" s="247">
        <v>15</v>
      </c>
      <c r="V304" s="247">
        <v>15</v>
      </c>
      <c r="W304" s="248"/>
      <c r="X304" s="248"/>
      <c r="Y304" s="265"/>
      <c r="Z304" s="266">
        <v>0</v>
      </c>
      <c r="AA304" s="247">
        <v>2</v>
      </c>
      <c r="AB304" s="246"/>
      <c r="AC304" s="264"/>
      <c r="AD304" s="240">
        <v>1</v>
      </c>
      <c r="AE304" s="304">
        <v>1</v>
      </c>
      <c r="AF304" s="296"/>
      <c r="AG304" s="297"/>
      <c r="AH304" s="297"/>
      <c r="AI304" s="297"/>
      <c r="AJ304" s="297"/>
      <c r="AK304" s="297"/>
      <c r="AL304" s="297"/>
      <c r="AM304" s="297" t="str">
        <f>"      " &amp; TEXT(AE304,"#0.00%") &amp; " " &amp; "고객화면" &amp; " " &amp; IF(P304="","",TEXT(P304,"M/D-")) &amp; IF(Q304="","",TEXT(Q304,"M/D")) &amp; " "</f>
        <v xml:space="preserve">      100.00% 고객화면 3/24-4/11 </v>
      </c>
      <c r="AN304" s="297"/>
      <c r="AO304" s="297"/>
      <c r="AP304" s="297"/>
      <c r="AQ304" s="297"/>
      <c r="AR304" s="297"/>
      <c r="AS304" s="297"/>
      <c r="AT304" s="297"/>
      <c r="AU304" s="297"/>
      <c r="AV304" s="297"/>
      <c r="AW304" s="297"/>
      <c r="AX304" s="297"/>
      <c r="AY304" s="297"/>
      <c r="AZ304" s="297"/>
      <c r="BA304" s="297"/>
      <c r="BB304" s="297"/>
      <c r="BC304" s="297"/>
      <c r="BD304" s="297"/>
      <c r="BE304" s="297"/>
      <c r="BF304" s="297"/>
      <c r="BG304" s="297"/>
      <c r="BH304" s="297"/>
      <c r="BI304" s="297"/>
      <c r="BJ304" s="297"/>
      <c r="BK304" s="297"/>
      <c r="BL304" s="297"/>
      <c r="BM304" s="297"/>
      <c r="BN304" s="297"/>
      <c r="BO304" s="297"/>
      <c r="BP304" s="297"/>
      <c r="BQ304" s="297"/>
      <c r="BR304" s="297"/>
      <c r="BS304" s="297"/>
      <c r="BT304" s="297"/>
      <c r="BU304" s="297"/>
      <c r="BV304" s="297"/>
      <c r="BW304" s="297"/>
      <c r="BX304" s="297"/>
      <c r="BY304" s="297"/>
      <c r="BZ304" s="297"/>
      <c r="CA304" s="297"/>
      <c r="CB304" s="297"/>
      <c r="CC304" s="297"/>
      <c r="CD304" s="297"/>
      <c r="CE304" s="297"/>
      <c r="CF304" s="297"/>
      <c r="CG304" s="297"/>
    </row>
    <row r="305" spans="1:85" ht="12" customHeight="1" outlineLevel="3">
      <c r="A305" s="288"/>
      <c r="B305" s="288"/>
      <c r="C305" s="288">
        <v>4</v>
      </c>
      <c r="D305" s="291" t="s">
        <v>2441</v>
      </c>
      <c r="E305" s="246"/>
      <c r="F305" s="246"/>
      <c r="G305" s="244"/>
      <c r="H305" s="244" t="s">
        <v>2256</v>
      </c>
      <c r="I305" s="244"/>
      <c r="J305" s="244"/>
      <c r="K305" s="244"/>
      <c r="L305" s="244"/>
      <c r="M305" s="244"/>
      <c r="N305" s="244"/>
      <c r="O305" s="244"/>
      <c r="P305" s="243">
        <v>45733</v>
      </c>
      <c r="Q305" s="243">
        <v>45765</v>
      </c>
      <c r="R305" s="246"/>
      <c r="S305" s="247">
        <v>25</v>
      </c>
      <c r="T305" s="247">
        <v>25</v>
      </c>
      <c r="U305" s="247">
        <v>25</v>
      </c>
      <c r="V305" s="247">
        <v>25</v>
      </c>
      <c r="W305" s="248"/>
      <c r="X305" s="248"/>
      <c r="Y305" s="265"/>
      <c r="Z305" s="266">
        <v>0</v>
      </c>
      <c r="AA305" s="247">
        <v>1</v>
      </c>
      <c r="AB305" s="246"/>
      <c r="AC305" s="264"/>
      <c r="AD305" s="240">
        <v>1</v>
      </c>
      <c r="AE305" s="304">
        <v>1</v>
      </c>
      <c r="AF305" s="296"/>
      <c r="AG305" s="297"/>
      <c r="AH305" s="297"/>
      <c r="AI305" s="297"/>
      <c r="AJ305" s="297"/>
      <c r="AK305" s="297"/>
      <c r="AL305" s="297"/>
      <c r="AM305" s="297"/>
      <c r="AN305" s="297" t="str">
        <f>"      " &amp; TEXT(AE305,"#0.00%") &amp; " " &amp; "1.5차 오픈기능" &amp; " " &amp; IF(P305="","",TEXT(P305,"M/D-")) &amp; IF(Q305="","",TEXT(Q305,"M/D")) &amp; " "</f>
        <v xml:space="preserve">      100.00% 1.5차 오픈기능 3/17-4/18 </v>
      </c>
      <c r="AO305" s="297"/>
      <c r="AP305" s="297"/>
      <c r="AQ305" s="297"/>
      <c r="AR305" s="297"/>
      <c r="AS305" s="297"/>
      <c r="AT305" s="297"/>
      <c r="AU305" s="297"/>
      <c r="AV305" s="297"/>
      <c r="AW305" s="297"/>
      <c r="AX305" s="297"/>
      <c r="AY305" s="297"/>
      <c r="AZ305" s="297"/>
      <c r="BA305" s="297"/>
      <c r="BB305" s="297"/>
      <c r="BC305" s="297"/>
      <c r="BD305" s="297"/>
      <c r="BE305" s="297"/>
      <c r="BF305" s="297"/>
      <c r="BG305" s="297"/>
      <c r="BH305" s="297"/>
      <c r="BI305" s="297"/>
      <c r="BJ305" s="297"/>
      <c r="BK305" s="297"/>
      <c r="BL305" s="297"/>
      <c r="BM305" s="297"/>
      <c r="BN305" s="297"/>
      <c r="BO305" s="297"/>
      <c r="BP305" s="297"/>
      <c r="BQ305" s="297"/>
      <c r="BR305" s="297"/>
      <c r="BS305" s="297"/>
      <c r="BT305" s="297"/>
      <c r="BU305" s="297"/>
      <c r="BV305" s="297"/>
      <c r="BW305" s="297"/>
      <c r="BX305" s="297"/>
      <c r="BY305" s="297"/>
      <c r="BZ305" s="297"/>
      <c r="CA305" s="297"/>
      <c r="CB305" s="297"/>
      <c r="CC305" s="297"/>
      <c r="CD305" s="297"/>
      <c r="CE305" s="297"/>
      <c r="CF305" s="297"/>
      <c r="CG305" s="297"/>
    </row>
    <row r="306" spans="1:85" ht="12" customHeight="1" outlineLevel="3">
      <c r="A306" s="288"/>
      <c r="B306" s="288"/>
      <c r="C306" s="288">
        <v>4</v>
      </c>
      <c r="D306" s="291" t="s">
        <v>2442</v>
      </c>
      <c r="E306" s="246"/>
      <c r="F306" s="246"/>
      <c r="G306" s="244"/>
      <c r="H306" s="244" t="s">
        <v>2085</v>
      </c>
      <c r="I306" s="244"/>
      <c r="J306" s="244"/>
      <c r="K306" s="244"/>
      <c r="L306" s="244"/>
      <c r="M306" s="244"/>
      <c r="N306" s="244"/>
      <c r="O306" s="244"/>
      <c r="P306" s="243">
        <v>45733</v>
      </c>
      <c r="Q306" s="243">
        <v>45772</v>
      </c>
      <c r="R306" s="246"/>
      <c r="S306" s="247">
        <v>60</v>
      </c>
      <c r="T306" s="247">
        <v>60</v>
      </c>
      <c r="U306" s="247">
        <v>30</v>
      </c>
      <c r="V306" s="247">
        <v>30</v>
      </c>
      <c r="W306" s="248"/>
      <c r="X306" s="248"/>
      <c r="Y306" s="265"/>
      <c r="Z306" s="266">
        <v>0</v>
      </c>
      <c r="AA306" s="247">
        <v>2</v>
      </c>
      <c r="AB306" s="246"/>
      <c r="AC306" s="264"/>
      <c r="AD306" s="240">
        <v>1</v>
      </c>
      <c r="AE306" s="304">
        <v>1</v>
      </c>
      <c r="AF306" s="296"/>
      <c r="AG306" s="297"/>
      <c r="AH306" s="297"/>
      <c r="AI306" s="297"/>
      <c r="AJ306" s="297"/>
      <c r="AK306" s="297"/>
      <c r="AL306" s="297"/>
      <c r="AM306" s="297"/>
      <c r="AN306" s="297"/>
      <c r="AO306" s="297" t="str">
        <f>"      " &amp; TEXT(AE306,"#0.00%") &amp; " " &amp; "2차 오픈 기능" &amp; " " &amp; IF(P306="","",TEXT(P306,"M/D-")) &amp; IF(Q306="","",TEXT(Q306,"M/D")) &amp; " "</f>
        <v xml:space="preserve">      100.00% 2차 오픈 기능 3/17-4/25 </v>
      </c>
      <c r="AP306" s="297"/>
      <c r="AQ306" s="297"/>
      <c r="AR306" s="297"/>
      <c r="AS306" s="297"/>
      <c r="AT306" s="297"/>
      <c r="AU306" s="297"/>
      <c r="AV306" s="297"/>
      <c r="AW306" s="297"/>
      <c r="AX306" s="297"/>
      <c r="AY306" s="297"/>
      <c r="AZ306" s="297"/>
      <c r="BA306" s="297"/>
      <c r="BB306" s="297"/>
      <c r="BC306" s="297"/>
      <c r="BD306" s="297"/>
      <c r="BE306" s="297"/>
      <c r="BF306" s="297"/>
      <c r="BG306" s="297"/>
      <c r="BH306" s="297"/>
      <c r="BI306" s="297"/>
      <c r="BJ306" s="297"/>
      <c r="BK306" s="297"/>
      <c r="BL306" s="297"/>
      <c r="BM306" s="297"/>
      <c r="BN306" s="297"/>
      <c r="BO306" s="297"/>
      <c r="BP306" s="297"/>
      <c r="BQ306" s="297"/>
      <c r="BR306" s="297"/>
      <c r="BS306" s="297"/>
      <c r="BT306" s="297"/>
      <c r="BU306" s="297"/>
      <c r="BV306" s="297"/>
      <c r="BW306" s="297"/>
      <c r="BX306" s="297"/>
      <c r="BY306" s="297"/>
      <c r="BZ306" s="297"/>
      <c r="CA306" s="297"/>
      <c r="CB306" s="297"/>
      <c r="CC306" s="297"/>
      <c r="CD306" s="297"/>
      <c r="CE306" s="297"/>
      <c r="CF306" s="297"/>
      <c r="CG306" s="297"/>
    </row>
    <row r="307" spans="1:85" ht="12" customHeight="1" outlineLevel="3">
      <c r="A307" s="288"/>
      <c r="B307" s="288"/>
      <c r="C307" s="288">
        <v>4</v>
      </c>
      <c r="D307" s="291" t="s">
        <v>2443</v>
      </c>
      <c r="E307" s="246"/>
      <c r="F307" s="246"/>
      <c r="G307" s="244"/>
      <c r="H307" s="246" t="s">
        <v>2187</v>
      </c>
      <c r="I307" s="244"/>
      <c r="J307" s="244"/>
      <c r="K307" s="244"/>
      <c r="L307" s="244"/>
      <c r="M307" s="244"/>
      <c r="N307" s="244"/>
      <c r="O307" s="244"/>
      <c r="P307" s="243">
        <v>45733</v>
      </c>
      <c r="Q307" s="243">
        <v>45775</v>
      </c>
      <c r="R307" s="246"/>
      <c r="S307" s="247">
        <v>31</v>
      </c>
      <c r="T307" s="247">
        <v>31</v>
      </c>
      <c r="U307" s="247">
        <v>31</v>
      </c>
      <c r="V307" s="247">
        <v>31</v>
      </c>
      <c r="W307" s="248"/>
      <c r="X307" s="248"/>
      <c r="Y307" s="265"/>
      <c r="Z307" s="266">
        <v>0</v>
      </c>
      <c r="AA307" s="247">
        <v>1</v>
      </c>
      <c r="AB307" s="246"/>
      <c r="AC307" s="264"/>
      <c r="AD307" s="240">
        <v>1</v>
      </c>
      <c r="AE307" s="330">
        <v>1</v>
      </c>
      <c r="AF307" s="296"/>
      <c r="AG307" s="297"/>
      <c r="AH307" s="297"/>
      <c r="AI307" s="297"/>
      <c r="AJ307" s="297"/>
      <c r="AK307" s="297"/>
      <c r="AL307" s="297"/>
      <c r="AM307" s="297"/>
      <c r="AN307" s="297"/>
      <c r="AO307" s="297"/>
      <c r="AP307" s="297" t="str">
        <f>"  " &amp; TEXT(AE307,"#0.00%") &amp; " " &amp; "프로세스모델링(TO-BE업무흐름도)" &amp; " " &amp; IF(P307="","",TEXT(P307,"M/D-")) &amp; IF(Q307="","",TEXT(Q307,"M/D")) &amp; " "</f>
        <v xml:space="preserve">  100.00% 프로세스모델링(TO-BE업무흐름도) 3/17-4/28 </v>
      </c>
      <c r="AQ307" s="297"/>
      <c r="AR307" s="297"/>
      <c r="AS307" s="297"/>
      <c r="AT307" s="297"/>
      <c r="AU307" s="297"/>
      <c r="AV307" s="297"/>
      <c r="AW307" s="297"/>
      <c r="AX307" s="297"/>
      <c r="AY307" s="297"/>
      <c r="AZ307" s="297"/>
      <c r="BA307" s="297"/>
      <c r="BB307" s="297"/>
      <c r="BC307" s="297"/>
      <c r="BD307" s="297"/>
      <c r="BE307" s="297"/>
      <c r="BF307" s="297"/>
      <c r="BG307" s="297"/>
      <c r="BH307" s="297"/>
      <c r="BI307" s="297"/>
      <c r="BJ307" s="297"/>
      <c r="BK307" s="297"/>
      <c r="BL307" s="297"/>
      <c r="BM307" s="297"/>
      <c r="BN307" s="297"/>
      <c r="BO307" s="297"/>
      <c r="BP307" s="297"/>
      <c r="BQ307" s="297"/>
      <c r="BR307" s="297"/>
      <c r="BS307" s="297"/>
      <c r="BT307" s="297"/>
      <c r="BU307" s="297"/>
      <c r="BV307" s="297"/>
      <c r="BW307" s="297"/>
      <c r="BX307" s="297"/>
      <c r="BY307" s="297"/>
      <c r="BZ307" s="297"/>
      <c r="CA307" s="297"/>
      <c r="CB307" s="297"/>
      <c r="CC307" s="297"/>
      <c r="CD307" s="297"/>
      <c r="CE307" s="297"/>
      <c r="CF307" s="297"/>
      <c r="CG307" s="297"/>
    </row>
    <row r="308" spans="1:85" ht="12" customHeight="1" outlineLevel="2">
      <c r="A308" s="288"/>
      <c r="B308" s="288" t="s">
        <v>2334</v>
      </c>
      <c r="C308" s="288">
        <v>3</v>
      </c>
      <c r="D308" s="291" t="s">
        <v>1779</v>
      </c>
      <c r="E308" s="246"/>
      <c r="F308" s="246"/>
      <c r="G308" s="244" t="s">
        <v>1743</v>
      </c>
      <c r="H308" s="246"/>
      <c r="I308" s="244"/>
      <c r="J308" s="244"/>
      <c r="K308" s="244"/>
      <c r="L308" s="244"/>
      <c r="M308" s="244"/>
      <c r="N308" s="244"/>
      <c r="O308" s="244"/>
      <c r="P308" s="243">
        <v>45733</v>
      </c>
      <c r="Q308" s="243">
        <v>45898</v>
      </c>
      <c r="R308" s="246"/>
      <c r="S308" s="247">
        <v>1486</v>
      </c>
      <c r="T308" s="247">
        <v>1486</v>
      </c>
      <c r="U308" s="247">
        <v>115</v>
      </c>
      <c r="V308" s="247">
        <v>115</v>
      </c>
      <c r="W308" s="248"/>
      <c r="X308" s="248"/>
      <c r="Y308" s="265">
        <v>0</v>
      </c>
      <c r="Z308" s="266">
        <v>0</v>
      </c>
      <c r="AA308" s="247"/>
      <c r="AB308" s="246"/>
      <c r="AC308" s="264"/>
      <c r="AD308" s="240">
        <v>1</v>
      </c>
      <c r="AE308" s="328">
        <v>1</v>
      </c>
      <c r="AF308" s="296"/>
      <c r="AG308" s="297"/>
      <c r="AH308" s="297"/>
      <c r="AI308" s="297"/>
      <c r="AJ308" s="297"/>
      <c r="AK308" s="297"/>
      <c r="AL308" s="297"/>
      <c r="AM308" s="297"/>
      <c r="AN308" s="297"/>
      <c r="AO308" s="297"/>
      <c r="AP308" s="297"/>
      <c r="AQ308" s="297"/>
      <c r="AR308" s="297"/>
      <c r="AS308" s="297"/>
      <c r="AT308" s="297"/>
      <c r="AU308" s="297"/>
      <c r="AV308" s="297"/>
      <c r="AW308" s="297"/>
      <c r="AX308" s="297"/>
      <c r="AY308" s="297"/>
      <c r="AZ308" s="297"/>
      <c r="BA308" s="297"/>
      <c r="BB308" s="297"/>
      <c r="BC308" s="297"/>
      <c r="BD308" s="297"/>
      <c r="BE308" s="297"/>
      <c r="BF308" s="297"/>
      <c r="BG308" s="297" t="str">
        <f>"      " &amp; TEXT(AE308,"#0.00%") &amp; " " &amp; "구축" &amp; " " &amp; IF(P308="","",TEXT(P308,"M/D-")) &amp; IF(Q308="","",TEXT(Q308,"M/D")) &amp; " "</f>
        <v xml:space="preserve">      100.00% 구축 3/17-8/29 </v>
      </c>
      <c r="BH308" s="297"/>
      <c r="BI308" s="297"/>
      <c r="BJ308" s="297"/>
      <c r="BK308" s="297"/>
      <c r="BL308" s="297"/>
      <c r="BM308" s="297"/>
      <c r="BN308" s="297"/>
      <c r="BO308" s="297"/>
      <c r="BP308" s="297"/>
      <c r="BQ308" s="297"/>
      <c r="BR308" s="297"/>
      <c r="BS308" s="297"/>
      <c r="BT308" s="297"/>
      <c r="BU308" s="297"/>
      <c r="BV308" s="297"/>
      <c r="BW308" s="297"/>
      <c r="BX308" s="297"/>
      <c r="BY308" s="297"/>
      <c r="BZ308" s="297"/>
      <c r="CA308" s="297"/>
      <c r="CB308" s="297"/>
      <c r="CC308" s="297"/>
      <c r="CD308" s="297"/>
      <c r="CE308" s="297"/>
      <c r="CF308" s="297"/>
      <c r="CG308" s="297"/>
    </row>
    <row r="309" spans="1:85" ht="12" customHeight="1" outlineLevel="3">
      <c r="A309" s="288"/>
      <c r="B309" s="288" t="s">
        <v>2334</v>
      </c>
      <c r="C309" s="288">
        <v>4</v>
      </c>
      <c r="D309" s="291" t="s">
        <v>1869</v>
      </c>
      <c r="E309" s="246"/>
      <c r="F309" s="246"/>
      <c r="G309" s="244"/>
      <c r="H309" s="246" t="s">
        <v>2255</v>
      </c>
      <c r="I309" s="244"/>
      <c r="J309" s="244"/>
      <c r="K309" s="244"/>
      <c r="L309" s="244"/>
      <c r="M309" s="244"/>
      <c r="N309" s="244"/>
      <c r="O309" s="244"/>
      <c r="P309" s="243">
        <v>45733</v>
      </c>
      <c r="Q309" s="243">
        <v>45856</v>
      </c>
      <c r="R309" s="246"/>
      <c r="S309" s="247">
        <v>1254</v>
      </c>
      <c r="T309" s="247">
        <v>1254</v>
      </c>
      <c r="U309" s="247">
        <v>86</v>
      </c>
      <c r="V309" s="247">
        <v>86</v>
      </c>
      <c r="W309" s="248"/>
      <c r="X309" s="248"/>
      <c r="Y309" s="265">
        <v>0</v>
      </c>
      <c r="Z309" s="266">
        <v>0</v>
      </c>
      <c r="AA309" s="247"/>
      <c r="AB309" s="246"/>
      <c r="AC309" s="264"/>
      <c r="AD309" s="240">
        <v>1</v>
      </c>
      <c r="AE309" s="328">
        <v>1</v>
      </c>
      <c r="AF309" s="296"/>
      <c r="AG309" s="297"/>
      <c r="AH309" s="297"/>
      <c r="AI309" s="297"/>
      <c r="AJ309" s="297"/>
      <c r="AK309" s="297"/>
      <c r="AL309" s="297"/>
      <c r="AM309" s="297"/>
      <c r="AN309" s="297"/>
      <c r="AO309" s="297"/>
      <c r="AP309" s="297"/>
      <c r="AQ309" s="297"/>
      <c r="AR309" s="297"/>
      <c r="AS309" s="297"/>
      <c r="AT309" s="297"/>
      <c r="AU309" s="297"/>
      <c r="AV309" s="297"/>
      <c r="AW309" s="297"/>
      <c r="AX309" s="297"/>
      <c r="AY309" s="297"/>
      <c r="AZ309" s="297"/>
      <c r="BA309" s="297" t="str">
        <f>"      " &amp; TEXT(AE309,"#0.00%") &amp; " " &amp; "개발 및 단위테스트(1차)" &amp; " " &amp; IF(P309="","",TEXT(P309,"M/D-")) &amp; IF(Q309="","",TEXT(Q309,"M/D")) &amp; " "</f>
        <v xml:space="preserve">      100.00% 개발 및 단위테스트(1차) 3/17-7/18 </v>
      </c>
      <c r="BB309" s="297"/>
      <c r="BC309" s="297"/>
      <c r="BD309" s="297"/>
      <c r="BE309" s="297"/>
      <c r="BF309" s="297"/>
      <c r="BG309" s="297"/>
      <c r="BH309" s="297"/>
      <c r="BI309" s="297"/>
      <c r="BJ309" s="297"/>
      <c r="BK309" s="297"/>
      <c r="BL309" s="297"/>
      <c r="BM309" s="297"/>
      <c r="BN309" s="297"/>
      <c r="BO309" s="297"/>
      <c r="BP309" s="297"/>
      <c r="BQ309" s="297"/>
      <c r="BR309" s="297"/>
      <c r="BS309" s="297"/>
      <c r="BT309" s="297"/>
      <c r="BU309" s="297"/>
      <c r="BV309" s="297"/>
      <c r="BW309" s="297"/>
      <c r="BX309" s="297"/>
      <c r="BY309" s="297"/>
      <c r="BZ309" s="297"/>
      <c r="CA309" s="297"/>
      <c r="CB309" s="297"/>
      <c r="CC309" s="297"/>
      <c r="CD309" s="297"/>
      <c r="CE309" s="297"/>
      <c r="CF309" s="297"/>
      <c r="CG309" s="297"/>
    </row>
    <row r="310" spans="1:85" ht="12" customHeight="1" outlineLevel="4">
      <c r="A310" s="288"/>
      <c r="B310" s="288"/>
      <c r="C310" s="288">
        <v>5</v>
      </c>
      <c r="D310" s="291" t="s">
        <v>1870</v>
      </c>
      <c r="E310" s="246"/>
      <c r="F310" s="246"/>
      <c r="G310" s="244"/>
      <c r="H310" s="246"/>
      <c r="I310" s="244" t="s">
        <v>1588</v>
      </c>
      <c r="J310" s="244"/>
      <c r="K310" s="244"/>
      <c r="L310" s="244"/>
      <c r="M310" s="244"/>
      <c r="N310" s="244"/>
      <c r="O310" s="244"/>
      <c r="P310" s="243">
        <v>45733</v>
      </c>
      <c r="Q310" s="243">
        <v>45765</v>
      </c>
      <c r="R310" s="246"/>
      <c r="S310" s="247">
        <v>25</v>
      </c>
      <c r="T310" s="247">
        <v>25</v>
      </c>
      <c r="U310" s="247">
        <v>25</v>
      </c>
      <c r="V310" s="247">
        <v>25</v>
      </c>
      <c r="W310" s="248"/>
      <c r="X310" s="248"/>
      <c r="Y310" s="265"/>
      <c r="Z310" s="266">
        <v>0</v>
      </c>
      <c r="AA310" s="247">
        <v>1</v>
      </c>
      <c r="AB310" s="246"/>
      <c r="AC310" s="264"/>
      <c r="AD310" s="240">
        <v>1</v>
      </c>
      <c r="AE310" s="330">
        <v>1</v>
      </c>
      <c r="AF310" s="296"/>
      <c r="AG310" s="297"/>
      <c r="AH310" s="297"/>
      <c r="AI310" s="297"/>
      <c r="AJ310" s="297"/>
      <c r="AK310" s="297"/>
      <c r="AL310" s="297"/>
      <c r="AM310" s="297"/>
      <c r="AN310" s="297" t="str">
        <f>"      " &amp; TEXT(AE310,"#0.00%") &amp; " " &amp; "디자인" &amp; " " &amp; IF(P310="","",TEXT(P310,"M/D-")) &amp; IF(Q310="","",TEXT(Q310,"M/D")) &amp; " "</f>
        <v xml:space="preserve">      100.00% 디자인 3/17-4/18 </v>
      </c>
      <c r="AO310" s="297"/>
      <c r="AP310" s="297"/>
      <c r="AQ310" s="297"/>
      <c r="AR310" s="297"/>
      <c r="AS310" s="297"/>
      <c r="AT310" s="297"/>
      <c r="AU310" s="297"/>
      <c r="AV310" s="297"/>
      <c r="AW310" s="297"/>
      <c r="AX310" s="297"/>
      <c r="AY310" s="297"/>
      <c r="AZ310" s="297"/>
      <c r="BA310" s="297"/>
      <c r="BB310" s="297"/>
      <c r="BC310" s="297"/>
      <c r="BD310" s="297"/>
      <c r="BE310" s="297"/>
      <c r="BF310" s="297"/>
      <c r="BG310" s="297"/>
      <c r="BH310" s="297"/>
      <c r="BI310" s="297"/>
      <c r="BJ310" s="297"/>
      <c r="BK310" s="297"/>
      <c r="BL310" s="297"/>
      <c r="BM310" s="297"/>
      <c r="BN310" s="297"/>
      <c r="BO310" s="297"/>
      <c r="BP310" s="297"/>
      <c r="BQ310" s="297"/>
      <c r="BR310" s="297"/>
      <c r="BS310" s="297"/>
      <c r="BT310" s="297"/>
      <c r="BU310" s="297"/>
      <c r="BV310" s="297"/>
      <c r="BW310" s="297"/>
      <c r="BX310" s="297"/>
      <c r="BY310" s="297"/>
      <c r="BZ310" s="297"/>
      <c r="CA310" s="297"/>
      <c r="CB310" s="297"/>
      <c r="CC310" s="297"/>
      <c r="CD310" s="297"/>
      <c r="CE310" s="297"/>
      <c r="CF310" s="297"/>
      <c r="CG310" s="297"/>
    </row>
    <row r="311" spans="1:85" ht="12" customHeight="1" outlineLevel="4">
      <c r="A311" s="288"/>
      <c r="B311" s="288"/>
      <c r="C311" s="288">
        <v>5</v>
      </c>
      <c r="D311" s="291" t="s">
        <v>1871</v>
      </c>
      <c r="E311" s="246"/>
      <c r="F311" s="246"/>
      <c r="G311" s="244"/>
      <c r="H311" s="246"/>
      <c r="I311" s="244" t="s">
        <v>2048</v>
      </c>
      <c r="J311" s="244"/>
      <c r="K311" s="244"/>
      <c r="L311" s="244"/>
      <c r="M311" s="244"/>
      <c r="N311" s="244"/>
      <c r="O311" s="244"/>
      <c r="P311" s="243">
        <v>45737</v>
      </c>
      <c r="Q311" s="243">
        <v>45828</v>
      </c>
      <c r="R311" s="246"/>
      <c r="S311" s="247">
        <v>62</v>
      </c>
      <c r="T311" s="247">
        <v>62</v>
      </c>
      <c r="U311" s="247">
        <v>62</v>
      </c>
      <c r="V311" s="247">
        <v>62</v>
      </c>
      <c r="W311" s="248"/>
      <c r="X311" s="248"/>
      <c r="Y311" s="265"/>
      <c r="Z311" s="266">
        <v>0</v>
      </c>
      <c r="AA311" s="247">
        <v>1</v>
      </c>
      <c r="AB311" s="246"/>
      <c r="AC311" s="264"/>
      <c r="AD311" s="240">
        <v>1</v>
      </c>
      <c r="AE311" s="330">
        <v>1</v>
      </c>
      <c r="AF311" s="296"/>
      <c r="AG311" s="297"/>
      <c r="AH311" s="297"/>
      <c r="AI311" s="297"/>
      <c r="AJ311" s="297"/>
      <c r="AK311" s="297"/>
      <c r="AL311" s="297"/>
      <c r="AM311" s="297"/>
      <c r="AN311" s="297"/>
      <c r="AO311" s="297"/>
      <c r="AP311" s="297"/>
      <c r="AQ311" s="297"/>
      <c r="AR311" s="297"/>
      <c r="AS311" s="297"/>
      <c r="AT311" s="297"/>
      <c r="AU311" s="297"/>
      <c r="AV311" s="297"/>
      <c r="AW311" s="297" t="str">
        <f>"      " &amp; TEXT(AE311,"#0.00%") &amp; " " &amp; "공통" &amp; " " &amp; IF(P311="","",TEXT(P311,"M/D-")) &amp; IF(Q311="","",TEXT(Q311,"M/D")) &amp; " "</f>
        <v xml:space="preserve">      100.00% 공통 3/21-6/20 </v>
      </c>
      <c r="AX311" s="297"/>
      <c r="AY311" s="297"/>
      <c r="AZ311" s="297"/>
      <c r="BA311" s="297"/>
      <c r="BB311" s="297"/>
      <c r="BC311" s="297"/>
      <c r="BD311" s="297"/>
      <c r="BE311" s="297"/>
      <c r="BF311" s="297"/>
      <c r="BG311" s="297"/>
      <c r="BH311" s="297"/>
      <c r="BI311" s="297"/>
      <c r="BJ311" s="297"/>
      <c r="BK311" s="297"/>
      <c r="BL311" s="297"/>
      <c r="BM311" s="297"/>
      <c r="BN311" s="297"/>
      <c r="BO311" s="297"/>
      <c r="BP311" s="297"/>
      <c r="BQ311" s="297"/>
      <c r="BR311" s="297"/>
      <c r="BS311" s="297"/>
      <c r="BT311" s="297"/>
      <c r="BU311" s="297"/>
      <c r="BV311" s="297"/>
      <c r="BW311" s="297"/>
      <c r="BX311" s="297"/>
      <c r="BY311" s="297"/>
      <c r="BZ311" s="297"/>
      <c r="CA311" s="297"/>
      <c r="CB311" s="297"/>
      <c r="CC311" s="297"/>
      <c r="CD311" s="297"/>
      <c r="CE311" s="297"/>
      <c r="CF311" s="297"/>
      <c r="CG311" s="297"/>
    </row>
    <row r="312" spans="1:85" ht="12" customHeight="1" outlineLevel="4">
      <c r="A312" s="288"/>
      <c r="B312" s="288"/>
      <c r="C312" s="288">
        <v>5</v>
      </c>
      <c r="D312" s="291" t="s">
        <v>1872</v>
      </c>
      <c r="E312" s="246"/>
      <c r="F312" s="246"/>
      <c r="G312" s="244"/>
      <c r="H312" s="246"/>
      <c r="I312" s="244" t="s">
        <v>2248</v>
      </c>
      <c r="J312" s="244"/>
      <c r="K312" s="244"/>
      <c r="L312" s="244"/>
      <c r="M312" s="244"/>
      <c r="N312" s="244"/>
      <c r="O312" s="244"/>
      <c r="P312" s="243">
        <v>45740</v>
      </c>
      <c r="Q312" s="243">
        <v>45758</v>
      </c>
      <c r="R312" s="246"/>
      <c r="S312" s="247">
        <v>15</v>
      </c>
      <c r="T312" s="247">
        <v>15</v>
      </c>
      <c r="U312" s="247">
        <v>15</v>
      </c>
      <c r="V312" s="247">
        <v>15</v>
      </c>
      <c r="W312" s="248"/>
      <c r="X312" s="248"/>
      <c r="Y312" s="265"/>
      <c r="Z312" s="266">
        <v>0</v>
      </c>
      <c r="AA312" s="247">
        <v>1</v>
      </c>
      <c r="AB312" s="246"/>
      <c r="AC312" s="264"/>
      <c r="AD312" s="240">
        <v>1</v>
      </c>
      <c r="AE312" s="330">
        <v>1</v>
      </c>
      <c r="AF312" s="296"/>
      <c r="AG312" s="297"/>
      <c r="AH312" s="297"/>
      <c r="AI312" s="297"/>
      <c r="AJ312" s="297"/>
      <c r="AK312" s="297"/>
      <c r="AL312" s="297"/>
      <c r="AM312" s="297" t="str">
        <f>"      " &amp; TEXT(AE312,"#0.00%") &amp; " " &amp; "H/W연동" &amp; " " &amp; IF(P312="","",TEXT(P312,"M/D-")) &amp; IF(Q312="","",TEXT(Q312,"M/D")) &amp; " "</f>
        <v xml:space="preserve">      100.00% H/W연동 3/24-4/11 </v>
      </c>
      <c r="AN312" s="297"/>
      <c r="AO312" s="297"/>
      <c r="AP312" s="297"/>
      <c r="AQ312" s="297"/>
      <c r="AR312" s="297"/>
      <c r="AS312" s="297"/>
      <c r="AT312" s="297"/>
      <c r="AU312" s="297"/>
      <c r="AV312" s="297"/>
      <c r="AW312" s="297"/>
      <c r="AX312" s="297"/>
      <c r="AY312" s="297"/>
      <c r="AZ312" s="297"/>
      <c r="BA312" s="297"/>
      <c r="BB312" s="297"/>
      <c r="BC312" s="297"/>
      <c r="BD312" s="297"/>
      <c r="BE312" s="297"/>
      <c r="BF312" s="297"/>
      <c r="BG312" s="297"/>
      <c r="BH312" s="297"/>
      <c r="BI312" s="297"/>
      <c r="BJ312" s="297"/>
      <c r="BK312" s="297"/>
      <c r="BL312" s="297"/>
      <c r="BM312" s="297"/>
      <c r="BN312" s="297"/>
      <c r="BO312" s="297"/>
      <c r="BP312" s="297"/>
      <c r="BQ312" s="297"/>
      <c r="BR312" s="297"/>
      <c r="BS312" s="297"/>
      <c r="BT312" s="297"/>
      <c r="BU312" s="297"/>
      <c r="BV312" s="297"/>
      <c r="BW312" s="297"/>
      <c r="BX312" s="297"/>
      <c r="BY312" s="297"/>
      <c r="BZ312" s="297"/>
      <c r="CA312" s="297"/>
      <c r="CB312" s="297"/>
      <c r="CC312" s="297"/>
      <c r="CD312" s="297"/>
      <c r="CE312" s="297"/>
      <c r="CF312" s="297"/>
      <c r="CG312" s="297"/>
    </row>
    <row r="313" spans="1:85" ht="12" customHeight="1" outlineLevel="4">
      <c r="A313" s="288"/>
      <c r="B313" s="288"/>
      <c r="C313" s="288">
        <v>5</v>
      </c>
      <c r="D313" s="291" t="s">
        <v>1873</v>
      </c>
      <c r="E313" s="246"/>
      <c r="F313" s="246"/>
      <c r="G313" s="244"/>
      <c r="H313" s="246"/>
      <c r="I313" s="244" t="s">
        <v>1825</v>
      </c>
      <c r="J313" s="244"/>
      <c r="K313" s="244"/>
      <c r="L313" s="244"/>
      <c r="M313" s="244"/>
      <c r="N313" s="244"/>
      <c r="O313" s="244"/>
      <c r="P313" s="243">
        <v>45761</v>
      </c>
      <c r="Q313" s="319">
        <v>45835</v>
      </c>
      <c r="R313" s="246"/>
      <c r="S313" s="247">
        <v>51</v>
      </c>
      <c r="T313" s="247">
        <v>51</v>
      </c>
      <c r="U313" s="247">
        <v>51</v>
      </c>
      <c r="V313" s="247">
        <v>51</v>
      </c>
      <c r="W313" s="248"/>
      <c r="X313" s="248"/>
      <c r="Y313" s="265"/>
      <c r="Z313" s="266">
        <v>0</v>
      </c>
      <c r="AA313" s="247">
        <v>1</v>
      </c>
      <c r="AB313" s="246"/>
      <c r="AC313" s="264"/>
      <c r="AD313" s="240">
        <v>1</v>
      </c>
      <c r="AE313" s="330">
        <v>1</v>
      </c>
      <c r="AF313" s="296"/>
      <c r="AG313" s="297"/>
      <c r="AH313" s="297"/>
      <c r="AI313" s="297"/>
      <c r="AJ313" s="297"/>
      <c r="AK313" s="297"/>
      <c r="AL313" s="297"/>
      <c r="AM313" s="297"/>
      <c r="AN313" s="297"/>
      <c r="AO313" s="297"/>
      <c r="AP313" s="297"/>
      <c r="AQ313" s="297"/>
      <c r="AR313" s="297"/>
      <c r="AS313" s="297"/>
      <c r="AT313" s="297"/>
      <c r="AU313" s="297"/>
      <c r="AV313" s="297"/>
      <c r="AW313" s="297"/>
      <c r="AX313" s="297" t="str">
        <f>"      " &amp; TEXT(AE313,"#0.00%") &amp; " " &amp; "메인화면" &amp; " " &amp; IF(P313="","",TEXT(P313,"M/D-")) &amp; IF(Q313="","",TEXT(Q313,"M/D")) &amp; " "</f>
        <v xml:space="preserve">      100.00% 메인화면 4/14-6/27 </v>
      </c>
      <c r="AY313" s="297"/>
      <c r="AZ313" s="297"/>
      <c r="BA313" s="297"/>
      <c r="BB313" s="297"/>
      <c r="BC313" s="297"/>
      <c r="BD313" s="297"/>
      <c r="BE313" s="297"/>
      <c r="BF313" s="297"/>
      <c r="BG313" s="297"/>
      <c r="BH313" s="297"/>
      <c r="BI313" s="297"/>
      <c r="BJ313" s="297"/>
      <c r="BK313" s="297"/>
      <c r="BL313" s="297"/>
      <c r="BM313" s="297"/>
      <c r="BN313" s="297"/>
      <c r="BO313" s="297"/>
      <c r="BP313" s="297"/>
      <c r="BQ313" s="297"/>
      <c r="BR313" s="297"/>
      <c r="BS313" s="297"/>
      <c r="BT313" s="297"/>
      <c r="BU313" s="297"/>
      <c r="BV313" s="297"/>
      <c r="BW313" s="297"/>
      <c r="BX313" s="297"/>
      <c r="BY313" s="297"/>
      <c r="BZ313" s="297"/>
      <c r="CA313" s="297"/>
      <c r="CB313" s="297"/>
      <c r="CC313" s="297"/>
      <c r="CD313" s="297"/>
      <c r="CE313" s="297"/>
      <c r="CF313" s="297"/>
      <c r="CG313" s="297"/>
    </row>
    <row r="314" spans="1:85" ht="12" customHeight="1" outlineLevel="4">
      <c r="A314" s="288"/>
      <c r="B314" s="288"/>
      <c r="C314" s="288">
        <v>5</v>
      </c>
      <c r="D314" s="291" t="s">
        <v>1874</v>
      </c>
      <c r="E314" s="246"/>
      <c r="F314" s="246"/>
      <c r="G314" s="244"/>
      <c r="H314" s="246"/>
      <c r="I314" s="244" t="s">
        <v>2596</v>
      </c>
      <c r="J314" s="244"/>
      <c r="K314" s="244"/>
      <c r="L314" s="244"/>
      <c r="M314" s="244"/>
      <c r="N314" s="244"/>
      <c r="O314" s="244"/>
      <c r="P314" s="333">
        <v>45761</v>
      </c>
      <c r="Q314" s="243">
        <v>45849</v>
      </c>
      <c r="R314" s="246"/>
      <c r="S314" s="247">
        <v>305</v>
      </c>
      <c r="T314" s="247">
        <v>305</v>
      </c>
      <c r="U314" s="247">
        <v>61</v>
      </c>
      <c r="V314" s="247">
        <v>61</v>
      </c>
      <c r="W314" s="248"/>
      <c r="X314" s="248"/>
      <c r="Y314" s="265"/>
      <c r="Z314" s="266">
        <v>0</v>
      </c>
      <c r="AA314" s="247">
        <v>5</v>
      </c>
      <c r="AB314" s="246"/>
      <c r="AC314" s="264"/>
      <c r="AD314" s="240">
        <v>1</v>
      </c>
      <c r="AE314" s="330">
        <v>1</v>
      </c>
      <c r="AF314" s="296"/>
      <c r="AG314" s="297"/>
      <c r="AH314" s="297"/>
      <c r="AI314" s="297"/>
      <c r="AJ314" s="297"/>
      <c r="AK314" s="297"/>
      <c r="AL314" s="297"/>
      <c r="AM314" s="297"/>
      <c r="AN314" s="297"/>
      <c r="AO314" s="297"/>
      <c r="AP314" s="297"/>
      <c r="AQ314" s="297"/>
      <c r="AR314" s="297"/>
      <c r="AS314" s="297"/>
      <c r="AT314" s="297"/>
      <c r="AU314" s="297"/>
      <c r="AV314" s="297"/>
      <c r="AW314" s="297"/>
      <c r="AX314" s="297"/>
      <c r="AY314" s="297"/>
      <c r="AZ314" s="297" t="str">
        <f>"      " &amp; TEXT(AE314,"#0.00%") &amp; " " &amp; "주문" &amp; " " &amp; IF(P314="","",TEXT(P314,"M/D-")) &amp; IF(Q314="","",TEXT(Q314,"M/D")) &amp; " "</f>
        <v xml:space="preserve">      100.00% 주문 4/14-7/11 </v>
      </c>
      <c r="BA314" s="297"/>
      <c r="BB314" s="297"/>
      <c r="BC314" s="297"/>
      <c r="BD314" s="297"/>
      <c r="BE314" s="297"/>
      <c r="BF314" s="297"/>
      <c r="BG314" s="297"/>
      <c r="BH314" s="297"/>
      <c r="BI314" s="297"/>
      <c r="BJ314" s="297"/>
      <c r="BK314" s="297"/>
      <c r="BL314" s="297"/>
      <c r="BM314" s="297"/>
      <c r="BN314" s="297"/>
      <c r="BO314" s="297"/>
      <c r="BP314" s="297"/>
      <c r="BQ314" s="297"/>
      <c r="BR314" s="297"/>
      <c r="BS314" s="297"/>
      <c r="BT314" s="297"/>
      <c r="BU314" s="297"/>
      <c r="BV314" s="297"/>
      <c r="BW314" s="297"/>
      <c r="BX314" s="297"/>
      <c r="BY314" s="297"/>
      <c r="BZ314" s="297"/>
      <c r="CA314" s="297"/>
      <c r="CB314" s="297"/>
      <c r="CC314" s="297"/>
      <c r="CD314" s="297"/>
      <c r="CE314" s="297"/>
      <c r="CF314" s="297"/>
      <c r="CG314" s="297"/>
    </row>
    <row r="315" spans="1:85" ht="12" customHeight="1" outlineLevel="4">
      <c r="A315" s="288"/>
      <c r="B315" s="288"/>
      <c r="C315" s="288">
        <v>5</v>
      </c>
      <c r="D315" s="291" t="s">
        <v>1875</v>
      </c>
      <c r="E315" s="246"/>
      <c r="F315" s="246"/>
      <c r="G315" s="244"/>
      <c r="H315" s="246"/>
      <c r="I315" s="244" t="s">
        <v>2249</v>
      </c>
      <c r="J315" s="244"/>
      <c r="K315" s="244"/>
      <c r="L315" s="244"/>
      <c r="M315" s="244"/>
      <c r="N315" s="244"/>
      <c r="O315" s="244"/>
      <c r="P315" s="243">
        <v>45761</v>
      </c>
      <c r="Q315" s="243">
        <v>45849</v>
      </c>
      <c r="R315" s="246"/>
      <c r="S315" s="247">
        <v>305</v>
      </c>
      <c r="T315" s="247">
        <v>305</v>
      </c>
      <c r="U315" s="247">
        <v>61</v>
      </c>
      <c r="V315" s="247">
        <v>61</v>
      </c>
      <c r="W315" s="248"/>
      <c r="X315" s="248"/>
      <c r="Y315" s="265"/>
      <c r="Z315" s="266">
        <v>0</v>
      </c>
      <c r="AA315" s="247">
        <v>5</v>
      </c>
      <c r="AB315" s="246"/>
      <c r="AC315" s="264"/>
      <c r="AD315" s="240">
        <v>1</v>
      </c>
      <c r="AE315" s="330">
        <v>1</v>
      </c>
      <c r="AF315" s="296"/>
      <c r="AG315" s="297"/>
      <c r="AH315" s="297"/>
      <c r="AI315" s="297"/>
      <c r="AJ315" s="297"/>
      <c r="AK315" s="297"/>
      <c r="AL315" s="297"/>
      <c r="AM315" s="297"/>
      <c r="AN315" s="297"/>
      <c r="AO315" s="297"/>
      <c r="AP315" s="297"/>
      <c r="AQ315" s="297"/>
      <c r="AR315" s="297"/>
      <c r="AS315" s="297"/>
      <c r="AT315" s="297"/>
      <c r="AU315" s="297"/>
      <c r="AV315" s="297"/>
      <c r="AW315" s="297"/>
      <c r="AX315" s="297"/>
      <c r="AY315" s="297"/>
      <c r="AZ315" s="297" t="str">
        <f>"      " &amp; TEXT(AE315,"#0.00%") &amp; " " &amp; "결제" &amp; " " &amp; IF(P315="","",TEXT(P315,"M/D-")) &amp; IF(Q315="","",TEXT(Q315,"M/D")) &amp; " "</f>
        <v xml:space="preserve">      100.00% 결제 4/14-7/11 </v>
      </c>
      <c r="BA315" s="297"/>
      <c r="BB315" s="297"/>
      <c r="BC315" s="297"/>
      <c r="BD315" s="297"/>
      <c r="BE315" s="297"/>
      <c r="BF315" s="297"/>
      <c r="BG315" s="297"/>
      <c r="BH315" s="297"/>
      <c r="BI315" s="297"/>
      <c r="BJ315" s="297"/>
      <c r="BK315" s="297"/>
      <c r="BL315" s="297"/>
      <c r="BM315" s="297"/>
      <c r="BN315" s="297"/>
      <c r="BO315" s="297"/>
      <c r="BP315" s="297"/>
      <c r="BQ315" s="297"/>
      <c r="BR315" s="297"/>
      <c r="BS315" s="297"/>
      <c r="BT315" s="297"/>
      <c r="BU315" s="297"/>
      <c r="BV315" s="297"/>
      <c r="BW315" s="297"/>
      <c r="BX315" s="297"/>
      <c r="BY315" s="297"/>
      <c r="BZ315" s="297"/>
      <c r="CA315" s="297"/>
      <c r="CB315" s="297"/>
      <c r="CC315" s="297"/>
      <c r="CD315" s="297"/>
      <c r="CE315" s="297"/>
      <c r="CF315" s="297"/>
      <c r="CG315" s="297"/>
    </row>
    <row r="316" spans="1:85" ht="12" customHeight="1" outlineLevel="4">
      <c r="A316" s="288"/>
      <c r="B316" s="288"/>
      <c r="C316" s="288">
        <v>5</v>
      </c>
      <c r="D316" s="291" t="s">
        <v>1876</v>
      </c>
      <c r="E316" s="246"/>
      <c r="F316" s="246"/>
      <c r="G316" s="244"/>
      <c r="H316" s="246"/>
      <c r="I316" s="244" t="s">
        <v>2597</v>
      </c>
      <c r="J316" s="244"/>
      <c r="K316" s="244"/>
      <c r="L316" s="244"/>
      <c r="M316" s="244"/>
      <c r="N316" s="244"/>
      <c r="O316" s="244"/>
      <c r="P316" s="243">
        <v>45761</v>
      </c>
      <c r="Q316" s="243">
        <v>45849</v>
      </c>
      <c r="R316" s="246"/>
      <c r="S316" s="247">
        <v>305</v>
      </c>
      <c r="T316" s="247">
        <v>305</v>
      </c>
      <c r="U316" s="247">
        <v>61</v>
      </c>
      <c r="V316" s="247">
        <v>61</v>
      </c>
      <c r="W316" s="248"/>
      <c r="X316" s="248"/>
      <c r="Y316" s="265"/>
      <c r="Z316" s="266">
        <v>0</v>
      </c>
      <c r="AA316" s="247">
        <v>5</v>
      </c>
      <c r="AB316" s="246"/>
      <c r="AC316" s="264"/>
      <c r="AD316" s="240">
        <v>1</v>
      </c>
      <c r="AE316" s="330">
        <v>1</v>
      </c>
      <c r="AF316" s="296"/>
      <c r="AG316" s="297"/>
      <c r="AH316" s="297"/>
      <c r="AI316" s="297"/>
      <c r="AJ316" s="297"/>
      <c r="AK316" s="297"/>
      <c r="AL316" s="297"/>
      <c r="AM316" s="297"/>
      <c r="AN316" s="297"/>
      <c r="AO316" s="297"/>
      <c r="AP316" s="297"/>
      <c r="AQ316" s="297"/>
      <c r="AR316" s="297"/>
      <c r="AS316" s="297"/>
      <c r="AT316" s="297"/>
      <c r="AU316" s="297"/>
      <c r="AV316" s="297"/>
      <c r="AW316" s="297"/>
      <c r="AX316" s="297"/>
      <c r="AY316" s="297"/>
      <c r="AZ316" s="297" t="str">
        <f>"      " &amp; TEXT(AE316,"#0.00%") &amp; " " &amp; "프로모션" &amp; " " &amp; IF(P316="","",TEXT(P316,"M/D-")) &amp; IF(Q316="","",TEXT(Q316,"M/D")) &amp; " "</f>
        <v xml:space="preserve">      100.00% 프로모션 4/14-7/11 </v>
      </c>
      <c r="BA316" s="297"/>
      <c r="BB316" s="297"/>
      <c r="BC316" s="297"/>
      <c r="BD316" s="297"/>
      <c r="BE316" s="297"/>
      <c r="BF316" s="297"/>
      <c r="BG316" s="297"/>
      <c r="BH316" s="297"/>
      <c r="BI316" s="297"/>
      <c r="BJ316" s="297"/>
      <c r="BK316" s="297"/>
      <c r="BL316" s="297"/>
      <c r="BM316" s="297"/>
      <c r="BN316" s="297"/>
      <c r="BO316" s="297"/>
      <c r="BP316" s="297"/>
      <c r="BQ316" s="297"/>
      <c r="BR316" s="297"/>
      <c r="BS316" s="297"/>
      <c r="BT316" s="297"/>
      <c r="BU316" s="297"/>
      <c r="BV316" s="297"/>
      <c r="BW316" s="297"/>
      <c r="BX316" s="297"/>
      <c r="BY316" s="297"/>
      <c r="BZ316" s="297"/>
      <c r="CA316" s="297"/>
      <c r="CB316" s="297"/>
      <c r="CC316" s="297"/>
      <c r="CD316" s="297"/>
      <c r="CE316" s="297"/>
      <c r="CF316" s="297"/>
      <c r="CG316" s="297"/>
    </row>
    <row r="317" spans="1:85" ht="12" customHeight="1" outlineLevel="4">
      <c r="A317" s="288"/>
      <c r="B317" s="288"/>
      <c r="C317" s="288">
        <v>5</v>
      </c>
      <c r="D317" s="291" t="s">
        <v>1877</v>
      </c>
      <c r="E317" s="246"/>
      <c r="F317" s="246"/>
      <c r="G317" s="244"/>
      <c r="H317" s="246"/>
      <c r="I317" s="244" t="s">
        <v>2251</v>
      </c>
      <c r="J317" s="244"/>
      <c r="K317" s="244"/>
      <c r="L317" s="244"/>
      <c r="M317" s="244"/>
      <c r="N317" s="244"/>
      <c r="O317" s="244"/>
      <c r="P317" s="243">
        <v>45754</v>
      </c>
      <c r="Q317" s="243">
        <v>45772</v>
      </c>
      <c r="R317" s="246"/>
      <c r="S317" s="247">
        <v>15</v>
      </c>
      <c r="T317" s="247">
        <v>15</v>
      </c>
      <c r="U317" s="247">
        <v>15</v>
      </c>
      <c r="V317" s="247">
        <v>15</v>
      </c>
      <c r="W317" s="248"/>
      <c r="X317" s="248"/>
      <c r="Y317" s="265"/>
      <c r="Z317" s="266">
        <v>0</v>
      </c>
      <c r="AA317" s="247">
        <v>1</v>
      </c>
      <c r="AB317" s="246"/>
      <c r="AC317" s="264"/>
      <c r="AD317" s="240">
        <v>1</v>
      </c>
      <c r="AE317" s="330">
        <v>1</v>
      </c>
      <c r="AF317" s="296"/>
      <c r="AG317" s="297"/>
      <c r="AH317" s="297"/>
      <c r="AI317" s="297"/>
      <c r="AJ317" s="297"/>
      <c r="AK317" s="297"/>
      <c r="AL317" s="297"/>
      <c r="AM317" s="297"/>
      <c r="AN317" s="297"/>
      <c r="AO317" s="297" t="str">
        <f>"      " &amp; TEXT(AE317,"#0.00%") &amp; " " &amp; "정산" &amp; " " &amp; IF(P317="","",TEXT(P317,"M/D-")) &amp; IF(Q317="","",TEXT(Q317,"M/D")) &amp; " "</f>
        <v xml:space="preserve">      100.00% 정산 4/7-4/25 </v>
      </c>
      <c r="AP317" s="297"/>
      <c r="AQ317" s="297"/>
      <c r="AR317" s="297"/>
      <c r="AS317" s="297"/>
      <c r="AT317" s="297"/>
      <c r="AU317" s="297"/>
      <c r="AV317" s="297"/>
      <c r="AW317" s="297"/>
      <c r="AX317" s="297"/>
      <c r="AY317" s="297"/>
      <c r="AZ317" s="297"/>
      <c r="BA317" s="297"/>
      <c r="BB317" s="297"/>
      <c r="BC317" s="297"/>
      <c r="BD317" s="297"/>
      <c r="BE317" s="297"/>
      <c r="BF317" s="297"/>
      <c r="BG317" s="297"/>
      <c r="BH317" s="297"/>
      <c r="BI317" s="297"/>
      <c r="BJ317" s="297"/>
      <c r="BK317" s="297"/>
      <c r="BL317" s="297"/>
      <c r="BM317" s="297"/>
      <c r="BN317" s="297"/>
      <c r="BO317" s="297"/>
      <c r="BP317" s="297"/>
      <c r="BQ317" s="297"/>
      <c r="BR317" s="297"/>
      <c r="BS317" s="297"/>
      <c r="BT317" s="297"/>
      <c r="BU317" s="297"/>
      <c r="BV317" s="297"/>
      <c r="BW317" s="297"/>
      <c r="BX317" s="297"/>
      <c r="BY317" s="297"/>
      <c r="BZ317" s="297"/>
      <c r="CA317" s="297"/>
      <c r="CB317" s="297"/>
      <c r="CC317" s="297"/>
      <c r="CD317" s="297"/>
      <c r="CE317" s="297"/>
      <c r="CF317" s="297"/>
      <c r="CG317" s="297"/>
    </row>
    <row r="318" spans="1:85" ht="12" customHeight="1" outlineLevel="4">
      <c r="A318" s="288"/>
      <c r="B318" s="288"/>
      <c r="C318" s="288">
        <v>5</v>
      </c>
      <c r="D318" s="291" t="s">
        <v>1878</v>
      </c>
      <c r="E318" s="246"/>
      <c r="F318" s="246"/>
      <c r="G318" s="244"/>
      <c r="H318" s="244"/>
      <c r="I318" s="244" t="s">
        <v>2258</v>
      </c>
      <c r="J318" s="244"/>
      <c r="K318" s="244"/>
      <c r="L318" s="244"/>
      <c r="M318" s="244"/>
      <c r="N318" s="244"/>
      <c r="O318" s="244"/>
      <c r="P318" s="243">
        <v>45737</v>
      </c>
      <c r="Q318" s="243">
        <v>45800</v>
      </c>
      <c r="R318" s="246"/>
      <c r="S318" s="247">
        <v>44</v>
      </c>
      <c r="T318" s="247">
        <v>44</v>
      </c>
      <c r="U318" s="247">
        <v>44</v>
      </c>
      <c r="V318" s="247">
        <v>44</v>
      </c>
      <c r="W318" s="248"/>
      <c r="X318" s="248"/>
      <c r="Y318" s="265"/>
      <c r="Z318" s="266">
        <v>0</v>
      </c>
      <c r="AA318" s="247">
        <v>1</v>
      </c>
      <c r="AB318" s="246"/>
      <c r="AC318" s="264"/>
      <c r="AD318" s="240">
        <v>1</v>
      </c>
      <c r="AE318" s="304">
        <v>1</v>
      </c>
      <c r="AF318" s="296"/>
      <c r="AG318" s="297"/>
      <c r="AH318" s="297"/>
      <c r="AI318" s="297"/>
      <c r="AJ318" s="297"/>
      <c r="AK318" s="297"/>
      <c r="AL318" s="297"/>
      <c r="AM318" s="297"/>
      <c r="AN318" s="297"/>
      <c r="AO318" s="297"/>
      <c r="AP318" s="297"/>
      <c r="AQ318" s="297"/>
      <c r="AR318" s="297"/>
      <c r="AS318" s="297" t="str">
        <f>"      " &amp; TEXT(AE318,"#0.00%") &amp; " " &amp; "데이터수신" &amp; " " &amp; IF(P318="","",TEXT(P318,"M/D-")) &amp; IF(Q318="","",TEXT(Q318,"M/D")) &amp; " "</f>
        <v xml:space="preserve">      100.00% 데이터수신 3/21-5/23 </v>
      </c>
      <c r="AT318" s="297"/>
      <c r="AU318" s="297"/>
      <c r="AV318" s="297"/>
      <c r="AW318" s="297"/>
      <c r="AX318" s="297"/>
      <c r="AY318" s="297"/>
      <c r="AZ318" s="297"/>
      <c r="BA318" s="297"/>
      <c r="BB318" s="297"/>
      <c r="BC318" s="297"/>
      <c r="BD318" s="297"/>
      <c r="BE318" s="297"/>
      <c r="BF318" s="297"/>
      <c r="BG318" s="297"/>
      <c r="BH318" s="297"/>
      <c r="BI318" s="297"/>
      <c r="BJ318" s="297"/>
      <c r="BK318" s="297"/>
      <c r="BL318" s="297"/>
      <c r="BM318" s="297"/>
      <c r="BN318" s="297"/>
      <c r="BO318" s="297"/>
      <c r="BP318" s="297"/>
      <c r="BQ318" s="297"/>
      <c r="BR318" s="297"/>
      <c r="BS318" s="297"/>
      <c r="BT318" s="297"/>
      <c r="BU318" s="297"/>
      <c r="BV318" s="297"/>
      <c r="BW318" s="297"/>
      <c r="BX318" s="297"/>
      <c r="BY318" s="297"/>
      <c r="BZ318" s="297"/>
      <c r="CA318" s="297"/>
      <c r="CB318" s="297"/>
      <c r="CC318" s="297"/>
      <c r="CD318" s="297"/>
      <c r="CE318" s="297"/>
      <c r="CF318" s="297"/>
      <c r="CG318" s="297"/>
    </row>
    <row r="319" spans="1:85" ht="12" customHeight="1" outlineLevel="4">
      <c r="A319" s="288"/>
      <c r="B319" s="288"/>
      <c r="C319" s="288">
        <v>5</v>
      </c>
      <c r="D319" s="291" t="s">
        <v>1879</v>
      </c>
      <c r="E319" s="246"/>
      <c r="F319" s="246"/>
      <c r="G319" s="244"/>
      <c r="H319" s="246"/>
      <c r="I319" s="244" t="s">
        <v>2252</v>
      </c>
      <c r="J319" s="244"/>
      <c r="K319" s="244"/>
      <c r="L319" s="244"/>
      <c r="M319" s="244"/>
      <c r="N319" s="244"/>
      <c r="O319" s="244"/>
      <c r="P319" s="243">
        <v>45768</v>
      </c>
      <c r="Q319" s="243">
        <v>45807</v>
      </c>
      <c r="R319" s="246"/>
      <c r="S319" s="247">
        <v>28</v>
      </c>
      <c r="T319" s="247">
        <v>28</v>
      </c>
      <c r="U319" s="247">
        <v>28</v>
      </c>
      <c r="V319" s="247">
        <v>28</v>
      </c>
      <c r="W319" s="248"/>
      <c r="X319" s="248"/>
      <c r="Y319" s="265"/>
      <c r="Z319" s="266">
        <v>0</v>
      </c>
      <c r="AA319" s="247">
        <v>1</v>
      </c>
      <c r="AB319" s="246"/>
      <c r="AC319" s="264"/>
      <c r="AD319" s="240">
        <v>1</v>
      </c>
      <c r="AE319" s="330">
        <v>1</v>
      </c>
      <c r="AF319" s="296"/>
      <c r="AG319" s="297"/>
      <c r="AH319" s="297"/>
      <c r="AI319" s="297"/>
      <c r="AJ319" s="297"/>
      <c r="AK319" s="297"/>
      <c r="AL319" s="297"/>
      <c r="AM319" s="297"/>
      <c r="AN319" s="297"/>
      <c r="AO319" s="297"/>
      <c r="AP319" s="297"/>
      <c r="AQ319" s="297"/>
      <c r="AR319" s="297"/>
      <c r="AS319" s="297"/>
      <c r="AT319" s="297" t="str">
        <f>"      " &amp; TEXT(AE319,"#0.00%") &amp; " " &amp; "영수증" &amp; " " &amp; IF(P319="","",TEXT(P319,"M/D-")) &amp; IF(Q319="","",TEXT(Q319,"M/D")) &amp; " "</f>
        <v xml:space="preserve">      100.00% 영수증 4/21-5/30 </v>
      </c>
      <c r="AU319" s="297"/>
      <c r="AV319" s="297"/>
      <c r="AW319" s="297"/>
      <c r="AX319" s="297"/>
      <c r="AY319" s="297"/>
      <c r="AZ319" s="297"/>
      <c r="BA319" s="297"/>
      <c r="BB319" s="297"/>
      <c r="BC319" s="297"/>
      <c r="BD319" s="297"/>
      <c r="BE319" s="297"/>
      <c r="BF319" s="297"/>
      <c r="BG319" s="297"/>
      <c r="BH319" s="297"/>
      <c r="BI319" s="297"/>
      <c r="BJ319" s="297"/>
      <c r="BK319" s="297"/>
      <c r="BL319" s="297"/>
      <c r="BM319" s="297"/>
      <c r="BN319" s="297"/>
      <c r="BO319" s="297"/>
      <c r="BP319" s="297"/>
      <c r="BQ319" s="297"/>
      <c r="BR319" s="297"/>
      <c r="BS319" s="297"/>
      <c r="BT319" s="297"/>
      <c r="BU319" s="297"/>
      <c r="BV319" s="297"/>
      <c r="BW319" s="297"/>
      <c r="BX319" s="297"/>
      <c r="BY319" s="297"/>
      <c r="BZ319" s="297"/>
      <c r="CA319" s="297"/>
      <c r="CB319" s="297"/>
      <c r="CC319" s="297"/>
      <c r="CD319" s="297"/>
      <c r="CE319" s="297"/>
      <c r="CF319" s="297"/>
      <c r="CG319" s="297"/>
    </row>
    <row r="320" spans="1:85" ht="12" customHeight="1" outlineLevel="4">
      <c r="A320" s="288"/>
      <c r="B320" s="288"/>
      <c r="C320" s="288">
        <v>5</v>
      </c>
      <c r="D320" s="291" t="s">
        <v>1880</v>
      </c>
      <c r="E320" s="246"/>
      <c r="F320" s="246"/>
      <c r="G320" s="244"/>
      <c r="H320" s="246"/>
      <c r="I320" s="244" t="s">
        <v>2253</v>
      </c>
      <c r="J320" s="244"/>
      <c r="K320" s="244"/>
      <c r="L320" s="244"/>
      <c r="M320" s="244"/>
      <c r="N320" s="244"/>
      <c r="O320" s="244"/>
      <c r="P320" s="243">
        <v>45789</v>
      </c>
      <c r="Q320" s="319">
        <v>45849</v>
      </c>
      <c r="R320" s="246"/>
      <c r="S320" s="247">
        <v>43</v>
      </c>
      <c r="T320" s="247">
        <v>43</v>
      </c>
      <c r="U320" s="247">
        <v>43</v>
      </c>
      <c r="V320" s="247">
        <v>43</v>
      </c>
      <c r="W320" s="248"/>
      <c r="X320" s="248"/>
      <c r="Y320" s="265"/>
      <c r="Z320" s="266">
        <v>0</v>
      </c>
      <c r="AA320" s="247">
        <v>1</v>
      </c>
      <c r="AB320" s="246"/>
      <c r="AC320" s="264"/>
      <c r="AD320" s="240">
        <v>1</v>
      </c>
      <c r="AE320" s="330">
        <v>1</v>
      </c>
      <c r="AF320" s="296"/>
      <c r="AG320" s="297"/>
      <c r="AH320" s="297"/>
      <c r="AI320" s="297"/>
      <c r="AJ320" s="297"/>
      <c r="AK320" s="297"/>
      <c r="AL320" s="297"/>
      <c r="AM320" s="297"/>
      <c r="AN320" s="297"/>
      <c r="AO320" s="297"/>
      <c r="AP320" s="297"/>
      <c r="AQ320" s="297"/>
      <c r="AR320" s="297"/>
      <c r="AS320" s="297"/>
      <c r="AT320" s="297"/>
      <c r="AU320" s="297"/>
      <c r="AV320" s="297"/>
      <c r="AW320" s="297"/>
      <c r="AX320" s="297"/>
      <c r="AY320" s="297"/>
      <c r="AZ320" s="297" t="str">
        <f>"      " &amp; TEXT(AE320,"#0.00%") &amp; " " &amp; "부가기능" &amp; " " &amp; IF(P320="","",TEXT(P320,"M/D-")) &amp; IF(Q320="","",TEXT(Q320,"M/D")) &amp; " "</f>
        <v xml:space="preserve">      100.00% 부가기능 5/12-7/11 </v>
      </c>
      <c r="BA320" s="297"/>
      <c r="BB320" s="297"/>
      <c r="BC320" s="297"/>
      <c r="BD320" s="297"/>
      <c r="BE320" s="297"/>
      <c r="BF320" s="297"/>
      <c r="BG320" s="297"/>
      <c r="BH320" s="297"/>
      <c r="BI320" s="297"/>
      <c r="BJ320" s="297"/>
      <c r="BK320" s="297"/>
      <c r="BL320" s="297"/>
      <c r="BM320" s="297"/>
      <c r="BN320" s="297"/>
      <c r="BO320" s="297"/>
      <c r="BP320" s="297"/>
      <c r="BQ320" s="297"/>
      <c r="BR320" s="297"/>
      <c r="BS320" s="297"/>
      <c r="BT320" s="297"/>
      <c r="BU320" s="297"/>
      <c r="BV320" s="297"/>
      <c r="BW320" s="297"/>
      <c r="BX320" s="297"/>
      <c r="BY320" s="297"/>
      <c r="BZ320" s="297"/>
      <c r="CA320" s="297"/>
      <c r="CB320" s="297"/>
      <c r="CC320" s="297"/>
      <c r="CD320" s="297"/>
      <c r="CE320" s="297"/>
      <c r="CF320" s="297"/>
      <c r="CG320" s="297"/>
    </row>
    <row r="321" spans="1:85" ht="12" customHeight="1" outlineLevel="4">
      <c r="A321" s="288"/>
      <c r="B321" s="288"/>
      <c r="C321" s="288">
        <v>5</v>
      </c>
      <c r="D321" s="291" t="s">
        <v>1881</v>
      </c>
      <c r="E321" s="246"/>
      <c r="F321" s="246"/>
      <c r="G321" s="244"/>
      <c r="H321" s="246"/>
      <c r="I321" s="244" t="s">
        <v>2254</v>
      </c>
      <c r="J321" s="244"/>
      <c r="K321" s="244"/>
      <c r="L321" s="244"/>
      <c r="M321" s="244"/>
      <c r="N321" s="244"/>
      <c r="O321" s="244"/>
      <c r="P321" s="243">
        <v>45775</v>
      </c>
      <c r="Q321" s="243">
        <v>45828</v>
      </c>
      <c r="R321" s="246"/>
      <c r="S321" s="247">
        <v>36</v>
      </c>
      <c r="T321" s="247">
        <v>36</v>
      </c>
      <c r="U321" s="247">
        <v>36</v>
      </c>
      <c r="V321" s="247">
        <v>36</v>
      </c>
      <c r="W321" s="248"/>
      <c r="X321" s="248"/>
      <c r="Y321" s="265"/>
      <c r="Z321" s="266">
        <v>0</v>
      </c>
      <c r="AA321" s="247">
        <v>1</v>
      </c>
      <c r="AB321" s="246"/>
      <c r="AC321" s="264"/>
      <c r="AD321" s="240">
        <v>1</v>
      </c>
      <c r="AE321" s="330">
        <v>1</v>
      </c>
      <c r="AF321" s="296"/>
      <c r="AG321" s="297"/>
      <c r="AH321" s="297"/>
      <c r="AI321" s="297"/>
      <c r="AJ321" s="297"/>
      <c r="AK321" s="297"/>
      <c r="AL321" s="297"/>
      <c r="AM321" s="297"/>
      <c r="AN321" s="297"/>
      <c r="AO321" s="297"/>
      <c r="AP321" s="297"/>
      <c r="AQ321" s="297"/>
      <c r="AR321" s="297"/>
      <c r="AS321" s="297"/>
      <c r="AT321" s="297"/>
      <c r="AU321" s="297"/>
      <c r="AV321" s="297"/>
      <c r="AW321" s="297" t="str">
        <f>"      " &amp; TEXT(AE321,"#0.00%") &amp; " " &amp; "고객화면" &amp; " " &amp; IF(P321="","",TEXT(P321,"M/D-")) &amp; IF(Q321="","",TEXT(Q321,"M/D")) &amp; " "</f>
        <v xml:space="preserve">      100.00% 고객화면 4/28-6/20 </v>
      </c>
      <c r="AX321" s="297"/>
      <c r="AY321" s="297"/>
      <c r="AZ321" s="297"/>
      <c r="BA321" s="297"/>
      <c r="BB321" s="297"/>
      <c r="BC321" s="297"/>
      <c r="BD321" s="297"/>
      <c r="BE321" s="297"/>
      <c r="BF321" s="297"/>
      <c r="BG321" s="297"/>
      <c r="BH321" s="297"/>
      <c r="BI321" s="297"/>
      <c r="BJ321" s="297"/>
      <c r="BK321" s="297"/>
      <c r="BL321" s="297"/>
      <c r="BM321" s="297"/>
      <c r="BN321" s="297"/>
      <c r="BO321" s="297"/>
      <c r="BP321" s="297"/>
      <c r="BQ321" s="297"/>
      <c r="BR321" s="297"/>
      <c r="BS321" s="297"/>
      <c r="BT321" s="297"/>
      <c r="BU321" s="297"/>
      <c r="BV321" s="297"/>
      <c r="BW321" s="297"/>
      <c r="BX321" s="297"/>
      <c r="BY321" s="297"/>
      <c r="BZ321" s="297"/>
      <c r="CA321" s="297"/>
      <c r="CB321" s="297"/>
      <c r="CC321" s="297"/>
      <c r="CD321" s="297"/>
      <c r="CE321" s="297"/>
      <c r="CF321" s="297"/>
      <c r="CG321" s="297"/>
    </row>
    <row r="322" spans="1:85" ht="12" customHeight="1" outlineLevel="4">
      <c r="A322" s="288"/>
      <c r="B322" s="288"/>
      <c r="C322" s="288">
        <v>5</v>
      </c>
      <c r="D322" s="291" t="s">
        <v>1882</v>
      </c>
      <c r="E322" s="246"/>
      <c r="F322" s="246"/>
      <c r="G322" s="244"/>
      <c r="H322" s="246"/>
      <c r="I322" s="244" t="s">
        <v>1852</v>
      </c>
      <c r="J322" s="244"/>
      <c r="K322" s="244"/>
      <c r="L322" s="244"/>
      <c r="M322" s="244"/>
      <c r="N322" s="244"/>
      <c r="O322" s="244"/>
      <c r="P322" s="248">
        <v>45831</v>
      </c>
      <c r="Q322" s="248">
        <v>45856</v>
      </c>
      <c r="R322" s="246"/>
      <c r="S322" s="247">
        <v>20</v>
      </c>
      <c r="T322" s="247">
        <v>20</v>
      </c>
      <c r="U322" s="247">
        <v>20</v>
      </c>
      <c r="V322" s="247">
        <v>20</v>
      </c>
      <c r="W322" s="248"/>
      <c r="X322" s="248"/>
      <c r="Y322" s="265"/>
      <c r="Z322" s="266">
        <v>0</v>
      </c>
      <c r="AA322" s="247">
        <v>1</v>
      </c>
      <c r="AB322" s="246"/>
      <c r="AC322" s="264"/>
      <c r="AD322" s="240">
        <v>1</v>
      </c>
      <c r="AE322" s="330">
        <v>1</v>
      </c>
      <c r="AF322" s="296"/>
      <c r="AG322" s="297"/>
      <c r="AH322" s="297"/>
      <c r="AI322" s="297"/>
      <c r="AJ322" s="297"/>
      <c r="AK322" s="297"/>
      <c r="AL322" s="297"/>
      <c r="AM322" s="297"/>
      <c r="AN322" s="297"/>
      <c r="AO322" s="297"/>
      <c r="AP322" s="297"/>
      <c r="AQ322" s="297"/>
      <c r="AR322" s="297"/>
      <c r="AS322" s="297"/>
      <c r="AT322" s="297"/>
      <c r="AU322" s="297"/>
      <c r="AV322" s="297"/>
      <c r="AW322" s="297"/>
      <c r="AX322" s="297"/>
      <c r="AY322" s="297"/>
      <c r="AZ322" s="297"/>
      <c r="BA322" s="297" t="str">
        <f>"      " &amp; TEXT(AE322,"#0.00%") &amp; " " &amp; "단위테스트(1차)" &amp; " " &amp; IF(P322="","",TEXT(P322,"M/D-")) &amp; IF(Q322="","",TEXT(Q322,"M/D")) &amp; " "</f>
        <v xml:space="preserve">      100.00% 단위테스트(1차) 6/23-7/18 </v>
      </c>
      <c r="BB322" s="297"/>
      <c r="BC322" s="297"/>
      <c r="BD322" s="297"/>
      <c r="BE322" s="297"/>
      <c r="BF322" s="297"/>
      <c r="BG322" s="297"/>
      <c r="BH322" s="297"/>
      <c r="BI322" s="297"/>
      <c r="BJ322" s="297"/>
      <c r="BK322" s="297"/>
      <c r="BL322" s="297"/>
      <c r="BM322" s="297"/>
      <c r="BN322" s="297"/>
      <c r="BO322" s="297"/>
      <c r="BP322" s="297"/>
      <c r="BQ322" s="297"/>
      <c r="BR322" s="297"/>
      <c r="BS322" s="297"/>
      <c r="BT322" s="297"/>
      <c r="BU322" s="297"/>
      <c r="BV322" s="297"/>
      <c r="BW322" s="297"/>
      <c r="BX322" s="297"/>
      <c r="BY322" s="297"/>
      <c r="BZ322" s="297"/>
      <c r="CA322" s="297"/>
      <c r="CB322" s="297"/>
      <c r="CC322" s="297"/>
      <c r="CD322" s="297"/>
      <c r="CE322" s="297"/>
      <c r="CF322" s="297"/>
      <c r="CG322" s="297"/>
    </row>
    <row r="323" spans="1:85" ht="12" customHeight="1" outlineLevel="3">
      <c r="A323" s="288"/>
      <c r="B323" s="288" t="s">
        <v>2334</v>
      </c>
      <c r="C323" s="288">
        <v>4</v>
      </c>
      <c r="D323" s="291" t="s">
        <v>1887</v>
      </c>
      <c r="E323" s="246"/>
      <c r="F323" s="246"/>
      <c r="G323" s="244"/>
      <c r="H323" s="246" t="s">
        <v>2257</v>
      </c>
      <c r="I323" s="244"/>
      <c r="J323" s="244"/>
      <c r="K323" s="244"/>
      <c r="L323" s="244"/>
      <c r="M323" s="244"/>
      <c r="N323" s="244"/>
      <c r="O323" s="244"/>
      <c r="P323" s="243">
        <v>45838</v>
      </c>
      <c r="Q323" s="243">
        <v>45884</v>
      </c>
      <c r="R323" s="246"/>
      <c r="S323" s="247">
        <v>34</v>
      </c>
      <c r="T323" s="247">
        <v>34</v>
      </c>
      <c r="U323" s="247">
        <v>34</v>
      </c>
      <c r="V323" s="247">
        <v>34</v>
      </c>
      <c r="W323" s="248"/>
      <c r="X323" s="248"/>
      <c r="Y323" s="265">
        <v>0</v>
      </c>
      <c r="Z323" s="266">
        <v>0</v>
      </c>
      <c r="AA323" s="247"/>
      <c r="AB323" s="246"/>
      <c r="AC323" s="264"/>
      <c r="AD323" s="240">
        <v>1</v>
      </c>
      <c r="AE323" s="241">
        <v>1</v>
      </c>
      <c r="AF323" s="296"/>
      <c r="AG323" s="297"/>
      <c r="AH323" s="297"/>
      <c r="AI323" s="297"/>
      <c r="AJ323" s="297"/>
      <c r="AK323" s="297"/>
      <c r="AL323" s="297"/>
      <c r="AM323" s="297"/>
      <c r="AN323" s="297"/>
      <c r="AO323" s="297"/>
      <c r="AP323" s="297"/>
      <c r="AQ323" s="297"/>
      <c r="AR323" s="297"/>
      <c r="AS323" s="297"/>
      <c r="AT323" s="297"/>
      <c r="AU323" s="297"/>
      <c r="AV323" s="297"/>
      <c r="AW323" s="297"/>
      <c r="AX323" s="297"/>
      <c r="AY323" s="297"/>
      <c r="AZ323" s="297"/>
      <c r="BA323" s="297"/>
      <c r="BB323" s="297"/>
      <c r="BC323" s="297"/>
      <c r="BD323" s="297"/>
      <c r="BE323" s="297" t="str">
        <f>"      " &amp; TEXT(AE323,"#0.00%") &amp; " " &amp; "개발 및 단위테스트(1.5차)" &amp; " " &amp; IF(P323="","",TEXT(P323,"M/D-")) &amp; IF(Q323="","",TEXT(Q323,"M/D")) &amp; " "</f>
        <v xml:space="preserve">      100.00% 개발 및 단위테스트(1.5차) 6/30-8/15 </v>
      </c>
      <c r="BF323" s="297"/>
      <c r="BG323" s="297"/>
      <c r="BH323" s="297"/>
      <c r="BI323" s="297"/>
      <c r="BJ323" s="297"/>
      <c r="BK323" s="297"/>
      <c r="BL323" s="297"/>
      <c r="BM323" s="297"/>
      <c r="BN323" s="297"/>
      <c r="BO323" s="297"/>
      <c r="BP323" s="297"/>
      <c r="BQ323" s="297"/>
      <c r="BR323" s="297"/>
      <c r="BS323" s="297"/>
      <c r="BT323" s="297"/>
      <c r="BU323" s="297"/>
      <c r="BV323" s="297"/>
      <c r="BW323" s="297"/>
      <c r="BX323" s="297"/>
      <c r="BY323" s="297"/>
      <c r="BZ323" s="297"/>
      <c r="CA323" s="297"/>
      <c r="CB323" s="297"/>
      <c r="CC323" s="297"/>
      <c r="CD323" s="297"/>
      <c r="CE323" s="297"/>
      <c r="CF323" s="297"/>
      <c r="CG323" s="297"/>
    </row>
    <row r="324" spans="1:85" ht="12" customHeight="1" outlineLevel="4">
      <c r="A324" s="288"/>
      <c r="B324" s="288"/>
      <c r="C324" s="288">
        <v>5</v>
      </c>
      <c r="D324" s="291" t="s">
        <v>1888</v>
      </c>
      <c r="E324" s="246"/>
      <c r="F324" s="246"/>
      <c r="G324" s="244"/>
      <c r="H324" s="246"/>
      <c r="I324" s="244" t="s">
        <v>2249</v>
      </c>
      <c r="J324" s="244"/>
      <c r="K324" s="244"/>
      <c r="L324" s="244"/>
      <c r="M324" s="244"/>
      <c r="N324" s="244"/>
      <c r="O324" s="244"/>
      <c r="P324" s="243">
        <v>45838</v>
      </c>
      <c r="Q324" s="243">
        <v>45877</v>
      </c>
      <c r="R324" s="246"/>
      <c r="S324" s="247">
        <v>30</v>
      </c>
      <c r="T324" s="247">
        <v>30</v>
      </c>
      <c r="U324" s="247">
        <v>30</v>
      </c>
      <c r="V324" s="247">
        <v>30</v>
      </c>
      <c r="W324" s="248"/>
      <c r="X324" s="248"/>
      <c r="Y324" s="265"/>
      <c r="Z324" s="266">
        <v>0</v>
      </c>
      <c r="AA324" s="247">
        <v>1</v>
      </c>
      <c r="AB324" s="246"/>
      <c r="AC324" s="264"/>
      <c r="AD324" s="240">
        <v>1</v>
      </c>
      <c r="AE324" s="330">
        <v>1</v>
      </c>
      <c r="AF324" s="296"/>
      <c r="AG324" s="297"/>
      <c r="AH324" s="297"/>
      <c r="AI324" s="297"/>
      <c r="AJ324" s="297"/>
      <c r="AK324" s="297"/>
      <c r="AL324" s="297"/>
      <c r="AM324" s="297"/>
      <c r="AN324" s="297"/>
      <c r="AO324" s="297"/>
      <c r="AP324" s="297"/>
      <c r="AQ324" s="297"/>
      <c r="AR324" s="297"/>
      <c r="AS324" s="297"/>
      <c r="AT324" s="297"/>
      <c r="AU324" s="297"/>
      <c r="AV324" s="297"/>
      <c r="AW324" s="297"/>
      <c r="AX324" s="297"/>
      <c r="AY324" s="297"/>
      <c r="AZ324" s="297"/>
      <c r="BA324" s="297"/>
      <c r="BB324" s="297"/>
      <c r="BC324" s="297"/>
      <c r="BD324" s="297" t="str">
        <f>"      " &amp; TEXT(AE324,"#0.00%") &amp; " " &amp; "결제" &amp; " " &amp; IF(P324="","",TEXT(P324,"M/D-")) &amp; IF(Q324="","",TEXT(Q324,"M/D")) &amp; " "</f>
        <v xml:space="preserve">      100.00% 결제 6/30-8/8 </v>
      </c>
      <c r="BE324" s="297"/>
      <c r="BF324" s="297"/>
      <c r="BG324" s="297"/>
      <c r="BH324" s="297"/>
      <c r="BI324" s="297"/>
      <c r="BJ324" s="297"/>
      <c r="BK324" s="297"/>
      <c r="BL324" s="297"/>
      <c r="BM324" s="297"/>
      <c r="BN324" s="297"/>
      <c r="BO324" s="297"/>
      <c r="BP324" s="297"/>
      <c r="BQ324" s="297"/>
      <c r="BR324" s="297"/>
      <c r="BS324" s="297"/>
      <c r="BT324" s="297"/>
      <c r="BU324" s="297"/>
      <c r="BV324" s="297"/>
      <c r="BW324" s="297"/>
      <c r="BX324" s="297"/>
      <c r="BY324" s="297"/>
      <c r="BZ324" s="297"/>
      <c r="CA324" s="297"/>
      <c r="CB324" s="297"/>
      <c r="CC324" s="297"/>
      <c r="CD324" s="297"/>
      <c r="CE324" s="297"/>
      <c r="CF324" s="297"/>
      <c r="CG324" s="297"/>
    </row>
    <row r="325" spans="1:85" ht="12" customHeight="1" outlineLevel="4">
      <c r="A325" s="288"/>
      <c r="B325" s="288"/>
      <c r="C325" s="288">
        <v>5</v>
      </c>
      <c r="D325" s="291" t="s">
        <v>1889</v>
      </c>
      <c r="E325" s="246"/>
      <c r="F325" s="246"/>
      <c r="G325" s="244"/>
      <c r="H325" s="246"/>
      <c r="I325" s="244" t="s">
        <v>2305</v>
      </c>
      <c r="J325" s="244"/>
      <c r="K325" s="244"/>
      <c r="L325" s="244"/>
      <c r="M325" s="244"/>
      <c r="N325" s="244"/>
      <c r="O325" s="244"/>
      <c r="P325" s="248">
        <v>45880</v>
      </c>
      <c r="Q325" s="248">
        <v>45884</v>
      </c>
      <c r="R325" s="246"/>
      <c r="S325" s="247">
        <v>4</v>
      </c>
      <c r="T325" s="247">
        <v>4</v>
      </c>
      <c r="U325" s="247">
        <v>4</v>
      </c>
      <c r="V325" s="247">
        <v>4</v>
      </c>
      <c r="W325" s="248"/>
      <c r="X325" s="248"/>
      <c r="Y325" s="265"/>
      <c r="Z325" s="266">
        <v>0</v>
      </c>
      <c r="AA325" s="247">
        <v>1</v>
      </c>
      <c r="AB325" s="246"/>
      <c r="AC325" s="264"/>
      <c r="AD325" s="240">
        <v>1</v>
      </c>
      <c r="AE325" s="330">
        <v>1</v>
      </c>
      <c r="AF325" s="296"/>
      <c r="AG325" s="297"/>
      <c r="AH325" s="297"/>
      <c r="AI325" s="297"/>
      <c r="AJ325" s="297"/>
      <c r="AK325" s="297"/>
      <c r="AL325" s="297"/>
      <c r="AM325" s="297"/>
      <c r="AN325" s="297"/>
      <c r="AO325" s="297"/>
      <c r="AP325" s="297"/>
      <c r="AQ325" s="297"/>
      <c r="AR325" s="297"/>
      <c r="AS325" s="297"/>
      <c r="AT325" s="297"/>
      <c r="AU325" s="297"/>
      <c r="AV325" s="297"/>
      <c r="AW325" s="297"/>
      <c r="AX325" s="297"/>
      <c r="AY325" s="297"/>
      <c r="AZ325" s="297"/>
      <c r="BA325" s="297"/>
      <c r="BB325" s="297"/>
      <c r="BC325" s="297"/>
      <c r="BD325" s="297"/>
      <c r="BE325" s="297" t="str">
        <f>"      " &amp; TEXT(AE325,"#0.00%") &amp; " " &amp; "단위테스트(1.5차)" &amp; " " &amp; IF(P325="","",TEXT(P325,"M/D-")) &amp; IF(Q325="","",TEXT(Q325,"M/D")) &amp; " "</f>
        <v xml:space="preserve">      100.00% 단위테스트(1.5차) 8/11-8/15 </v>
      </c>
      <c r="BF325" s="297"/>
      <c r="BG325" s="297"/>
      <c r="BH325" s="297"/>
      <c r="BI325" s="297"/>
      <c r="BJ325" s="297"/>
      <c r="BK325" s="297"/>
      <c r="BL325" s="297"/>
      <c r="BM325" s="297"/>
      <c r="BN325" s="297"/>
      <c r="BO325" s="297"/>
      <c r="BP325" s="297"/>
      <c r="BQ325" s="297"/>
      <c r="BR325" s="297"/>
      <c r="BS325" s="297"/>
      <c r="BT325" s="297"/>
      <c r="BU325" s="297"/>
      <c r="BV325" s="297"/>
      <c r="BW325" s="297"/>
      <c r="BX325" s="297"/>
      <c r="BY325" s="297"/>
      <c r="BZ325" s="297"/>
      <c r="CA325" s="297"/>
      <c r="CB325" s="297"/>
      <c r="CC325" s="297"/>
      <c r="CD325" s="297"/>
      <c r="CE325" s="297"/>
      <c r="CF325" s="297"/>
      <c r="CG325" s="297"/>
    </row>
    <row r="326" spans="1:85" ht="12" customHeight="1" outlineLevel="3">
      <c r="A326" s="288"/>
      <c r="B326" s="288" t="s">
        <v>2334</v>
      </c>
      <c r="C326" s="288">
        <v>4</v>
      </c>
      <c r="D326" s="291" t="s">
        <v>2444</v>
      </c>
      <c r="E326" s="246"/>
      <c r="F326" s="246"/>
      <c r="G326" s="244"/>
      <c r="H326" s="246" t="s">
        <v>2259</v>
      </c>
      <c r="I326" s="244"/>
      <c r="J326" s="244"/>
      <c r="K326" s="244"/>
      <c r="L326" s="244"/>
      <c r="M326" s="244"/>
      <c r="N326" s="244"/>
      <c r="O326" s="244"/>
      <c r="P326" s="243">
        <v>45747</v>
      </c>
      <c r="Q326" s="243">
        <v>45898</v>
      </c>
      <c r="R326" s="246"/>
      <c r="S326" s="247">
        <v>198</v>
      </c>
      <c r="T326" s="247">
        <v>198</v>
      </c>
      <c r="U326" s="247">
        <v>105</v>
      </c>
      <c r="V326" s="247">
        <v>105</v>
      </c>
      <c r="W326" s="248"/>
      <c r="X326" s="248"/>
      <c r="Y326" s="265">
        <v>0</v>
      </c>
      <c r="Z326" s="266">
        <v>0</v>
      </c>
      <c r="AA326" s="247"/>
      <c r="AB326" s="246"/>
      <c r="AC326" s="264"/>
      <c r="AD326" s="240">
        <v>1</v>
      </c>
      <c r="AE326" s="241">
        <v>1</v>
      </c>
      <c r="AF326" s="296"/>
      <c r="AG326" s="297"/>
      <c r="AH326" s="297"/>
      <c r="AI326" s="297"/>
      <c r="AJ326" s="297"/>
      <c r="AK326" s="297"/>
      <c r="AL326" s="297"/>
      <c r="AM326" s="297"/>
      <c r="AN326" s="297"/>
      <c r="AO326" s="297"/>
      <c r="AP326" s="297"/>
      <c r="AQ326" s="297"/>
      <c r="AR326" s="297"/>
      <c r="AS326" s="297"/>
      <c r="AT326" s="297"/>
      <c r="AU326" s="297"/>
      <c r="AV326" s="297"/>
      <c r="AW326" s="297"/>
      <c r="AX326" s="297"/>
      <c r="AY326" s="297"/>
      <c r="AZ326" s="297"/>
      <c r="BA326" s="297"/>
      <c r="BB326" s="297"/>
      <c r="BC326" s="297"/>
      <c r="BD326" s="297"/>
      <c r="BE326" s="297"/>
      <c r="BF326" s="297"/>
      <c r="BG326" s="297" t="str">
        <f>"      " &amp; TEXT(AE326,"#0.00%") &amp; " " &amp; "개발 및 단위테스트(2차)" &amp; " " &amp; IF(P326="","",TEXT(P326,"M/D-")) &amp; IF(Q326="","",TEXT(Q326,"M/D")) &amp; " "</f>
        <v xml:space="preserve">      100.00% 개발 및 단위테스트(2차) 3/31-8/29 </v>
      </c>
      <c r="BH326" s="297"/>
      <c r="BI326" s="297"/>
      <c r="BJ326" s="297"/>
      <c r="BK326" s="297"/>
      <c r="BL326" s="297"/>
      <c r="BM326" s="297"/>
      <c r="BN326" s="297"/>
      <c r="BO326" s="297"/>
      <c r="BP326" s="297"/>
      <c r="BQ326" s="297"/>
      <c r="BR326" s="297"/>
      <c r="BS326" s="297"/>
      <c r="BT326" s="297"/>
      <c r="BU326" s="297"/>
      <c r="BV326" s="297"/>
      <c r="BW326" s="297"/>
      <c r="BX326" s="297"/>
      <c r="BY326" s="297"/>
      <c r="BZ326" s="297"/>
      <c r="CA326" s="297"/>
      <c r="CB326" s="297"/>
      <c r="CC326" s="297"/>
      <c r="CD326" s="297"/>
      <c r="CE326" s="297"/>
      <c r="CF326" s="297"/>
      <c r="CG326" s="297"/>
    </row>
    <row r="327" spans="1:85" ht="12" customHeight="1" outlineLevel="4">
      <c r="A327" s="288"/>
      <c r="B327" s="288"/>
      <c r="C327" s="288">
        <v>5</v>
      </c>
      <c r="D327" s="291" t="s">
        <v>2445</v>
      </c>
      <c r="E327" s="246"/>
      <c r="F327" s="246"/>
      <c r="G327" s="244"/>
      <c r="H327" s="244"/>
      <c r="I327" s="244" t="s">
        <v>1588</v>
      </c>
      <c r="J327" s="244"/>
      <c r="K327" s="244"/>
      <c r="L327" s="244"/>
      <c r="M327" s="244"/>
      <c r="N327" s="244"/>
      <c r="O327" s="244"/>
      <c r="P327" s="243">
        <v>45747</v>
      </c>
      <c r="Q327" s="243">
        <v>45898</v>
      </c>
      <c r="R327" s="246"/>
      <c r="S327" s="247">
        <v>105</v>
      </c>
      <c r="T327" s="247">
        <v>105</v>
      </c>
      <c r="U327" s="247">
        <v>105</v>
      </c>
      <c r="V327" s="247">
        <v>105</v>
      </c>
      <c r="W327" s="248"/>
      <c r="X327" s="248"/>
      <c r="Y327" s="265"/>
      <c r="Z327" s="266">
        <v>0</v>
      </c>
      <c r="AA327" s="247">
        <v>1</v>
      </c>
      <c r="AB327" s="246"/>
      <c r="AC327" s="264"/>
      <c r="AD327" s="240">
        <v>1</v>
      </c>
      <c r="AE327" s="330">
        <v>1</v>
      </c>
      <c r="AF327" s="296"/>
      <c r="AG327" s="297"/>
      <c r="AH327" s="297"/>
      <c r="AI327" s="297"/>
      <c r="AJ327" s="297"/>
      <c r="AK327" s="297"/>
      <c r="AL327" s="297"/>
      <c r="AM327" s="297"/>
      <c r="AN327" s="297"/>
      <c r="AO327" s="297"/>
      <c r="AP327" s="297"/>
      <c r="AQ327" s="297"/>
      <c r="AR327" s="297"/>
      <c r="AS327" s="297"/>
      <c r="AT327" s="297"/>
      <c r="AU327" s="297"/>
      <c r="AV327" s="297"/>
      <c r="AW327" s="297"/>
      <c r="AX327" s="297"/>
      <c r="AY327" s="297"/>
      <c r="AZ327" s="297"/>
      <c r="BA327" s="297"/>
      <c r="BB327" s="297"/>
      <c r="BC327" s="297"/>
      <c r="BD327" s="297"/>
      <c r="BE327" s="297"/>
      <c r="BF327" s="297"/>
      <c r="BG327" s="297" t="str">
        <f>"      " &amp; TEXT(AE327,"#0.00%") &amp; " " &amp; "디자인" &amp; " " &amp; IF(P327="","",TEXT(P327,"M/D-")) &amp; IF(Q327="","",TEXT(Q327,"M/D")) &amp; " "</f>
        <v xml:space="preserve">      100.00% 디자인 3/31-8/29 </v>
      </c>
      <c r="BH327" s="297"/>
      <c r="BI327" s="297"/>
      <c r="BJ327" s="297"/>
      <c r="BK327" s="297"/>
      <c r="BL327" s="297"/>
      <c r="BM327" s="297"/>
      <c r="BN327" s="297"/>
      <c r="BO327" s="297"/>
      <c r="BP327" s="297"/>
      <c r="BQ327" s="297"/>
      <c r="BR327" s="297"/>
      <c r="BS327" s="297"/>
      <c r="BT327" s="297"/>
      <c r="BU327" s="297"/>
      <c r="BV327" s="297"/>
      <c r="BW327" s="297"/>
      <c r="BX327" s="297"/>
      <c r="BY327" s="297"/>
      <c r="BZ327" s="297"/>
      <c r="CA327" s="297"/>
      <c r="CB327" s="297"/>
      <c r="CC327" s="297"/>
      <c r="CD327" s="297"/>
      <c r="CE327" s="297"/>
      <c r="CF327" s="297"/>
      <c r="CG327" s="297"/>
    </row>
    <row r="328" spans="1:85" ht="12" customHeight="1" outlineLevel="4">
      <c r="A328" s="288"/>
      <c r="B328" s="288"/>
      <c r="C328" s="288">
        <v>5</v>
      </c>
      <c r="D328" s="291" t="s">
        <v>2446</v>
      </c>
      <c r="E328" s="246"/>
      <c r="F328" s="246"/>
      <c r="G328" s="244"/>
      <c r="H328" s="244"/>
      <c r="I328" s="244" t="s">
        <v>2252</v>
      </c>
      <c r="J328" s="244"/>
      <c r="K328" s="244"/>
      <c r="L328" s="244"/>
      <c r="M328" s="244"/>
      <c r="N328" s="244"/>
      <c r="O328" s="244"/>
      <c r="P328" s="243">
        <v>45845</v>
      </c>
      <c r="Q328" s="243">
        <v>45870</v>
      </c>
      <c r="R328" s="246"/>
      <c r="S328" s="247">
        <v>20</v>
      </c>
      <c r="T328" s="247">
        <v>20</v>
      </c>
      <c r="U328" s="247">
        <v>20</v>
      </c>
      <c r="V328" s="247">
        <v>20</v>
      </c>
      <c r="W328" s="248"/>
      <c r="X328" s="248"/>
      <c r="Y328" s="265"/>
      <c r="Z328" s="266">
        <v>0</v>
      </c>
      <c r="AA328" s="247">
        <v>1</v>
      </c>
      <c r="AB328" s="246"/>
      <c r="AC328" s="264"/>
      <c r="AD328" s="240">
        <v>1</v>
      </c>
      <c r="AE328" s="330">
        <v>1</v>
      </c>
      <c r="AF328" s="296"/>
      <c r="AG328" s="297"/>
      <c r="AH328" s="297"/>
      <c r="AI328" s="297"/>
      <c r="AJ328" s="297"/>
      <c r="AK328" s="297"/>
      <c r="AL328" s="297"/>
      <c r="AM328" s="297"/>
      <c r="AN328" s="297"/>
      <c r="AO328" s="297"/>
      <c r="AP328" s="297"/>
      <c r="AQ328" s="297"/>
      <c r="AR328" s="297"/>
      <c r="AS328" s="297"/>
      <c r="AT328" s="297"/>
      <c r="AU328" s="297"/>
      <c r="AV328" s="297"/>
      <c r="AW328" s="297"/>
      <c r="AX328" s="297"/>
      <c r="AY328" s="297"/>
      <c r="AZ328" s="297"/>
      <c r="BA328" s="297"/>
      <c r="BB328" s="297"/>
      <c r="BC328" s="297" t="str">
        <f>"      " &amp; TEXT(AE328,"#0.00%") &amp; " " &amp; "영수증" &amp; " " &amp; IF(P328="","",TEXT(P328,"M/D-")) &amp; IF(Q328="","",TEXT(Q328,"M/D")) &amp; " "</f>
        <v xml:space="preserve">      100.00% 영수증 7/7-8/1 </v>
      </c>
      <c r="BD328" s="297"/>
      <c r="BE328" s="297"/>
      <c r="BF328" s="297"/>
      <c r="BG328" s="297"/>
      <c r="BH328" s="297"/>
      <c r="BI328" s="297"/>
      <c r="BJ328" s="297"/>
      <c r="BK328" s="297"/>
      <c r="BL328" s="297"/>
      <c r="BM328" s="297"/>
      <c r="BN328" s="297"/>
      <c r="BO328" s="297"/>
      <c r="BP328" s="297"/>
      <c r="BQ328" s="297"/>
      <c r="BR328" s="297"/>
      <c r="BS328" s="297"/>
      <c r="BT328" s="297"/>
      <c r="BU328" s="297"/>
      <c r="BV328" s="297"/>
      <c r="BW328" s="297"/>
      <c r="BX328" s="297"/>
      <c r="BY328" s="297"/>
      <c r="BZ328" s="297"/>
      <c r="CA328" s="297"/>
      <c r="CB328" s="297"/>
      <c r="CC328" s="297"/>
      <c r="CD328" s="297"/>
      <c r="CE328" s="297"/>
      <c r="CF328" s="297"/>
      <c r="CG328" s="297"/>
    </row>
    <row r="329" spans="1:85" ht="12" customHeight="1" outlineLevel="4">
      <c r="A329" s="288"/>
      <c r="B329" s="288"/>
      <c r="C329" s="288">
        <v>5</v>
      </c>
      <c r="D329" s="313" t="s">
        <v>2447</v>
      </c>
      <c r="E329" s="314"/>
      <c r="F329" s="314"/>
      <c r="G329" s="314"/>
      <c r="H329" s="314"/>
      <c r="I329" s="314" t="s">
        <v>2250</v>
      </c>
      <c r="J329" s="314"/>
      <c r="K329" s="314"/>
      <c r="L329" s="314"/>
      <c r="M329" s="314"/>
      <c r="N329" s="314"/>
      <c r="O329" s="314"/>
      <c r="P329" s="248">
        <v>45852</v>
      </c>
      <c r="Q329" s="243">
        <v>45884</v>
      </c>
      <c r="R329" s="314"/>
      <c r="S329" s="242">
        <v>24</v>
      </c>
      <c r="T329" s="242">
        <v>24</v>
      </c>
      <c r="U329" s="242">
        <v>24</v>
      </c>
      <c r="V329" s="242">
        <v>24</v>
      </c>
      <c r="W329" s="243"/>
      <c r="X329" s="243"/>
      <c r="Y329" s="251"/>
      <c r="Z329" s="252">
        <v>0</v>
      </c>
      <c r="AA329" s="242">
        <v>1</v>
      </c>
      <c r="AB329" s="244"/>
      <c r="AC329" s="311" t="s">
        <v>2195</v>
      </c>
      <c r="AD329" s="239">
        <v>1</v>
      </c>
      <c r="AE329" s="330">
        <v>1</v>
      </c>
      <c r="AF329" s="296"/>
      <c r="AG329" s="297"/>
      <c r="AH329" s="297"/>
      <c r="AI329" s="297"/>
      <c r="AJ329" s="297"/>
      <c r="AK329" s="297"/>
      <c r="AL329" s="297"/>
      <c r="AM329" s="297"/>
      <c r="AN329" s="297"/>
      <c r="AO329" s="297"/>
      <c r="AP329" s="297"/>
      <c r="AQ329" s="297"/>
      <c r="AR329" s="297"/>
      <c r="AS329" s="297"/>
      <c r="AT329" s="297"/>
      <c r="AU329" s="297"/>
      <c r="AV329" s="297"/>
      <c r="AW329" s="297"/>
      <c r="AX329" s="297"/>
      <c r="AY329" s="297"/>
      <c r="AZ329" s="297"/>
      <c r="BA329" s="297"/>
      <c r="BB329" s="297"/>
      <c r="BC329" s="297"/>
      <c r="BD329" s="297"/>
      <c r="BE329" s="297" t="str">
        <f>"      " &amp; TEXT(AE329,"#0.00%") &amp; " " &amp; "회원" &amp; " " &amp; IF(P329="","",TEXT(P329,"M/D-")) &amp; IF(Q329="","",TEXT(Q329,"M/D")) &amp; " "</f>
        <v xml:space="preserve">      100.00% 회원 7/14-8/15 </v>
      </c>
      <c r="BF329" s="297"/>
      <c r="BG329" s="297"/>
      <c r="BH329" s="297"/>
      <c r="BI329" s="297"/>
      <c r="BJ329" s="297"/>
      <c r="BK329" s="297"/>
      <c r="BL329" s="297"/>
      <c r="BM329" s="297"/>
      <c r="BN329" s="297"/>
      <c r="BO329" s="297"/>
      <c r="BP329" s="297"/>
      <c r="BQ329" s="297"/>
      <c r="BR329" s="297"/>
      <c r="BS329" s="297"/>
      <c r="BT329" s="297"/>
      <c r="BU329" s="297"/>
      <c r="BV329" s="297"/>
      <c r="BW329" s="297"/>
      <c r="BX329" s="297"/>
      <c r="BY329" s="297"/>
      <c r="BZ329" s="297"/>
      <c r="CA329" s="297"/>
      <c r="CB329" s="297"/>
      <c r="CC329" s="297"/>
      <c r="CD329" s="297"/>
      <c r="CE329" s="297"/>
      <c r="CF329" s="297"/>
      <c r="CG329" s="297"/>
    </row>
    <row r="330" spans="1:85" ht="12" customHeight="1" outlineLevel="4">
      <c r="A330" s="288"/>
      <c r="B330" s="288"/>
      <c r="C330" s="288">
        <v>5</v>
      </c>
      <c r="D330" s="313" t="s">
        <v>2448</v>
      </c>
      <c r="E330" s="314"/>
      <c r="F330" s="314"/>
      <c r="G330" s="314"/>
      <c r="H330" s="314"/>
      <c r="I330" s="314" t="s">
        <v>2253</v>
      </c>
      <c r="J330" s="314"/>
      <c r="K330" s="314"/>
      <c r="L330" s="314"/>
      <c r="M330" s="314"/>
      <c r="N330" s="314"/>
      <c r="O330" s="314"/>
      <c r="P330" s="248">
        <v>45838</v>
      </c>
      <c r="Q330" s="243">
        <v>45891</v>
      </c>
      <c r="R330" s="246"/>
      <c r="S330" s="247">
        <v>39</v>
      </c>
      <c r="T330" s="247">
        <v>39</v>
      </c>
      <c r="U330" s="247">
        <v>39</v>
      </c>
      <c r="V330" s="247">
        <v>39</v>
      </c>
      <c r="W330" s="248"/>
      <c r="X330" s="248"/>
      <c r="Y330" s="265"/>
      <c r="Z330" s="266">
        <v>0</v>
      </c>
      <c r="AA330" s="247">
        <v>1</v>
      </c>
      <c r="AB330" s="246" t="s">
        <v>1844</v>
      </c>
      <c r="AC330" s="312" t="s">
        <v>2194</v>
      </c>
      <c r="AD330" s="240">
        <v>1</v>
      </c>
      <c r="AE330" s="330">
        <v>1</v>
      </c>
      <c r="AF330" s="296"/>
      <c r="AG330" s="297"/>
      <c r="AH330" s="297"/>
      <c r="AI330" s="297"/>
      <c r="AJ330" s="297"/>
      <c r="AK330" s="297"/>
      <c r="AL330" s="297"/>
      <c r="AM330" s="297"/>
      <c r="AN330" s="297"/>
      <c r="AO330" s="297"/>
      <c r="AP330" s="297"/>
      <c r="AQ330" s="297"/>
      <c r="AR330" s="297"/>
      <c r="AS330" s="297"/>
      <c r="AT330" s="297"/>
      <c r="AU330" s="297"/>
      <c r="AV330" s="297"/>
      <c r="AW330" s="297"/>
      <c r="AX330" s="297"/>
      <c r="AY330" s="297"/>
      <c r="AZ330" s="297"/>
      <c r="BA330" s="297"/>
      <c r="BB330" s="297"/>
      <c r="BC330" s="297"/>
      <c r="BD330" s="297"/>
      <c r="BE330" s="297"/>
      <c r="BF330" s="297" t="str">
        <f>"      " &amp; TEXT(AE330,"#0.00%") &amp; " " &amp; "부가기능" &amp; "(유운오님)" &amp; " " &amp; IF(P330="","",TEXT(P330,"M/D-")) &amp; IF(Q330="","",TEXT(Q330,"M/D")) &amp; " "</f>
        <v xml:space="preserve">      100.00% 부가기능(유운오님) 6/30-8/22 </v>
      </c>
      <c r="BG330" s="297"/>
      <c r="BH330" s="297"/>
      <c r="BI330" s="297"/>
      <c r="BJ330" s="297"/>
      <c r="BK330" s="297"/>
      <c r="BL330" s="297"/>
      <c r="BM330" s="297"/>
      <c r="BN330" s="297"/>
      <c r="BO330" s="297"/>
      <c r="BP330" s="297"/>
      <c r="BQ330" s="297"/>
      <c r="BR330" s="297"/>
      <c r="BS330" s="297"/>
      <c r="BT330" s="297"/>
      <c r="BU330" s="297"/>
      <c r="BV330" s="297"/>
      <c r="BW330" s="297"/>
      <c r="BX330" s="297"/>
      <c r="BY330" s="297"/>
      <c r="BZ330" s="297"/>
      <c r="CA330" s="297"/>
      <c r="CB330" s="297"/>
      <c r="CC330" s="297"/>
      <c r="CD330" s="297"/>
      <c r="CE330" s="297"/>
      <c r="CF330" s="297"/>
      <c r="CG330" s="297"/>
    </row>
    <row r="331" spans="1:85" ht="12" customHeight="1" outlineLevel="4">
      <c r="A331" s="288"/>
      <c r="B331" s="288"/>
      <c r="C331" s="288">
        <v>5</v>
      </c>
      <c r="D331" s="313" t="s">
        <v>2449</v>
      </c>
      <c r="E331" s="314"/>
      <c r="F331" s="314"/>
      <c r="G331" s="314"/>
      <c r="H331" s="314"/>
      <c r="I331" s="244" t="s">
        <v>1853</v>
      </c>
      <c r="J331" s="244"/>
      <c r="K331" s="244"/>
      <c r="L331" s="244"/>
      <c r="M331" s="244"/>
      <c r="N331" s="244"/>
      <c r="O331" s="244"/>
      <c r="P331" s="248">
        <v>45887</v>
      </c>
      <c r="Q331" s="248">
        <v>45898</v>
      </c>
      <c r="R331" s="246"/>
      <c r="S331" s="247">
        <v>10</v>
      </c>
      <c r="T331" s="247">
        <v>10</v>
      </c>
      <c r="U331" s="247">
        <v>10</v>
      </c>
      <c r="V331" s="247">
        <v>10</v>
      </c>
      <c r="W331" s="248"/>
      <c r="X331" s="248"/>
      <c r="Y331" s="265"/>
      <c r="Z331" s="266">
        <v>0</v>
      </c>
      <c r="AA331" s="247">
        <v>1</v>
      </c>
      <c r="AB331" s="246"/>
      <c r="AC331" s="312"/>
      <c r="AD331" s="240">
        <v>1</v>
      </c>
      <c r="AE331" s="330">
        <v>1</v>
      </c>
      <c r="AF331" s="296"/>
      <c r="AG331" s="297"/>
      <c r="AH331" s="297"/>
      <c r="AI331" s="297"/>
      <c r="AJ331" s="297"/>
      <c r="AK331" s="297"/>
      <c r="AL331" s="297"/>
      <c r="AM331" s="297"/>
      <c r="AN331" s="297"/>
      <c r="AO331" s="297"/>
      <c r="AP331" s="297"/>
      <c r="AQ331" s="297"/>
      <c r="AR331" s="297"/>
      <c r="AS331" s="297"/>
      <c r="AT331" s="297"/>
      <c r="AU331" s="297"/>
      <c r="AV331" s="297"/>
      <c r="AW331" s="297"/>
      <c r="AX331" s="297"/>
      <c r="AY331" s="297"/>
      <c r="AZ331" s="297"/>
      <c r="BA331" s="297"/>
      <c r="BB331" s="297"/>
      <c r="BC331" s="297"/>
      <c r="BD331" s="297"/>
      <c r="BE331" s="297"/>
      <c r="BF331" s="297"/>
      <c r="BG331" s="297" t="str">
        <f>"      " &amp; TEXT(AE331,"#0.00%") &amp; " " &amp; "단위테스트(2차)" &amp; " " &amp; IF(P331="","",TEXT(P331,"M/D-")) &amp; IF(Q331="","",TEXT(Q331,"M/D")) &amp; " "</f>
        <v xml:space="preserve">      100.00% 단위테스트(2차) 8/18-8/29 </v>
      </c>
      <c r="BH331" s="297"/>
      <c r="BI331" s="297"/>
      <c r="BJ331" s="297"/>
      <c r="BK331" s="297"/>
      <c r="BL331" s="297"/>
      <c r="BM331" s="297"/>
      <c r="BN331" s="297"/>
      <c r="BO331" s="297"/>
      <c r="BP331" s="297"/>
      <c r="BQ331" s="297"/>
      <c r="BR331" s="297"/>
      <c r="BS331" s="297"/>
      <c r="BT331" s="297"/>
      <c r="BU331" s="297"/>
      <c r="BV331" s="297"/>
      <c r="BW331" s="297"/>
      <c r="BX331" s="297"/>
      <c r="BY331" s="297"/>
      <c r="BZ331" s="297"/>
      <c r="CA331" s="297"/>
      <c r="CB331" s="297"/>
      <c r="CC331" s="297"/>
      <c r="CD331" s="297"/>
      <c r="CE331" s="297"/>
      <c r="CF331" s="297"/>
      <c r="CG331" s="297"/>
    </row>
    <row r="332" spans="1:85" ht="12" customHeight="1" outlineLevel="1">
      <c r="A332" s="288"/>
      <c r="B332" s="288" t="s">
        <v>2334</v>
      </c>
      <c r="C332" s="288">
        <v>2</v>
      </c>
      <c r="D332" s="291" t="s">
        <v>1699</v>
      </c>
      <c r="E332" s="246"/>
      <c r="F332" s="246" t="s">
        <v>1585</v>
      </c>
      <c r="G332" s="244"/>
      <c r="H332" s="244"/>
      <c r="I332" s="244"/>
      <c r="J332" s="244"/>
      <c r="K332" s="244"/>
      <c r="L332" s="244"/>
      <c r="M332" s="244"/>
      <c r="N332" s="244"/>
      <c r="O332" s="244"/>
      <c r="P332" s="243">
        <v>45705</v>
      </c>
      <c r="Q332" s="243">
        <v>45898</v>
      </c>
      <c r="R332" s="246"/>
      <c r="S332" s="247">
        <v>987</v>
      </c>
      <c r="T332" s="247">
        <v>987</v>
      </c>
      <c r="U332" s="247">
        <v>134</v>
      </c>
      <c r="V332" s="247">
        <v>134</v>
      </c>
      <c r="W332" s="248"/>
      <c r="X332" s="248"/>
      <c r="Y332" s="265">
        <v>0</v>
      </c>
      <c r="Z332" s="266">
        <v>0</v>
      </c>
      <c r="AA332" s="247"/>
      <c r="AB332" s="246"/>
      <c r="AC332" s="264"/>
      <c r="AD332" s="240">
        <v>1</v>
      </c>
      <c r="AE332" s="241">
        <v>1</v>
      </c>
      <c r="AF332" s="296"/>
      <c r="AG332" s="297"/>
      <c r="AH332" s="297"/>
      <c r="AI332" s="297"/>
      <c r="AJ332" s="297"/>
      <c r="AK332" s="297"/>
      <c r="AL332" s="297"/>
      <c r="AM332" s="297"/>
      <c r="AN332" s="297"/>
      <c r="AO332" s="297"/>
      <c r="AP332" s="297"/>
      <c r="AQ332" s="297"/>
      <c r="AR332" s="297"/>
      <c r="AS332" s="297"/>
      <c r="AT332" s="297"/>
      <c r="AU332" s="297"/>
      <c r="AV332" s="297"/>
      <c r="AW332" s="297"/>
      <c r="AX332" s="297"/>
      <c r="AY332" s="297"/>
      <c r="AZ332" s="297"/>
      <c r="BA332" s="297"/>
      <c r="BB332" s="297"/>
      <c r="BC332" s="297"/>
      <c r="BD332" s="297"/>
      <c r="BE332" s="297"/>
      <c r="BF332" s="297"/>
      <c r="BG332" s="297" t="str">
        <f>"      " &amp; TEXT(AE332,"#0.00%") &amp; " " &amp; "키오스크 구축" &amp; " " &amp; IF(P332="","",TEXT(P332,"M/D-")) &amp; IF(Q332="","",TEXT(Q332,"M/D")) &amp; " "</f>
        <v xml:space="preserve">      100.00% 키오스크 구축 2/17-8/29 </v>
      </c>
      <c r="BH332" s="297"/>
      <c r="BI332" s="297"/>
      <c r="BJ332" s="297"/>
      <c r="BK332" s="297"/>
      <c r="BL332" s="297"/>
      <c r="BM332" s="297"/>
      <c r="BN332" s="297"/>
      <c r="BO332" s="297"/>
      <c r="BP332" s="297"/>
      <c r="BQ332" s="297"/>
      <c r="BR332" s="297"/>
      <c r="BS332" s="297"/>
      <c r="BT332" s="297"/>
      <c r="BU332" s="297"/>
      <c r="BV332" s="297"/>
      <c r="BW332" s="297"/>
      <c r="BX332" s="297"/>
      <c r="BY332" s="297"/>
      <c r="BZ332" s="297"/>
      <c r="CA332" s="297"/>
      <c r="CB332" s="297"/>
      <c r="CC332" s="297"/>
      <c r="CD332" s="297"/>
      <c r="CE332" s="297"/>
      <c r="CF332" s="297"/>
      <c r="CG332" s="297"/>
    </row>
    <row r="333" spans="1:85" ht="12" customHeight="1" outlineLevel="2">
      <c r="A333" s="288"/>
      <c r="B333" s="288" t="s">
        <v>2334</v>
      </c>
      <c r="C333" s="288">
        <v>3</v>
      </c>
      <c r="D333" s="291" t="s">
        <v>1700</v>
      </c>
      <c r="E333" s="246"/>
      <c r="F333" s="246"/>
      <c r="G333" s="244" t="s">
        <v>1424</v>
      </c>
      <c r="H333" s="244"/>
      <c r="I333" s="244"/>
      <c r="J333" s="244"/>
      <c r="K333" s="244"/>
      <c r="L333" s="244"/>
      <c r="M333" s="244"/>
      <c r="N333" s="244"/>
      <c r="O333" s="244"/>
      <c r="P333" s="243">
        <v>45705</v>
      </c>
      <c r="Q333" s="243">
        <v>45758</v>
      </c>
      <c r="R333" s="246"/>
      <c r="S333" s="247">
        <v>69</v>
      </c>
      <c r="T333" s="247">
        <v>69</v>
      </c>
      <c r="U333" s="247">
        <v>39</v>
      </c>
      <c r="V333" s="247">
        <v>39</v>
      </c>
      <c r="W333" s="248"/>
      <c r="X333" s="248"/>
      <c r="Y333" s="265">
        <v>0</v>
      </c>
      <c r="Z333" s="266">
        <v>0</v>
      </c>
      <c r="AA333" s="247"/>
      <c r="AB333" s="246" t="s">
        <v>1844</v>
      </c>
      <c r="AC333" s="316"/>
      <c r="AD333" s="240">
        <v>1</v>
      </c>
      <c r="AE333" s="328">
        <v>1</v>
      </c>
      <c r="AF333" s="296"/>
      <c r="AG333" s="297"/>
      <c r="AH333" s="297"/>
      <c r="AI333" s="297"/>
      <c r="AJ333" s="297"/>
      <c r="AK333" s="297"/>
      <c r="AL333" s="297"/>
      <c r="AM333" s="297" t="str">
        <f>"      " &amp; TEXT(AE333,"#0.00%") &amp; " " &amp; "분석" &amp; "(유운오님)" &amp; " " &amp; IF(P333="","",TEXT(P333,"M/D-")) &amp; IF(Q333="","",TEXT(Q333,"M/D")) &amp; " "</f>
        <v xml:space="preserve">      100.00% 분석(유운오님) 2/17-4/11 </v>
      </c>
      <c r="AN333" s="297"/>
      <c r="AO333" s="297"/>
      <c r="AP333" s="297"/>
      <c r="AQ333" s="297"/>
      <c r="AR333" s="297"/>
      <c r="AS333" s="297"/>
      <c r="AT333" s="297"/>
      <c r="AU333" s="297"/>
      <c r="AV333" s="297"/>
      <c r="AW333" s="297"/>
      <c r="AX333" s="297"/>
      <c r="AY333" s="297"/>
      <c r="AZ333" s="297"/>
      <c r="BA333" s="297"/>
      <c r="BB333" s="297"/>
      <c r="BC333" s="297"/>
      <c r="BD333" s="297"/>
      <c r="BE333" s="297"/>
      <c r="BF333" s="297"/>
      <c r="BG333" s="297"/>
      <c r="BH333" s="297"/>
      <c r="BI333" s="297"/>
      <c r="BJ333" s="297"/>
      <c r="BK333" s="297"/>
      <c r="BL333" s="297"/>
      <c r="BM333" s="297"/>
      <c r="BN333" s="297"/>
      <c r="BO333" s="297"/>
      <c r="BP333" s="297"/>
      <c r="BQ333" s="297"/>
      <c r="BR333" s="297"/>
      <c r="BS333" s="297"/>
      <c r="BT333" s="297"/>
      <c r="BU333" s="297"/>
      <c r="BV333" s="297"/>
      <c r="BW333" s="297"/>
      <c r="BX333" s="297"/>
      <c r="BY333" s="297"/>
      <c r="BZ333" s="297"/>
      <c r="CA333" s="297"/>
      <c r="CB333" s="297"/>
      <c r="CC333" s="297"/>
      <c r="CD333" s="297"/>
      <c r="CE333" s="297"/>
      <c r="CF333" s="297"/>
      <c r="CG333" s="297"/>
    </row>
    <row r="334" spans="1:85" ht="12" customHeight="1" outlineLevel="3">
      <c r="A334" s="288"/>
      <c r="B334" s="288"/>
      <c r="C334" s="288">
        <v>4</v>
      </c>
      <c r="D334" s="291" t="s">
        <v>1835</v>
      </c>
      <c r="E334" s="246"/>
      <c r="F334" s="246"/>
      <c r="G334" s="244"/>
      <c r="H334" s="244" t="s">
        <v>2188</v>
      </c>
      <c r="I334" s="244"/>
      <c r="J334" s="244"/>
      <c r="K334" s="244"/>
      <c r="L334" s="244"/>
      <c r="M334" s="244"/>
      <c r="N334" s="244"/>
      <c r="O334" s="244"/>
      <c r="P334" s="243">
        <v>45705</v>
      </c>
      <c r="Q334" s="243">
        <v>45747</v>
      </c>
      <c r="R334" s="246"/>
      <c r="S334" s="247">
        <v>30</v>
      </c>
      <c r="T334" s="247">
        <v>30</v>
      </c>
      <c r="U334" s="247">
        <v>30</v>
      </c>
      <c r="V334" s="247">
        <v>30</v>
      </c>
      <c r="W334" s="248"/>
      <c r="X334" s="248"/>
      <c r="Y334" s="265"/>
      <c r="Z334" s="266">
        <v>0</v>
      </c>
      <c r="AA334" s="247">
        <v>1</v>
      </c>
      <c r="AB334" s="246" t="s">
        <v>1844</v>
      </c>
      <c r="AC334" s="264"/>
      <c r="AD334" s="240">
        <v>1</v>
      </c>
      <c r="AE334" s="304">
        <v>1</v>
      </c>
      <c r="AF334" s="296"/>
      <c r="AG334" s="297"/>
      <c r="AH334" s="297"/>
      <c r="AI334" s="297"/>
      <c r="AJ334" s="297"/>
      <c r="AK334" s="297"/>
      <c r="AL334" s="297" t="str">
        <f>"  " &amp; TEXT(AE334,"#0.00%") &amp; " " &amp; "기능목록 정의(Product Backlog)" &amp; "(유운오님)" &amp; " " &amp; IF(P334="","",TEXT(P334,"M/D-")) &amp; IF(Q334="","",TEXT(Q334,"M/D")) &amp; " "</f>
        <v xml:space="preserve">  100.00% 기능목록 정의(Product Backlog)(유운오님) 2/17-3/31 </v>
      </c>
      <c r="AM334" s="297"/>
      <c r="AN334" s="297"/>
      <c r="AO334" s="297"/>
      <c r="AP334" s="297"/>
      <c r="AQ334" s="297"/>
      <c r="AR334" s="297"/>
      <c r="AS334" s="297"/>
      <c r="AT334" s="297"/>
      <c r="AU334" s="297"/>
      <c r="AV334" s="297"/>
      <c r="AW334" s="297"/>
      <c r="AX334" s="297"/>
      <c r="AY334" s="297"/>
      <c r="AZ334" s="297"/>
      <c r="BA334" s="297"/>
      <c r="BB334" s="297"/>
      <c r="BC334" s="297"/>
      <c r="BD334" s="297"/>
      <c r="BE334" s="297"/>
      <c r="BF334" s="297"/>
      <c r="BG334" s="297"/>
      <c r="BH334" s="297"/>
      <c r="BI334" s="297"/>
      <c r="BJ334" s="297"/>
      <c r="BK334" s="297"/>
      <c r="BL334" s="297"/>
      <c r="BM334" s="297"/>
      <c r="BN334" s="297"/>
      <c r="BO334" s="297"/>
      <c r="BP334" s="297"/>
      <c r="BQ334" s="297"/>
      <c r="BR334" s="297"/>
      <c r="BS334" s="297"/>
      <c r="BT334" s="297"/>
      <c r="BU334" s="297"/>
      <c r="BV334" s="297"/>
      <c r="BW334" s="297"/>
      <c r="BX334" s="297"/>
      <c r="BY334" s="297"/>
      <c r="BZ334" s="297"/>
      <c r="CA334" s="297"/>
      <c r="CB334" s="297"/>
      <c r="CC334" s="297"/>
      <c r="CD334" s="297"/>
      <c r="CE334" s="297"/>
      <c r="CF334" s="297"/>
      <c r="CG334" s="297"/>
    </row>
    <row r="335" spans="1:85" ht="12" customHeight="1" outlineLevel="3">
      <c r="A335" s="288"/>
      <c r="B335" s="288"/>
      <c r="C335" s="288">
        <v>4</v>
      </c>
      <c r="D335" s="291" t="s">
        <v>1836</v>
      </c>
      <c r="E335" s="246"/>
      <c r="F335" s="246"/>
      <c r="G335" s="244"/>
      <c r="H335" s="244" t="s">
        <v>2189</v>
      </c>
      <c r="I335" s="244"/>
      <c r="J335" s="244"/>
      <c r="K335" s="244"/>
      <c r="L335" s="244"/>
      <c r="M335" s="244"/>
      <c r="N335" s="244"/>
      <c r="O335" s="244"/>
      <c r="P335" s="243">
        <v>45705</v>
      </c>
      <c r="Q335" s="243">
        <v>45758</v>
      </c>
      <c r="R335" s="246"/>
      <c r="S335" s="247">
        <v>39</v>
      </c>
      <c r="T335" s="247">
        <v>39</v>
      </c>
      <c r="U335" s="247">
        <v>39</v>
      </c>
      <c r="V335" s="247">
        <v>39</v>
      </c>
      <c r="W335" s="248"/>
      <c r="X335" s="248"/>
      <c r="Y335" s="265"/>
      <c r="Z335" s="266">
        <v>0</v>
      </c>
      <c r="AA335" s="247">
        <v>1</v>
      </c>
      <c r="AB335" s="246" t="s">
        <v>1844</v>
      </c>
      <c r="AC335" s="264"/>
      <c r="AD335" s="240">
        <v>1</v>
      </c>
      <c r="AE335" s="330">
        <v>1</v>
      </c>
      <c r="AF335" s="296"/>
      <c r="AG335" s="297"/>
      <c r="AH335" s="297"/>
      <c r="AI335" s="297"/>
      <c r="AJ335" s="297"/>
      <c r="AK335" s="297"/>
      <c r="AL335" s="297"/>
      <c r="AM335" s="297" t="str">
        <f>"      " &amp; TEXT(AE335,"#0.00%") &amp; " " &amp; "요구사항 분석 및 용어정의" &amp; "(유운오님)" &amp; " " &amp; IF(P335="","",TEXT(P335,"M/D-")) &amp; IF(Q335="","",TEXT(Q335,"M/D")) &amp; " "</f>
        <v xml:space="preserve">      100.00% 요구사항 분석 및 용어정의(유운오님) 2/17-4/11 </v>
      </c>
      <c r="AN335" s="297"/>
      <c r="AO335" s="297"/>
      <c r="AP335" s="297"/>
      <c r="AQ335" s="297"/>
      <c r="AR335" s="297"/>
      <c r="AS335" s="297"/>
      <c r="AT335" s="297"/>
      <c r="AU335" s="297"/>
      <c r="AV335" s="297"/>
      <c r="AW335" s="297"/>
      <c r="AX335" s="297"/>
      <c r="AY335" s="297"/>
      <c r="AZ335" s="297"/>
      <c r="BA335" s="297"/>
      <c r="BB335" s="297"/>
      <c r="BC335" s="297"/>
      <c r="BD335" s="297"/>
      <c r="BE335" s="297"/>
      <c r="BF335" s="297"/>
      <c r="BG335" s="297"/>
      <c r="BH335" s="297"/>
      <c r="BI335" s="297"/>
      <c r="BJ335" s="297"/>
      <c r="BK335" s="297"/>
      <c r="BL335" s="297"/>
      <c r="BM335" s="297"/>
      <c r="BN335" s="297"/>
      <c r="BO335" s="297"/>
      <c r="BP335" s="297"/>
      <c r="BQ335" s="297"/>
      <c r="BR335" s="297"/>
      <c r="BS335" s="297"/>
      <c r="BT335" s="297"/>
      <c r="BU335" s="297"/>
      <c r="BV335" s="297"/>
      <c r="BW335" s="297"/>
      <c r="BX335" s="297"/>
      <c r="BY335" s="297"/>
      <c r="BZ335" s="297"/>
      <c r="CA335" s="297"/>
      <c r="CB335" s="297"/>
      <c r="CC335" s="297"/>
      <c r="CD335" s="297"/>
      <c r="CE335" s="297"/>
      <c r="CF335" s="297"/>
      <c r="CG335" s="297"/>
    </row>
    <row r="336" spans="1:85" ht="12" customHeight="1" outlineLevel="2">
      <c r="A336" s="288"/>
      <c r="B336" s="288" t="s">
        <v>2334</v>
      </c>
      <c r="C336" s="288">
        <v>3</v>
      </c>
      <c r="D336" s="291" t="s">
        <v>1701</v>
      </c>
      <c r="E336" s="246"/>
      <c r="F336" s="246"/>
      <c r="G336" s="244" t="s">
        <v>1427</v>
      </c>
      <c r="H336" s="244"/>
      <c r="I336" s="244"/>
      <c r="J336" s="244"/>
      <c r="K336" s="244"/>
      <c r="L336" s="244"/>
      <c r="M336" s="244"/>
      <c r="N336" s="244"/>
      <c r="O336" s="244"/>
      <c r="P336" s="243">
        <v>45733</v>
      </c>
      <c r="Q336" s="243">
        <v>45775</v>
      </c>
      <c r="R336" s="246"/>
      <c r="S336" s="247">
        <v>246</v>
      </c>
      <c r="T336" s="247">
        <v>246</v>
      </c>
      <c r="U336" s="247">
        <v>31</v>
      </c>
      <c r="V336" s="247">
        <v>31</v>
      </c>
      <c r="W336" s="248"/>
      <c r="X336" s="248"/>
      <c r="Y336" s="265">
        <v>0</v>
      </c>
      <c r="Z336" s="266">
        <v>0</v>
      </c>
      <c r="AA336" s="247"/>
      <c r="AB336" s="246" t="s">
        <v>1844</v>
      </c>
      <c r="AC336" s="316" t="s">
        <v>2198</v>
      </c>
      <c r="AD336" s="240">
        <v>1</v>
      </c>
      <c r="AE336" s="241">
        <v>1</v>
      </c>
      <c r="AF336" s="296"/>
      <c r="AG336" s="297"/>
      <c r="AH336" s="297"/>
      <c r="AI336" s="297"/>
      <c r="AJ336" s="297"/>
      <c r="AK336" s="297"/>
      <c r="AL336" s="297"/>
      <c r="AM336" s="297"/>
      <c r="AN336" s="297"/>
      <c r="AO336" s="297"/>
      <c r="AP336" s="297" t="str">
        <f>"  " &amp; TEXT(AE336,"#0.00%") &amp; " " &amp; "설계" &amp; "(유운오님)" &amp; " " &amp; IF(P336="","",TEXT(P336,"M/D-")) &amp; IF(Q336="","",TEXT(Q336,"M/D")) &amp; " "</f>
        <v xml:space="preserve">  100.00% 설계(유운오님) 3/17-4/28 </v>
      </c>
      <c r="AQ336" s="297"/>
      <c r="AR336" s="297"/>
      <c r="AS336" s="297"/>
      <c r="AT336" s="297"/>
      <c r="AU336" s="297"/>
      <c r="AV336" s="297"/>
      <c r="AW336" s="297"/>
      <c r="AX336" s="297"/>
      <c r="AY336" s="297"/>
      <c r="AZ336" s="297"/>
      <c r="BA336" s="297"/>
      <c r="BB336" s="297"/>
      <c r="BC336" s="297"/>
      <c r="BD336" s="297"/>
      <c r="BE336" s="297"/>
      <c r="BF336" s="297"/>
      <c r="BG336" s="297"/>
      <c r="BH336" s="297"/>
      <c r="BI336" s="297"/>
      <c r="BJ336" s="297"/>
      <c r="BK336" s="297"/>
      <c r="BL336" s="297"/>
      <c r="BM336" s="297"/>
      <c r="BN336" s="297"/>
      <c r="BO336" s="297"/>
      <c r="BP336" s="297"/>
      <c r="BQ336" s="297"/>
      <c r="BR336" s="297"/>
      <c r="BS336" s="297"/>
      <c r="BT336" s="297"/>
      <c r="BU336" s="297"/>
      <c r="BV336" s="297"/>
      <c r="BW336" s="297"/>
      <c r="BX336" s="297"/>
      <c r="BY336" s="297"/>
      <c r="BZ336" s="297"/>
      <c r="CA336" s="297"/>
      <c r="CB336" s="297"/>
      <c r="CC336" s="297"/>
      <c r="CD336" s="297"/>
      <c r="CE336" s="297"/>
      <c r="CF336" s="297"/>
      <c r="CG336" s="297"/>
    </row>
    <row r="337" spans="1:85" ht="12" customHeight="1" outlineLevel="3">
      <c r="A337" s="288"/>
      <c r="B337" s="288"/>
      <c r="C337" s="288">
        <v>4</v>
      </c>
      <c r="D337" s="291" t="s">
        <v>1893</v>
      </c>
      <c r="E337" s="246"/>
      <c r="F337" s="246"/>
      <c r="G337" s="244"/>
      <c r="H337" s="244" t="s">
        <v>1587</v>
      </c>
      <c r="I337" s="244"/>
      <c r="J337" s="244"/>
      <c r="K337" s="244"/>
      <c r="L337" s="244"/>
      <c r="M337" s="244"/>
      <c r="N337" s="244"/>
      <c r="O337" s="244"/>
      <c r="P337" s="243">
        <v>45733</v>
      </c>
      <c r="Q337" s="243">
        <v>45772</v>
      </c>
      <c r="R337" s="246"/>
      <c r="S337" s="247">
        <v>30</v>
      </c>
      <c r="T337" s="247">
        <v>30</v>
      </c>
      <c r="U337" s="247">
        <v>30</v>
      </c>
      <c r="V337" s="247">
        <v>30</v>
      </c>
      <c r="W337" s="248"/>
      <c r="X337" s="248"/>
      <c r="Y337" s="265"/>
      <c r="Z337" s="266">
        <v>0</v>
      </c>
      <c r="AA337" s="247">
        <v>1</v>
      </c>
      <c r="AB337" s="246" t="s">
        <v>1844</v>
      </c>
      <c r="AC337" s="316"/>
      <c r="AD337" s="240">
        <v>1</v>
      </c>
      <c r="AE337" s="330">
        <v>1</v>
      </c>
      <c r="AF337" s="296"/>
      <c r="AG337" s="297"/>
      <c r="AH337" s="297"/>
      <c r="AI337" s="297"/>
      <c r="AJ337" s="297"/>
      <c r="AK337" s="297"/>
      <c r="AL337" s="297"/>
      <c r="AM337" s="297"/>
      <c r="AN337" s="297"/>
      <c r="AO337" s="297" t="str">
        <f>"      " &amp; TEXT(AE337,"#0.00%") &amp; " " &amp; "기획" &amp; "(유운오님)" &amp; " " &amp; IF(P337="","",TEXT(P337,"M/D-")) &amp; IF(Q337="","",TEXT(Q337,"M/D")) &amp; " "</f>
        <v xml:space="preserve">      100.00% 기획(유운오님) 3/17-4/25 </v>
      </c>
      <c r="AP337" s="297"/>
      <c r="AQ337" s="297"/>
      <c r="AR337" s="297"/>
      <c r="AS337" s="297"/>
      <c r="AT337" s="297"/>
      <c r="AU337" s="297"/>
      <c r="AV337" s="297"/>
      <c r="AW337" s="297"/>
      <c r="AX337" s="297"/>
      <c r="AY337" s="297"/>
      <c r="AZ337" s="297"/>
      <c r="BA337" s="297"/>
      <c r="BB337" s="297"/>
      <c r="BC337" s="297"/>
      <c r="BD337" s="297"/>
      <c r="BE337" s="297"/>
      <c r="BF337" s="297"/>
      <c r="BG337" s="297"/>
      <c r="BH337" s="297"/>
      <c r="BI337" s="297"/>
      <c r="BJ337" s="297"/>
      <c r="BK337" s="297"/>
      <c r="BL337" s="297"/>
      <c r="BM337" s="297"/>
      <c r="BN337" s="297"/>
      <c r="BO337" s="297"/>
      <c r="BP337" s="297"/>
      <c r="BQ337" s="297"/>
      <c r="BR337" s="297"/>
      <c r="BS337" s="297"/>
      <c r="BT337" s="297"/>
      <c r="BU337" s="297"/>
      <c r="BV337" s="297"/>
      <c r="BW337" s="297"/>
      <c r="BX337" s="297"/>
      <c r="BY337" s="297"/>
      <c r="BZ337" s="297"/>
      <c r="CA337" s="297"/>
      <c r="CB337" s="297"/>
      <c r="CC337" s="297"/>
      <c r="CD337" s="297"/>
      <c r="CE337" s="297"/>
      <c r="CF337" s="297"/>
      <c r="CG337" s="297"/>
    </row>
    <row r="338" spans="1:85" ht="12" customHeight="1" outlineLevel="3">
      <c r="A338" s="288"/>
      <c r="B338" s="288"/>
      <c r="C338" s="288">
        <v>4</v>
      </c>
      <c r="D338" s="291" t="s">
        <v>1894</v>
      </c>
      <c r="E338" s="246"/>
      <c r="F338" s="246"/>
      <c r="G338" s="244"/>
      <c r="H338" s="244" t="s">
        <v>2248</v>
      </c>
      <c r="I338" s="244"/>
      <c r="J338" s="244"/>
      <c r="K338" s="244"/>
      <c r="L338" s="244"/>
      <c r="M338" s="244"/>
      <c r="N338" s="244"/>
      <c r="O338" s="244"/>
      <c r="P338" s="243">
        <v>45733</v>
      </c>
      <c r="Q338" s="243">
        <v>45758</v>
      </c>
      <c r="R338" s="246"/>
      <c r="S338" s="247">
        <v>20</v>
      </c>
      <c r="T338" s="247">
        <v>20</v>
      </c>
      <c r="U338" s="247">
        <v>20</v>
      </c>
      <c r="V338" s="247">
        <v>20</v>
      </c>
      <c r="W338" s="248"/>
      <c r="X338" s="248"/>
      <c r="Y338" s="265"/>
      <c r="Z338" s="266">
        <v>0</v>
      </c>
      <c r="AA338" s="247">
        <v>1</v>
      </c>
      <c r="AB338" s="246" t="s">
        <v>1844</v>
      </c>
      <c r="AC338" s="316"/>
      <c r="AD338" s="240">
        <v>1</v>
      </c>
      <c r="AE338" s="330">
        <v>1</v>
      </c>
      <c r="AF338" s="296"/>
      <c r="AG338" s="297"/>
      <c r="AH338" s="297"/>
      <c r="AI338" s="297"/>
      <c r="AJ338" s="297"/>
      <c r="AK338" s="297"/>
      <c r="AL338" s="297"/>
      <c r="AM338" s="297" t="str">
        <f>"      " &amp; TEXT(AE338,"#0.00%") &amp; " " &amp; "H/W연동" &amp; "(유운오님)" &amp; " " &amp; IF(P338="","",TEXT(P338,"M/D-")) &amp; IF(Q338="","",TEXT(Q338,"M/D")) &amp; " "</f>
        <v xml:space="preserve">      100.00% H/W연동(유운오님) 3/17-4/11 </v>
      </c>
      <c r="AN338" s="297"/>
      <c r="AO338" s="297"/>
      <c r="AP338" s="297"/>
      <c r="AQ338" s="297"/>
      <c r="AR338" s="297"/>
      <c r="AS338" s="297"/>
      <c r="AT338" s="297"/>
      <c r="AU338" s="297"/>
      <c r="AV338" s="297"/>
      <c r="AW338" s="297"/>
      <c r="AX338" s="297"/>
      <c r="AY338" s="297"/>
      <c r="AZ338" s="297"/>
      <c r="BA338" s="297"/>
      <c r="BB338" s="297"/>
      <c r="BC338" s="297"/>
      <c r="BD338" s="297"/>
      <c r="BE338" s="297"/>
      <c r="BF338" s="297"/>
      <c r="BG338" s="297"/>
      <c r="BH338" s="297"/>
      <c r="BI338" s="297"/>
      <c r="BJ338" s="297"/>
      <c r="BK338" s="297"/>
      <c r="BL338" s="297"/>
      <c r="BM338" s="297"/>
      <c r="BN338" s="297"/>
      <c r="BO338" s="297"/>
      <c r="BP338" s="297"/>
      <c r="BQ338" s="297"/>
      <c r="BR338" s="297"/>
      <c r="BS338" s="297"/>
      <c r="BT338" s="297"/>
      <c r="BU338" s="297"/>
      <c r="BV338" s="297"/>
      <c r="BW338" s="297"/>
      <c r="BX338" s="297"/>
      <c r="BY338" s="297"/>
      <c r="BZ338" s="297"/>
      <c r="CA338" s="297"/>
      <c r="CB338" s="297"/>
      <c r="CC338" s="297"/>
      <c r="CD338" s="297"/>
      <c r="CE338" s="297"/>
      <c r="CF338" s="297"/>
      <c r="CG338" s="297"/>
    </row>
    <row r="339" spans="1:85" ht="12" customHeight="1" outlineLevel="3">
      <c r="A339" s="288"/>
      <c r="B339" s="288"/>
      <c r="C339" s="288">
        <v>4</v>
      </c>
      <c r="D339" s="291" t="s">
        <v>2450</v>
      </c>
      <c r="E339" s="246"/>
      <c r="F339" s="246"/>
      <c r="G339" s="244"/>
      <c r="H339" s="244" t="s">
        <v>2048</v>
      </c>
      <c r="I339" s="244"/>
      <c r="J339" s="244"/>
      <c r="K339" s="244"/>
      <c r="L339" s="244"/>
      <c r="M339" s="244"/>
      <c r="N339" s="244"/>
      <c r="O339" s="244"/>
      <c r="P339" s="243">
        <v>45733</v>
      </c>
      <c r="Q339" s="243">
        <v>45758</v>
      </c>
      <c r="R339" s="246"/>
      <c r="S339" s="247">
        <v>20</v>
      </c>
      <c r="T339" s="247">
        <v>20</v>
      </c>
      <c r="U339" s="247">
        <v>20</v>
      </c>
      <c r="V339" s="247">
        <v>20</v>
      </c>
      <c r="W339" s="248"/>
      <c r="X339" s="248"/>
      <c r="Y339" s="265"/>
      <c r="Z339" s="266">
        <v>0</v>
      </c>
      <c r="AA339" s="247">
        <v>1</v>
      </c>
      <c r="AB339" s="246" t="s">
        <v>1844</v>
      </c>
      <c r="AC339" s="316"/>
      <c r="AD339" s="240">
        <v>1</v>
      </c>
      <c r="AE339" s="304">
        <v>1</v>
      </c>
      <c r="AF339" s="296"/>
      <c r="AG339" s="297"/>
      <c r="AH339" s="297"/>
      <c r="AI339" s="297"/>
      <c r="AJ339" s="297"/>
      <c r="AK339" s="297"/>
      <c r="AL339" s="297"/>
      <c r="AM339" s="297" t="str">
        <f>"      " &amp; TEXT(AE339,"#0.00%") &amp; " " &amp; "공통" &amp; "(유운오님)" &amp; " " &amp; IF(P339="","",TEXT(P339,"M/D-")) &amp; IF(Q339="","",TEXT(Q339,"M/D")) &amp; " "</f>
        <v xml:space="preserve">      100.00% 공통(유운오님) 3/17-4/11 </v>
      </c>
      <c r="AN339" s="297"/>
      <c r="AO339" s="297"/>
      <c r="AP339" s="297"/>
      <c r="AQ339" s="297"/>
      <c r="AR339" s="297"/>
      <c r="AS339" s="297"/>
      <c r="AT339" s="297"/>
      <c r="AU339" s="297"/>
      <c r="AV339" s="297"/>
      <c r="AW339" s="297"/>
      <c r="AX339" s="297"/>
      <c r="AY339" s="297"/>
      <c r="AZ339" s="297"/>
      <c r="BA339" s="297"/>
      <c r="BB339" s="297"/>
      <c r="BC339" s="297"/>
      <c r="BD339" s="297"/>
      <c r="BE339" s="297"/>
      <c r="BF339" s="297"/>
      <c r="BG339" s="297"/>
      <c r="BH339" s="297"/>
      <c r="BI339" s="297"/>
      <c r="BJ339" s="297"/>
      <c r="BK339" s="297"/>
      <c r="BL339" s="297"/>
      <c r="BM339" s="297"/>
      <c r="BN339" s="297"/>
      <c r="BO339" s="297"/>
      <c r="BP339" s="297"/>
      <c r="BQ339" s="297"/>
      <c r="BR339" s="297"/>
      <c r="BS339" s="297"/>
      <c r="BT339" s="297"/>
      <c r="BU339" s="297"/>
      <c r="BV339" s="297"/>
      <c r="BW339" s="297"/>
      <c r="BX339" s="297"/>
      <c r="BY339" s="297"/>
      <c r="BZ339" s="297"/>
      <c r="CA339" s="297"/>
      <c r="CB339" s="297"/>
      <c r="CC339" s="297"/>
      <c r="CD339" s="297"/>
      <c r="CE339" s="297"/>
      <c r="CF339" s="297"/>
      <c r="CG339" s="297"/>
    </row>
    <row r="340" spans="1:85" ht="12" customHeight="1" outlineLevel="3">
      <c r="A340" s="288"/>
      <c r="B340" s="288"/>
      <c r="C340" s="288">
        <v>4</v>
      </c>
      <c r="D340" s="291" t="s">
        <v>2451</v>
      </c>
      <c r="E340" s="246"/>
      <c r="F340" s="246"/>
      <c r="G340" s="244"/>
      <c r="H340" s="314" t="s">
        <v>2260</v>
      </c>
      <c r="I340" s="314"/>
      <c r="J340" s="314"/>
      <c r="K340" s="314"/>
      <c r="L340" s="314"/>
      <c r="M340" s="314"/>
      <c r="N340" s="314"/>
      <c r="O340" s="314"/>
      <c r="P340" s="243">
        <v>45733</v>
      </c>
      <c r="Q340" s="243">
        <v>45758</v>
      </c>
      <c r="R340" s="246"/>
      <c r="S340" s="247">
        <v>60</v>
      </c>
      <c r="T340" s="247">
        <v>60</v>
      </c>
      <c r="U340" s="247">
        <v>20</v>
      </c>
      <c r="V340" s="247">
        <v>20</v>
      </c>
      <c r="W340" s="248"/>
      <c r="X340" s="248"/>
      <c r="Y340" s="265"/>
      <c r="Z340" s="266">
        <v>0</v>
      </c>
      <c r="AA340" s="247">
        <v>3</v>
      </c>
      <c r="AB340" s="246" t="s">
        <v>1844</v>
      </c>
      <c r="AC340" s="318"/>
      <c r="AD340" s="240">
        <v>1</v>
      </c>
      <c r="AE340" s="304">
        <v>1</v>
      </c>
      <c r="AF340" s="296"/>
      <c r="AG340" s="297"/>
      <c r="AH340" s="297"/>
      <c r="AI340" s="297"/>
      <c r="AJ340" s="297"/>
      <c r="AK340" s="297"/>
      <c r="AL340" s="297"/>
      <c r="AM340" s="297" t="str">
        <f>"      " &amp; TEXT(AE340,"#0.00%") &amp; " " &amp; "거래" &amp; "(유운오님)" &amp; " " &amp; IF(P340="","",TEXT(P340,"M/D-")) &amp; IF(Q340="","",TEXT(Q340,"M/D")) &amp; " "</f>
        <v xml:space="preserve">      100.00% 거래(유운오님) 3/17-4/11 </v>
      </c>
      <c r="AN340" s="297"/>
      <c r="AO340" s="297"/>
      <c r="AP340" s="297"/>
      <c r="AQ340" s="297"/>
      <c r="AR340" s="297"/>
      <c r="AS340" s="297"/>
      <c r="AT340" s="297"/>
      <c r="AU340" s="297"/>
      <c r="AV340" s="297"/>
      <c r="AW340" s="297"/>
      <c r="AX340" s="297"/>
      <c r="AY340" s="297"/>
      <c r="AZ340" s="297"/>
      <c r="BA340" s="297"/>
      <c r="BB340" s="297"/>
      <c r="BC340" s="297"/>
      <c r="BD340" s="297"/>
      <c r="BE340" s="297"/>
      <c r="BF340" s="297"/>
      <c r="BG340" s="297"/>
      <c r="BH340" s="297"/>
      <c r="BI340" s="297"/>
      <c r="BJ340" s="297"/>
      <c r="BK340" s="297"/>
      <c r="BL340" s="297"/>
      <c r="BM340" s="297"/>
      <c r="BN340" s="297"/>
      <c r="BO340" s="297"/>
      <c r="BP340" s="297"/>
      <c r="BQ340" s="297"/>
      <c r="BR340" s="297"/>
      <c r="BS340" s="297"/>
      <c r="BT340" s="297"/>
      <c r="BU340" s="297"/>
      <c r="BV340" s="297"/>
      <c r="BW340" s="297"/>
      <c r="BX340" s="297"/>
      <c r="BY340" s="297"/>
      <c r="BZ340" s="297"/>
      <c r="CA340" s="297"/>
      <c r="CB340" s="297"/>
      <c r="CC340" s="297"/>
      <c r="CD340" s="297"/>
      <c r="CE340" s="297"/>
      <c r="CF340" s="297"/>
      <c r="CG340" s="297"/>
    </row>
    <row r="341" spans="1:85" ht="12" customHeight="1" outlineLevel="3">
      <c r="A341" s="288"/>
      <c r="B341" s="288"/>
      <c r="C341" s="288">
        <v>4</v>
      </c>
      <c r="D341" s="291" t="s">
        <v>2452</v>
      </c>
      <c r="E341" s="246"/>
      <c r="F341" s="246"/>
      <c r="G341" s="244"/>
      <c r="H341" s="314" t="s">
        <v>1830</v>
      </c>
      <c r="I341" s="314"/>
      <c r="J341" s="314"/>
      <c r="K341" s="314"/>
      <c r="L341" s="314"/>
      <c r="M341" s="314"/>
      <c r="N341" s="314"/>
      <c r="O341" s="314"/>
      <c r="P341" s="243">
        <v>45733</v>
      </c>
      <c r="Q341" s="243">
        <v>45751</v>
      </c>
      <c r="R341" s="246"/>
      <c r="S341" s="247">
        <v>15</v>
      </c>
      <c r="T341" s="247">
        <v>15</v>
      </c>
      <c r="U341" s="247">
        <v>15</v>
      </c>
      <c r="V341" s="247">
        <v>15</v>
      </c>
      <c r="W341" s="248"/>
      <c r="X341" s="248"/>
      <c r="Y341" s="265"/>
      <c r="Z341" s="266">
        <v>0</v>
      </c>
      <c r="AA341" s="247">
        <v>1</v>
      </c>
      <c r="AB341" s="246" t="s">
        <v>1844</v>
      </c>
      <c r="AC341" s="264"/>
      <c r="AD341" s="240">
        <v>1</v>
      </c>
      <c r="AE341" s="330">
        <v>1</v>
      </c>
      <c r="AF341" s="296"/>
      <c r="AG341" s="297"/>
      <c r="AH341" s="297"/>
      <c r="AI341" s="297"/>
      <c r="AJ341" s="297"/>
      <c r="AK341" s="297"/>
      <c r="AL341" s="297" t="str">
        <f>"      " &amp; TEXT(AE341,"#0.00%") &amp; " " &amp; "관리자" &amp; "(유운오님)" &amp; " " &amp; IF(P341="","",TEXT(P341,"M/D-")) &amp; IF(Q341="","",TEXT(Q341,"M/D")) &amp; " "</f>
        <v xml:space="preserve">      100.00% 관리자(유운오님) 3/17-4/4 </v>
      </c>
      <c r="AM341" s="297"/>
      <c r="AN341" s="297"/>
      <c r="AO341" s="297"/>
      <c r="AP341" s="297"/>
      <c r="AQ341" s="297"/>
      <c r="AR341" s="297"/>
      <c r="AS341" s="297"/>
      <c r="AT341" s="297"/>
      <c r="AU341" s="297"/>
      <c r="AV341" s="297"/>
      <c r="AW341" s="297"/>
      <c r="AX341" s="297"/>
      <c r="AY341" s="297"/>
      <c r="AZ341" s="297"/>
      <c r="BA341" s="297"/>
      <c r="BB341" s="297"/>
      <c r="BC341" s="297"/>
      <c r="BD341" s="297"/>
      <c r="BE341" s="297"/>
      <c r="BF341" s="297"/>
      <c r="BG341" s="297"/>
      <c r="BH341" s="297"/>
      <c r="BI341" s="297"/>
      <c r="BJ341" s="297"/>
      <c r="BK341" s="297"/>
      <c r="BL341" s="297"/>
      <c r="BM341" s="297"/>
      <c r="BN341" s="297"/>
      <c r="BO341" s="297"/>
      <c r="BP341" s="297"/>
      <c r="BQ341" s="297"/>
      <c r="BR341" s="297"/>
      <c r="BS341" s="297"/>
      <c r="BT341" s="297"/>
      <c r="BU341" s="297"/>
      <c r="BV341" s="297"/>
      <c r="BW341" s="297"/>
      <c r="BX341" s="297"/>
      <c r="BY341" s="297"/>
      <c r="BZ341" s="297"/>
      <c r="CA341" s="297"/>
      <c r="CB341" s="297"/>
      <c r="CC341" s="297"/>
      <c r="CD341" s="297"/>
      <c r="CE341" s="297"/>
      <c r="CF341" s="297"/>
      <c r="CG341" s="297"/>
    </row>
    <row r="342" spans="1:85" ht="12" customHeight="1" outlineLevel="3">
      <c r="A342" s="288"/>
      <c r="B342" s="288"/>
      <c r="C342" s="288">
        <v>4</v>
      </c>
      <c r="D342" s="291" t="s">
        <v>2453</v>
      </c>
      <c r="E342" s="246"/>
      <c r="F342" s="246"/>
      <c r="G342" s="244"/>
      <c r="H342" s="244" t="s">
        <v>2261</v>
      </c>
      <c r="I342" s="244"/>
      <c r="J342" s="244"/>
      <c r="K342" s="244"/>
      <c r="L342" s="244"/>
      <c r="M342" s="244"/>
      <c r="N342" s="244"/>
      <c r="O342" s="244"/>
      <c r="P342" s="243">
        <v>45733</v>
      </c>
      <c r="Q342" s="243">
        <v>45751</v>
      </c>
      <c r="R342" s="246"/>
      <c r="S342" s="247">
        <v>15</v>
      </c>
      <c r="T342" s="247">
        <v>15</v>
      </c>
      <c r="U342" s="247">
        <v>15</v>
      </c>
      <c r="V342" s="247">
        <v>15</v>
      </c>
      <c r="W342" s="248"/>
      <c r="X342" s="248"/>
      <c r="Y342" s="265"/>
      <c r="Z342" s="266">
        <v>0</v>
      </c>
      <c r="AA342" s="247">
        <v>1</v>
      </c>
      <c r="AB342" s="246"/>
      <c r="AC342" s="264"/>
      <c r="AD342" s="240">
        <v>1</v>
      </c>
      <c r="AE342" s="304">
        <v>1</v>
      </c>
      <c r="AF342" s="296"/>
      <c r="AG342" s="297"/>
      <c r="AH342" s="297"/>
      <c r="AI342" s="297"/>
      <c r="AJ342" s="297"/>
      <c r="AK342" s="297"/>
      <c r="AL342" s="297" t="str">
        <f>"      " &amp; TEXT(AE342,"#0.00%") &amp; " " &amp; "접근성" &amp; " " &amp; IF(P342="","",TEXT(P342,"M/D-")) &amp; IF(Q342="","",TEXT(Q342,"M/D")) &amp; " "</f>
        <v xml:space="preserve">      100.00% 접근성 3/17-4/4 </v>
      </c>
      <c r="AM342" s="297"/>
      <c r="AN342" s="297"/>
      <c r="AO342" s="297"/>
      <c r="AP342" s="297"/>
      <c r="AQ342" s="297"/>
      <c r="AR342" s="297"/>
      <c r="AS342" s="297"/>
      <c r="AT342" s="297"/>
      <c r="AU342" s="297"/>
      <c r="AV342" s="297"/>
      <c r="AW342" s="297"/>
      <c r="AX342" s="297"/>
      <c r="AY342" s="297"/>
      <c r="AZ342" s="297"/>
      <c r="BA342" s="297"/>
      <c r="BB342" s="297"/>
      <c r="BC342" s="297"/>
      <c r="BD342" s="297"/>
      <c r="BE342" s="297"/>
      <c r="BF342" s="297"/>
      <c r="BG342" s="297"/>
      <c r="BH342" s="297"/>
      <c r="BI342" s="297"/>
      <c r="BJ342" s="297"/>
      <c r="BK342" s="297"/>
      <c r="BL342" s="297"/>
      <c r="BM342" s="297"/>
      <c r="BN342" s="297"/>
      <c r="BO342" s="297"/>
      <c r="BP342" s="297"/>
      <c r="BQ342" s="297"/>
      <c r="BR342" s="297"/>
      <c r="BS342" s="297"/>
      <c r="BT342" s="297"/>
      <c r="BU342" s="297"/>
      <c r="BV342" s="297"/>
      <c r="BW342" s="297"/>
      <c r="BX342" s="297"/>
      <c r="BY342" s="297"/>
      <c r="BZ342" s="297"/>
      <c r="CA342" s="297"/>
      <c r="CB342" s="297"/>
      <c r="CC342" s="297"/>
      <c r="CD342" s="297"/>
      <c r="CE342" s="297"/>
      <c r="CF342" s="297"/>
      <c r="CG342" s="297"/>
    </row>
    <row r="343" spans="1:85" ht="12" customHeight="1" outlineLevel="3">
      <c r="A343" s="288"/>
      <c r="B343" s="288"/>
      <c r="C343" s="288">
        <v>4</v>
      </c>
      <c r="D343" s="291" t="s">
        <v>2454</v>
      </c>
      <c r="E343" s="246"/>
      <c r="F343" s="246"/>
      <c r="G343" s="244"/>
      <c r="H343" s="244" t="s">
        <v>2256</v>
      </c>
      <c r="I343" s="244"/>
      <c r="J343" s="244"/>
      <c r="K343" s="244"/>
      <c r="L343" s="244"/>
      <c r="M343" s="244"/>
      <c r="N343" s="244"/>
      <c r="O343" s="244"/>
      <c r="P343" s="243">
        <v>45733</v>
      </c>
      <c r="Q343" s="243">
        <v>45765</v>
      </c>
      <c r="R343" s="246"/>
      <c r="S343" s="247">
        <v>25</v>
      </c>
      <c r="T343" s="247">
        <v>25</v>
      </c>
      <c r="U343" s="247">
        <v>25</v>
      </c>
      <c r="V343" s="247">
        <v>25</v>
      </c>
      <c r="W343" s="248"/>
      <c r="X343" s="248"/>
      <c r="Y343" s="265"/>
      <c r="Z343" s="266">
        <v>0</v>
      </c>
      <c r="AA343" s="247">
        <v>1</v>
      </c>
      <c r="AB343" s="246"/>
      <c r="AC343" s="264"/>
      <c r="AD343" s="240">
        <v>1</v>
      </c>
      <c r="AE343" s="304">
        <v>1</v>
      </c>
      <c r="AF343" s="296"/>
      <c r="AG343" s="297"/>
      <c r="AH343" s="297"/>
      <c r="AI343" s="297"/>
      <c r="AJ343" s="297"/>
      <c r="AK343" s="297"/>
      <c r="AL343" s="297"/>
      <c r="AM343" s="297"/>
      <c r="AN343" s="297" t="str">
        <f>"      " &amp; TEXT(AE343,"#0.00%") &amp; " " &amp; "1.5차 오픈기능" &amp; " " &amp; IF(P343="","",TEXT(P343,"M/D-")) &amp; IF(Q343="","",TEXT(Q343,"M/D")) &amp; " "</f>
        <v xml:space="preserve">      100.00% 1.5차 오픈기능 3/17-4/18 </v>
      </c>
      <c r="AO343" s="297"/>
      <c r="AP343" s="297"/>
      <c r="AQ343" s="297"/>
      <c r="AR343" s="297"/>
      <c r="AS343" s="297"/>
      <c r="AT343" s="297"/>
      <c r="AU343" s="297"/>
      <c r="AV343" s="297"/>
      <c r="AW343" s="297"/>
      <c r="AX343" s="297"/>
      <c r="AY343" s="297"/>
      <c r="AZ343" s="297"/>
      <c r="BA343" s="297"/>
      <c r="BB343" s="297"/>
      <c r="BC343" s="297"/>
      <c r="BD343" s="297"/>
      <c r="BE343" s="297"/>
      <c r="BF343" s="297"/>
      <c r="BG343" s="297"/>
      <c r="BH343" s="297"/>
      <c r="BI343" s="297"/>
      <c r="BJ343" s="297"/>
      <c r="BK343" s="297"/>
      <c r="BL343" s="297"/>
      <c r="BM343" s="297"/>
      <c r="BN343" s="297"/>
      <c r="BO343" s="297"/>
      <c r="BP343" s="297"/>
      <c r="BQ343" s="297"/>
      <c r="BR343" s="297"/>
      <c r="BS343" s="297"/>
      <c r="BT343" s="297"/>
      <c r="BU343" s="297"/>
      <c r="BV343" s="297"/>
      <c r="BW343" s="297"/>
      <c r="BX343" s="297"/>
      <c r="BY343" s="297"/>
      <c r="BZ343" s="297"/>
      <c r="CA343" s="297"/>
      <c r="CB343" s="297"/>
      <c r="CC343" s="297"/>
      <c r="CD343" s="297"/>
      <c r="CE343" s="297"/>
      <c r="CF343" s="297"/>
      <c r="CG343" s="297"/>
    </row>
    <row r="344" spans="1:85" ht="12" customHeight="1" outlineLevel="3">
      <c r="A344" s="288"/>
      <c r="B344" s="288"/>
      <c r="C344" s="288">
        <v>4</v>
      </c>
      <c r="D344" s="291" t="s">
        <v>2455</v>
      </c>
      <c r="E344" s="246"/>
      <c r="F344" s="246"/>
      <c r="G344" s="244"/>
      <c r="H344" s="244" t="s">
        <v>2262</v>
      </c>
      <c r="I344" s="244"/>
      <c r="J344" s="244"/>
      <c r="K344" s="244"/>
      <c r="L344" s="244"/>
      <c r="M344" s="244"/>
      <c r="N344" s="244"/>
      <c r="O344" s="244"/>
      <c r="P344" s="243">
        <v>45733</v>
      </c>
      <c r="Q344" s="243">
        <v>45772</v>
      </c>
      <c r="R344" s="246"/>
      <c r="S344" s="247">
        <v>30</v>
      </c>
      <c r="T344" s="247">
        <v>30</v>
      </c>
      <c r="U344" s="247">
        <v>30</v>
      </c>
      <c r="V344" s="247">
        <v>30</v>
      </c>
      <c r="W344" s="248"/>
      <c r="X344" s="248"/>
      <c r="Y344" s="265"/>
      <c r="Z344" s="266">
        <v>0</v>
      </c>
      <c r="AA344" s="247">
        <v>1</v>
      </c>
      <c r="AB344" s="246"/>
      <c r="AC344" s="264"/>
      <c r="AD344" s="240">
        <v>1</v>
      </c>
      <c r="AE344" s="330">
        <v>1</v>
      </c>
      <c r="AF344" s="296"/>
      <c r="AG344" s="297"/>
      <c r="AH344" s="297"/>
      <c r="AI344" s="297"/>
      <c r="AJ344" s="297"/>
      <c r="AK344" s="297"/>
      <c r="AL344" s="297"/>
      <c r="AM344" s="297"/>
      <c r="AN344" s="297"/>
      <c r="AO344" s="297" t="str">
        <f>"      " &amp; TEXT(AE344,"#0.00%") &amp; " " &amp; "2차 오픈기능" &amp; " " &amp; IF(P344="","",TEXT(P344,"M/D-")) &amp; IF(Q344="","",TEXT(Q344,"M/D")) &amp; " "</f>
        <v xml:space="preserve">      100.00% 2차 오픈기능 3/17-4/25 </v>
      </c>
      <c r="AP344" s="297"/>
      <c r="AQ344" s="297"/>
      <c r="AR344" s="297"/>
      <c r="AS344" s="297"/>
      <c r="AT344" s="297"/>
      <c r="AU344" s="297"/>
      <c r="AV344" s="297"/>
      <c r="AW344" s="297"/>
      <c r="AX344" s="297"/>
      <c r="AY344" s="297"/>
      <c r="AZ344" s="297"/>
      <c r="BA344" s="297"/>
      <c r="BB344" s="297"/>
      <c r="BC344" s="297"/>
      <c r="BD344" s="297"/>
      <c r="BE344" s="297"/>
      <c r="BF344" s="297"/>
      <c r="BG344" s="297"/>
      <c r="BH344" s="297"/>
      <c r="BI344" s="297"/>
      <c r="BJ344" s="297"/>
      <c r="BK344" s="297"/>
      <c r="BL344" s="297"/>
      <c r="BM344" s="297"/>
      <c r="BN344" s="297"/>
      <c r="BO344" s="297"/>
      <c r="BP344" s="297"/>
      <c r="BQ344" s="297"/>
      <c r="BR344" s="297"/>
      <c r="BS344" s="297"/>
      <c r="BT344" s="297"/>
      <c r="BU344" s="297"/>
      <c r="BV344" s="297"/>
      <c r="BW344" s="297"/>
      <c r="BX344" s="297"/>
      <c r="BY344" s="297"/>
      <c r="BZ344" s="297"/>
      <c r="CA344" s="297"/>
      <c r="CB344" s="297"/>
      <c r="CC344" s="297"/>
      <c r="CD344" s="297"/>
      <c r="CE344" s="297"/>
      <c r="CF344" s="297"/>
      <c r="CG344" s="297"/>
    </row>
    <row r="345" spans="1:85" ht="12" customHeight="1" outlineLevel="3">
      <c r="A345" s="288"/>
      <c r="B345" s="288"/>
      <c r="C345" s="288">
        <v>4</v>
      </c>
      <c r="D345" s="291" t="s">
        <v>2456</v>
      </c>
      <c r="E345" s="246"/>
      <c r="F345" s="246"/>
      <c r="G345" s="244"/>
      <c r="H345" s="244" t="s">
        <v>2187</v>
      </c>
      <c r="I345" s="244"/>
      <c r="J345" s="244"/>
      <c r="K345" s="244"/>
      <c r="L345" s="244"/>
      <c r="M345" s="244"/>
      <c r="N345" s="244"/>
      <c r="O345" s="244"/>
      <c r="P345" s="243">
        <v>45733</v>
      </c>
      <c r="Q345" s="243">
        <v>45775</v>
      </c>
      <c r="R345" s="246"/>
      <c r="S345" s="247">
        <v>31</v>
      </c>
      <c r="T345" s="247">
        <v>31</v>
      </c>
      <c r="U345" s="247">
        <v>31</v>
      </c>
      <c r="V345" s="247">
        <v>31</v>
      </c>
      <c r="W345" s="248"/>
      <c r="X345" s="248"/>
      <c r="Y345" s="265"/>
      <c r="Z345" s="266">
        <v>0</v>
      </c>
      <c r="AA345" s="247">
        <v>1</v>
      </c>
      <c r="AB345" s="246" t="s">
        <v>2265</v>
      </c>
      <c r="AC345" s="264"/>
      <c r="AD345" s="240">
        <v>1</v>
      </c>
      <c r="AE345" s="304">
        <v>1</v>
      </c>
      <c r="AF345" s="296"/>
      <c r="AG345" s="297"/>
      <c r="AH345" s="297"/>
      <c r="AI345" s="297"/>
      <c r="AJ345" s="297"/>
      <c r="AK345" s="297"/>
      <c r="AL345" s="297"/>
      <c r="AM345" s="297"/>
      <c r="AN345" s="297"/>
      <c r="AO345" s="297"/>
      <c r="AP345" s="297" t="str">
        <f>"  " &amp; TEXT(AE345,"#0.00%") &amp; " " &amp; "프로세스모델링(TO-BE업무흐름도)" &amp; "(이금희님,김건우님)" &amp; " " &amp; IF(P345="","",TEXT(P345,"M/D-")) &amp; IF(Q345="","",TEXT(Q345,"M/D")) &amp; " "</f>
        <v xml:space="preserve">  100.00% 프로세스모델링(TO-BE업무흐름도)(이금희님,김건우님) 3/17-4/28 </v>
      </c>
      <c r="AQ345" s="297"/>
      <c r="AR345" s="297"/>
      <c r="AS345" s="297"/>
      <c r="AT345" s="297"/>
      <c r="AU345" s="297"/>
      <c r="AV345" s="297"/>
      <c r="AW345" s="297"/>
      <c r="AX345" s="297"/>
      <c r="AY345" s="297"/>
      <c r="AZ345" s="297"/>
      <c r="BA345" s="297"/>
      <c r="BB345" s="297"/>
      <c r="BC345" s="297"/>
      <c r="BD345" s="297"/>
      <c r="BE345" s="297"/>
      <c r="BF345" s="297"/>
      <c r="BG345" s="297"/>
      <c r="BH345" s="297"/>
      <c r="BI345" s="297"/>
      <c r="BJ345" s="297"/>
      <c r="BK345" s="297"/>
      <c r="BL345" s="297"/>
      <c r="BM345" s="297"/>
      <c r="BN345" s="297"/>
      <c r="BO345" s="297"/>
      <c r="BP345" s="297"/>
      <c r="BQ345" s="297"/>
      <c r="BR345" s="297"/>
      <c r="BS345" s="297"/>
      <c r="BT345" s="297"/>
      <c r="BU345" s="297"/>
      <c r="BV345" s="297"/>
      <c r="BW345" s="297"/>
      <c r="BX345" s="297"/>
      <c r="BY345" s="297"/>
      <c r="BZ345" s="297"/>
      <c r="CA345" s="297"/>
      <c r="CB345" s="297"/>
      <c r="CC345" s="297"/>
      <c r="CD345" s="297"/>
      <c r="CE345" s="297"/>
      <c r="CF345" s="297"/>
      <c r="CG345" s="297"/>
    </row>
    <row r="346" spans="1:85" ht="12" customHeight="1" outlineLevel="2">
      <c r="A346" s="288"/>
      <c r="B346" s="288" t="s">
        <v>2334</v>
      </c>
      <c r="C346" s="288">
        <v>3</v>
      </c>
      <c r="D346" s="291" t="s">
        <v>1780</v>
      </c>
      <c r="E346" s="246"/>
      <c r="F346" s="246"/>
      <c r="G346" s="244" t="s">
        <v>1743</v>
      </c>
      <c r="H346" s="244"/>
      <c r="I346" s="244"/>
      <c r="J346" s="244"/>
      <c r="K346" s="244"/>
      <c r="L346" s="244"/>
      <c r="M346" s="244"/>
      <c r="N346" s="244"/>
      <c r="O346" s="244"/>
      <c r="P346" s="243">
        <v>45747</v>
      </c>
      <c r="Q346" s="243">
        <v>45898</v>
      </c>
      <c r="R346" s="246"/>
      <c r="S346" s="247">
        <v>672</v>
      </c>
      <c r="T346" s="247">
        <v>672</v>
      </c>
      <c r="U346" s="247">
        <v>105</v>
      </c>
      <c r="V346" s="247">
        <v>105</v>
      </c>
      <c r="W346" s="248"/>
      <c r="X346" s="248"/>
      <c r="Y346" s="265">
        <v>0</v>
      </c>
      <c r="Z346" s="266">
        <v>0</v>
      </c>
      <c r="AA346" s="247"/>
      <c r="AB346" s="246" t="s">
        <v>1844</v>
      </c>
      <c r="AC346" s="264"/>
      <c r="AD346" s="240">
        <v>1</v>
      </c>
      <c r="AE346" s="328">
        <v>1</v>
      </c>
      <c r="AF346" s="296"/>
      <c r="AG346" s="297"/>
      <c r="AH346" s="297"/>
      <c r="AI346" s="297"/>
      <c r="AJ346" s="297"/>
      <c r="AK346" s="297"/>
      <c r="AL346" s="297"/>
      <c r="AM346" s="297"/>
      <c r="AN346" s="297"/>
      <c r="AO346" s="297"/>
      <c r="AP346" s="297"/>
      <c r="AQ346" s="297"/>
      <c r="AR346" s="297"/>
      <c r="AS346" s="297"/>
      <c r="AT346" s="297"/>
      <c r="AU346" s="297"/>
      <c r="AV346" s="297"/>
      <c r="AW346" s="297"/>
      <c r="AX346" s="297"/>
      <c r="AY346" s="297"/>
      <c r="AZ346" s="297"/>
      <c r="BA346" s="297"/>
      <c r="BB346" s="297"/>
      <c r="BC346" s="297"/>
      <c r="BD346" s="297"/>
      <c r="BE346" s="297"/>
      <c r="BF346" s="297"/>
      <c r="BG346" s="297" t="str">
        <f>"      " &amp; TEXT(AE346,"#0.00%") &amp; " " &amp; "구축" &amp; "(유운오님)" &amp; " " &amp; IF(P346="","",TEXT(P346,"M/D-")) &amp; IF(Q346="","",TEXT(Q346,"M/D")) &amp; " "</f>
        <v xml:space="preserve">      100.00% 구축(유운오님) 3/31-8/29 </v>
      </c>
      <c r="BH346" s="297"/>
      <c r="BI346" s="297"/>
      <c r="BJ346" s="297"/>
      <c r="BK346" s="297"/>
      <c r="BL346" s="297"/>
      <c r="BM346" s="297"/>
      <c r="BN346" s="297"/>
      <c r="BO346" s="297"/>
      <c r="BP346" s="297"/>
      <c r="BQ346" s="297"/>
      <c r="BR346" s="297"/>
      <c r="BS346" s="297"/>
      <c r="BT346" s="297"/>
      <c r="BU346" s="297"/>
      <c r="BV346" s="297"/>
      <c r="BW346" s="297"/>
      <c r="BX346" s="297"/>
      <c r="BY346" s="297"/>
      <c r="BZ346" s="297"/>
      <c r="CA346" s="297"/>
      <c r="CB346" s="297"/>
      <c r="CC346" s="297"/>
      <c r="CD346" s="297"/>
      <c r="CE346" s="297"/>
      <c r="CF346" s="297"/>
      <c r="CG346" s="297"/>
    </row>
    <row r="347" spans="1:85" ht="12" customHeight="1" outlineLevel="3">
      <c r="A347" s="288"/>
      <c r="B347" s="288" t="s">
        <v>2334</v>
      </c>
      <c r="C347" s="288">
        <v>4</v>
      </c>
      <c r="D347" s="291" t="s">
        <v>1895</v>
      </c>
      <c r="E347" s="246"/>
      <c r="F347" s="246"/>
      <c r="G347" s="244"/>
      <c r="H347" s="244" t="s">
        <v>2255</v>
      </c>
      <c r="I347" s="244"/>
      <c r="J347" s="244"/>
      <c r="K347" s="244"/>
      <c r="L347" s="244"/>
      <c r="M347" s="244"/>
      <c r="N347" s="244"/>
      <c r="O347" s="244"/>
      <c r="P347" s="243">
        <v>45747</v>
      </c>
      <c r="Q347" s="243">
        <v>45891</v>
      </c>
      <c r="R347" s="246"/>
      <c r="S347" s="247">
        <v>563</v>
      </c>
      <c r="T347" s="247">
        <v>563</v>
      </c>
      <c r="U347" s="247">
        <v>100</v>
      </c>
      <c r="V347" s="247">
        <v>100</v>
      </c>
      <c r="W347" s="248"/>
      <c r="X347" s="248"/>
      <c r="Y347" s="265">
        <v>0</v>
      </c>
      <c r="Z347" s="266">
        <v>0</v>
      </c>
      <c r="AA347" s="247"/>
      <c r="AB347" s="246" t="s">
        <v>2266</v>
      </c>
      <c r="AC347" s="264"/>
      <c r="AD347" s="240">
        <v>1</v>
      </c>
      <c r="AE347" s="328">
        <v>1</v>
      </c>
      <c r="AF347" s="296"/>
      <c r="AG347" s="297"/>
      <c r="AH347" s="297"/>
      <c r="AI347" s="297"/>
      <c r="AJ347" s="297"/>
      <c r="AK347" s="297"/>
      <c r="AL347" s="297"/>
      <c r="AM347" s="297"/>
      <c r="AN347" s="297"/>
      <c r="AO347" s="297"/>
      <c r="AP347" s="297"/>
      <c r="AQ347" s="297"/>
      <c r="AR347" s="297"/>
      <c r="AS347" s="297"/>
      <c r="AT347" s="297"/>
      <c r="AU347" s="297"/>
      <c r="AV347" s="297"/>
      <c r="AW347" s="297"/>
      <c r="AX347" s="297"/>
      <c r="AY347" s="297"/>
      <c r="AZ347" s="297"/>
      <c r="BA347" s="297"/>
      <c r="BB347" s="297"/>
      <c r="BC347" s="297"/>
      <c r="BD347" s="297"/>
      <c r="BE347" s="297"/>
      <c r="BF347" s="297" t="str">
        <f>"      " &amp; TEXT(AE347,"#0.00%") &amp; " " &amp; "개발 및 단위테스트(1차)" &amp; "(유운오님,문상진님)" &amp; " " &amp; IF(P347="","",TEXT(P347,"M/D-")) &amp; IF(Q347="","",TEXT(Q347,"M/D")) &amp; " "</f>
        <v xml:space="preserve">      100.00% 개발 및 단위테스트(1차)(유운오님,문상진님) 3/31-8/22 </v>
      </c>
      <c r="BG347" s="297"/>
      <c r="BH347" s="297"/>
      <c r="BI347" s="297"/>
      <c r="BJ347" s="297"/>
      <c r="BK347" s="297"/>
      <c r="BL347" s="297"/>
      <c r="BM347" s="297"/>
      <c r="BN347" s="297"/>
      <c r="BO347" s="297"/>
      <c r="BP347" s="297"/>
      <c r="BQ347" s="297"/>
      <c r="BR347" s="297"/>
      <c r="BS347" s="297"/>
      <c r="BT347" s="297"/>
      <c r="BU347" s="297"/>
      <c r="BV347" s="297"/>
      <c r="BW347" s="297"/>
      <c r="BX347" s="297"/>
      <c r="BY347" s="297"/>
      <c r="BZ347" s="297"/>
      <c r="CA347" s="297"/>
      <c r="CB347" s="297"/>
      <c r="CC347" s="297"/>
      <c r="CD347" s="297"/>
      <c r="CE347" s="297"/>
      <c r="CF347" s="297"/>
      <c r="CG347" s="297"/>
    </row>
    <row r="348" spans="1:85" ht="12" customHeight="1" outlineLevel="4">
      <c r="A348" s="288"/>
      <c r="B348" s="288"/>
      <c r="C348" s="288">
        <v>5</v>
      </c>
      <c r="D348" s="291" t="s">
        <v>1896</v>
      </c>
      <c r="E348" s="246"/>
      <c r="F348" s="246"/>
      <c r="G348" s="244"/>
      <c r="H348" s="244"/>
      <c r="I348" s="244" t="s">
        <v>1588</v>
      </c>
      <c r="J348" s="244"/>
      <c r="K348" s="244"/>
      <c r="L348" s="244"/>
      <c r="M348" s="244"/>
      <c r="N348" s="244"/>
      <c r="O348" s="244"/>
      <c r="P348" s="243">
        <v>45775</v>
      </c>
      <c r="Q348" s="243">
        <v>45817</v>
      </c>
      <c r="R348" s="246"/>
      <c r="S348" s="247">
        <v>27</v>
      </c>
      <c r="T348" s="247">
        <v>27</v>
      </c>
      <c r="U348" s="247">
        <v>27</v>
      </c>
      <c r="V348" s="247">
        <v>27</v>
      </c>
      <c r="W348" s="248"/>
      <c r="X348" s="248"/>
      <c r="Y348" s="265"/>
      <c r="Z348" s="266">
        <v>0</v>
      </c>
      <c r="AA348" s="247">
        <v>1</v>
      </c>
      <c r="AB348" s="246" t="s">
        <v>2267</v>
      </c>
      <c r="AC348" s="264"/>
      <c r="AD348" s="240">
        <v>1</v>
      </c>
      <c r="AE348" s="330">
        <v>1</v>
      </c>
      <c r="AF348" s="296"/>
      <c r="AG348" s="297"/>
      <c r="AH348" s="297"/>
      <c r="AI348" s="297"/>
      <c r="AJ348" s="297"/>
      <c r="AK348" s="297"/>
      <c r="AL348" s="297"/>
      <c r="AM348" s="297"/>
      <c r="AN348" s="297"/>
      <c r="AO348" s="297"/>
      <c r="AP348" s="297"/>
      <c r="AQ348" s="297"/>
      <c r="AR348" s="297"/>
      <c r="AS348" s="297"/>
      <c r="AT348" s="297"/>
      <c r="AU348" s="297"/>
      <c r="AV348" s="297" t="str">
        <f>"  " &amp; TEXT(AE348,"#0.00%") &amp; " " &amp; "디자인" &amp; "(김건우님,문상진님)" &amp; " " &amp; IF(P348="","",TEXT(P348,"M/D-")) &amp; IF(Q348="","",TEXT(Q348,"M/D")) &amp; " "</f>
        <v xml:space="preserve">  100.00% 디자인(김건우님,문상진님) 4/28-6/9 </v>
      </c>
      <c r="AW348" s="297"/>
      <c r="AX348" s="297"/>
      <c r="AY348" s="297"/>
      <c r="AZ348" s="297"/>
      <c r="BA348" s="297"/>
      <c r="BB348" s="297"/>
      <c r="BC348" s="297"/>
      <c r="BD348" s="297"/>
      <c r="BE348" s="297"/>
      <c r="BF348" s="297"/>
      <c r="BG348" s="297"/>
      <c r="BH348" s="297"/>
      <c r="BI348" s="297"/>
      <c r="BJ348" s="297"/>
      <c r="BK348" s="297"/>
      <c r="BL348" s="297"/>
      <c r="BM348" s="297"/>
      <c r="BN348" s="297"/>
      <c r="BO348" s="297"/>
      <c r="BP348" s="297"/>
      <c r="BQ348" s="297"/>
      <c r="BR348" s="297"/>
      <c r="BS348" s="297"/>
      <c r="BT348" s="297"/>
      <c r="BU348" s="297"/>
      <c r="BV348" s="297"/>
      <c r="BW348" s="297"/>
      <c r="BX348" s="297"/>
      <c r="BY348" s="297"/>
      <c r="BZ348" s="297"/>
      <c r="CA348" s="297"/>
      <c r="CB348" s="297"/>
      <c r="CC348" s="297"/>
      <c r="CD348" s="297"/>
      <c r="CE348" s="297"/>
      <c r="CF348" s="297"/>
      <c r="CG348" s="297"/>
    </row>
    <row r="349" spans="1:85" ht="12" customHeight="1" outlineLevel="4">
      <c r="A349" s="288"/>
      <c r="B349" s="288"/>
      <c r="C349" s="288">
        <v>5</v>
      </c>
      <c r="D349" s="291" t="s">
        <v>1897</v>
      </c>
      <c r="E349" s="246"/>
      <c r="F349" s="246"/>
      <c r="G349" s="244"/>
      <c r="H349" s="244"/>
      <c r="I349" s="244" t="s">
        <v>2248</v>
      </c>
      <c r="J349" s="244"/>
      <c r="K349" s="244"/>
      <c r="L349" s="244"/>
      <c r="M349" s="244"/>
      <c r="N349" s="244"/>
      <c r="O349" s="244"/>
      <c r="P349" s="243">
        <v>45747</v>
      </c>
      <c r="Q349" s="243">
        <v>45758</v>
      </c>
      <c r="R349" s="246"/>
      <c r="S349" s="247">
        <v>10</v>
      </c>
      <c r="T349" s="247">
        <v>10</v>
      </c>
      <c r="U349" s="247">
        <v>10</v>
      </c>
      <c r="V349" s="247">
        <v>10</v>
      </c>
      <c r="W349" s="248"/>
      <c r="X349" s="248"/>
      <c r="Y349" s="265"/>
      <c r="Z349" s="266">
        <v>0</v>
      </c>
      <c r="AA349" s="247">
        <v>1</v>
      </c>
      <c r="AB349" s="246" t="s">
        <v>1844</v>
      </c>
      <c r="AC349" s="264"/>
      <c r="AD349" s="240">
        <v>1</v>
      </c>
      <c r="AE349" s="304">
        <v>1</v>
      </c>
      <c r="AF349" s="296"/>
      <c r="AG349" s="297"/>
      <c r="AH349" s="297"/>
      <c r="AI349" s="297"/>
      <c r="AJ349" s="297"/>
      <c r="AK349" s="297"/>
      <c r="AL349" s="297"/>
      <c r="AM349" s="297" t="str">
        <f>"      " &amp; TEXT(AE349,"#0.00%") &amp; " " &amp; "H/W연동" &amp; "(유운오님)" &amp; " " &amp; IF(P349="","",TEXT(P349,"M/D-")) &amp; IF(Q349="","",TEXT(Q349,"M/D")) &amp; " "</f>
        <v xml:space="preserve">      100.00% H/W연동(유운오님) 3/31-4/11 </v>
      </c>
      <c r="AN349" s="297"/>
      <c r="AO349" s="297"/>
      <c r="AP349" s="297"/>
      <c r="AQ349" s="297"/>
      <c r="AR349" s="297"/>
      <c r="AS349" s="297"/>
      <c r="AT349" s="297"/>
      <c r="AU349" s="297"/>
      <c r="AV349" s="297"/>
      <c r="AW349" s="297"/>
      <c r="AX349" s="297"/>
      <c r="AY349" s="297"/>
      <c r="AZ349" s="297"/>
      <c r="BA349" s="297"/>
      <c r="BB349" s="297"/>
      <c r="BC349" s="297"/>
      <c r="BD349" s="297"/>
      <c r="BE349" s="297"/>
      <c r="BF349" s="297"/>
      <c r="BG349" s="297"/>
      <c r="BH349" s="297"/>
      <c r="BI349" s="297"/>
      <c r="BJ349" s="297"/>
      <c r="BK349" s="297"/>
      <c r="BL349" s="297"/>
      <c r="BM349" s="297"/>
      <c r="BN349" s="297"/>
      <c r="BO349" s="297"/>
      <c r="BP349" s="297"/>
      <c r="BQ349" s="297"/>
      <c r="BR349" s="297"/>
      <c r="BS349" s="297"/>
      <c r="BT349" s="297"/>
      <c r="BU349" s="297"/>
      <c r="BV349" s="297"/>
      <c r="BW349" s="297"/>
      <c r="BX349" s="297"/>
      <c r="BY349" s="297"/>
      <c r="BZ349" s="297"/>
      <c r="CA349" s="297"/>
      <c r="CB349" s="297"/>
      <c r="CC349" s="297"/>
      <c r="CD349" s="297"/>
      <c r="CE349" s="297"/>
      <c r="CF349" s="297"/>
      <c r="CG349" s="297"/>
    </row>
    <row r="350" spans="1:85" ht="12" customHeight="1" outlineLevel="4">
      <c r="A350" s="288"/>
      <c r="B350" s="288"/>
      <c r="C350" s="288">
        <v>5</v>
      </c>
      <c r="D350" s="291" t="s">
        <v>1898</v>
      </c>
      <c r="E350" s="246"/>
      <c r="F350" s="246"/>
      <c r="G350" s="246"/>
      <c r="H350" s="244"/>
      <c r="I350" s="244" t="s">
        <v>2048</v>
      </c>
      <c r="J350" s="244"/>
      <c r="K350" s="244"/>
      <c r="L350" s="244"/>
      <c r="M350" s="244"/>
      <c r="N350" s="244"/>
      <c r="O350" s="244"/>
      <c r="P350" s="243">
        <v>45768</v>
      </c>
      <c r="Q350" s="243">
        <v>45821</v>
      </c>
      <c r="R350" s="246"/>
      <c r="S350" s="247">
        <v>36</v>
      </c>
      <c r="T350" s="247">
        <v>36</v>
      </c>
      <c r="U350" s="247">
        <v>36</v>
      </c>
      <c r="V350" s="247">
        <v>36</v>
      </c>
      <c r="W350" s="248"/>
      <c r="X350" s="248"/>
      <c r="Y350" s="265"/>
      <c r="Z350" s="266">
        <v>0</v>
      </c>
      <c r="AA350" s="247">
        <v>1</v>
      </c>
      <c r="AB350" s="246"/>
      <c r="AC350" s="264"/>
      <c r="AD350" s="240">
        <v>1</v>
      </c>
      <c r="AE350" s="330">
        <v>1</v>
      </c>
      <c r="AF350" s="296"/>
      <c r="AG350" s="297"/>
      <c r="AH350" s="297"/>
      <c r="AI350" s="297"/>
      <c r="AJ350" s="297"/>
      <c r="AK350" s="297"/>
      <c r="AL350" s="297"/>
      <c r="AM350" s="297"/>
      <c r="AN350" s="297"/>
      <c r="AO350" s="297"/>
      <c r="AP350" s="297"/>
      <c r="AQ350" s="297"/>
      <c r="AR350" s="297"/>
      <c r="AS350" s="297"/>
      <c r="AT350" s="297"/>
      <c r="AU350" s="297"/>
      <c r="AV350" s="297" t="str">
        <f>"      " &amp; TEXT(AE350,"#0.00%") &amp; " " &amp; "공통" &amp; " " &amp; IF(P350="","",TEXT(P350,"M/D-")) &amp; IF(Q350="","",TEXT(Q350,"M/D")) &amp; " "</f>
        <v xml:space="preserve">      100.00% 공통 4/21-6/13 </v>
      </c>
      <c r="AW350" s="297"/>
      <c r="AX350" s="297"/>
      <c r="AY350" s="297"/>
      <c r="AZ350" s="297"/>
      <c r="BA350" s="297"/>
      <c r="BB350" s="297"/>
      <c r="BC350" s="297"/>
      <c r="BD350" s="297"/>
      <c r="BE350" s="297"/>
      <c r="BF350" s="297"/>
      <c r="BG350" s="297"/>
      <c r="BH350" s="297"/>
      <c r="BI350" s="297"/>
      <c r="BJ350" s="297"/>
      <c r="BK350" s="297"/>
      <c r="BL350" s="297"/>
      <c r="BM350" s="297"/>
      <c r="BN350" s="297"/>
      <c r="BO350" s="297"/>
      <c r="BP350" s="297"/>
      <c r="BQ350" s="297"/>
      <c r="BR350" s="297"/>
      <c r="BS350" s="297"/>
      <c r="BT350" s="297"/>
      <c r="BU350" s="297"/>
      <c r="BV350" s="297"/>
      <c r="BW350" s="297"/>
      <c r="BX350" s="297"/>
      <c r="BY350" s="297"/>
      <c r="BZ350" s="297"/>
      <c r="CA350" s="297"/>
      <c r="CB350" s="297"/>
      <c r="CC350" s="297"/>
      <c r="CD350" s="297"/>
      <c r="CE350" s="297"/>
      <c r="CF350" s="297"/>
      <c r="CG350" s="297"/>
    </row>
    <row r="351" spans="1:85" ht="12" customHeight="1" outlineLevel="4">
      <c r="A351" s="288"/>
      <c r="B351" s="288"/>
      <c r="C351" s="288">
        <v>5</v>
      </c>
      <c r="D351" s="291" t="s">
        <v>1899</v>
      </c>
      <c r="E351" s="246"/>
      <c r="F351" s="246"/>
      <c r="G351" s="244"/>
      <c r="H351" s="244"/>
      <c r="I351" s="244" t="s">
        <v>2596</v>
      </c>
      <c r="J351" s="244"/>
      <c r="K351" s="244"/>
      <c r="L351" s="244"/>
      <c r="M351" s="244"/>
      <c r="N351" s="244"/>
      <c r="O351" s="244"/>
      <c r="P351" s="243">
        <v>45768</v>
      </c>
      <c r="Q351" s="243">
        <v>45793</v>
      </c>
      <c r="R351" s="246"/>
      <c r="S351" s="247">
        <v>90</v>
      </c>
      <c r="T351" s="247">
        <v>90</v>
      </c>
      <c r="U351" s="247">
        <v>18</v>
      </c>
      <c r="V351" s="247">
        <v>18</v>
      </c>
      <c r="W351" s="248"/>
      <c r="X351" s="248"/>
      <c r="Y351" s="265"/>
      <c r="Z351" s="266">
        <v>0</v>
      </c>
      <c r="AA351" s="247">
        <v>5</v>
      </c>
      <c r="AB351" s="246"/>
      <c r="AC351" s="264"/>
      <c r="AD351" s="240">
        <v>1</v>
      </c>
      <c r="AE351" s="304">
        <v>1</v>
      </c>
      <c r="AF351" s="296"/>
      <c r="AG351" s="297"/>
      <c r="AH351" s="297"/>
      <c r="AI351" s="297"/>
      <c r="AJ351" s="297"/>
      <c r="AK351" s="297"/>
      <c r="AL351" s="297"/>
      <c r="AM351" s="297"/>
      <c r="AN351" s="297"/>
      <c r="AO351" s="297"/>
      <c r="AP351" s="297"/>
      <c r="AQ351" s="297"/>
      <c r="AR351" s="297" t="str">
        <f>"      " &amp; TEXT(AE351,"#0.00%") &amp; " " &amp; "주문" &amp; " " &amp; IF(P351="","",TEXT(P351,"M/D-")) &amp; IF(Q351="","",TEXT(Q351,"M/D")) &amp; " "</f>
        <v xml:space="preserve">      100.00% 주문 4/21-5/16 </v>
      </c>
      <c r="AS351" s="297"/>
      <c r="AT351" s="297"/>
      <c r="AU351" s="297"/>
      <c r="AV351" s="297"/>
      <c r="AW351" s="297"/>
      <c r="AX351" s="297"/>
      <c r="AY351" s="297"/>
      <c r="AZ351" s="297"/>
      <c r="BA351" s="297"/>
      <c r="BB351" s="297"/>
      <c r="BC351" s="297"/>
      <c r="BD351" s="297"/>
      <c r="BE351" s="297"/>
      <c r="BF351" s="297"/>
      <c r="BG351" s="297"/>
      <c r="BH351" s="297"/>
      <c r="BI351" s="297"/>
      <c r="BJ351" s="297"/>
      <c r="BK351" s="297"/>
      <c r="BL351" s="297"/>
      <c r="BM351" s="297"/>
      <c r="BN351" s="297"/>
      <c r="BO351" s="297"/>
      <c r="BP351" s="297"/>
      <c r="BQ351" s="297"/>
      <c r="BR351" s="297"/>
      <c r="BS351" s="297"/>
      <c r="BT351" s="297"/>
      <c r="BU351" s="297"/>
      <c r="BV351" s="297"/>
      <c r="BW351" s="297"/>
      <c r="BX351" s="297"/>
      <c r="BY351" s="297"/>
      <c r="BZ351" s="297"/>
      <c r="CA351" s="297"/>
      <c r="CB351" s="297"/>
      <c r="CC351" s="297"/>
      <c r="CD351" s="297"/>
      <c r="CE351" s="297"/>
      <c r="CF351" s="297"/>
      <c r="CG351" s="297"/>
    </row>
    <row r="352" spans="1:85" ht="12" customHeight="1" outlineLevel="4">
      <c r="A352" s="288"/>
      <c r="B352" s="288"/>
      <c r="C352" s="288">
        <v>5</v>
      </c>
      <c r="D352" s="291" t="s">
        <v>1900</v>
      </c>
      <c r="E352" s="246"/>
      <c r="F352" s="246"/>
      <c r="G352" s="244"/>
      <c r="H352" s="244"/>
      <c r="I352" s="244" t="s">
        <v>2598</v>
      </c>
      <c r="J352" s="244"/>
      <c r="K352" s="244"/>
      <c r="L352" s="244"/>
      <c r="M352" s="244"/>
      <c r="N352" s="244"/>
      <c r="O352" s="244"/>
      <c r="P352" s="243">
        <v>45761</v>
      </c>
      <c r="Q352" s="243">
        <v>45821</v>
      </c>
      <c r="R352" s="246"/>
      <c r="S352" s="247">
        <v>205</v>
      </c>
      <c r="T352" s="247">
        <v>205</v>
      </c>
      <c r="U352" s="247">
        <v>41</v>
      </c>
      <c r="V352" s="247">
        <v>41</v>
      </c>
      <c r="W352" s="248"/>
      <c r="X352" s="248"/>
      <c r="Y352" s="265"/>
      <c r="Z352" s="266">
        <v>0</v>
      </c>
      <c r="AA352" s="247">
        <v>5</v>
      </c>
      <c r="AB352" s="246"/>
      <c r="AC352" s="264"/>
      <c r="AD352" s="240">
        <v>1</v>
      </c>
      <c r="AE352" s="304">
        <v>1</v>
      </c>
      <c r="AF352" s="296"/>
      <c r="AG352" s="297"/>
      <c r="AH352" s="297"/>
      <c r="AI352" s="297"/>
      <c r="AJ352" s="297"/>
      <c r="AK352" s="297"/>
      <c r="AL352" s="297"/>
      <c r="AM352" s="297"/>
      <c r="AN352" s="297"/>
      <c r="AO352" s="297"/>
      <c r="AP352" s="297"/>
      <c r="AQ352" s="297"/>
      <c r="AR352" s="297"/>
      <c r="AS352" s="297"/>
      <c r="AT352" s="297"/>
      <c r="AU352" s="297"/>
      <c r="AV352" s="297" t="str">
        <f>"      " &amp; TEXT(AE352,"#0.00%") &amp; " " &amp; "거래(결제)" &amp; " " &amp; IF(P352="","",TEXT(P352,"M/D-")) &amp; IF(Q352="","",TEXT(Q352,"M/D")) &amp; " "</f>
        <v xml:space="preserve">      100.00% 거래(결제) 4/14-6/13 </v>
      </c>
      <c r="AW352" s="297"/>
      <c r="AX352" s="297"/>
      <c r="AY352" s="297"/>
      <c r="AZ352" s="297"/>
      <c r="BA352" s="297"/>
      <c r="BB352" s="297"/>
      <c r="BC352" s="297"/>
      <c r="BD352" s="297"/>
      <c r="BE352" s="297"/>
      <c r="BF352" s="297"/>
      <c r="BG352" s="297"/>
      <c r="BH352" s="297"/>
      <c r="BI352" s="297"/>
      <c r="BJ352" s="297"/>
      <c r="BK352" s="297"/>
      <c r="BL352" s="297"/>
      <c r="BM352" s="297"/>
      <c r="BN352" s="297"/>
      <c r="BO352" s="297"/>
      <c r="BP352" s="297"/>
      <c r="BQ352" s="297"/>
      <c r="BR352" s="297"/>
      <c r="BS352" s="297"/>
      <c r="BT352" s="297"/>
      <c r="BU352" s="297"/>
      <c r="BV352" s="297"/>
      <c r="BW352" s="297"/>
      <c r="BX352" s="297"/>
      <c r="BY352" s="297"/>
      <c r="BZ352" s="297"/>
      <c r="CA352" s="297"/>
      <c r="CB352" s="297"/>
      <c r="CC352" s="297"/>
      <c r="CD352" s="297"/>
      <c r="CE352" s="297"/>
      <c r="CF352" s="297"/>
      <c r="CG352" s="297"/>
    </row>
    <row r="353" spans="1:85" ht="12" customHeight="1" outlineLevel="4">
      <c r="A353" s="288"/>
      <c r="B353" s="288"/>
      <c r="C353" s="288">
        <v>5</v>
      </c>
      <c r="D353" s="291" t="s">
        <v>1901</v>
      </c>
      <c r="E353" s="246"/>
      <c r="F353" s="246"/>
      <c r="G353" s="244"/>
      <c r="H353" s="244"/>
      <c r="I353" s="244" t="s">
        <v>2597</v>
      </c>
      <c r="J353" s="244"/>
      <c r="K353" s="244"/>
      <c r="L353" s="244"/>
      <c r="M353" s="244"/>
      <c r="N353" s="244"/>
      <c r="O353" s="244"/>
      <c r="P353" s="243">
        <v>45782</v>
      </c>
      <c r="Q353" s="319">
        <v>45849</v>
      </c>
      <c r="R353" s="246"/>
      <c r="S353" s="247">
        <v>47</v>
      </c>
      <c r="T353" s="247">
        <v>47</v>
      </c>
      <c r="U353" s="247">
        <v>47</v>
      </c>
      <c r="V353" s="247">
        <v>47</v>
      </c>
      <c r="W353" s="248"/>
      <c r="X353" s="248"/>
      <c r="Y353" s="265"/>
      <c r="Z353" s="266">
        <v>0</v>
      </c>
      <c r="AA353" s="247">
        <v>1</v>
      </c>
      <c r="AB353" s="246"/>
      <c r="AC353" s="264"/>
      <c r="AD353" s="240">
        <v>1</v>
      </c>
      <c r="AE353" s="304">
        <v>1</v>
      </c>
      <c r="AF353" s="296"/>
      <c r="AG353" s="297"/>
      <c r="AH353" s="297"/>
      <c r="AI353" s="297"/>
      <c r="AJ353" s="297"/>
      <c r="AK353" s="297"/>
      <c r="AL353" s="297"/>
      <c r="AM353" s="297"/>
      <c r="AN353" s="297"/>
      <c r="AO353" s="297"/>
      <c r="AP353" s="297"/>
      <c r="AQ353" s="297"/>
      <c r="AR353" s="297"/>
      <c r="AS353" s="297"/>
      <c r="AT353" s="297"/>
      <c r="AU353" s="297"/>
      <c r="AV353" s="297"/>
      <c r="AW353" s="297"/>
      <c r="AX353" s="297"/>
      <c r="AY353" s="297"/>
      <c r="AZ353" s="297" t="str">
        <f>"      " &amp; TEXT(AE353,"#0.00%") &amp; " " &amp; "프로모션" &amp; " " &amp; IF(P353="","",TEXT(P353,"M/D-")) &amp; IF(Q353="","",TEXT(Q353,"M/D")) &amp; " "</f>
        <v xml:space="preserve">      100.00% 프로모션 5/5-7/11 </v>
      </c>
      <c r="BA353" s="297"/>
      <c r="BB353" s="297"/>
      <c r="BC353" s="297"/>
      <c r="BD353" s="297"/>
      <c r="BE353" s="297"/>
      <c r="BF353" s="297"/>
      <c r="BG353" s="297"/>
      <c r="BH353" s="297"/>
      <c r="BI353" s="297"/>
      <c r="BJ353" s="297"/>
      <c r="BK353" s="297"/>
      <c r="BL353" s="297"/>
      <c r="BM353" s="297"/>
      <c r="BN353" s="297"/>
      <c r="BO353" s="297"/>
      <c r="BP353" s="297"/>
      <c r="BQ353" s="297"/>
      <c r="BR353" s="297"/>
      <c r="BS353" s="297"/>
      <c r="BT353" s="297"/>
      <c r="BU353" s="297"/>
      <c r="BV353" s="297"/>
      <c r="BW353" s="297"/>
      <c r="BX353" s="297"/>
      <c r="BY353" s="297"/>
      <c r="BZ353" s="297"/>
      <c r="CA353" s="297"/>
      <c r="CB353" s="297"/>
      <c r="CC353" s="297"/>
      <c r="CD353" s="297"/>
      <c r="CE353" s="297"/>
      <c r="CF353" s="297"/>
      <c r="CG353" s="297"/>
    </row>
    <row r="354" spans="1:85" ht="12" customHeight="1" outlineLevel="4">
      <c r="A354" s="288"/>
      <c r="B354" s="288"/>
      <c r="C354" s="288">
        <v>5</v>
      </c>
      <c r="D354" s="291" t="s">
        <v>1902</v>
      </c>
      <c r="E354" s="246"/>
      <c r="F354" s="246"/>
      <c r="G354" s="244"/>
      <c r="H354" s="244"/>
      <c r="I354" s="244" t="s">
        <v>2250</v>
      </c>
      <c r="J354" s="244"/>
      <c r="K354" s="244"/>
      <c r="L354" s="244"/>
      <c r="M354" s="244"/>
      <c r="N354" s="244"/>
      <c r="O354" s="244"/>
      <c r="P354" s="319">
        <v>45852</v>
      </c>
      <c r="Q354" s="319">
        <v>45884</v>
      </c>
      <c r="R354" s="246"/>
      <c r="S354" s="247">
        <v>24</v>
      </c>
      <c r="T354" s="247">
        <v>24</v>
      </c>
      <c r="U354" s="247">
        <v>24</v>
      </c>
      <c r="V354" s="247">
        <v>24</v>
      </c>
      <c r="W354" s="248"/>
      <c r="X354" s="248"/>
      <c r="Y354" s="265"/>
      <c r="Z354" s="266">
        <v>0</v>
      </c>
      <c r="AA354" s="247">
        <v>1</v>
      </c>
      <c r="AB354" s="246"/>
      <c r="AC354" s="264"/>
      <c r="AD354" s="240">
        <v>1</v>
      </c>
      <c r="AE354" s="330">
        <v>1</v>
      </c>
      <c r="AF354" s="296"/>
      <c r="AG354" s="297"/>
      <c r="AH354" s="297"/>
      <c r="AI354" s="297"/>
      <c r="AJ354" s="297"/>
      <c r="AK354" s="297"/>
      <c r="AL354" s="297"/>
      <c r="AM354" s="297"/>
      <c r="AN354" s="297"/>
      <c r="AO354" s="297"/>
      <c r="AP354" s="297"/>
      <c r="AQ354" s="297"/>
      <c r="AR354" s="297"/>
      <c r="AS354" s="297"/>
      <c r="AT354" s="297"/>
      <c r="AU354" s="297"/>
      <c r="AV354" s="297"/>
      <c r="AW354" s="297"/>
      <c r="AX354" s="297"/>
      <c r="AY354" s="297"/>
      <c r="AZ354" s="297"/>
      <c r="BA354" s="297"/>
      <c r="BB354" s="297"/>
      <c r="BC354" s="297"/>
      <c r="BD354" s="297"/>
      <c r="BE354" s="297" t="str">
        <f>"      " &amp; TEXT(AE354,"#0.00%") &amp; " " &amp; "회원" &amp; " " &amp; IF(P354="","",TEXT(P354,"M/D-")) &amp; IF(Q354="","",TEXT(Q354,"M/D")) &amp; " "</f>
        <v xml:space="preserve">      100.00% 회원 7/14-8/15 </v>
      </c>
      <c r="BF354" s="297"/>
      <c r="BG354" s="297"/>
      <c r="BH354" s="297"/>
      <c r="BI354" s="297"/>
      <c r="BJ354" s="297"/>
      <c r="BK354" s="297"/>
      <c r="BL354" s="297"/>
      <c r="BM354" s="297"/>
      <c r="BN354" s="297"/>
      <c r="BO354" s="297"/>
      <c r="BP354" s="297"/>
      <c r="BQ354" s="297"/>
      <c r="BR354" s="297"/>
      <c r="BS354" s="297"/>
      <c r="BT354" s="297"/>
      <c r="BU354" s="297"/>
      <c r="BV354" s="297"/>
      <c r="BW354" s="297"/>
      <c r="BX354" s="297"/>
      <c r="BY354" s="297"/>
      <c r="BZ354" s="297"/>
      <c r="CA354" s="297"/>
      <c r="CB354" s="297"/>
      <c r="CC354" s="297"/>
      <c r="CD354" s="297"/>
      <c r="CE354" s="297"/>
      <c r="CF354" s="297"/>
      <c r="CG354" s="297"/>
    </row>
    <row r="355" spans="1:85" ht="12" customHeight="1" outlineLevel="4">
      <c r="A355" s="288"/>
      <c r="B355" s="288"/>
      <c r="C355" s="288">
        <v>5</v>
      </c>
      <c r="D355" s="291" t="s">
        <v>2599</v>
      </c>
      <c r="E355" s="246"/>
      <c r="F355" s="246"/>
      <c r="G355" s="244"/>
      <c r="H355" s="244"/>
      <c r="I355" s="244" t="s">
        <v>2252</v>
      </c>
      <c r="J355" s="244"/>
      <c r="K355" s="244"/>
      <c r="L355" s="244"/>
      <c r="M355" s="244"/>
      <c r="N355" s="244"/>
      <c r="O355" s="244"/>
      <c r="P355" s="333">
        <v>45768</v>
      </c>
      <c r="Q355" s="333">
        <v>45786</v>
      </c>
      <c r="R355" s="246"/>
      <c r="S355" s="247">
        <v>13</v>
      </c>
      <c r="T355" s="247">
        <v>13</v>
      </c>
      <c r="U355" s="247">
        <v>13</v>
      </c>
      <c r="V355" s="247">
        <v>13</v>
      </c>
      <c r="W355" s="248"/>
      <c r="X355" s="248"/>
      <c r="Y355" s="265"/>
      <c r="Z355" s="266">
        <v>0</v>
      </c>
      <c r="AA355" s="247">
        <v>1</v>
      </c>
      <c r="AB355" s="246"/>
      <c r="AC355" s="264"/>
      <c r="AD355" s="240">
        <v>1</v>
      </c>
      <c r="AE355" s="304">
        <v>1</v>
      </c>
      <c r="AF355" s="296"/>
      <c r="AG355" s="297"/>
      <c r="AH355" s="297"/>
      <c r="AI355" s="297"/>
      <c r="AJ355" s="297"/>
      <c r="AK355" s="297"/>
      <c r="AL355" s="297"/>
      <c r="AM355" s="297"/>
      <c r="AN355" s="297"/>
      <c r="AO355" s="297"/>
      <c r="AP355" s="297"/>
      <c r="AQ355" s="297" t="str">
        <f>"      " &amp; TEXT(AE355,"#0.00%") &amp; " " &amp; "영수증" &amp; " " &amp; IF(P355="","",TEXT(P355,"M/D-")) &amp; IF(Q355="","",TEXT(Q355,"M/D")) &amp; " "</f>
        <v xml:space="preserve">      100.00% 영수증 4/21-5/9 </v>
      </c>
      <c r="AR355" s="297"/>
      <c r="AS355" s="297"/>
      <c r="AT355" s="297"/>
      <c r="AU355" s="297"/>
      <c r="AV355" s="297"/>
      <c r="AW355" s="297"/>
      <c r="AX355" s="297"/>
      <c r="AY355" s="297"/>
      <c r="AZ355" s="297"/>
      <c r="BA355" s="297"/>
      <c r="BB355" s="297"/>
      <c r="BC355" s="297"/>
      <c r="BD355" s="297"/>
      <c r="BE355" s="297"/>
      <c r="BF355" s="297"/>
      <c r="BG355" s="297"/>
      <c r="BH355" s="297"/>
      <c r="BI355" s="297"/>
      <c r="BJ355" s="297"/>
      <c r="BK355" s="297"/>
      <c r="BL355" s="297"/>
      <c r="BM355" s="297"/>
      <c r="BN355" s="297"/>
      <c r="BO355" s="297"/>
      <c r="BP355" s="297"/>
      <c r="BQ355" s="297"/>
      <c r="BR355" s="297"/>
      <c r="BS355" s="297"/>
      <c r="BT355" s="297"/>
      <c r="BU355" s="297"/>
      <c r="BV355" s="297"/>
      <c r="BW355" s="297"/>
      <c r="BX355" s="297"/>
      <c r="BY355" s="297"/>
      <c r="BZ355" s="297"/>
      <c r="CA355" s="297"/>
      <c r="CB355" s="297"/>
      <c r="CC355" s="297"/>
      <c r="CD355" s="297"/>
      <c r="CE355" s="297"/>
      <c r="CF355" s="297"/>
      <c r="CG355" s="297"/>
    </row>
    <row r="356" spans="1:85" ht="12" customHeight="1" outlineLevel="4">
      <c r="A356" s="288"/>
      <c r="B356" s="288"/>
      <c r="C356" s="288">
        <v>5</v>
      </c>
      <c r="D356" s="291" t="s">
        <v>2600</v>
      </c>
      <c r="E356" s="246"/>
      <c r="F356" s="246"/>
      <c r="G356" s="246"/>
      <c r="H356" s="244"/>
      <c r="I356" s="244" t="s">
        <v>1830</v>
      </c>
      <c r="J356" s="244"/>
      <c r="K356" s="244"/>
      <c r="L356" s="244"/>
      <c r="M356" s="244"/>
      <c r="N356" s="244"/>
      <c r="O356" s="244"/>
      <c r="P356" s="243">
        <v>45754</v>
      </c>
      <c r="Q356" s="243">
        <v>45814</v>
      </c>
      <c r="R356" s="246"/>
      <c r="S356" s="247">
        <v>41</v>
      </c>
      <c r="T356" s="247">
        <v>41</v>
      </c>
      <c r="U356" s="247">
        <v>41</v>
      </c>
      <c r="V356" s="247">
        <v>41</v>
      </c>
      <c r="W356" s="248"/>
      <c r="X356" s="248"/>
      <c r="Y356" s="265"/>
      <c r="Z356" s="266">
        <v>0</v>
      </c>
      <c r="AA356" s="247">
        <v>1</v>
      </c>
      <c r="AB356" s="246"/>
      <c r="AC356" s="264"/>
      <c r="AD356" s="240">
        <v>1</v>
      </c>
      <c r="AE356" s="304">
        <v>1</v>
      </c>
      <c r="AF356" s="296"/>
      <c r="AG356" s="297"/>
      <c r="AH356" s="297"/>
      <c r="AI356" s="297"/>
      <c r="AJ356" s="297"/>
      <c r="AK356" s="297"/>
      <c r="AL356" s="297"/>
      <c r="AM356" s="297"/>
      <c r="AN356" s="297"/>
      <c r="AO356" s="297"/>
      <c r="AP356" s="297"/>
      <c r="AQ356" s="297"/>
      <c r="AR356" s="297"/>
      <c r="AS356" s="297"/>
      <c r="AT356" s="297"/>
      <c r="AU356" s="297" t="str">
        <f>"      " &amp; TEXT(AE356,"#0.00%") &amp; " " &amp; "관리자" &amp; " " &amp; IF(P356="","",TEXT(P356,"M/D-")) &amp; IF(Q356="","",TEXT(Q356,"M/D")) &amp; " "</f>
        <v xml:space="preserve">      100.00% 관리자 4/7-6/6 </v>
      </c>
      <c r="AV356" s="297"/>
      <c r="AW356" s="297"/>
      <c r="AX356" s="297"/>
      <c r="AY356" s="297"/>
      <c r="AZ356" s="297"/>
      <c r="BA356" s="297"/>
      <c r="BB356" s="297"/>
      <c r="BC356" s="297"/>
      <c r="BD356" s="297"/>
      <c r="BE356" s="297"/>
      <c r="BF356" s="297"/>
      <c r="BG356" s="297"/>
      <c r="BH356" s="297"/>
      <c r="BI356" s="297"/>
      <c r="BJ356" s="297"/>
      <c r="BK356" s="297"/>
      <c r="BL356" s="297"/>
      <c r="BM356" s="297"/>
      <c r="BN356" s="297"/>
      <c r="BO356" s="297"/>
      <c r="BP356" s="297"/>
      <c r="BQ356" s="297"/>
      <c r="BR356" s="297"/>
      <c r="BS356" s="297"/>
      <c r="BT356" s="297"/>
      <c r="BU356" s="297"/>
      <c r="BV356" s="297"/>
      <c r="BW356" s="297"/>
      <c r="BX356" s="297"/>
      <c r="BY356" s="297"/>
      <c r="BZ356" s="297"/>
      <c r="CA356" s="297"/>
      <c r="CB356" s="297"/>
      <c r="CC356" s="297"/>
      <c r="CD356" s="297"/>
      <c r="CE356" s="297"/>
      <c r="CF356" s="297"/>
      <c r="CG356" s="297"/>
    </row>
    <row r="357" spans="1:85" ht="12" customHeight="1" outlineLevel="4">
      <c r="A357" s="288"/>
      <c r="B357" s="288"/>
      <c r="C357" s="288">
        <v>5</v>
      </c>
      <c r="D357" s="291" t="s">
        <v>2601</v>
      </c>
      <c r="E357" s="246"/>
      <c r="F357" s="246"/>
      <c r="G357" s="246"/>
      <c r="H357" s="244"/>
      <c r="I357" s="244" t="s">
        <v>2261</v>
      </c>
      <c r="J357" s="244"/>
      <c r="K357" s="244"/>
      <c r="L357" s="244"/>
      <c r="M357" s="244"/>
      <c r="N357" s="244"/>
      <c r="O357" s="244"/>
      <c r="P357" s="243">
        <v>45817</v>
      </c>
      <c r="Q357" s="243">
        <v>45891</v>
      </c>
      <c r="R357" s="246"/>
      <c r="S357" s="247">
        <v>54</v>
      </c>
      <c r="T357" s="247">
        <v>54</v>
      </c>
      <c r="U357" s="247">
        <v>54</v>
      </c>
      <c r="V357" s="247">
        <v>54</v>
      </c>
      <c r="W357" s="248"/>
      <c r="X357" s="248"/>
      <c r="Y357" s="265"/>
      <c r="Z357" s="266">
        <v>0</v>
      </c>
      <c r="AA357" s="247">
        <v>1</v>
      </c>
      <c r="AB357" s="246"/>
      <c r="AC357" s="264"/>
      <c r="AD357" s="240">
        <v>1</v>
      </c>
      <c r="AE357" s="330">
        <v>1</v>
      </c>
      <c r="AF357" s="296"/>
      <c r="AG357" s="297"/>
      <c r="AH357" s="297"/>
      <c r="AI357" s="297"/>
      <c r="AJ357" s="297"/>
      <c r="AK357" s="297"/>
      <c r="AL357" s="297"/>
      <c r="AM357" s="297"/>
      <c r="AN357" s="297"/>
      <c r="AO357" s="297"/>
      <c r="AP357" s="297"/>
      <c r="AQ357" s="297"/>
      <c r="AR357" s="297"/>
      <c r="AS357" s="297"/>
      <c r="AT357" s="297"/>
      <c r="AU357" s="297"/>
      <c r="AV357" s="297"/>
      <c r="AW357" s="297"/>
      <c r="AX357" s="297"/>
      <c r="AY357" s="297"/>
      <c r="AZ357" s="297"/>
      <c r="BA357" s="297"/>
      <c r="BB357" s="297"/>
      <c r="BC357" s="297"/>
      <c r="BD357" s="297"/>
      <c r="BE357" s="297"/>
      <c r="BF357" s="297" t="str">
        <f>"      " &amp; TEXT(AE357,"#0.00%") &amp; " " &amp; "접근성" &amp; " " &amp; IF(P357="","",TEXT(P357,"M/D-")) &amp; IF(Q357="","",TEXT(Q357,"M/D")) &amp; " "</f>
        <v xml:space="preserve">      100.00% 접근성 6/9-8/22 </v>
      </c>
      <c r="BG357" s="297"/>
      <c r="BH357" s="297"/>
      <c r="BI357" s="297"/>
      <c r="BJ357" s="297"/>
      <c r="BK357" s="297"/>
      <c r="BL357" s="297"/>
      <c r="BM357" s="297"/>
      <c r="BN357" s="297"/>
      <c r="BO357" s="297"/>
      <c r="BP357" s="297"/>
      <c r="BQ357" s="297"/>
      <c r="BR357" s="297"/>
      <c r="BS357" s="297"/>
      <c r="BT357" s="297"/>
      <c r="BU357" s="297"/>
      <c r="BV357" s="297"/>
      <c r="BW357" s="297"/>
      <c r="BX357" s="297"/>
      <c r="BY357" s="297"/>
      <c r="BZ357" s="297"/>
      <c r="CA357" s="297"/>
      <c r="CB357" s="297"/>
      <c r="CC357" s="297"/>
      <c r="CD357" s="297"/>
      <c r="CE357" s="297"/>
      <c r="CF357" s="297"/>
      <c r="CG357" s="297"/>
    </row>
    <row r="358" spans="1:85" ht="12" customHeight="1" outlineLevel="4">
      <c r="A358" s="288"/>
      <c r="B358" s="288"/>
      <c r="C358" s="288">
        <v>5</v>
      </c>
      <c r="D358" s="291" t="s">
        <v>2602</v>
      </c>
      <c r="E358" s="246"/>
      <c r="F358" s="246"/>
      <c r="G358" s="246"/>
      <c r="H358" s="244"/>
      <c r="I358" s="244" t="s">
        <v>1852</v>
      </c>
      <c r="J358" s="244"/>
      <c r="K358" s="244"/>
      <c r="L358" s="244"/>
      <c r="M358" s="244"/>
      <c r="N358" s="244"/>
      <c r="O358" s="244"/>
      <c r="P358" s="248">
        <v>45838</v>
      </c>
      <c r="Q358" s="248">
        <v>45859</v>
      </c>
      <c r="R358" s="246"/>
      <c r="S358" s="247">
        <v>16</v>
      </c>
      <c r="T358" s="247">
        <v>16</v>
      </c>
      <c r="U358" s="247">
        <v>16</v>
      </c>
      <c r="V358" s="247">
        <v>16</v>
      </c>
      <c r="W358" s="248"/>
      <c r="X358" s="248"/>
      <c r="Y358" s="265"/>
      <c r="Z358" s="266">
        <v>0</v>
      </c>
      <c r="AA358" s="247">
        <v>1</v>
      </c>
      <c r="AB358" s="246"/>
      <c r="AC358" s="264"/>
      <c r="AD358" s="240">
        <v>1</v>
      </c>
      <c r="AE358" s="304">
        <v>1</v>
      </c>
      <c r="AF358" s="296"/>
      <c r="AG358" s="297"/>
      <c r="AH358" s="297"/>
      <c r="AI358" s="297"/>
      <c r="AJ358" s="297"/>
      <c r="AK358" s="297"/>
      <c r="AL358" s="297"/>
      <c r="AM358" s="297"/>
      <c r="AN358" s="297"/>
      <c r="AO358" s="297"/>
      <c r="AP358" s="297"/>
      <c r="AQ358" s="297"/>
      <c r="AR358" s="297"/>
      <c r="AS358" s="297"/>
      <c r="AT358" s="297"/>
      <c r="AU358" s="297"/>
      <c r="AV358" s="297"/>
      <c r="AW358" s="297"/>
      <c r="AX358" s="297"/>
      <c r="AY358" s="297"/>
      <c r="AZ358" s="297"/>
      <c r="BA358" s="297"/>
      <c r="BB358" s="297" t="str">
        <f>"  " &amp; TEXT(AE358,"#0.00%") &amp; " " &amp; "단위테스트(1차)" &amp; " " &amp; IF(P358="","",TEXT(P358,"M/D-")) &amp; IF(Q358="","",TEXT(Q358,"M/D")) &amp; " "</f>
        <v xml:space="preserve">  100.00% 단위테스트(1차) 6/30-7/21 </v>
      </c>
      <c r="BC358" s="297"/>
      <c r="BD358" s="297"/>
      <c r="BE358" s="297"/>
      <c r="BF358" s="297"/>
      <c r="BG358" s="297"/>
      <c r="BH358" s="297"/>
      <c r="BI358" s="297"/>
      <c r="BJ358" s="297"/>
      <c r="BK358" s="297"/>
      <c r="BL358" s="297"/>
      <c r="BM358" s="297"/>
      <c r="BN358" s="297"/>
      <c r="BO358" s="297"/>
      <c r="BP358" s="297"/>
      <c r="BQ358" s="297"/>
      <c r="BR358" s="297"/>
      <c r="BS358" s="297"/>
      <c r="BT358" s="297"/>
      <c r="BU358" s="297"/>
      <c r="BV358" s="297"/>
      <c r="BW358" s="297"/>
      <c r="BX358" s="297"/>
      <c r="BY358" s="297"/>
      <c r="BZ358" s="297"/>
      <c r="CA358" s="297"/>
      <c r="CB358" s="297"/>
      <c r="CC358" s="297"/>
      <c r="CD358" s="297"/>
      <c r="CE358" s="297"/>
      <c r="CF358" s="297"/>
      <c r="CG358" s="297"/>
    </row>
    <row r="359" spans="1:85" ht="11.45" customHeight="1" outlineLevel="3">
      <c r="A359" s="288"/>
      <c r="B359" s="288" t="s">
        <v>2334</v>
      </c>
      <c r="C359" s="288">
        <v>4</v>
      </c>
      <c r="D359" s="291" t="s">
        <v>1903</v>
      </c>
      <c r="E359" s="246"/>
      <c r="F359" s="246"/>
      <c r="G359" s="244"/>
      <c r="H359" s="244" t="s">
        <v>2257</v>
      </c>
      <c r="I359" s="244"/>
      <c r="J359" s="244"/>
      <c r="K359" s="244"/>
      <c r="L359" s="244"/>
      <c r="M359" s="244"/>
      <c r="N359" s="244"/>
      <c r="O359" s="244"/>
      <c r="P359" s="243">
        <v>45852</v>
      </c>
      <c r="Q359" s="243">
        <v>45884</v>
      </c>
      <c r="R359" s="246"/>
      <c r="S359" s="247">
        <v>24</v>
      </c>
      <c r="T359" s="247">
        <v>24</v>
      </c>
      <c r="U359" s="247">
        <v>24</v>
      </c>
      <c r="V359" s="247">
        <v>24</v>
      </c>
      <c r="W359" s="248"/>
      <c r="X359" s="248"/>
      <c r="Y359" s="265">
        <v>0</v>
      </c>
      <c r="Z359" s="266">
        <v>0</v>
      </c>
      <c r="AA359" s="247"/>
      <c r="AB359" s="246" t="s">
        <v>1844</v>
      </c>
      <c r="AC359" s="264"/>
      <c r="AD359" s="240">
        <v>1</v>
      </c>
      <c r="AE359" s="241">
        <v>1</v>
      </c>
      <c r="AF359" s="296"/>
      <c r="AG359" s="297"/>
      <c r="AH359" s="297"/>
      <c r="AI359" s="297"/>
      <c r="AJ359" s="297"/>
      <c r="AK359" s="297"/>
      <c r="AL359" s="297"/>
      <c r="AM359" s="297"/>
      <c r="AN359" s="297"/>
      <c r="AO359" s="297"/>
      <c r="AP359" s="297"/>
      <c r="AQ359" s="297"/>
      <c r="AR359" s="297"/>
      <c r="AS359" s="297"/>
      <c r="AT359" s="297"/>
      <c r="AU359" s="297"/>
      <c r="AV359" s="297"/>
      <c r="AW359" s="297"/>
      <c r="AX359" s="297"/>
      <c r="AY359" s="297"/>
      <c r="AZ359" s="297"/>
      <c r="BA359" s="297"/>
      <c r="BB359" s="297"/>
      <c r="BC359" s="297"/>
      <c r="BD359" s="297"/>
      <c r="BE359" s="297" t="str">
        <f>"      " &amp; TEXT(AE359,"#0.00%") &amp; " " &amp; "개발 및 단위테스트(1.5차)" &amp; "(유운오님)" &amp; " " &amp; IF(P359="","",TEXT(P359,"M/D-")) &amp; IF(Q359="","",TEXT(Q359,"M/D")) &amp; " "</f>
        <v xml:space="preserve">      100.00% 개발 및 단위테스트(1.5차)(유운오님) 7/14-8/15 </v>
      </c>
      <c r="BF359" s="297"/>
      <c r="BG359" s="297"/>
      <c r="BH359" s="297"/>
      <c r="BI359" s="297"/>
      <c r="BJ359" s="297"/>
      <c r="BK359" s="297"/>
      <c r="BL359" s="297"/>
      <c r="BM359" s="297"/>
      <c r="BN359" s="297"/>
      <c r="BO359" s="297"/>
      <c r="BP359" s="297"/>
      <c r="BQ359" s="297"/>
      <c r="BR359" s="297"/>
      <c r="BS359" s="297"/>
      <c r="BT359" s="297"/>
      <c r="BU359" s="297"/>
      <c r="BV359" s="297"/>
      <c r="BW359" s="297"/>
      <c r="BX359" s="297"/>
      <c r="BY359" s="297"/>
      <c r="BZ359" s="297"/>
      <c r="CA359" s="297"/>
      <c r="CB359" s="297"/>
      <c r="CC359" s="297"/>
      <c r="CD359" s="297"/>
      <c r="CE359" s="297"/>
      <c r="CF359" s="297"/>
      <c r="CG359" s="297"/>
    </row>
    <row r="360" spans="1:85" ht="12" customHeight="1" outlineLevel="4">
      <c r="A360" s="288"/>
      <c r="B360" s="288"/>
      <c r="C360" s="288">
        <v>5</v>
      </c>
      <c r="D360" s="291" t="s">
        <v>1904</v>
      </c>
      <c r="E360" s="246"/>
      <c r="F360" s="246"/>
      <c r="G360" s="244"/>
      <c r="H360" s="244"/>
      <c r="I360" s="244" t="s">
        <v>2249</v>
      </c>
      <c r="J360" s="244"/>
      <c r="K360" s="244"/>
      <c r="L360" s="244"/>
      <c r="M360" s="244"/>
      <c r="N360" s="244"/>
      <c r="O360" s="244"/>
      <c r="P360" s="243">
        <v>45852</v>
      </c>
      <c r="Q360" s="243">
        <v>45877</v>
      </c>
      <c r="R360" s="246"/>
      <c r="S360" s="247">
        <v>20</v>
      </c>
      <c r="T360" s="247">
        <v>20</v>
      </c>
      <c r="U360" s="247">
        <v>20</v>
      </c>
      <c r="V360" s="247">
        <v>20</v>
      </c>
      <c r="W360" s="248"/>
      <c r="X360" s="248"/>
      <c r="Y360" s="265"/>
      <c r="Z360" s="266">
        <v>0</v>
      </c>
      <c r="AA360" s="247">
        <v>1</v>
      </c>
      <c r="AB360" s="246" t="s">
        <v>2264</v>
      </c>
      <c r="AC360" s="264"/>
      <c r="AD360" s="240">
        <v>1</v>
      </c>
      <c r="AE360" s="330">
        <v>1</v>
      </c>
      <c r="AF360" s="296"/>
      <c r="AG360" s="297"/>
      <c r="AH360" s="297"/>
      <c r="AI360" s="297"/>
      <c r="AJ360" s="297"/>
      <c r="AK360" s="297"/>
      <c r="AL360" s="297"/>
      <c r="AM360" s="297"/>
      <c r="AN360" s="297"/>
      <c r="AO360" s="297"/>
      <c r="AP360" s="297"/>
      <c r="AQ360" s="297"/>
      <c r="AR360" s="297"/>
      <c r="AS360" s="297"/>
      <c r="AT360" s="297"/>
      <c r="AU360" s="297"/>
      <c r="AV360" s="297"/>
      <c r="AW360" s="297"/>
      <c r="AX360" s="297"/>
      <c r="AY360" s="297"/>
      <c r="AZ360" s="297"/>
      <c r="BA360" s="297"/>
      <c r="BB360" s="297"/>
      <c r="BC360" s="297"/>
      <c r="BD360" s="297" t="str">
        <f>"      " &amp; TEXT(AE360,"#0.00%") &amp; " " &amp; "결제" &amp; "(뭄상진님)" &amp; " " &amp; IF(P360="","",TEXT(P360,"M/D-")) &amp; IF(Q360="","",TEXT(Q360,"M/D")) &amp; " "</f>
        <v xml:space="preserve">      100.00% 결제(뭄상진님) 7/14-8/8 </v>
      </c>
      <c r="BE360" s="297"/>
      <c r="BF360" s="297"/>
      <c r="BG360" s="297"/>
      <c r="BH360" s="297"/>
      <c r="BI360" s="297"/>
      <c r="BJ360" s="297"/>
      <c r="BK360" s="297"/>
      <c r="BL360" s="297"/>
      <c r="BM360" s="297"/>
      <c r="BN360" s="297"/>
      <c r="BO360" s="297"/>
      <c r="BP360" s="297"/>
      <c r="BQ360" s="297"/>
      <c r="BR360" s="297"/>
      <c r="BS360" s="297"/>
      <c r="BT360" s="297"/>
      <c r="BU360" s="297"/>
      <c r="BV360" s="297"/>
      <c r="BW360" s="297"/>
      <c r="BX360" s="297"/>
      <c r="BY360" s="297"/>
      <c r="BZ360" s="297"/>
      <c r="CA360" s="297"/>
      <c r="CB360" s="297"/>
      <c r="CC360" s="297"/>
      <c r="CD360" s="297"/>
      <c r="CE360" s="297"/>
      <c r="CF360" s="297"/>
      <c r="CG360" s="297"/>
    </row>
    <row r="361" spans="1:85" ht="12" customHeight="1" outlineLevel="4">
      <c r="A361" s="288"/>
      <c r="B361" s="288"/>
      <c r="C361" s="288">
        <v>5</v>
      </c>
      <c r="D361" s="291" t="s">
        <v>1905</v>
      </c>
      <c r="E361" s="246"/>
      <c r="F361" s="246"/>
      <c r="G361" s="244"/>
      <c r="H361" s="244"/>
      <c r="I361" s="244" t="s">
        <v>2305</v>
      </c>
      <c r="J361" s="244"/>
      <c r="K361" s="244"/>
      <c r="L361" s="244"/>
      <c r="M361" s="244"/>
      <c r="N361" s="244"/>
      <c r="O361" s="244"/>
      <c r="P361" s="248">
        <v>45880</v>
      </c>
      <c r="Q361" s="248">
        <v>45884</v>
      </c>
      <c r="R361" s="246"/>
      <c r="S361" s="247">
        <v>4</v>
      </c>
      <c r="T361" s="247">
        <v>4</v>
      </c>
      <c r="U361" s="247">
        <v>4</v>
      </c>
      <c r="V361" s="247">
        <v>4</v>
      </c>
      <c r="W361" s="248"/>
      <c r="X361" s="248"/>
      <c r="Y361" s="265"/>
      <c r="Z361" s="266">
        <v>0</v>
      </c>
      <c r="AA361" s="247">
        <v>1</v>
      </c>
      <c r="AB361" s="246"/>
      <c r="AC361" s="264"/>
      <c r="AD361" s="240">
        <v>1</v>
      </c>
      <c r="AE361" s="304">
        <v>1</v>
      </c>
      <c r="AF361" s="296"/>
      <c r="AG361" s="297"/>
      <c r="AH361" s="297"/>
      <c r="AI361" s="297"/>
      <c r="AJ361" s="297"/>
      <c r="AK361" s="297"/>
      <c r="AL361" s="297"/>
      <c r="AM361" s="297"/>
      <c r="AN361" s="297"/>
      <c r="AO361" s="297"/>
      <c r="AP361" s="297"/>
      <c r="AQ361" s="297"/>
      <c r="AR361" s="297"/>
      <c r="AS361" s="297"/>
      <c r="AT361" s="297"/>
      <c r="AU361" s="297"/>
      <c r="AV361" s="297"/>
      <c r="AW361" s="297"/>
      <c r="AX361" s="297"/>
      <c r="AY361" s="297"/>
      <c r="AZ361" s="297"/>
      <c r="BA361" s="297"/>
      <c r="BB361" s="297"/>
      <c r="BC361" s="297"/>
      <c r="BD361" s="297"/>
      <c r="BE361" s="297" t="str">
        <f>"      " &amp; TEXT(AE361,"#0.00%") &amp; " " &amp; "단위테스트(1.5차)" &amp; " " &amp; IF(P361="","",TEXT(P361,"M/D-")) &amp; IF(Q361="","",TEXT(Q361,"M/D")) &amp; " "</f>
        <v xml:space="preserve">      100.00% 단위테스트(1.5차) 8/11-8/15 </v>
      </c>
      <c r="BF361" s="297"/>
      <c r="BG361" s="297"/>
      <c r="BH361" s="297"/>
      <c r="BI361" s="297"/>
      <c r="BJ361" s="297"/>
      <c r="BK361" s="297"/>
      <c r="BL361" s="297"/>
      <c r="BM361" s="297"/>
      <c r="BN361" s="297"/>
      <c r="BO361" s="297"/>
      <c r="BP361" s="297"/>
      <c r="BQ361" s="297"/>
      <c r="BR361" s="297"/>
      <c r="BS361" s="297"/>
      <c r="BT361" s="297"/>
      <c r="BU361" s="297"/>
      <c r="BV361" s="297"/>
      <c r="BW361" s="297"/>
      <c r="BX361" s="297"/>
      <c r="BY361" s="297"/>
      <c r="BZ361" s="297"/>
      <c r="CA361" s="297"/>
      <c r="CB361" s="297"/>
      <c r="CC361" s="297"/>
      <c r="CD361" s="297"/>
      <c r="CE361" s="297"/>
      <c r="CF361" s="297"/>
      <c r="CG361" s="297"/>
    </row>
    <row r="362" spans="1:85" ht="12" customHeight="1" outlineLevel="3">
      <c r="A362" s="288"/>
      <c r="B362" s="288" t="s">
        <v>2334</v>
      </c>
      <c r="C362" s="288">
        <v>4</v>
      </c>
      <c r="D362" s="291" t="s">
        <v>2457</v>
      </c>
      <c r="E362" s="246"/>
      <c r="F362" s="246"/>
      <c r="G362" s="244"/>
      <c r="H362" s="244" t="s">
        <v>2259</v>
      </c>
      <c r="I362" s="244"/>
      <c r="J362" s="244"/>
      <c r="K362" s="244"/>
      <c r="L362" s="244"/>
      <c r="M362" s="244"/>
      <c r="N362" s="244"/>
      <c r="O362" s="244"/>
      <c r="P362" s="243">
        <v>45803</v>
      </c>
      <c r="Q362" s="243">
        <v>45898</v>
      </c>
      <c r="R362" s="246"/>
      <c r="S362" s="247">
        <v>85</v>
      </c>
      <c r="T362" s="247">
        <v>85</v>
      </c>
      <c r="U362" s="247">
        <v>67</v>
      </c>
      <c r="V362" s="247">
        <v>67</v>
      </c>
      <c r="W362" s="248"/>
      <c r="X362" s="248"/>
      <c r="Y362" s="265">
        <v>0</v>
      </c>
      <c r="Z362" s="266">
        <v>0</v>
      </c>
      <c r="AA362" s="247"/>
      <c r="AB362" s="246" t="s">
        <v>2084</v>
      </c>
      <c r="AC362" s="264"/>
      <c r="AD362" s="240">
        <v>1</v>
      </c>
      <c r="AE362" s="241">
        <v>1</v>
      </c>
      <c r="AF362" s="296"/>
      <c r="AG362" s="297"/>
      <c r="AH362" s="297"/>
      <c r="AI362" s="297"/>
      <c r="AJ362" s="297"/>
      <c r="AK362" s="297"/>
      <c r="AL362" s="297"/>
      <c r="AM362" s="297"/>
      <c r="AN362" s="297"/>
      <c r="AO362" s="297"/>
      <c r="AP362" s="297"/>
      <c r="AQ362" s="297"/>
      <c r="AR362" s="297"/>
      <c r="AS362" s="297"/>
      <c r="AT362" s="297"/>
      <c r="AU362" s="297"/>
      <c r="AV362" s="297"/>
      <c r="AW362" s="297"/>
      <c r="AX362" s="297"/>
      <c r="AY362" s="297"/>
      <c r="AZ362" s="297"/>
      <c r="BA362" s="297"/>
      <c r="BB362" s="297"/>
      <c r="BC362" s="297"/>
      <c r="BD362" s="297"/>
      <c r="BE362" s="297"/>
      <c r="BF362" s="297"/>
      <c r="BG362" s="297" t="str">
        <f>"      " &amp; TEXT(AE362,"#0.00%") &amp; " " &amp; "개발 및 단위테스트(2차)" &amp; "(김건우님)" &amp; " " &amp; IF(P362="","",TEXT(P362,"M/D-")) &amp; IF(Q362="","",TEXT(Q362,"M/D")) &amp; " "</f>
        <v xml:space="preserve">      100.00% 개발 및 단위테스트(2차)(김건우님) 5/26-8/29 </v>
      </c>
      <c r="BH362" s="297"/>
      <c r="BI362" s="297"/>
      <c r="BJ362" s="297"/>
      <c r="BK362" s="297"/>
      <c r="BL362" s="297"/>
      <c r="BM362" s="297"/>
      <c r="BN362" s="297"/>
      <c r="BO362" s="297"/>
      <c r="BP362" s="297"/>
      <c r="BQ362" s="297"/>
      <c r="BR362" s="297"/>
      <c r="BS362" s="297"/>
      <c r="BT362" s="297"/>
      <c r="BU362" s="297"/>
      <c r="BV362" s="297"/>
      <c r="BW362" s="297"/>
      <c r="BX362" s="297"/>
      <c r="BY362" s="297"/>
      <c r="BZ362" s="297"/>
      <c r="CA362" s="297"/>
      <c r="CB362" s="297"/>
      <c r="CC362" s="297"/>
      <c r="CD362" s="297"/>
      <c r="CE362" s="297"/>
      <c r="CF362" s="297"/>
      <c r="CG362" s="297"/>
    </row>
    <row r="363" spans="1:85" ht="12" customHeight="1" outlineLevel="4">
      <c r="A363" s="288"/>
      <c r="B363" s="288"/>
      <c r="C363" s="288">
        <v>5</v>
      </c>
      <c r="D363" s="291" t="s">
        <v>2458</v>
      </c>
      <c r="E363" s="246"/>
      <c r="F363" s="246"/>
      <c r="G363" s="244"/>
      <c r="H363" s="244"/>
      <c r="I363" s="244" t="s">
        <v>1588</v>
      </c>
      <c r="J363" s="244"/>
      <c r="K363" s="244"/>
      <c r="L363" s="244"/>
      <c r="M363" s="244"/>
      <c r="N363" s="244"/>
      <c r="O363" s="244"/>
      <c r="P363" s="243">
        <v>45803</v>
      </c>
      <c r="Q363" s="243">
        <v>45821</v>
      </c>
      <c r="R363" s="246"/>
      <c r="S363" s="247">
        <v>13</v>
      </c>
      <c r="T363" s="247">
        <v>13</v>
      </c>
      <c r="U363" s="247">
        <v>13</v>
      </c>
      <c r="V363" s="247">
        <v>13</v>
      </c>
      <c r="W363" s="248"/>
      <c r="X363" s="248"/>
      <c r="Y363" s="265"/>
      <c r="Z363" s="266">
        <v>0</v>
      </c>
      <c r="AA363" s="247">
        <v>1</v>
      </c>
      <c r="AB363" s="246"/>
      <c r="AC363" s="264"/>
      <c r="AD363" s="240">
        <v>1</v>
      </c>
      <c r="AE363" s="330">
        <v>1</v>
      </c>
      <c r="AF363" s="296"/>
      <c r="AG363" s="297"/>
      <c r="AH363" s="297"/>
      <c r="AI363" s="297"/>
      <c r="AJ363" s="297"/>
      <c r="AK363" s="297"/>
      <c r="AL363" s="297"/>
      <c r="AM363" s="297"/>
      <c r="AN363" s="297"/>
      <c r="AO363" s="297"/>
      <c r="AP363" s="297"/>
      <c r="AQ363" s="297"/>
      <c r="AR363" s="297"/>
      <c r="AS363" s="297"/>
      <c r="AT363" s="297"/>
      <c r="AU363" s="297"/>
      <c r="AV363" s="297" t="str">
        <f>"      " &amp; TEXT(AE363,"#0.00%") &amp; " " &amp; "디자인" &amp; " " &amp; IF(P363="","",TEXT(P363,"M/D-")) &amp; IF(Q363="","",TEXT(Q363,"M/D")) &amp; " "</f>
        <v xml:space="preserve">      100.00% 디자인 5/26-6/13 </v>
      </c>
      <c r="AW363" s="297"/>
      <c r="AX363" s="297"/>
      <c r="AY363" s="297"/>
      <c r="AZ363" s="297"/>
      <c r="BA363" s="297"/>
      <c r="BB363" s="297"/>
      <c r="BC363" s="297"/>
      <c r="BD363" s="297"/>
      <c r="BE363" s="297"/>
      <c r="BF363" s="297"/>
      <c r="BG363" s="297"/>
      <c r="BH363" s="297"/>
      <c r="BI363" s="297"/>
      <c r="BJ363" s="297"/>
      <c r="BK363" s="297"/>
      <c r="BL363" s="297"/>
      <c r="BM363" s="297"/>
      <c r="BN363" s="297"/>
      <c r="BO363" s="297"/>
      <c r="BP363" s="297"/>
      <c r="BQ363" s="297"/>
      <c r="BR363" s="297"/>
      <c r="BS363" s="297"/>
      <c r="BT363" s="297"/>
      <c r="BU363" s="297"/>
      <c r="BV363" s="297"/>
      <c r="BW363" s="297"/>
      <c r="BX363" s="297"/>
      <c r="BY363" s="297"/>
      <c r="BZ363" s="297"/>
      <c r="CA363" s="297"/>
      <c r="CB363" s="297"/>
      <c r="CC363" s="297"/>
      <c r="CD363" s="297"/>
      <c r="CE363" s="297"/>
      <c r="CF363" s="297"/>
      <c r="CG363" s="297"/>
    </row>
    <row r="364" spans="1:85" ht="12" customHeight="1" outlineLevel="4">
      <c r="A364" s="288"/>
      <c r="B364" s="288"/>
      <c r="C364" s="288">
        <v>5</v>
      </c>
      <c r="D364" s="291" t="s">
        <v>2459</v>
      </c>
      <c r="E364" s="246"/>
      <c r="F364" s="246"/>
      <c r="G364" s="244"/>
      <c r="H364" s="244"/>
      <c r="I364" s="244" t="s">
        <v>2048</v>
      </c>
      <c r="J364" s="244"/>
      <c r="K364" s="244"/>
      <c r="L364" s="244"/>
      <c r="M364" s="244"/>
      <c r="N364" s="244"/>
      <c r="O364" s="244"/>
      <c r="P364" s="243">
        <v>45845</v>
      </c>
      <c r="Q364" s="319">
        <v>45863</v>
      </c>
      <c r="R364" s="246"/>
      <c r="S364" s="247">
        <v>15</v>
      </c>
      <c r="T364" s="247">
        <v>15</v>
      </c>
      <c r="U364" s="247">
        <v>15</v>
      </c>
      <c r="V364" s="247">
        <v>15</v>
      </c>
      <c r="W364" s="248"/>
      <c r="X364" s="248"/>
      <c r="Y364" s="265"/>
      <c r="Z364" s="266">
        <v>0</v>
      </c>
      <c r="AA364" s="247">
        <v>1</v>
      </c>
      <c r="AB364" s="246"/>
      <c r="AC364" s="264"/>
      <c r="AD364" s="240">
        <v>1</v>
      </c>
      <c r="AE364" s="330">
        <v>1</v>
      </c>
      <c r="AF364" s="296"/>
      <c r="AG364" s="297"/>
      <c r="AH364" s="297"/>
      <c r="AI364" s="297"/>
      <c r="AJ364" s="297"/>
      <c r="AK364" s="297"/>
      <c r="AL364" s="297"/>
      <c r="AM364" s="297"/>
      <c r="AN364" s="297"/>
      <c r="AO364" s="297"/>
      <c r="AP364" s="297"/>
      <c r="AQ364" s="297"/>
      <c r="AR364" s="297"/>
      <c r="AS364" s="297"/>
      <c r="AT364" s="297"/>
      <c r="AU364" s="297"/>
      <c r="AV364" s="297"/>
      <c r="AW364" s="297"/>
      <c r="AX364" s="297"/>
      <c r="AY364" s="297"/>
      <c r="AZ364" s="297"/>
      <c r="BA364" s="297"/>
      <c r="BB364" s="297" t="str">
        <f>"      " &amp; TEXT(AE364,"#0.00%") &amp; " " &amp; "공통" &amp; " " &amp; IF(P364="","",TEXT(P364,"M/D-")) &amp; IF(Q364="","",TEXT(Q364,"M/D")) &amp; " "</f>
        <v xml:space="preserve">      100.00% 공통 7/7-7/25 </v>
      </c>
      <c r="BC364" s="297"/>
      <c r="BD364" s="297"/>
      <c r="BE364" s="297"/>
      <c r="BF364" s="297"/>
      <c r="BG364" s="297"/>
      <c r="BH364" s="297"/>
      <c r="BI364" s="297"/>
      <c r="BJ364" s="297"/>
      <c r="BK364" s="297"/>
      <c r="BL364" s="297"/>
      <c r="BM364" s="297"/>
      <c r="BN364" s="297"/>
      <c r="BO364" s="297"/>
      <c r="BP364" s="297"/>
      <c r="BQ364" s="297"/>
      <c r="BR364" s="297"/>
      <c r="BS364" s="297"/>
      <c r="BT364" s="297"/>
      <c r="BU364" s="297"/>
      <c r="BV364" s="297"/>
      <c r="BW364" s="297"/>
      <c r="BX364" s="297"/>
      <c r="BY364" s="297"/>
      <c r="BZ364" s="297"/>
      <c r="CA364" s="297"/>
      <c r="CB364" s="297"/>
      <c r="CC364" s="297"/>
      <c r="CD364" s="297"/>
      <c r="CE364" s="297"/>
      <c r="CF364" s="297"/>
      <c r="CG364" s="297"/>
    </row>
    <row r="365" spans="1:85" ht="12" customHeight="1" outlineLevel="4">
      <c r="A365" s="288"/>
      <c r="B365" s="288"/>
      <c r="C365" s="288">
        <v>5</v>
      </c>
      <c r="D365" s="313" t="s">
        <v>2460</v>
      </c>
      <c r="E365" s="314"/>
      <c r="F365" s="314"/>
      <c r="G365" s="314"/>
      <c r="H365" s="314"/>
      <c r="I365" s="314" t="s">
        <v>2263</v>
      </c>
      <c r="J365" s="314"/>
      <c r="K365" s="314"/>
      <c r="L365" s="314"/>
      <c r="M365" s="314"/>
      <c r="N365" s="314"/>
      <c r="O365" s="314"/>
      <c r="P365" s="319">
        <v>45852</v>
      </c>
      <c r="Q365" s="319">
        <v>45884</v>
      </c>
      <c r="R365" s="246"/>
      <c r="S365" s="247">
        <v>24</v>
      </c>
      <c r="T365" s="247">
        <v>24</v>
      </c>
      <c r="U365" s="247">
        <v>24</v>
      </c>
      <c r="V365" s="247">
        <v>24</v>
      </c>
      <c r="W365" s="248"/>
      <c r="X365" s="248"/>
      <c r="Y365" s="265"/>
      <c r="Z365" s="266">
        <v>0</v>
      </c>
      <c r="AA365" s="247">
        <v>1</v>
      </c>
      <c r="AB365" s="244"/>
      <c r="AC365" s="311" t="s">
        <v>2195</v>
      </c>
      <c r="AD365" s="240">
        <v>1</v>
      </c>
      <c r="AE365" s="330">
        <v>1</v>
      </c>
      <c r="AF365" s="296"/>
      <c r="AG365" s="297"/>
      <c r="AH365" s="297"/>
      <c r="AI365" s="297"/>
      <c r="AJ365" s="297"/>
      <c r="AK365" s="297"/>
      <c r="AL365" s="297"/>
      <c r="AM365" s="297"/>
      <c r="AN365" s="297"/>
      <c r="AO365" s="297"/>
      <c r="AP365" s="297"/>
      <c r="AQ365" s="297"/>
      <c r="AR365" s="297"/>
      <c r="AS365" s="297"/>
      <c r="AT365" s="297"/>
      <c r="AU365" s="297"/>
      <c r="AV365" s="297"/>
      <c r="AW365" s="297"/>
      <c r="AX365" s="297"/>
      <c r="AY365" s="297"/>
      <c r="AZ365" s="297"/>
      <c r="BA365" s="297"/>
      <c r="BB365" s="297"/>
      <c r="BC365" s="297"/>
      <c r="BD365" s="297"/>
      <c r="BE365" s="297" t="str">
        <f>"      " &amp; TEXT(AE365,"#0.00%") &amp; " " &amp; "멤버십" &amp; " " &amp; IF(P365="","",TEXT(P365,"M/D-")) &amp; IF(Q365="","",TEXT(Q365,"M/D")) &amp; " "</f>
        <v xml:space="preserve">      100.00% 멤버십 7/14-8/15 </v>
      </c>
      <c r="BF365" s="297"/>
      <c r="BG365" s="297"/>
      <c r="BH365" s="297"/>
      <c r="BI365" s="297"/>
      <c r="BJ365" s="297"/>
      <c r="BK365" s="297"/>
      <c r="BL365" s="297"/>
      <c r="BM365" s="297"/>
      <c r="BN365" s="297"/>
      <c r="BO365" s="297"/>
      <c r="BP365" s="297"/>
      <c r="BQ365" s="297"/>
      <c r="BR365" s="297"/>
      <c r="BS365" s="297"/>
      <c r="BT365" s="297"/>
      <c r="BU365" s="297"/>
      <c r="BV365" s="297"/>
      <c r="BW365" s="297"/>
      <c r="BX365" s="297"/>
      <c r="BY365" s="297"/>
      <c r="BZ365" s="297"/>
      <c r="CA365" s="297"/>
      <c r="CB365" s="297"/>
      <c r="CC365" s="297"/>
      <c r="CD365" s="297"/>
      <c r="CE365" s="297"/>
      <c r="CF365" s="297"/>
      <c r="CG365" s="297"/>
    </row>
    <row r="366" spans="1:85" ht="12" customHeight="1" outlineLevel="4">
      <c r="A366" s="288"/>
      <c r="B366" s="288"/>
      <c r="C366" s="288">
        <v>5</v>
      </c>
      <c r="D366" s="313" t="s">
        <v>2461</v>
      </c>
      <c r="E366" s="314"/>
      <c r="F366" s="314"/>
      <c r="G366" s="314"/>
      <c r="H366" s="314"/>
      <c r="I366" s="314" t="s">
        <v>1830</v>
      </c>
      <c r="J366" s="314"/>
      <c r="K366" s="314"/>
      <c r="L366" s="314"/>
      <c r="M366" s="314"/>
      <c r="N366" s="314"/>
      <c r="O366" s="314"/>
      <c r="P366" s="319">
        <v>45803</v>
      </c>
      <c r="Q366" s="319">
        <v>45835</v>
      </c>
      <c r="R366" s="246"/>
      <c r="S366" s="247">
        <v>23</v>
      </c>
      <c r="T366" s="247">
        <v>23</v>
      </c>
      <c r="U366" s="247">
        <v>23</v>
      </c>
      <c r="V366" s="247">
        <v>23</v>
      </c>
      <c r="W366" s="248"/>
      <c r="X366" s="248"/>
      <c r="Y366" s="265"/>
      <c r="Z366" s="266">
        <v>0</v>
      </c>
      <c r="AA366" s="247">
        <v>1</v>
      </c>
      <c r="AB366" s="244" t="s">
        <v>1980</v>
      </c>
      <c r="AC366" s="312" t="s">
        <v>2194</v>
      </c>
      <c r="AD366" s="240">
        <v>1</v>
      </c>
      <c r="AE366" s="330">
        <v>1</v>
      </c>
      <c r="AF366" s="296"/>
      <c r="AG366" s="297"/>
      <c r="AH366" s="297"/>
      <c r="AI366" s="297"/>
      <c r="AJ366" s="297"/>
      <c r="AK366" s="297"/>
      <c r="AL366" s="297"/>
      <c r="AM366" s="297"/>
      <c r="AN366" s="297"/>
      <c r="AO366" s="297"/>
      <c r="AP366" s="297"/>
      <c r="AQ366" s="297"/>
      <c r="AR366" s="297"/>
      <c r="AS366" s="297"/>
      <c r="AT366" s="297"/>
      <c r="AU366" s="297"/>
      <c r="AV366" s="297"/>
      <c r="AW366" s="297"/>
      <c r="AX366" s="297" t="str">
        <f>"      " &amp; TEXT(AE366,"#0.00%") &amp; " " &amp; "관리자" &amp; "(김재희님)" &amp; " " &amp; IF(P366="","",TEXT(P366,"M/D-")) &amp; IF(Q366="","",TEXT(Q366,"M/D")) &amp; " "</f>
        <v xml:space="preserve">      100.00% 관리자(김재희님) 5/26-6/27 </v>
      </c>
      <c r="AY366" s="297"/>
      <c r="AZ366" s="297"/>
      <c r="BA366" s="297"/>
      <c r="BB366" s="297"/>
      <c r="BC366" s="297"/>
      <c r="BD366" s="297"/>
      <c r="BE366" s="297"/>
      <c r="BF366" s="297"/>
      <c r="BG366" s="297"/>
      <c r="BH366" s="297"/>
      <c r="BI366" s="297"/>
      <c r="BJ366" s="297"/>
      <c r="BK366" s="297"/>
      <c r="BL366" s="297"/>
      <c r="BM366" s="297"/>
      <c r="BN366" s="297"/>
      <c r="BO366" s="297"/>
      <c r="BP366" s="297"/>
      <c r="BQ366" s="297"/>
      <c r="BR366" s="297"/>
      <c r="BS366" s="297"/>
      <c r="BT366" s="297"/>
      <c r="BU366" s="297"/>
      <c r="BV366" s="297"/>
      <c r="BW366" s="297"/>
      <c r="BX366" s="297"/>
      <c r="BY366" s="297"/>
      <c r="BZ366" s="297"/>
      <c r="CA366" s="297"/>
      <c r="CB366" s="297"/>
      <c r="CC366" s="297"/>
      <c r="CD366" s="297"/>
      <c r="CE366" s="297"/>
      <c r="CF366" s="297"/>
      <c r="CG366" s="297"/>
    </row>
    <row r="367" spans="1:85" ht="12" customHeight="1" outlineLevel="4">
      <c r="A367" s="288"/>
      <c r="B367" s="288"/>
      <c r="C367" s="288">
        <v>5</v>
      </c>
      <c r="D367" s="313" t="s">
        <v>2462</v>
      </c>
      <c r="E367" s="314"/>
      <c r="F367" s="314"/>
      <c r="G367" s="314"/>
      <c r="H367" s="314"/>
      <c r="I367" s="244" t="s">
        <v>1853</v>
      </c>
      <c r="J367" s="244"/>
      <c r="K367" s="244"/>
      <c r="L367" s="244"/>
      <c r="M367" s="244"/>
      <c r="N367" s="244"/>
      <c r="O367" s="244"/>
      <c r="P367" s="248">
        <v>45887</v>
      </c>
      <c r="Q367" s="248">
        <v>45898</v>
      </c>
      <c r="R367" s="246"/>
      <c r="S367" s="247">
        <v>10</v>
      </c>
      <c r="T367" s="247">
        <v>10</v>
      </c>
      <c r="U367" s="247">
        <v>10</v>
      </c>
      <c r="V367" s="247">
        <v>10</v>
      </c>
      <c r="W367" s="248"/>
      <c r="X367" s="248"/>
      <c r="Y367" s="265"/>
      <c r="Z367" s="266">
        <v>0</v>
      </c>
      <c r="AA367" s="247">
        <v>1</v>
      </c>
      <c r="AB367" s="244"/>
      <c r="AC367" s="312"/>
      <c r="AD367" s="240">
        <v>1</v>
      </c>
      <c r="AE367" s="330">
        <v>1</v>
      </c>
      <c r="AF367" s="296"/>
      <c r="AG367" s="297"/>
      <c r="AH367" s="297"/>
      <c r="AI367" s="297"/>
      <c r="AJ367" s="297"/>
      <c r="AK367" s="297"/>
      <c r="AL367" s="297"/>
      <c r="AM367" s="297"/>
      <c r="AN367" s="297"/>
      <c r="AO367" s="297"/>
      <c r="AP367" s="297"/>
      <c r="AQ367" s="297"/>
      <c r="AR367" s="297"/>
      <c r="AS367" s="297"/>
      <c r="AT367" s="297"/>
      <c r="AU367" s="297"/>
      <c r="AV367" s="297"/>
      <c r="AW367" s="297"/>
      <c r="AX367" s="297"/>
      <c r="AY367" s="297"/>
      <c r="AZ367" s="297"/>
      <c r="BA367" s="297"/>
      <c r="BB367" s="297"/>
      <c r="BC367" s="297"/>
      <c r="BD367" s="297"/>
      <c r="BE367" s="297"/>
      <c r="BF367" s="297"/>
      <c r="BG367" s="297" t="str">
        <f>"      " &amp; TEXT(AE367,"#0.00%") &amp; " " &amp; "단위테스트(2차)" &amp; " " &amp; IF(P367="","",TEXT(P367,"M/D-")) &amp; IF(Q367="","",TEXT(Q367,"M/D")) &amp; " "</f>
        <v xml:space="preserve">      100.00% 단위테스트(2차) 8/18-8/29 </v>
      </c>
      <c r="BH367" s="297"/>
      <c r="BI367" s="297"/>
      <c r="BJ367" s="297"/>
      <c r="BK367" s="297"/>
      <c r="BL367" s="297"/>
      <c r="BM367" s="297"/>
      <c r="BN367" s="297"/>
      <c r="BO367" s="297"/>
      <c r="BP367" s="297"/>
      <c r="BQ367" s="297"/>
      <c r="BR367" s="297"/>
      <c r="BS367" s="297"/>
      <c r="BT367" s="297"/>
      <c r="BU367" s="297"/>
      <c r="BV367" s="297"/>
      <c r="BW367" s="297"/>
      <c r="BX367" s="297"/>
      <c r="BY367" s="297"/>
      <c r="BZ367" s="297"/>
      <c r="CA367" s="297"/>
      <c r="CB367" s="297"/>
      <c r="CC367" s="297"/>
      <c r="CD367" s="297"/>
      <c r="CE367" s="297"/>
      <c r="CF367" s="297"/>
      <c r="CG367" s="297"/>
    </row>
    <row r="368" spans="1:85" ht="12" customHeight="1" outlineLevel="1">
      <c r="A368" s="288"/>
      <c r="B368" s="288" t="s">
        <v>2334</v>
      </c>
      <c r="C368" s="288">
        <v>2</v>
      </c>
      <c r="D368" s="291" t="s">
        <v>1702</v>
      </c>
      <c r="E368" s="246"/>
      <c r="F368" s="246" t="s">
        <v>1586</v>
      </c>
      <c r="G368" s="244"/>
      <c r="H368" s="244"/>
      <c r="I368" s="244"/>
      <c r="J368" s="244"/>
      <c r="K368" s="244"/>
      <c r="L368" s="244"/>
      <c r="M368" s="244"/>
      <c r="N368" s="244"/>
      <c r="O368" s="244"/>
      <c r="P368" s="243">
        <v>45705</v>
      </c>
      <c r="Q368" s="243">
        <v>45898</v>
      </c>
      <c r="R368" s="246"/>
      <c r="S368" s="247">
        <v>903</v>
      </c>
      <c r="T368" s="247">
        <v>903</v>
      </c>
      <c r="U368" s="247">
        <v>134</v>
      </c>
      <c r="V368" s="247">
        <v>134</v>
      </c>
      <c r="W368" s="248"/>
      <c r="X368" s="248"/>
      <c r="Y368" s="265">
        <v>0</v>
      </c>
      <c r="Z368" s="266">
        <v>0</v>
      </c>
      <c r="AA368" s="247"/>
      <c r="AB368" s="246"/>
      <c r="AC368" s="264"/>
      <c r="AD368" s="240">
        <v>1</v>
      </c>
      <c r="AE368" s="241">
        <v>1</v>
      </c>
      <c r="AF368" s="296"/>
      <c r="AG368" s="297"/>
      <c r="AH368" s="297"/>
      <c r="AI368" s="297"/>
      <c r="AJ368" s="297"/>
      <c r="AK368" s="297"/>
      <c r="AL368" s="297"/>
      <c r="AM368" s="297"/>
      <c r="AN368" s="297"/>
      <c r="AO368" s="297"/>
      <c r="AP368" s="297"/>
      <c r="AQ368" s="297"/>
      <c r="AR368" s="297"/>
      <c r="AS368" s="297"/>
      <c r="AT368" s="297"/>
      <c r="AU368" s="297"/>
      <c r="AV368" s="297"/>
      <c r="AW368" s="297"/>
      <c r="AX368" s="297"/>
      <c r="AY368" s="297"/>
      <c r="AZ368" s="297"/>
      <c r="BA368" s="297"/>
      <c r="BB368" s="297"/>
      <c r="BC368" s="297"/>
      <c r="BD368" s="297"/>
      <c r="BE368" s="297"/>
      <c r="BF368" s="297"/>
      <c r="BG368" s="297" t="str">
        <f>"      " &amp; TEXT(AE368,"#0.00%") &amp; " " &amp; "API 구축" &amp; " " &amp; IF(P368="","",TEXT(P368,"M/D-")) &amp; IF(Q368="","",TEXT(Q368,"M/D")) &amp; " "</f>
        <v xml:space="preserve">      100.00% API 구축 2/17-8/29 </v>
      </c>
      <c r="BH368" s="297"/>
      <c r="BI368" s="297"/>
      <c r="BJ368" s="297"/>
      <c r="BK368" s="297"/>
      <c r="BL368" s="297"/>
      <c r="BM368" s="297"/>
      <c r="BN368" s="297"/>
      <c r="BO368" s="297"/>
      <c r="BP368" s="297"/>
      <c r="BQ368" s="297"/>
      <c r="BR368" s="297"/>
      <c r="BS368" s="297"/>
      <c r="BT368" s="297"/>
      <c r="BU368" s="297"/>
      <c r="BV368" s="297"/>
      <c r="BW368" s="297"/>
      <c r="BX368" s="297"/>
      <c r="BY368" s="297"/>
      <c r="BZ368" s="297"/>
      <c r="CA368" s="297"/>
      <c r="CB368" s="297"/>
      <c r="CC368" s="297"/>
      <c r="CD368" s="297"/>
      <c r="CE368" s="297"/>
      <c r="CF368" s="297"/>
      <c r="CG368" s="297"/>
    </row>
    <row r="369" spans="1:85" ht="12" customHeight="1" outlineLevel="2">
      <c r="A369" s="288"/>
      <c r="B369" s="288" t="s">
        <v>2334</v>
      </c>
      <c r="C369" s="288">
        <v>3</v>
      </c>
      <c r="D369" s="291" t="s">
        <v>1703</v>
      </c>
      <c r="E369" s="246"/>
      <c r="F369" s="246"/>
      <c r="G369" s="244" t="s">
        <v>1424</v>
      </c>
      <c r="H369" s="314"/>
      <c r="I369" s="327"/>
      <c r="J369" s="314"/>
      <c r="K369" s="314"/>
      <c r="L369" s="314"/>
      <c r="M369" s="314"/>
      <c r="N369" s="314"/>
      <c r="O369" s="314"/>
      <c r="P369" s="319">
        <v>45705</v>
      </c>
      <c r="Q369" s="319">
        <v>45762</v>
      </c>
      <c r="R369" s="246"/>
      <c r="S369" s="247">
        <v>71</v>
      </c>
      <c r="T369" s="247">
        <v>71</v>
      </c>
      <c r="U369" s="247">
        <v>41</v>
      </c>
      <c r="V369" s="247">
        <v>41</v>
      </c>
      <c r="W369" s="248"/>
      <c r="X369" s="248"/>
      <c r="Y369" s="265">
        <v>0</v>
      </c>
      <c r="Z369" s="266">
        <v>0</v>
      </c>
      <c r="AA369" s="247"/>
      <c r="AB369" s="244" t="s">
        <v>1980</v>
      </c>
      <c r="AC369" s="264"/>
      <c r="AD369" s="240">
        <v>1</v>
      </c>
      <c r="AE369" s="328">
        <v>1</v>
      </c>
      <c r="AF369" s="296"/>
      <c r="AG369" s="297"/>
      <c r="AH369" s="297"/>
      <c r="AI369" s="297"/>
      <c r="AJ369" s="297"/>
      <c r="AK369" s="297"/>
      <c r="AL369" s="297"/>
      <c r="AM369" s="297"/>
      <c r="AN369" s="297" t="str">
        <f>"   " &amp; TEXT(AE369,"#0.00%") &amp; " " &amp; "분석" &amp; "(김재희님)" &amp; " " &amp; IF(P369="","",TEXT(P369,"M/D-")) &amp; IF(Q369="","",TEXT(Q369,"M/D")) &amp; " "</f>
        <v xml:space="preserve">   100.00% 분석(김재희님) 2/17-4/15 </v>
      </c>
      <c r="AO369" s="297"/>
      <c r="AP369" s="297"/>
      <c r="AQ369" s="297"/>
      <c r="AR369" s="297"/>
      <c r="AS369" s="297"/>
      <c r="AT369" s="297"/>
      <c r="AU369" s="297"/>
      <c r="AV369" s="297"/>
      <c r="AW369" s="297"/>
      <c r="AX369" s="297"/>
      <c r="AY369" s="297"/>
      <c r="AZ369" s="297"/>
      <c r="BA369" s="297"/>
      <c r="BB369" s="297"/>
      <c r="BC369" s="297"/>
      <c r="BD369" s="297"/>
      <c r="BE369" s="297"/>
      <c r="BF369" s="297"/>
      <c r="BG369" s="297"/>
      <c r="BH369" s="297"/>
      <c r="BI369" s="297"/>
      <c r="BJ369" s="297"/>
      <c r="BK369" s="297"/>
      <c r="BL369" s="297"/>
      <c r="BM369" s="297"/>
      <c r="BN369" s="297"/>
      <c r="BO369" s="297"/>
      <c r="BP369" s="297"/>
      <c r="BQ369" s="297"/>
      <c r="BR369" s="297"/>
      <c r="BS369" s="297"/>
      <c r="BT369" s="297"/>
      <c r="BU369" s="297"/>
      <c r="BV369" s="297"/>
      <c r="BW369" s="297"/>
      <c r="BX369" s="297"/>
      <c r="BY369" s="297"/>
      <c r="BZ369" s="297"/>
      <c r="CA369" s="297"/>
      <c r="CB369" s="297"/>
      <c r="CC369" s="297"/>
      <c r="CD369" s="297"/>
      <c r="CE369" s="297"/>
      <c r="CF369" s="297"/>
      <c r="CG369" s="297"/>
    </row>
    <row r="370" spans="1:85" ht="12" customHeight="1" outlineLevel="3">
      <c r="A370" s="288"/>
      <c r="B370" s="288"/>
      <c r="C370" s="288">
        <v>4</v>
      </c>
      <c r="D370" s="291" t="s">
        <v>1906</v>
      </c>
      <c r="E370" s="246"/>
      <c r="F370" s="246"/>
      <c r="G370" s="244"/>
      <c r="H370" s="314" t="s">
        <v>2188</v>
      </c>
      <c r="I370" s="327"/>
      <c r="J370" s="314"/>
      <c r="K370" s="314"/>
      <c r="L370" s="314"/>
      <c r="M370" s="314"/>
      <c r="N370" s="314"/>
      <c r="O370" s="314"/>
      <c r="P370" s="319">
        <v>45705</v>
      </c>
      <c r="Q370" s="319">
        <v>45747</v>
      </c>
      <c r="R370" s="246"/>
      <c r="S370" s="247">
        <v>30</v>
      </c>
      <c r="T370" s="247">
        <v>30</v>
      </c>
      <c r="U370" s="247">
        <v>30</v>
      </c>
      <c r="V370" s="247">
        <v>30</v>
      </c>
      <c r="W370" s="248"/>
      <c r="X370" s="248"/>
      <c r="Y370" s="265"/>
      <c r="Z370" s="266">
        <v>0</v>
      </c>
      <c r="AA370" s="247">
        <v>1</v>
      </c>
      <c r="AB370" s="244"/>
      <c r="AC370" s="264"/>
      <c r="AD370" s="240">
        <v>1</v>
      </c>
      <c r="AE370" s="304">
        <v>1</v>
      </c>
      <c r="AF370" s="296"/>
      <c r="AG370" s="297"/>
      <c r="AH370" s="297"/>
      <c r="AI370" s="297"/>
      <c r="AJ370" s="297"/>
      <c r="AK370" s="297"/>
      <c r="AL370" s="297" t="str">
        <f>"  " &amp; TEXT(AE370,"#0.00%") &amp; " " &amp; "기능목록 정의(Product Backlog)" &amp; " " &amp; IF(P370="","",TEXT(P370,"M/D-")) &amp; IF(Q370="","",TEXT(Q370,"M/D")) &amp; " "</f>
        <v xml:space="preserve">  100.00% 기능목록 정의(Product Backlog) 2/17-3/31 </v>
      </c>
      <c r="AM370" s="297"/>
      <c r="AN370" s="297"/>
      <c r="AO370" s="297"/>
      <c r="AP370" s="297"/>
      <c r="AQ370" s="297"/>
      <c r="AR370" s="297"/>
      <c r="AS370" s="297"/>
      <c r="AT370" s="297"/>
      <c r="AU370" s="297"/>
      <c r="AV370" s="297"/>
      <c r="AW370" s="297"/>
      <c r="AX370" s="297"/>
      <c r="AY370" s="297"/>
      <c r="AZ370" s="297"/>
      <c r="BA370" s="297"/>
      <c r="BB370" s="297"/>
      <c r="BC370" s="297"/>
      <c r="BD370" s="297"/>
      <c r="BE370" s="297"/>
      <c r="BF370" s="297"/>
      <c r="BG370" s="297"/>
      <c r="BH370" s="297"/>
      <c r="BI370" s="297"/>
      <c r="BJ370" s="297"/>
      <c r="BK370" s="297"/>
      <c r="BL370" s="297"/>
      <c r="BM370" s="297"/>
      <c r="BN370" s="297"/>
      <c r="BO370" s="297"/>
      <c r="BP370" s="297"/>
      <c r="BQ370" s="297"/>
      <c r="BR370" s="297"/>
      <c r="BS370" s="297"/>
      <c r="BT370" s="297"/>
      <c r="BU370" s="297"/>
      <c r="BV370" s="297"/>
      <c r="BW370" s="297"/>
      <c r="BX370" s="297"/>
      <c r="BY370" s="297"/>
      <c r="BZ370" s="297"/>
      <c r="CA370" s="297"/>
      <c r="CB370" s="297"/>
      <c r="CC370" s="297"/>
      <c r="CD370" s="297"/>
      <c r="CE370" s="297"/>
      <c r="CF370" s="297"/>
      <c r="CG370" s="297"/>
    </row>
    <row r="371" spans="1:85" ht="12" customHeight="1" outlineLevel="3">
      <c r="A371" s="288"/>
      <c r="B371" s="288"/>
      <c r="C371" s="288">
        <v>4</v>
      </c>
      <c r="D371" s="291" t="s">
        <v>2463</v>
      </c>
      <c r="E371" s="246"/>
      <c r="F371" s="246"/>
      <c r="G371" s="314"/>
      <c r="H371" s="314" t="s">
        <v>2189</v>
      </c>
      <c r="I371" s="314"/>
      <c r="J371" s="314"/>
      <c r="K371" s="314"/>
      <c r="L371" s="314"/>
      <c r="M371" s="314"/>
      <c r="N371" s="314"/>
      <c r="O371" s="314"/>
      <c r="P371" s="243">
        <v>45705</v>
      </c>
      <c r="Q371" s="243">
        <v>45762</v>
      </c>
      <c r="R371" s="246"/>
      <c r="S371" s="247">
        <v>41</v>
      </c>
      <c r="T371" s="247">
        <v>41</v>
      </c>
      <c r="U371" s="247">
        <v>41</v>
      </c>
      <c r="V371" s="247">
        <v>41</v>
      </c>
      <c r="W371" s="248"/>
      <c r="X371" s="248"/>
      <c r="Y371" s="265"/>
      <c r="Z371" s="266">
        <v>0</v>
      </c>
      <c r="AA371" s="247">
        <v>1</v>
      </c>
      <c r="AB371" s="244"/>
      <c r="AC371" s="264"/>
      <c r="AD371" s="240">
        <v>1</v>
      </c>
      <c r="AE371" s="330">
        <v>1</v>
      </c>
      <c r="AF371" s="296"/>
      <c r="AG371" s="297"/>
      <c r="AH371" s="297"/>
      <c r="AI371" s="297"/>
      <c r="AJ371" s="297"/>
      <c r="AK371" s="297"/>
      <c r="AL371" s="297"/>
      <c r="AM371" s="297"/>
      <c r="AN371" s="297" t="str">
        <f>"   " &amp; TEXT(AE371,"#0.00%") &amp; " " &amp; "요구사항 분석 및 용어정의" &amp; " " &amp; IF(P371="","",TEXT(P371,"M/D-")) &amp; IF(Q371="","",TEXT(Q371,"M/D")) &amp; " "</f>
        <v xml:space="preserve">   100.00% 요구사항 분석 및 용어정의 2/17-4/15 </v>
      </c>
      <c r="AO371" s="297"/>
      <c r="AP371" s="297"/>
      <c r="AQ371" s="297"/>
      <c r="AR371" s="297"/>
      <c r="AS371" s="297"/>
      <c r="AT371" s="297"/>
      <c r="AU371" s="297"/>
      <c r="AV371" s="297"/>
      <c r="AW371" s="297"/>
      <c r="AX371" s="297"/>
      <c r="AY371" s="297"/>
      <c r="AZ371" s="297"/>
      <c r="BA371" s="297"/>
      <c r="BB371" s="297"/>
      <c r="BC371" s="297"/>
      <c r="BD371" s="297"/>
      <c r="BE371" s="297"/>
      <c r="BF371" s="297"/>
      <c r="BG371" s="297"/>
      <c r="BH371" s="297"/>
      <c r="BI371" s="297"/>
      <c r="BJ371" s="297"/>
      <c r="BK371" s="297"/>
      <c r="BL371" s="297"/>
      <c r="BM371" s="297"/>
      <c r="BN371" s="297"/>
      <c r="BO371" s="297"/>
      <c r="BP371" s="297"/>
      <c r="BQ371" s="297"/>
      <c r="BR371" s="297"/>
      <c r="BS371" s="297"/>
      <c r="BT371" s="297"/>
      <c r="BU371" s="297"/>
      <c r="BV371" s="297"/>
      <c r="BW371" s="297"/>
      <c r="BX371" s="297"/>
      <c r="BY371" s="297"/>
      <c r="BZ371" s="297"/>
      <c r="CA371" s="297"/>
      <c r="CB371" s="297"/>
      <c r="CC371" s="297"/>
      <c r="CD371" s="297"/>
      <c r="CE371" s="297"/>
      <c r="CF371" s="297"/>
      <c r="CG371" s="297"/>
    </row>
    <row r="372" spans="1:85" ht="12" customHeight="1" outlineLevel="2">
      <c r="A372" s="288"/>
      <c r="B372" s="288" t="s">
        <v>2334</v>
      </c>
      <c r="C372" s="288">
        <v>3</v>
      </c>
      <c r="D372" s="291" t="s">
        <v>1704</v>
      </c>
      <c r="E372" s="246"/>
      <c r="F372" s="246"/>
      <c r="G372" s="246" t="s">
        <v>1427</v>
      </c>
      <c r="H372" s="246"/>
      <c r="I372" s="246"/>
      <c r="J372" s="246"/>
      <c r="K372" s="246"/>
      <c r="L372" s="246"/>
      <c r="M372" s="246"/>
      <c r="N372" s="246"/>
      <c r="O372" s="246"/>
      <c r="P372" s="248">
        <v>45733</v>
      </c>
      <c r="Q372" s="248">
        <v>45856</v>
      </c>
      <c r="R372" s="246"/>
      <c r="S372" s="247">
        <v>82</v>
      </c>
      <c r="T372" s="247">
        <v>82</v>
      </c>
      <c r="U372" s="247">
        <v>86</v>
      </c>
      <c r="V372" s="247">
        <v>86</v>
      </c>
      <c r="W372" s="248"/>
      <c r="X372" s="248"/>
      <c r="Y372" s="265">
        <v>0</v>
      </c>
      <c r="Z372" s="266">
        <v>0</v>
      </c>
      <c r="AA372" s="247"/>
      <c r="AB372" s="246"/>
      <c r="AC372" s="263"/>
      <c r="AD372" s="240">
        <v>1</v>
      </c>
      <c r="AE372" s="241">
        <v>1</v>
      </c>
      <c r="AF372" s="296"/>
      <c r="AG372" s="297"/>
      <c r="AH372" s="297"/>
      <c r="AI372" s="297"/>
      <c r="AJ372" s="297"/>
      <c r="AK372" s="297"/>
      <c r="AL372" s="297"/>
      <c r="AM372" s="297"/>
      <c r="AN372" s="297"/>
      <c r="AO372" s="297"/>
      <c r="AP372" s="297"/>
      <c r="AQ372" s="297"/>
      <c r="AR372" s="297"/>
      <c r="AS372" s="297"/>
      <c r="AT372" s="297"/>
      <c r="AU372" s="297"/>
      <c r="AV372" s="297"/>
      <c r="AW372" s="297"/>
      <c r="AX372" s="297"/>
      <c r="AY372" s="297"/>
      <c r="AZ372" s="297"/>
      <c r="BA372" s="297" t="str">
        <f>"      " &amp; TEXT(AE372,"#0.00%") &amp; " " &amp; "설계" &amp; " " &amp; IF(P372="","",TEXT(P372,"M/D-")) &amp; IF(Q372="","",TEXT(Q372,"M/D")) &amp; " "</f>
        <v xml:space="preserve">      100.00% 설계 3/17-7/18 </v>
      </c>
      <c r="BB372" s="297"/>
      <c r="BC372" s="297"/>
      <c r="BD372" s="297"/>
      <c r="BE372" s="297"/>
      <c r="BF372" s="297"/>
      <c r="BG372" s="297"/>
      <c r="BH372" s="297"/>
      <c r="BI372" s="297"/>
      <c r="BJ372" s="297"/>
      <c r="BK372" s="297"/>
      <c r="BL372" s="297"/>
      <c r="BM372" s="297"/>
      <c r="BN372" s="297"/>
      <c r="BO372" s="297"/>
      <c r="BP372" s="297"/>
      <c r="BQ372" s="297"/>
      <c r="BR372" s="297"/>
      <c r="BS372" s="297"/>
      <c r="BT372" s="297"/>
      <c r="BU372" s="297"/>
      <c r="BV372" s="297"/>
      <c r="BW372" s="297"/>
      <c r="BX372" s="297"/>
      <c r="BY372" s="297"/>
      <c r="BZ372" s="297"/>
      <c r="CA372" s="297"/>
      <c r="CB372" s="297"/>
      <c r="CC372" s="297"/>
      <c r="CD372" s="297"/>
      <c r="CE372" s="297"/>
      <c r="CF372" s="297"/>
      <c r="CG372" s="297"/>
    </row>
    <row r="373" spans="1:85" ht="12" customHeight="1" outlineLevel="3">
      <c r="A373" s="288"/>
      <c r="B373" s="288"/>
      <c r="C373" s="288">
        <v>4</v>
      </c>
      <c r="D373" s="291" t="s">
        <v>1907</v>
      </c>
      <c r="E373" s="246"/>
      <c r="F373" s="246"/>
      <c r="G373" s="246"/>
      <c r="H373" s="246" t="s">
        <v>2285</v>
      </c>
      <c r="I373" s="246"/>
      <c r="J373" s="246"/>
      <c r="K373" s="246"/>
      <c r="L373" s="246"/>
      <c r="M373" s="246"/>
      <c r="N373" s="246"/>
      <c r="O373" s="246"/>
      <c r="P373" s="248">
        <v>45733</v>
      </c>
      <c r="Q373" s="248">
        <v>45791</v>
      </c>
      <c r="R373" s="246"/>
      <c r="S373" s="247">
        <v>41</v>
      </c>
      <c r="T373" s="247">
        <v>41</v>
      </c>
      <c r="U373" s="247">
        <v>41</v>
      </c>
      <c r="V373" s="247">
        <v>41</v>
      </c>
      <c r="W373" s="248"/>
      <c r="X373" s="248"/>
      <c r="Y373" s="265"/>
      <c r="Z373" s="266">
        <v>0</v>
      </c>
      <c r="AA373" s="247">
        <v>1</v>
      </c>
      <c r="AB373" s="246"/>
      <c r="AC373" s="263"/>
      <c r="AD373" s="240">
        <v>1</v>
      </c>
      <c r="AE373" s="304">
        <v>1</v>
      </c>
      <c r="AF373" s="296"/>
      <c r="AG373" s="297"/>
      <c r="AH373" s="297"/>
      <c r="AI373" s="297"/>
      <c r="AJ373" s="297"/>
      <c r="AK373" s="297"/>
      <c r="AL373" s="297"/>
      <c r="AM373" s="297"/>
      <c r="AN373" s="297"/>
      <c r="AO373" s="297"/>
      <c r="AP373" s="297"/>
      <c r="AQ373" s="297"/>
      <c r="AR373" s="297" t="str">
        <f>"    " &amp; TEXT(AE373,"#0.00%") &amp; " " &amp; "설계(1차)" &amp; " " &amp; IF(P373="","",TEXT(P373,"M/D-")) &amp; IF(Q373="","",TEXT(Q373,"M/D")) &amp; " "</f>
        <v xml:space="preserve">    100.00% 설계(1차) 3/17-5/14 </v>
      </c>
      <c r="AS373" s="297"/>
      <c r="AT373" s="297"/>
      <c r="AU373" s="297"/>
      <c r="AV373" s="297"/>
      <c r="AW373" s="297"/>
      <c r="AX373" s="297"/>
      <c r="AY373" s="297"/>
      <c r="AZ373" s="297"/>
      <c r="BA373" s="297"/>
      <c r="BB373" s="297"/>
      <c r="BC373" s="297"/>
      <c r="BD373" s="297"/>
      <c r="BE373" s="297"/>
      <c r="BF373" s="297"/>
      <c r="BG373" s="297"/>
      <c r="BH373" s="297"/>
      <c r="BI373" s="297"/>
      <c r="BJ373" s="297"/>
      <c r="BK373" s="297"/>
      <c r="BL373" s="297"/>
      <c r="BM373" s="297"/>
      <c r="BN373" s="297"/>
      <c r="BO373" s="297"/>
      <c r="BP373" s="297"/>
      <c r="BQ373" s="297"/>
      <c r="BR373" s="297"/>
      <c r="BS373" s="297"/>
      <c r="BT373" s="297"/>
      <c r="BU373" s="297"/>
      <c r="BV373" s="297"/>
      <c r="BW373" s="297"/>
      <c r="BX373" s="297"/>
      <c r="BY373" s="297"/>
      <c r="BZ373" s="297"/>
      <c r="CA373" s="297"/>
      <c r="CB373" s="297"/>
      <c r="CC373" s="297"/>
      <c r="CD373" s="297"/>
      <c r="CE373" s="297"/>
      <c r="CF373" s="297"/>
      <c r="CG373" s="297"/>
    </row>
    <row r="374" spans="1:85" ht="12" customHeight="1" outlineLevel="3">
      <c r="A374" s="288"/>
      <c r="B374" s="288"/>
      <c r="C374" s="288">
        <v>4</v>
      </c>
      <c r="D374" s="291" t="s">
        <v>2464</v>
      </c>
      <c r="E374" s="246"/>
      <c r="F374" s="246"/>
      <c r="G374" s="246"/>
      <c r="H374" s="246" t="s">
        <v>2286</v>
      </c>
      <c r="I374" s="246"/>
      <c r="J374" s="246"/>
      <c r="K374" s="246"/>
      <c r="L374" s="246"/>
      <c r="M374" s="246"/>
      <c r="N374" s="246"/>
      <c r="O374" s="246"/>
      <c r="P374" s="248">
        <v>45845</v>
      </c>
      <c r="Q374" s="248">
        <v>45856</v>
      </c>
      <c r="R374" s="246"/>
      <c r="S374" s="247">
        <v>10</v>
      </c>
      <c r="T374" s="247">
        <v>10</v>
      </c>
      <c r="U374" s="247">
        <v>10</v>
      </c>
      <c r="V374" s="247">
        <v>10</v>
      </c>
      <c r="W374" s="248"/>
      <c r="X374" s="248"/>
      <c r="Y374" s="265"/>
      <c r="Z374" s="266">
        <v>0</v>
      </c>
      <c r="AA374" s="247">
        <v>1</v>
      </c>
      <c r="AB374" s="246" t="s">
        <v>1975</v>
      </c>
      <c r="AC374" s="263"/>
      <c r="AD374" s="240">
        <v>1</v>
      </c>
      <c r="AE374" s="304">
        <v>1</v>
      </c>
      <c r="AF374" s="296"/>
      <c r="AG374" s="297"/>
      <c r="AH374" s="297"/>
      <c r="AI374" s="297"/>
      <c r="AJ374" s="297"/>
      <c r="AK374" s="297"/>
      <c r="AL374" s="297"/>
      <c r="AM374" s="297"/>
      <c r="AN374" s="297"/>
      <c r="AO374" s="297"/>
      <c r="AP374" s="297"/>
      <c r="AQ374" s="297"/>
      <c r="AR374" s="297"/>
      <c r="AS374" s="297"/>
      <c r="AT374" s="297"/>
      <c r="AU374" s="297"/>
      <c r="AV374" s="297"/>
      <c r="AW374" s="297"/>
      <c r="AX374" s="297"/>
      <c r="AY374" s="297"/>
      <c r="AZ374" s="297"/>
      <c r="BA374" s="297" t="str">
        <f>"      " &amp; TEXT(AE374,"#0.00%") &amp; " " &amp; "설계(2차)" &amp; "(박꽃송이님)" &amp; " " &amp; IF(P374="","",TEXT(P374,"M/D-")) &amp; IF(Q374="","",TEXT(Q374,"M/D")) &amp; " "</f>
        <v xml:space="preserve">      100.00% 설계(2차)(박꽃송이님) 7/7-7/18 </v>
      </c>
      <c r="BB374" s="297"/>
      <c r="BC374" s="297"/>
      <c r="BD374" s="297"/>
      <c r="BE374" s="297"/>
      <c r="BF374" s="297"/>
      <c r="BG374" s="297"/>
      <c r="BH374" s="297"/>
      <c r="BI374" s="297"/>
      <c r="BJ374" s="297"/>
      <c r="BK374" s="297"/>
      <c r="BL374" s="297"/>
      <c r="BM374" s="297"/>
      <c r="BN374" s="297"/>
      <c r="BO374" s="297"/>
      <c r="BP374" s="297"/>
      <c r="BQ374" s="297"/>
      <c r="BR374" s="297"/>
      <c r="BS374" s="297"/>
      <c r="BT374" s="297"/>
      <c r="BU374" s="297"/>
      <c r="BV374" s="297"/>
      <c r="BW374" s="297"/>
      <c r="BX374" s="297"/>
      <c r="BY374" s="297"/>
      <c r="BZ374" s="297"/>
      <c r="CA374" s="297"/>
      <c r="CB374" s="297"/>
      <c r="CC374" s="297"/>
      <c r="CD374" s="297"/>
      <c r="CE374" s="297"/>
      <c r="CF374" s="297"/>
      <c r="CG374" s="297"/>
    </row>
    <row r="375" spans="1:85" ht="12" customHeight="1" outlineLevel="3">
      <c r="A375" s="288"/>
      <c r="B375" s="288"/>
      <c r="C375" s="288">
        <v>4</v>
      </c>
      <c r="D375" s="291" t="s">
        <v>2465</v>
      </c>
      <c r="E375" s="246"/>
      <c r="F375" s="246"/>
      <c r="G375" s="246"/>
      <c r="H375" s="246" t="s">
        <v>2187</v>
      </c>
      <c r="I375" s="246"/>
      <c r="J375" s="246"/>
      <c r="K375" s="246"/>
      <c r="L375" s="246"/>
      <c r="M375" s="246"/>
      <c r="N375" s="246"/>
      <c r="O375" s="246"/>
      <c r="P375" s="248">
        <v>45733</v>
      </c>
      <c r="Q375" s="248">
        <v>45775</v>
      </c>
      <c r="R375" s="246"/>
      <c r="S375" s="247">
        <v>31</v>
      </c>
      <c r="T375" s="247">
        <v>31</v>
      </c>
      <c r="U375" s="247">
        <v>31</v>
      </c>
      <c r="V375" s="247">
        <v>31</v>
      </c>
      <c r="W375" s="248"/>
      <c r="X375" s="248"/>
      <c r="Y375" s="265"/>
      <c r="Z375" s="266">
        <v>0</v>
      </c>
      <c r="AA375" s="247">
        <v>1</v>
      </c>
      <c r="AB375" s="244" t="s">
        <v>1980</v>
      </c>
      <c r="AC375" s="263"/>
      <c r="AD375" s="240">
        <v>1</v>
      </c>
      <c r="AE375" s="304">
        <v>1</v>
      </c>
      <c r="AF375" s="296"/>
      <c r="AG375" s="297"/>
      <c r="AH375" s="297"/>
      <c r="AI375" s="297"/>
      <c r="AJ375" s="297"/>
      <c r="AK375" s="297"/>
      <c r="AL375" s="297"/>
      <c r="AM375" s="297"/>
      <c r="AN375" s="297"/>
      <c r="AO375" s="297"/>
      <c r="AP375" s="297" t="str">
        <f>"  " &amp; TEXT(AE375,"#0.00%") &amp; " " &amp; "프로세스모델링(TO-BE업무흐름도)" &amp; "(김재희님)" &amp; " " &amp; IF(P375="","",TEXT(P375,"M/D-")) &amp; IF(Q375="","",TEXT(Q375,"M/D")) &amp; " "</f>
        <v xml:space="preserve">  100.00% 프로세스모델링(TO-BE업무흐름도)(김재희님) 3/17-4/28 </v>
      </c>
      <c r="AQ375" s="297"/>
      <c r="AR375" s="297"/>
      <c r="AS375" s="297"/>
      <c r="AT375" s="297"/>
      <c r="AU375" s="297"/>
      <c r="AV375" s="297"/>
      <c r="AW375" s="297"/>
      <c r="AX375" s="297"/>
      <c r="AY375" s="297"/>
      <c r="AZ375" s="297"/>
      <c r="BA375" s="297"/>
      <c r="BB375" s="297"/>
      <c r="BC375" s="297"/>
      <c r="BD375" s="297"/>
      <c r="BE375" s="297"/>
      <c r="BF375" s="297"/>
      <c r="BG375" s="297"/>
      <c r="BH375" s="297"/>
      <c r="BI375" s="297"/>
      <c r="BJ375" s="297"/>
      <c r="BK375" s="297"/>
      <c r="BL375" s="297"/>
      <c r="BM375" s="297"/>
      <c r="BN375" s="297"/>
      <c r="BO375" s="297"/>
      <c r="BP375" s="297"/>
      <c r="BQ375" s="297"/>
      <c r="BR375" s="297"/>
      <c r="BS375" s="297"/>
      <c r="BT375" s="297"/>
      <c r="BU375" s="297"/>
      <c r="BV375" s="297"/>
      <c r="BW375" s="297"/>
      <c r="BX375" s="297"/>
      <c r="BY375" s="297"/>
      <c r="BZ375" s="297"/>
      <c r="CA375" s="297"/>
      <c r="CB375" s="297"/>
      <c r="CC375" s="297"/>
      <c r="CD375" s="297"/>
      <c r="CE375" s="297"/>
      <c r="CF375" s="297"/>
      <c r="CG375" s="297"/>
    </row>
    <row r="376" spans="1:85" ht="12" customHeight="1" outlineLevel="2">
      <c r="A376" s="288"/>
      <c r="B376" s="288" t="s">
        <v>2334</v>
      </c>
      <c r="C376" s="288">
        <v>3</v>
      </c>
      <c r="D376" s="291" t="s">
        <v>1781</v>
      </c>
      <c r="E376" s="246"/>
      <c r="F376" s="246"/>
      <c r="G376" s="246" t="s">
        <v>1743</v>
      </c>
      <c r="H376" s="246"/>
      <c r="I376" s="246"/>
      <c r="J376" s="246"/>
      <c r="K376" s="246"/>
      <c r="L376" s="246"/>
      <c r="M376" s="246"/>
      <c r="N376" s="246"/>
      <c r="O376" s="246"/>
      <c r="P376" s="248">
        <v>45740</v>
      </c>
      <c r="Q376" s="248">
        <v>45898</v>
      </c>
      <c r="R376" s="246"/>
      <c r="S376" s="247">
        <v>750</v>
      </c>
      <c r="T376" s="247">
        <v>750</v>
      </c>
      <c r="U376" s="247">
        <v>110</v>
      </c>
      <c r="V376" s="247">
        <v>110</v>
      </c>
      <c r="W376" s="248"/>
      <c r="X376" s="248"/>
      <c r="Y376" s="265">
        <v>0</v>
      </c>
      <c r="Z376" s="266">
        <v>0</v>
      </c>
      <c r="AA376" s="247"/>
      <c r="AB376" s="246"/>
      <c r="AC376" s="263"/>
      <c r="AD376" s="240">
        <v>1</v>
      </c>
      <c r="AE376" s="241">
        <v>1</v>
      </c>
      <c r="AF376" s="296"/>
      <c r="AG376" s="297"/>
      <c r="AH376" s="297"/>
      <c r="AI376" s="297"/>
      <c r="AJ376" s="297"/>
      <c r="AK376" s="297"/>
      <c r="AL376" s="297"/>
      <c r="AM376" s="297"/>
      <c r="AN376" s="297"/>
      <c r="AO376" s="297"/>
      <c r="AP376" s="297"/>
      <c r="AQ376" s="297"/>
      <c r="AR376" s="297"/>
      <c r="AS376" s="297"/>
      <c r="AT376" s="297"/>
      <c r="AU376" s="297"/>
      <c r="AV376" s="297"/>
      <c r="AW376" s="297"/>
      <c r="AX376" s="297"/>
      <c r="AY376" s="297"/>
      <c r="AZ376" s="297"/>
      <c r="BA376" s="297"/>
      <c r="BB376" s="297"/>
      <c r="BC376" s="297"/>
      <c r="BD376" s="297"/>
      <c r="BE376" s="297"/>
      <c r="BF376" s="297"/>
      <c r="BG376" s="297" t="str">
        <f>"      " &amp; TEXT(AE376,"#0.00%") &amp; " " &amp; "구축" &amp; " " &amp; IF(P376="","",TEXT(P376,"M/D-")) &amp; IF(Q376="","",TEXT(Q376,"M/D")) &amp; " "</f>
        <v xml:space="preserve">      100.00% 구축 3/24-8/29 </v>
      </c>
      <c r="BH376" s="297"/>
      <c r="BI376" s="297"/>
      <c r="BJ376" s="297"/>
      <c r="BK376" s="297"/>
      <c r="BL376" s="297"/>
      <c r="BM376" s="297"/>
      <c r="BN376" s="297"/>
      <c r="BO376" s="297"/>
      <c r="BP376" s="297"/>
      <c r="BQ376" s="297"/>
      <c r="BR376" s="297"/>
      <c r="BS376" s="297"/>
      <c r="BT376" s="297"/>
      <c r="BU376" s="297"/>
      <c r="BV376" s="297"/>
      <c r="BW376" s="297"/>
      <c r="BX376" s="297"/>
      <c r="BY376" s="297"/>
      <c r="BZ376" s="297"/>
      <c r="CA376" s="297"/>
      <c r="CB376" s="297"/>
      <c r="CC376" s="297"/>
      <c r="CD376" s="297"/>
      <c r="CE376" s="297"/>
      <c r="CF376" s="297"/>
      <c r="CG376" s="297"/>
    </row>
    <row r="377" spans="1:85" ht="12" customHeight="1" outlineLevel="3">
      <c r="A377" s="288"/>
      <c r="B377" s="288" t="s">
        <v>2334</v>
      </c>
      <c r="C377" s="288">
        <v>4</v>
      </c>
      <c r="D377" s="291" t="s">
        <v>1908</v>
      </c>
      <c r="E377" s="246"/>
      <c r="F377" s="246"/>
      <c r="G377" s="246"/>
      <c r="H377" s="246" t="s">
        <v>2255</v>
      </c>
      <c r="I377" s="246"/>
      <c r="J377" s="246"/>
      <c r="K377" s="246"/>
      <c r="L377" s="246"/>
      <c r="M377" s="246"/>
      <c r="N377" s="246"/>
      <c r="O377" s="246"/>
      <c r="P377" s="248">
        <v>45740</v>
      </c>
      <c r="Q377" s="248">
        <v>45856</v>
      </c>
      <c r="R377" s="246"/>
      <c r="S377" s="247">
        <v>705</v>
      </c>
      <c r="T377" s="247">
        <v>705</v>
      </c>
      <c r="U377" s="247">
        <v>81</v>
      </c>
      <c r="V377" s="247">
        <v>81</v>
      </c>
      <c r="W377" s="248"/>
      <c r="X377" s="248"/>
      <c r="Y377" s="265">
        <v>0</v>
      </c>
      <c r="Z377" s="266">
        <v>0</v>
      </c>
      <c r="AA377" s="247"/>
      <c r="AB377" s="246" t="s">
        <v>1975</v>
      </c>
      <c r="AC377" s="263"/>
      <c r="AD377" s="240">
        <v>1</v>
      </c>
      <c r="AE377" s="241">
        <v>1</v>
      </c>
      <c r="AF377" s="296"/>
      <c r="AG377" s="297"/>
      <c r="AH377" s="297"/>
      <c r="AI377" s="297"/>
      <c r="AJ377" s="297"/>
      <c r="AK377" s="297"/>
      <c r="AL377" s="297"/>
      <c r="AM377" s="297"/>
      <c r="AN377" s="297"/>
      <c r="AO377" s="297"/>
      <c r="AP377" s="297"/>
      <c r="AQ377" s="297"/>
      <c r="AR377" s="297"/>
      <c r="AS377" s="297"/>
      <c r="AT377" s="297"/>
      <c r="AU377" s="297"/>
      <c r="AV377" s="297"/>
      <c r="AW377" s="297"/>
      <c r="AX377" s="297"/>
      <c r="AY377" s="297"/>
      <c r="AZ377" s="297"/>
      <c r="BA377" s="297" t="str">
        <f>"      " &amp; TEXT(AE377,"#0.00%") &amp; " " &amp; "개발 및 단위테스트(1차)" &amp; "(박꽃송이님)" &amp; " " &amp; IF(P377="","",TEXT(P377,"M/D-")) &amp; IF(Q377="","",TEXT(Q377,"M/D")) &amp; " "</f>
        <v xml:space="preserve">      100.00% 개발 및 단위테스트(1차)(박꽃송이님) 3/24-7/18 </v>
      </c>
      <c r="BB377" s="297"/>
      <c r="BC377" s="297"/>
      <c r="BD377" s="297"/>
      <c r="BE377" s="297"/>
      <c r="BF377" s="297"/>
      <c r="BG377" s="297"/>
      <c r="BH377" s="297"/>
      <c r="BI377" s="297"/>
      <c r="BJ377" s="297"/>
      <c r="BK377" s="297"/>
      <c r="BL377" s="297"/>
      <c r="BM377" s="297"/>
      <c r="BN377" s="297"/>
      <c r="BO377" s="297"/>
      <c r="BP377" s="297"/>
      <c r="BQ377" s="297"/>
      <c r="BR377" s="297"/>
      <c r="BS377" s="297"/>
      <c r="BT377" s="297"/>
      <c r="BU377" s="297"/>
      <c r="BV377" s="297"/>
      <c r="BW377" s="297"/>
      <c r="BX377" s="297"/>
      <c r="BY377" s="297"/>
      <c r="BZ377" s="297"/>
      <c r="CA377" s="297"/>
      <c r="CB377" s="297"/>
      <c r="CC377" s="297"/>
      <c r="CD377" s="297"/>
      <c r="CE377" s="297"/>
      <c r="CF377" s="297"/>
      <c r="CG377" s="297"/>
    </row>
    <row r="378" spans="1:85" ht="12" customHeight="1" outlineLevel="4">
      <c r="A378" s="288"/>
      <c r="B378" s="288"/>
      <c r="C378" s="288">
        <v>5</v>
      </c>
      <c r="D378" s="291" t="s">
        <v>1973</v>
      </c>
      <c r="E378" s="246"/>
      <c r="F378" s="246"/>
      <c r="G378" s="244"/>
      <c r="H378" s="244"/>
      <c r="I378" s="244" t="s">
        <v>2086</v>
      </c>
      <c r="J378" s="244"/>
      <c r="K378" s="244"/>
      <c r="L378" s="244"/>
      <c r="M378" s="244"/>
      <c r="N378" s="244"/>
      <c r="O378" s="244"/>
      <c r="P378" s="243">
        <v>45740</v>
      </c>
      <c r="Q378" s="243">
        <v>45842</v>
      </c>
      <c r="R378" s="246"/>
      <c r="S378" s="247">
        <v>355</v>
      </c>
      <c r="T378" s="247">
        <v>355</v>
      </c>
      <c r="U378" s="247">
        <v>71</v>
      </c>
      <c r="V378" s="247">
        <v>71</v>
      </c>
      <c r="W378" s="248"/>
      <c r="X378" s="248"/>
      <c r="Y378" s="265"/>
      <c r="Z378" s="266">
        <v>0</v>
      </c>
      <c r="AA378" s="247">
        <v>5</v>
      </c>
      <c r="AB378" s="246"/>
      <c r="AC378" s="263"/>
      <c r="AD378" s="240">
        <v>1</v>
      </c>
      <c r="AE378" s="330">
        <v>1</v>
      </c>
      <c r="AF378" s="296"/>
      <c r="AG378" s="297"/>
      <c r="AH378" s="297"/>
      <c r="AI378" s="297"/>
      <c r="AJ378" s="297"/>
      <c r="AK378" s="297"/>
      <c r="AL378" s="297"/>
      <c r="AM378" s="297"/>
      <c r="AN378" s="297"/>
      <c r="AO378" s="297"/>
      <c r="AP378" s="297"/>
      <c r="AQ378" s="297"/>
      <c r="AR378" s="297"/>
      <c r="AS378" s="297"/>
      <c r="AT378" s="297"/>
      <c r="AU378" s="297"/>
      <c r="AV378" s="297"/>
      <c r="AW378" s="297"/>
      <c r="AX378" s="297"/>
      <c r="AY378" s="297" t="str">
        <f>"      " &amp; TEXT(AE378,"#0.00%") &amp; " " &amp; "POS관리 API 개발" &amp; " " &amp; IF(P378="","",TEXT(P378,"M/D-")) &amp; IF(Q378="","",TEXT(Q378,"M/D")) &amp; " "</f>
        <v xml:space="preserve">      100.00% POS관리 API 개발 3/24-7/4 </v>
      </c>
      <c r="AZ378" s="297"/>
      <c r="BA378" s="297"/>
      <c r="BB378" s="297"/>
      <c r="BC378" s="297"/>
      <c r="BD378" s="297"/>
      <c r="BE378" s="297"/>
      <c r="BF378" s="297"/>
      <c r="BG378" s="297"/>
      <c r="BH378" s="297"/>
      <c r="BI378" s="297"/>
      <c r="BJ378" s="297"/>
      <c r="BK378" s="297"/>
      <c r="BL378" s="297"/>
      <c r="BM378" s="297"/>
      <c r="BN378" s="297"/>
      <c r="BO378" s="297"/>
      <c r="BP378" s="297"/>
      <c r="BQ378" s="297"/>
      <c r="BR378" s="297"/>
      <c r="BS378" s="297"/>
      <c r="BT378" s="297"/>
      <c r="BU378" s="297"/>
      <c r="BV378" s="297"/>
      <c r="BW378" s="297"/>
      <c r="BX378" s="297"/>
      <c r="BY378" s="297"/>
      <c r="BZ378" s="297"/>
      <c r="CA378" s="297"/>
      <c r="CB378" s="297"/>
      <c r="CC378" s="297"/>
      <c r="CD378" s="297"/>
      <c r="CE378" s="297"/>
      <c r="CF378" s="297"/>
      <c r="CG378" s="297"/>
    </row>
    <row r="379" spans="1:85" ht="12" customHeight="1" outlineLevel="4">
      <c r="A379" s="288"/>
      <c r="B379" s="288"/>
      <c r="C379" s="288">
        <v>5</v>
      </c>
      <c r="D379" s="291" t="s">
        <v>1976</v>
      </c>
      <c r="E379" s="246"/>
      <c r="F379" s="246"/>
      <c r="G379" s="244"/>
      <c r="H379" s="244"/>
      <c r="I379" s="244" t="s">
        <v>2087</v>
      </c>
      <c r="J379" s="244"/>
      <c r="K379" s="244"/>
      <c r="L379" s="244"/>
      <c r="M379" s="244"/>
      <c r="N379" s="244"/>
      <c r="O379" s="244"/>
      <c r="P379" s="243">
        <v>45754</v>
      </c>
      <c r="Q379" s="243">
        <v>45849</v>
      </c>
      <c r="R379" s="246"/>
      <c r="S379" s="247">
        <v>330</v>
      </c>
      <c r="T379" s="247">
        <v>330</v>
      </c>
      <c r="U379" s="247">
        <v>66</v>
      </c>
      <c r="V379" s="247">
        <v>66</v>
      </c>
      <c r="W379" s="248"/>
      <c r="X379" s="248"/>
      <c r="Y379" s="265"/>
      <c r="Z379" s="266">
        <v>0</v>
      </c>
      <c r="AA379" s="247">
        <v>5</v>
      </c>
      <c r="AB379" s="246"/>
      <c r="AC379" s="263"/>
      <c r="AD379" s="240">
        <v>1</v>
      </c>
      <c r="AE379" s="330">
        <v>1</v>
      </c>
      <c r="AF379" s="296"/>
      <c r="AG379" s="297"/>
      <c r="AH379" s="297"/>
      <c r="AI379" s="297"/>
      <c r="AJ379" s="297"/>
      <c r="AK379" s="297"/>
      <c r="AL379" s="297"/>
      <c r="AM379" s="297"/>
      <c r="AN379" s="297"/>
      <c r="AO379" s="297"/>
      <c r="AP379" s="297"/>
      <c r="AQ379" s="297"/>
      <c r="AR379" s="297"/>
      <c r="AS379" s="297"/>
      <c r="AT379" s="297"/>
      <c r="AU379" s="297"/>
      <c r="AV379" s="297"/>
      <c r="AW379" s="297"/>
      <c r="AX379" s="297"/>
      <c r="AY379" s="297"/>
      <c r="AZ379" s="297" t="str">
        <f>"      " &amp; TEXT(AE379,"#0.00%") &amp; " " &amp; "영업관리 API 개발" &amp; " " &amp; IF(P379="","",TEXT(P379,"M/D-")) &amp; IF(Q379="","",TEXT(Q379,"M/D")) &amp; " "</f>
        <v xml:space="preserve">      100.00% 영업관리 API 개발 4/7-7/11 </v>
      </c>
      <c r="BA379" s="297"/>
      <c r="BB379" s="297"/>
      <c r="BC379" s="297"/>
      <c r="BD379" s="297"/>
      <c r="BE379" s="297"/>
      <c r="BF379" s="297"/>
      <c r="BG379" s="297"/>
      <c r="BH379" s="297"/>
      <c r="BI379" s="297"/>
      <c r="BJ379" s="297"/>
      <c r="BK379" s="297"/>
      <c r="BL379" s="297"/>
      <c r="BM379" s="297"/>
      <c r="BN379" s="297"/>
      <c r="BO379" s="297"/>
      <c r="BP379" s="297"/>
      <c r="BQ379" s="297"/>
      <c r="BR379" s="297"/>
      <c r="BS379" s="297"/>
      <c r="BT379" s="297"/>
      <c r="BU379" s="297"/>
      <c r="BV379" s="297"/>
      <c r="BW379" s="297"/>
      <c r="BX379" s="297"/>
      <c r="BY379" s="297"/>
      <c r="BZ379" s="297"/>
      <c r="CA379" s="297"/>
      <c r="CB379" s="297"/>
      <c r="CC379" s="297"/>
      <c r="CD379" s="297"/>
      <c r="CE379" s="297"/>
      <c r="CF379" s="297"/>
      <c r="CG379" s="297"/>
    </row>
    <row r="380" spans="1:85" ht="12" customHeight="1" outlineLevel="4">
      <c r="A380" s="288"/>
      <c r="B380" s="288"/>
      <c r="C380" s="288">
        <v>5</v>
      </c>
      <c r="D380" s="291" t="s">
        <v>2466</v>
      </c>
      <c r="E380" s="246"/>
      <c r="F380" s="246"/>
      <c r="G380" s="244"/>
      <c r="H380" s="244"/>
      <c r="I380" s="244" t="s">
        <v>1852</v>
      </c>
      <c r="J380" s="244"/>
      <c r="K380" s="244"/>
      <c r="L380" s="244"/>
      <c r="M380" s="244"/>
      <c r="N380" s="244"/>
      <c r="O380" s="244"/>
      <c r="P380" s="248">
        <v>45831</v>
      </c>
      <c r="Q380" s="248">
        <v>45856</v>
      </c>
      <c r="R380" s="246"/>
      <c r="S380" s="247">
        <v>20</v>
      </c>
      <c r="T380" s="247">
        <v>20</v>
      </c>
      <c r="U380" s="247">
        <v>20</v>
      </c>
      <c r="V380" s="247">
        <v>20</v>
      </c>
      <c r="W380" s="248"/>
      <c r="X380" s="248"/>
      <c r="Y380" s="265"/>
      <c r="Z380" s="266">
        <v>0</v>
      </c>
      <c r="AA380" s="247">
        <v>1</v>
      </c>
      <c r="AB380" s="246"/>
      <c r="AC380" s="263"/>
      <c r="AD380" s="240">
        <v>1</v>
      </c>
      <c r="AE380" s="330">
        <v>1</v>
      </c>
      <c r="AF380" s="296"/>
      <c r="AG380" s="297"/>
      <c r="AH380" s="297"/>
      <c r="AI380" s="297"/>
      <c r="AJ380" s="297"/>
      <c r="AK380" s="297"/>
      <c r="AL380" s="297"/>
      <c r="AM380" s="297"/>
      <c r="AN380" s="297"/>
      <c r="AO380" s="297"/>
      <c r="AP380" s="297"/>
      <c r="AQ380" s="297"/>
      <c r="AR380" s="297"/>
      <c r="AS380" s="297"/>
      <c r="AT380" s="297"/>
      <c r="AU380" s="297"/>
      <c r="AV380" s="297"/>
      <c r="AW380" s="297"/>
      <c r="AX380" s="297"/>
      <c r="AY380" s="297"/>
      <c r="AZ380" s="297"/>
      <c r="BA380" s="297" t="str">
        <f>"      " &amp; TEXT(AE380,"#0.00%") &amp; " " &amp; "단위테스트(1차)" &amp; " " &amp; IF(P380="","",TEXT(P380,"M/D-")) &amp; IF(Q380="","",TEXT(Q380,"M/D")) &amp; " "</f>
        <v xml:space="preserve">      100.00% 단위테스트(1차) 6/23-7/18 </v>
      </c>
      <c r="BB380" s="297"/>
      <c r="BC380" s="297"/>
      <c r="BD380" s="297"/>
      <c r="BE380" s="297"/>
      <c r="BF380" s="297"/>
      <c r="BG380" s="297"/>
      <c r="BH380" s="297"/>
      <c r="BI380" s="297"/>
      <c r="BJ380" s="297"/>
      <c r="BK380" s="297"/>
      <c r="BL380" s="297"/>
      <c r="BM380" s="297"/>
      <c r="BN380" s="297"/>
      <c r="BO380" s="297"/>
      <c r="BP380" s="297"/>
      <c r="BQ380" s="297"/>
      <c r="BR380" s="297"/>
      <c r="BS380" s="297"/>
      <c r="BT380" s="297"/>
      <c r="BU380" s="297"/>
      <c r="BV380" s="297"/>
      <c r="BW380" s="297"/>
      <c r="BX380" s="297"/>
      <c r="BY380" s="297"/>
      <c r="BZ380" s="297"/>
      <c r="CA380" s="297"/>
      <c r="CB380" s="297"/>
      <c r="CC380" s="297"/>
      <c r="CD380" s="297"/>
      <c r="CE380" s="297"/>
      <c r="CF380" s="297"/>
      <c r="CG380" s="297"/>
    </row>
    <row r="381" spans="1:85" ht="12" customHeight="1" outlineLevel="3">
      <c r="A381" s="288"/>
      <c r="B381" s="288" t="s">
        <v>2334</v>
      </c>
      <c r="C381" s="288">
        <v>4</v>
      </c>
      <c r="D381" s="313" t="s">
        <v>1909</v>
      </c>
      <c r="E381" s="314"/>
      <c r="F381" s="314"/>
      <c r="G381" s="314"/>
      <c r="H381" s="314" t="s">
        <v>2259</v>
      </c>
      <c r="I381" s="314"/>
      <c r="J381" s="314"/>
      <c r="K381" s="314"/>
      <c r="L381" s="314"/>
      <c r="M381" s="314"/>
      <c r="N381" s="314"/>
      <c r="O381" s="314"/>
      <c r="P381" s="248">
        <v>45887</v>
      </c>
      <c r="Q381" s="243">
        <v>45898</v>
      </c>
      <c r="R381" s="314"/>
      <c r="S381" s="242">
        <v>45</v>
      </c>
      <c r="T381" s="242">
        <v>45</v>
      </c>
      <c r="U381" s="242">
        <v>10</v>
      </c>
      <c r="V381" s="242">
        <v>10</v>
      </c>
      <c r="W381" s="243"/>
      <c r="X381" s="243"/>
      <c r="Y381" s="251">
        <v>0</v>
      </c>
      <c r="Z381" s="252">
        <v>0</v>
      </c>
      <c r="AA381" s="242"/>
      <c r="AB381" s="244" t="s">
        <v>1980</v>
      </c>
      <c r="AC381" s="311" t="s">
        <v>2195</v>
      </c>
      <c r="AD381" s="239">
        <v>1</v>
      </c>
      <c r="AE381" s="328">
        <v>1</v>
      </c>
      <c r="AF381" s="296"/>
      <c r="AG381" s="297"/>
      <c r="AH381" s="297"/>
      <c r="AI381" s="297"/>
      <c r="AJ381" s="297"/>
      <c r="AK381" s="297"/>
      <c r="AL381" s="297"/>
      <c r="AM381" s="297"/>
      <c r="AN381" s="297"/>
      <c r="AO381" s="297"/>
      <c r="AP381" s="297"/>
      <c r="AQ381" s="297"/>
      <c r="AR381" s="297"/>
      <c r="AS381" s="297"/>
      <c r="AT381" s="297"/>
      <c r="AU381" s="297"/>
      <c r="AV381" s="297"/>
      <c r="AW381" s="297"/>
      <c r="AX381" s="297"/>
      <c r="AY381" s="297"/>
      <c r="AZ381" s="297"/>
      <c r="BA381" s="297"/>
      <c r="BB381" s="297"/>
      <c r="BC381" s="297"/>
      <c r="BD381" s="297"/>
      <c r="BE381" s="297"/>
      <c r="BF381" s="297"/>
      <c r="BG381" s="297" t="str">
        <f>"      " &amp; TEXT(AE381,"#0.00%") &amp; " " &amp; "개발 및 단위테스트(2차)" &amp; "(김재희님)" &amp; " " &amp; IF(P381="","",TEXT(P381,"M/D-")) &amp; IF(Q381="","",TEXT(Q381,"M/D")) &amp; " "</f>
        <v xml:space="preserve">      100.00% 개발 및 단위테스트(2차)(김재희님) 8/18-8/29 </v>
      </c>
      <c r="BH381" s="297"/>
      <c r="BI381" s="297"/>
      <c r="BJ381" s="297"/>
      <c r="BK381" s="297"/>
      <c r="BL381" s="297"/>
      <c r="BM381" s="297"/>
      <c r="BN381" s="297"/>
      <c r="BO381" s="297"/>
      <c r="BP381" s="297"/>
      <c r="BQ381" s="297"/>
      <c r="BR381" s="297"/>
      <c r="BS381" s="297"/>
      <c r="BT381" s="297"/>
      <c r="BU381" s="297"/>
      <c r="BV381" s="297"/>
      <c r="BW381" s="297"/>
      <c r="BX381" s="297"/>
      <c r="BY381" s="297"/>
      <c r="BZ381" s="297"/>
      <c r="CA381" s="297"/>
      <c r="CB381" s="297"/>
      <c r="CC381" s="297"/>
      <c r="CD381" s="297"/>
      <c r="CE381" s="297"/>
      <c r="CF381" s="297"/>
      <c r="CG381" s="297"/>
    </row>
    <row r="382" spans="1:85" ht="12" customHeight="1" outlineLevel="4">
      <c r="A382" s="288"/>
      <c r="B382" s="288"/>
      <c r="C382" s="288">
        <v>5</v>
      </c>
      <c r="D382" s="313" t="s">
        <v>1977</v>
      </c>
      <c r="E382" s="314"/>
      <c r="F382" s="314"/>
      <c r="G382" s="314"/>
      <c r="H382" s="314"/>
      <c r="I382" s="314" t="s">
        <v>2086</v>
      </c>
      <c r="J382" s="314"/>
      <c r="K382" s="314"/>
      <c r="L382" s="314"/>
      <c r="M382" s="314"/>
      <c r="N382" s="314"/>
      <c r="O382" s="314"/>
      <c r="P382" s="243">
        <v>45887</v>
      </c>
      <c r="Q382" s="243">
        <v>45895</v>
      </c>
      <c r="R382" s="314"/>
      <c r="S382" s="242">
        <v>35</v>
      </c>
      <c r="T382" s="242">
        <v>35</v>
      </c>
      <c r="U382" s="242">
        <v>7</v>
      </c>
      <c r="V382" s="242">
        <v>7</v>
      </c>
      <c r="W382" s="243"/>
      <c r="X382" s="243"/>
      <c r="Y382" s="251"/>
      <c r="Z382" s="252">
        <v>0</v>
      </c>
      <c r="AA382" s="242">
        <v>5</v>
      </c>
      <c r="AB382" s="244" t="s">
        <v>1980</v>
      </c>
      <c r="AC382" s="312" t="s">
        <v>2194</v>
      </c>
      <c r="AD382" s="240">
        <v>1</v>
      </c>
      <c r="AE382" s="330">
        <v>1</v>
      </c>
      <c r="AF382" s="296"/>
      <c r="AG382" s="297"/>
      <c r="AH382" s="297"/>
      <c r="AI382" s="297"/>
      <c r="AJ382" s="297"/>
      <c r="AK382" s="297"/>
      <c r="AL382" s="297"/>
      <c r="AM382" s="297"/>
      <c r="AN382" s="297"/>
      <c r="AO382" s="297"/>
      <c r="AP382" s="297"/>
      <c r="AQ382" s="297"/>
      <c r="AR382" s="297"/>
      <c r="AS382" s="297"/>
      <c r="AT382" s="297"/>
      <c r="AU382" s="297"/>
      <c r="AV382" s="297"/>
      <c r="AW382" s="297"/>
      <c r="AX382" s="297"/>
      <c r="AY382" s="297"/>
      <c r="AZ382" s="297"/>
      <c r="BA382" s="297"/>
      <c r="BB382" s="297"/>
      <c r="BC382" s="297"/>
      <c r="BD382" s="297"/>
      <c r="BE382" s="297"/>
      <c r="BF382" s="297"/>
      <c r="BG382" s="297" t="str">
        <f>"   " &amp; TEXT(AE382,"#0.00%") &amp; " " &amp; "POS관리 API 개발" &amp; "(김재희님)" &amp; " " &amp; IF(P382="","",TEXT(P382,"M/D-")) &amp; IF(Q382="","",TEXT(Q382,"M/D")) &amp; " "</f>
        <v xml:space="preserve">   100.00% POS관리 API 개발(김재희님) 8/18-8/26 </v>
      </c>
      <c r="BH382" s="297"/>
      <c r="BI382" s="297"/>
      <c r="BJ382" s="297"/>
      <c r="BK382" s="297"/>
      <c r="BL382" s="297"/>
      <c r="BM382" s="297"/>
      <c r="BN382" s="297"/>
      <c r="BO382" s="297"/>
      <c r="BP382" s="297"/>
      <c r="BQ382" s="297"/>
      <c r="BR382" s="297"/>
      <c r="BS382" s="297"/>
      <c r="BT382" s="297"/>
      <c r="BU382" s="297"/>
      <c r="BV382" s="297"/>
      <c r="BW382" s="297"/>
      <c r="BX382" s="297"/>
      <c r="BY382" s="297"/>
      <c r="BZ382" s="297"/>
      <c r="CA382" s="297"/>
      <c r="CB382" s="297"/>
      <c r="CC382" s="297"/>
      <c r="CD382" s="297"/>
      <c r="CE382" s="297"/>
      <c r="CF382" s="297"/>
      <c r="CG382" s="297"/>
    </row>
    <row r="383" spans="1:85" ht="12" customHeight="1" outlineLevel="4">
      <c r="A383" s="288"/>
      <c r="B383" s="288"/>
      <c r="C383" s="288">
        <v>5</v>
      </c>
      <c r="D383" s="313" t="s">
        <v>1978</v>
      </c>
      <c r="E383" s="314"/>
      <c r="F383" s="314"/>
      <c r="G383" s="314"/>
      <c r="H383" s="314"/>
      <c r="I383" s="244" t="s">
        <v>1853</v>
      </c>
      <c r="J383" s="244"/>
      <c r="K383" s="244"/>
      <c r="L383" s="244"/>
      <c r="M383" s="244"/>
      <c r="N383" s="244"/>
      <c r="O383" s="244"/>
      <c r="P383" s="248">
        <v>45887</v>
      </c>
      <c r="Q383" s="248">
        <v>45898</v>
      </c>
      <c r="R383" s="314"/>
      <c r="S383" s="242">
        <v>10</v>
      </c>
      <c r="T383" s="242">
        <v>10</v>
      </c>
      <c r="U383" s="242">
        <v>10</v>
      </c>
      <c r="V383" s="242">
        <v>10</v>
      </c>
      <c r="W383" s="243"/>
      <c r="X383" s="243"/>
      <c r="Y383" s="251"/>
      <c r="Z383" s="252">
        <v>0</v>
      </c>
      <c r="AA383" s="242">
        <v>1</v>
      </c>
      <c r="AB383" s="244"/>
      <c r="AC383" s="312"/>
      <c r="AD383" s="240">
        <v>1</v>
      </c>
      <c r="AE383" s="330">
        <v>1</v>
      </c>
      <c r="AF383" s="296"/>
      <c r="AG383" s="297"/>
      <c r="AH383" s="297"/>
      <c r="AI383" s="297"/>
      <c r="AJ383" s="297"/>
      <c r="AK383" s="297"/>
      <c r="AL383" s="297"/>
      <c r="AM383" s="297"/>
      <c r="AN383" s="297"/>
      <c r="AO383" s="297"/>
      <c r="AP383" s="297"/>
      <c r="AQ383" s="297"/>
      <c r="AR383" s="297"/>
      <c r="AS383" s="297"/>
      <c r="AT383" s="297"/>
      <c r="AU383" s="297"/>
      <c r="AV383" s="297"/>
      <c r="AW383" s="297"/>
      <c r="AX383" s="297"/>
      <c r="AY383" s="297"/>
      <c r="AZ383" s="297"/>
      <c r="BA383" s="297"/>
      <c r="BB383" s="297"/>
      <c r="BC383" s="297"/>
      <c r="BD383" s="297"/>
      <c r="BE383" s="297"/>
      <c r="BF383" s="297"/>
      <c r="BG383" s="297" t="str">
        <f>"      " &amp; TEXT(AE383,"#0.00%") &amp; " " &amp; "단위테스트(2차)" &amp; " " &amp; IF(P383="","",TEXT(P383,"M/D-")) &amp; IF(Q383="","",TEXT(Q383,"M/D")) &amp; " "</f>
        <v xml:space="preserve">      100.00% 단위테스트(2차) 8/18-8/29 </v>
      </c>
      <c r="BH383" s="297"/>
      <c r="BI383" s="297"/>
      <c r="BJ383" s="297"/>
      <c r="BK383" s="297"/>
      <c r="BL383" s="297"/>
      <c r="BM383" s="297"/>
      <c r="BN383" s="297"/>
      <c r="BO383" s="297"/>
      <c r="BP383" s="297"/>
      <c r="BQ383" s="297"/>
      <c r="BR383" s="297"/>
      <c r="BS383" s="297"/>
      <c r="BT383" s="297"/>
      <c r="BU383" s="297"/>
      <c r="BV383" s="297"/>
      <c r="BW383" s="297"/>
      <c r="BX383" s="297"/>
      <c r="BY383" s="297"/>
      <c r="BZ383" s="297"/>
      <c r="CA383" s="297"/>
      <c r="CB383" s="297"/>
      <c r="CC383" s="297"/>
      <c r="CD383" s="297"/>
      <c r="CE383" s="297"/>
      <c r="CF383" s="297"/>
      <c r="CG383" s="297"/>
    </row>
    <row r="384" spans="1:85" ht="12" customHeight="1" outlineLevel="1">
      <c r="A384" s="288"/>
      <c r="B384" s="288" t="s">
        <v>2334</v>
      </c>
      <c r="C384" s="288">
        <v>2</v>
      </c>
      <c r="D384" s="291" t="s">
        <v>1705</v>
      </c>
      <c r="E384" s="246"/>
      <c r="F384" s="246" t="s">
        <v>1592</v>
      </c>
      <c r="G384" s="244"/>
      <c r="H384" s="244"/>
      <c r="I384" s="244"/>
      <c r="J384" s="244"/>
      <c r="K384" s="244"/>
      <c r="L384" s="244"/>
      <c r="M384" s="244"/>
      <c r="N384" s="244"/>
      <c r="O384" s="244"/>
      <c r="P384" s="243">
        <v>45705</v>
      </c>
      <c r="Q384" s="243">
        <v>45898</v>
      </c>
      <c r="R384" s="256"/>
      <c r="S384" s="242">
        <v>1430.5</v>
      </c>
      <c r="T384" s="242">
        <v>1430.5</v>
      </c>
      <c r="U384" s="242">
        <v>134</v>
      </c>
      <c r="V384" s="242">
        <v>134</v>
      </c>
      <c r="W384" s="243"/>
      <c r="X384" s="243"/>
      <c r="Y384" s="251">
        <v>0</v>
      </c>
      <c r="Z384" s="252">
        <v>0</v>
      </c>
      <c r="AA384" s="242"/>
      <c r="AB384" s="254"/>
      <c r="AC384" s="253"/>
      <c r="AD384" s="239">
        <v>1</v>
      </c>
      <c r="AE384" s="241">
        <v>1</v>
      </c>
      <c r="AF384" s="296"/>
      <c r="AG384" s="297"/>
      <c r="AH384" s="297"/>
      <c r="AI384" s="297"/>
      <c r="AJ384" s="297"/>
      <c r="AK384" s="297"/>
      <c r="AL384" s="297"/>
      <c r="AM384" s="297"/>
      <c r="AN384" s="297"/>
      <c r="AO384" s="297"/>
      <c r="AP384" s="297"/>
      <c r="AQ384" s="297"/>
      <c r="AR384" s="297"/>
      <c r="AS384" s="297"/>
      <c r="AT384" s="297"/>
      <c r="AU384" s="297"/>
      <c r="AV384" s="297"/>
      <c r="AW384" s="297"/>
      <c r="AX384" s="297"/>
      <c r="AY384" s="297"/>
      <c r="AZ384" s="297"/>
      <c r="BA384" s="297"/>
      <c r="BB384" s="297"/>
      <c r="BC384" s="297"/>
      <c r="BD384" s="297"/>
      <c r="BE384" s="297"/>
      <c r="BF384" s="297"/>
      <c r="BG384" s="297" t="str">
        <f>"      " &amp; TEXT(AE384,"#0.00%") &amp; " " &amp; "POS관리시스템 구축" &amp; " " &amp; IF(P384="","",TEXT(P384,"M/D-")) &amp; IF(Q384="","",TEXT(Q384,"M/D")) &amp; " "</f>
        <v xml:space="preserve">      100.00% POS관리시스템 구축 2/17-8/29 </v>
      </c>
      <c r="BH384" s="297"/>
      <c r="BI384" s="297"/>
      <c r="BJ384" s="297"/>
      <c r="BK384" s="297"/>
      <c r="BL384" s="297"/>
      <c r="BM384" s="297"/>
      <c r="BN384" s="297"/>
      <c r="BO384" s="297"/>
      <c r="BP384" s="297"/>
      <c r="BQ384" s="297"/>
      <c r="BR384" s="297"/>
      <c r="BS384" s="297"/>
      <c r="BT384" s="297"/>
      <c r="BU384" s="297"/>
      <c r="BV384" s="297"/>
      <c r="BW384" s="297"/>
      <c r="BX384" s="297"/>
      <c r="BY384" s="297"/>
      <c r="BZ384" s="297"/>
      <c r="CA384" s="297"/>
      <c r="CB384" s="297"/>
      <c r="CC384" s="297"/>
      <c r="CD384" s="297"/>
      <c r="CE384" s="297"/>
      <c r="CF384" s="297"/>
      <c r="CG384" s="297"/>
    </row>
    <row r="385" spans="1:85" ht="12" customHeight="1" outlineLevel="2">
      <c r="A385" s="288"/>
      <c r="B385" s="288" t="s">
        <v>2334</v>
      </c>
      <c r="C385" s="288">
        <v>3</v>
      </c>
      <c r="D385" s="291" t="s">
        <v>1706</v>
      </c>
      <c r="E385" s="246"/>
      <c r="F385" s="246"/>
      <c r="G385" s="244" t="s">
        <v>1424</v>
      </c>
      <c r="H385" s="244"/>
      <c r="I385" s="244"/>
      <c r="J385" s="244"/>
      <c r="K385" s="244"/>
      <c r="L385" s="244"/>
      <c r="M385" s="244"/>
      <c r="N385" s="244"/>
      <c r="O385" s="244"/>
      <c r="P385" s="243">
        <v>45705</v>
      </c>
      <c r="Q385" s="243">
        <v>45762</v>
      </c>
      <c r="R385" s="314"/>
      <c r="S385" s="242">
        <v>50.5</v>
      </c>
      <c r="T385" s="242">
        <v>50.5</v>
      </c>
      <c r="U385" s="242">
        <v>41</v>
      </c>
      <c r="V385" s="242">
        <v>41</v>
      </c>
      <c r="W385" s="243"/>
      <c r="X385" s="243"/>
      <c r="Y385" s="251">
        <v>0</v>
      </c>
      <c r="Z385" s="252">
        <v>0</v>
      </c>
      <c r="AA385" s="242"/>
      <c r="AB385" s="254"/>
      <c r="AC385" s="253"/>
      <c r="AD385" s="239">
        <v>1</v>
      </c>
      <c r="AE385" s="241">
        <v>1</v>
      </c>
      <c r="AF385" s="296"/>
      <c r="AG385" s="297"/>
      <c r="AH385" s="297"/>
      <c r="AI385" s="297"/>
      <c r="AJ385" s="297"/>
      <c r="AK385" s="297"/>
      <c r="AL385" s="297"/>
      <c r="AM385" s="297"/>
      <c r="AN385" s="297" t="str">
        <f>"   " &amp; TEXT(AE385,"#0.00%") &amp; " " &amp; "분석" &amp; " " &amp; IF(P385="","",TEXT(P385,"M/D-")) &amp; IF(Q385="","",TEXT(Q385,"M/D")) &amp; " "</f>
        <v xml:space="preserve">   100.00% 분석 2/17-4/15 </v>
      </c>
      <c r="AO385" s="297"/>
      <c r="AP385" s="297"/>
      <c r="AQ385" s="297"/>
      <c r="AR385" s="297"/>
      <c r="AS385" s="297"/>
      <c r="AT385" s="297"/>
      <c r="AU385" s="297"/>
      <c r="AV385" s="297"/>
      <c r="AW385" s="297"/>
      <c r="AX385" s="297"/>
      <c r="AY385" s="297"/>
      <c r="AZ385" s="297"/>
      <c r="BA385" s="297"/>
      <c r="BB385" s="297"/>
      <c r="BC385" s="297"/>
      <c r="BD385" s="297"/>
      <c r="BE385" s="297"/>
      <c r="BF385" s="297"/>
      <c r="BG385" s="297"/>
      <c r="BH385" s="297"/>
      <c r="BI385" s="297"/>
      <c r="BJ385" s="297"/>
      <c r="BK385" s="297"/>
      <c r="BL385" s="297"/>
      <c r="BM385" s="297"/>
      <c r="BN385" s="297"/>
      <c r="BO385" s="297"/>
      <c r="BP385" s="297"/>
      <c r="BQ385" s="297"/>
      <c r="BR385" s="297"/>
      <c r="BS385" s="297"/>
      <c r="BT385" s="297"/>
      <c r="BU385" s="297"/>
      <c r="BV385" s="297"/>
      <c r="BW385" s="297"/>
      <c r="BX385" s="297"/>
      <c r="BY385" s="297"/>
      <c r="BZ385" s="297"/>
      <c r="CA385" s="297"/>
      <c r="CB385" s="297"/>
      <c r="CC385" s="297"/>
      <c r="CD385" s="297"/>
      <c r="CE385" s="297"/>
      <c r="CF385" s="297"/>
      <c r="CG385" s="297"/>
    </row>
    <row r="386" spans="1:85" ht="12" customHeight="1" outlineLevel="3">
      <c r="A386" s="288"/>
      <c r="B386" s="288"/>
      <c r="C386" s="288">
        <v>4</v>
      </c>
      <c r="D386" s="291" t="s">
        <v>1910</v>
      </c>
      <c r="E386" s="246"/>
      <c r="F386" s="246"/>
      <c r="G386" s="244"/>
      <c r="H386" s="244" t="s">
        <v>2188</v>
      </c>
      <c r="I386" s="244"/>
      <c r="J386" s="244"/>
      <c r="K386" s="244"/>
      <c r="L386" s="244"/>
      <c r="M386" s="244"/>
      <c r="N386" s="244"/>
      <c r="O386" s="244" t="s">
        <v>2134</v>
      </c>
      <c r="P386" s="243">
        <v>45705</v>
      </c>
      <c r="Q386" s="243">
        <v>45747</v>
      </c>
      <c r="R386" s="314"/>
      <c r="S386" s="242">
        <v>30</v>
      </c>
      <c r="T386" s="242">
        <v>30</v>
      </c>
      <c r="U386" s="242">
        <v>30</v>
      </c>
      <c r="V386" s="242">
        <v>30</v>
      </c>
      <c r="W386" s="243"/>
      <c r="X386" s="243"/>
      <c r="Y386" s="251"/>
      <c r="Z386" s="252">
        <v>0</v>
      </c>
      <c r="AA386" s="242">
        <v>1</v>
      </c>
      <c r="AB386" s="254"/>
      <c r="AC386" s="253"/>
      <c r="AD386" s="239">
        <v>1</v>
      </c>
      <c r="AE386" s="304">
        <v>1</v>
      </c>
      <c r="AF386" s="296"/>
      <c r="AG386" s="297"/>
      <c r="AH386" s="297"/>
      <c r="AI386" s="297"/>
      <c r="AJ386" s="297"/>
      <c r="AK386" s="297"/>
      <c r="AL386" s="297" t="str">
        <f>"  " &amp; TEXT(AE386,"#0.00%") &amp; " " &amp; "기능목록 정의(Product Backlog)" &amp; " " &amp; IF(P386="","",TEXT(P386,"M/D-")) &amp; IF(Q386="","",TEXT(Q386,"M/D")) &amp; " "</f>
        <v xml:space="preserve">  100.00% 기능목록 정의(Product Backlog) 2/17-3/31 </v>
      </c>
      <c r="AM386" s="297"/>
      <c r="AN386" s="297"/>
      <c r="AO386" s="297"/>
      <c r="AP386" s="297"/>
      <c r="AQ386" s="297"/>
      <c r="AR386" s="297"/>
      <c r="AS386" s="297"/>
      <c r="AT386" s="297"/>
      <c r="AU386" s="297"/>
      <c r="AV386" s="297"/>
      <c r="AW386" s="297"/>
      <c r="AX386" s="297"/>
      <c r="AY386" s="297"/>
      <c r="AZ386" s="297"/>
      <c r="BA386" s="297"/>
      <c r="BB386" s="297"/>
      <c r="BC386" s="297"/>
      <c r="BD386" s="297"/>
      <c r="BE386" s="297"/>
      <c r="BF386" s="297"/>
      <c r="BG386" s="297"/>
      <c r="BH386" s="297"/>
      <c r="BI386" s="297"/>
      <c r="BJ386" s="297"/>
      <c r="BK386" s="297"/>
      <c r="BL386" s="297"/>
      <c r="BM386" s="297"/>
      <c r="BN386" s="297"/>
      <c r="BO386" s="297"/>
      <c r="BP386" s="297"/>
      <c r="BQ386" s="297"/>
      <c r="BR386" s="297"/>
      <c r="BS386" s="297"/>
      <c r="BT386" s="297"/>
      <c r="BU386" s="297"/>
      <c r="BV386" s="297"/>
      <c r="BW386" s="297"/>
      <c r="BX386" s="297"/>
      <c r="BY386" s="297"/>
      <c r="BZ386" s="297"/>
      <c r="CA386" s="297"/>
      <c r="CB386" s="297"/>
      <c r="CC386" s="297"/>
      <c r="CD386" s="297"/>
      <c r="CE386" s="297"/>
      <c r="CF386" s="297"/>
      <c r="CG386" s="297"/>
    </row>
    <row r="387" spans="1:85" ht="12" customHeight="1" outlineLevel="3">
      <c r="A387" s="288"/>
      <c r="B387" s="288"/>
      <c r="C387" s="288">
        <v>4</v>
      </c>
      <c r="D387" s="291" t="s">
        <v>1911</v>
      </c>
      <c r="E387" s="246"/>
      <c r="F387" s="246"/>
      <c r="G387" s="244"/>
      <c r="H387" s="244" t="s">
        <v>2189</v>
      </c>
      <c r="I387" s="244"/>
      <c r="J387" s="244"/>
      <c r="K387" s="244"/>
      <c r="L387" s="244"/>
      <c r="M387" s="244"/>
      <c r="N387" s="244"/>
      <c r="O387" s="244" t="s">
        <v>2186</v>
      </c>
      <c r="P387" s="243">
        <v>45705</v>
      </c>
      <c r="Q387" s="243">
        <v>45762</v>
      </c>
      <c r="R387" s="314"/>
      <c r="S387" s="242">
        <v>20.5</v>
      </c>
      <c r="T387" s="242">
        <v>20.5</v>
      </c>
      <c r="U387" s="242">
        <v>41</v>
      </c>
      <c r="V387" s="242">
        <v>41</v>
      </c>
      <c r="W387" s="243"/>
      <c r="X387" s="243"/>
      <c r="Y387" s="251"/>
      <c r="Z387" s="252">
        <v>0</v>
      </c>
      <c r="AA387" s="242">
        <v>0.5</v>
      </c>
      <c r="AB387" s="254"/>
      <c r="AC387" s="253"/>
      <c r="AD387" s="239">
        <v>1</v>
      </c>
      <c r="AE387" s="330">
        <v>1</v>
      </c>
      <c r="AF387" s="296"/>
      <c r="AG387" s="297"/>
      <c r="AH387" s="297"/>
      <c r="AI387" s="297"/>
      <c r="AJ387" s="297"/>
      <c r="AK387" s="297"/>
      <c r="AL387" s="297"/>
      <c r="AM387" s="297"/>
      <c r="AN387" s="297" t="str">
        <f>"   " &amp; TEXT(AE387,"#0.00%") &amp; " " &amp; "요구사항 분석 및 용어정의" &amp; " " &amp; IF(P387="","",TEXT(P387,"M/D-")) &amp; IF(Q387="","",TEXT(Q387,"M/D")) &amp; " "</f>
        <v xml:space="preserve">   100.00% 요구사항 분석 및 용어정의 2/17-4/15 </v>
      </c>
      <c r="AO387" s="297"/>
      <c r="AP387" s="297"/>
      <c r="AQ387" s="297"/>
      <c r="AR387" s="297"/>
      <c r="AS387" s="297"/>
      <c r="AT387" s="297"/>
      <c r="AU387" s="297"/>
      <c r="AV387" s="297"/>
      <c r="AW387" s="297"/>
      <c r="AX387" s="297"/>
      <c r="AY387" s="297"/>
      <c r="AZ387" s="297"/>
      <c r="BA387" s="297"/>
      <c r="BB387" s="297"/>
      <c r="BC387" s="297"/>
      <c r="BD387" s="297"/>
      <c r="BE387" s="297"/>
      <c r="BF387" s="297"/>
      <c r="BG387" s="297"/>
      <c r="BH387" s="297"/>
      <c r="BI387" s="297"/>
      <c r="BJ387" s="297"/>
      <c r="BK387" s="297"/>
      <c r="BL387" s="297"/>
      <c r="BM387" s="297"/>
      <c r="BN387" s="297"/>
      <c r="BO387" s="297"/>
      <c r="BP387" s="297"/>
      <c r="BQ387" s="297"/>
      <c r="BR387" s="297"/>
      <c r="BS387" s="297"/>
      <c r="BT387" s="297"/>
      <c r="BU387" s="297"/>
      <c r="BV387" s="297"/>
      <c r="BW387" s="297"/>
      <c r="BX387" s="297"/>
      <c r="BY387" s="297"/>
      <c r="BZ387" s="297"/>
      <c r="CA387" s="297"/>
      <c r="CB387" s="297"/>
      <c r="CC387" s="297"/>
      <c r="CD387" s="297"/>
      <c r="CE387" s="297"/>
      <c r="CF387" s="297"/>
      <c r="CG387" s="297"/>
    </row>
    <row r="388" spans="1:85" ht="12" customHeight="1" outlineLevel="2">
      <c r="A388" s="288"/>
      <c r="B388" s="288" t="s">
        <v>2334</v>
      </c>
      <c r="C388" s="288">
        <v>3</v>
      </c>
      <c r="D388" s="291" t="s">
        <v>1707</v>
      </c>
      <c r="E388" s="246"/>
      <c r="F388" s="246"/>
      <c r="G388" s="244" t="s">
        <v>1427</v>
      </c>
      <c r="H388" s="244"/>
      <c r="I388" s="244"/>
      <c r="J388" s="244"/>
      <c r="K388" s="244"/>
      <c r="L388" s="244"/>
      <c r="M388" s="244"/>
      <c r="N388" s="244"/>
      <c r="O388" s="244"/>
      <c r="P388" s="243">
        <v>45733</v>
      </c>
      <c r="Q388" s="243">
        <v>45856</v>
      </c>
      <c r="R388" s="314"/>
      <c r="S388" s="242">
        <v>354</v>
      </c>
      <c r="T388" s="242">
        <v>354</v>
      </c>
      <c r="U388" s="242">
        <v>86</v>
      </c>
      <c r="V388" s="242">
        <v>86</v>
      </c>
      <c r="W388" s="243"/>
      <c r="X388" s="243"/>
      <c r="Y388" s="251">
        <v>0</v>
      </c>
      <c r="Z388" s="252">
        <v>0</v>
      </c>
      <c r="AA388" s="242"/>
      <c r="AB388" s="254"/>
      <c r="AC388" s="253"/>
      <c r="AD388" s="239">
        <v>1</v>
      </c>
      <c r="AE388" s="241">
        <v>1</v>
      </c>
      <c r="AF388" s="296"/>
      <c r="AG388" s="297"/>
      <c r="AH388" s="297"/>
      <c r="AI388" s="297"/>
      <c r="AJ388" s="297"/>
      <c r="AK388" s="297"/>
      <c r="AL388" s="297"/>
      <c r="AM388" s="297"/>
      <c r="AN388" s="297"/>
      <c r="AO388" s="297"/>
      <c r="AP388" s="297"/>
      <c r="AQ388" s="297"/>
      <c r="AR388" s="297"/>
      <c r="AS388" s="297"/>
      <c r="AT388" s="297"/>
      <c r="AU388" s="297"/>
      <c r="AV388" s="297"/>
      <c r="AW388" s="297"/>
      <c r="AX388" s="297"/>
      <c r="AY388" s="297"/>
      <c r="AZ388" s="297"/>
      <c r="BA388" s="297" t="str">
        <f>"      " &amp; TEXT(AE388,"#0.00%") &amp; " " &amp; "설계" &amp; " " &amp; IF(P388="","",TEXT(P388,"M/D-")) &amp; IF(Q388="","",TEXT(Q388,"M/D")) &amp; " "</f>
        <v xml:space="preserve">      100.00% 설계 3/17-7/18 </v>
      </c>
      <c r="BB388" s="297"/>
      <c r="BC388" s="297"/>
      <c r="BD388" s="297"/>
      <c r="BE388" s="297"/>
      <c r="BF388" s="297"/>
      <c r="BG388" s="297"/>
      <c r="BH388" s="297"/>
      <c r="BI388" s="297"/>
      <c r="BJ388" s="297"/>
      <c r="BK388" s="297"/>
      <c r="BL388" s="297"/>
      <c r="BM388" s="297"/>
      <c r="BN388" s="297"/>
      <c r="BO388" s="297"/>
      <c r="BP388" s="297"/>
      <c r="BQ388" s="297"/>
      <c r="BR388" s="297"/>
      <c r="BS388" s="297"/>
      <c r="BT388" s="297"/>
      <c r="BU388" s="297"/>
      <c r="BV388" s="297"/>
      <c r="BW388" s="297"/>
      <c r="BX388" s="297"/>
      <c r="BY388" s="297"/>
      <c r="BZ388" s="297"/>
      <c r="CA388" s="297"/>
      <c r="CB388" s="297"/>
      <c r="CC388" s="297"/>
      <c r="CD388" s="297"/>
      <c r="CE388" s="297"/>
      <c r="CF388" s="297"/>
      <c r="CG388" s="297"/>
    </row>
    <row r="389" spans="1:85" ht="12" customHeight="1" outlineLevel="3">
      <c r="A389" s="288"/>
      <c r="B389" s="288"/>
      <c r="C389" s="288">
        <v>4</v>
      </c>
      <c r="D389" s="291" t="s">
        <v>1915</v>
      </c>
      <c r="E389" s="246"/>
      <c r="F389" s="246"/>
      <c r="G389" s="244"/>
      <c r="H389" s="244" t="s">
        <v>2280</v>
      </c>
      <c r="I389" s="244"/>
      <c r="J389" s="244"/>
      <c r="K389" s="244"/>
      <c r="L389" s="244"/>
      <c r="M389" s="244"/>
      <c r="N389" s="244"/>
      <c r="O389" s="244"/>
      <c r="P389" s="243">
        <v>45768</v>
      </c>
      <c r="Q389" s="243">
        <v>45791</v>
      </c>
      <c r="R389" s="314"/>
      <c r="S389" s="242">
        <v>16</v>
      </c>
      <c r="T389" s="242">
        <v>16</v>
      </c>
      <c r="U389" s="242">
        <v>16</v>
      </c>
      <c r="V389" s="242">
        <v>16</v>
      </c>
      <c r="W389" s="243"/>
      <c r="X389" s="243"/>
      <c r="Y389" s="251"/>
      <c r="Z389" s="252">
        <v>0</v>
      </c>
      <c r="AA389" s="242">
        <v>1</v>
      </c>
      <c r="AB389" s="254"/>
      <c r="AC389" s="253"/>
      <c r="AD389" s="239">
        <v>1</v>
      </c>
      <c r="AE389" s="304">
        <v>1</v>
      </c>
      <c r="AF389" s="296"/>
      <c r="AG389" s="297"/>
      <c r="AH389" s="297"/>
      <c r="AI389" s="297"/>
      <c r="AJ389" s="297"/>
      <c r="AK389" s="297"/>
      <c r="AL389" s="297"/>
      <c r="AM389" s="297"/>
      <c r="AN389" s="297"/>
      <c r="AO389" s="297"/>
      <c r="AP389" s="297"/>
      <c r="AQ389" s="297"/>
      <c r="AR389" s="297" t="str">
        <f>"    " &amp; TEXT(AE389,"#0.00%") &amp; " " &amp; "기획(1차)" &amp; " " &amp; IF(P389="","",TEXT(P389,"M/D-")) &amp; IF(Q389="","",TEXT(Q389,"M/D")) &amp; " "</f>
        <v xml:space="preserve">    100.00% 기획(1차) 4/21-5/14 </v>
      </c>
      <c r="AS389" s="297"/>
      <c r="AT389" s="297"/>
      <c r="AU389" s="297"/>
      <c r="AV389" s="297"/>
      <c r="AW389" s="297"/>
      <c r="AX389" s="297"/>
      <c r="AY389" s="297"/>
      <c r="AZ389" s="297"/>
      <c r="BA389" s="297"/>
      <c r="BB389" s="297"/>
      <c r="BC389" s="297"/>
      <c r="BD389" s="297"/>
      <c r="BE389" s="297"/>
      <c r="BF389" s="297"/>
      <c r="BG389" s="297"/>
      <c r="BH389" s="297"/>
      <c r="BI389" s="297"/>
      <c r="BJ389" s="297"/>
      <c r="BK389" s="297"/>
      <c r="BL389" s="297"/>
      <c r="BM389" s="297"/>
      <c r="BN389" s="297"/>
      <c r="BO389" s="297"/>
      <c r="BP389" s="297"/>
      <c r="BQ389" s="297"/>
      <c r="BR389" s="297"/>
      <c r="BS389" s="297"/>
      <c r="BT389" s="297"/>
      <c r="BU389" s="297"/>
      <c r="BV389" s="297"/>
      <c r="BW389" s="297"/>
      <c r="BX389" s="297"/>
      <c r="BY389" s="297"/>
      <c r="BZ389" s="297"/>
      <c r="CA389" s="297"/>
      <c r="CB389" s="297"/>
      <c r="CC389" s="297"/>
      <c r="CD389" s="297"/>
      <c r="CE389" s="297"/>
      <c r="CF389" s="297"/>
      <c r="CG389" s="297"/>
    </row>
    <row r="390" spans="1:85" ht="12" customHeight="1" outlineLevel="3">
      <c r="A390" s="288"/>
      <c r="B390" s="288"/>
      <c r="C390" s="288">
        <v>4</v>
      </c>
      <c r="D390" s="291" t="s">
        <v>1916</v>
      </c>
      <c r="E390" s="246"/>
      <c r="F390" s="246"/>
      <c r="G390" s="246"/>
      <c r="H390" s="246" t="s">
        <v>2281</v>
      </c>
      <c r="I390" s="246"/>
      <c r="J390" s="246"/>
      <c r="K390" s="246"/>
      <c r="L390" s="246"/>
      <c r="M390" s="246"/>
      <c r="N390" s="246"/>
      <c r="O390" s="246"/>
      <c r="P390" s="243">
        <v>45796</v>
      </c>
      <c r="Q390" s="243">
        <v>45819</v>
      </c>
      <c r="R390" s="314"/>
      <c r="S390" s="247">
        <v>16</v>
      </c>
      <c r="T390" s="247">
        <v>16</v>
      </c>
      <c r="U390" s="247">
        <v>16</v>
      </c>
      <c r="V390" s="247">
        <v>16</v>
      </c>
      <c r="W390" s="248"/>
      <c r="X390" s="248"/>
      <c r="Y390" s="265"/>
      <c r="Z390" s="266">
        <v>0</v>
      </c>
      <c r="AA390" s="247">
        <v>1</v>
      </c>
      <c r="AB390" s="244" t="s">
        <v>1980</v>
      </c>
      <c r="AC390" s="317" t="s">
        <v>2196</v>
      </c>
      <c r="AD390" s="240">
        <v>1</v>
      </c>
      <c r="AE390" s="330">
        <v>1</v>
      </c>
      <c r="AF390" s="296"/>
      <c r="AG390" s="297"/>
      <c r="AH390" s="297"/>
      <c r="AI390" s="297"/>
      <c r="AJ390" s="297"/>
      <c r="AK390" s="297"/>
      <c r="AL390" s="297"/>
      <c r="AM390" s="297"/>
      <c r="AN390" s="297"/>
      <c r="AO390" s="297"/>
      <c r="AP390" s="297"/>
      <c r="AQ390" s="297"/>
      <c r="AR390" s="297"/>
      <c r="AS390" s="297"/>
      <c r="AT390" s="297"/>
      <c r="AU390" s="297"/>
      <c r="AV390" s="297" t="str">
        <f>"    " &amp; TEXT(AE390,"#0.00%") &amp; " " &amp; "기획(2차)" &amp; "(김재희님)" &amp; " " &amp; IF(P390="","",TEXT(P390,"M/D-")) &amp; IF(Q390="","",TEXT(Q390,"M/D")) &amp; " "</f>
        <v xml:space="preserve">    100.00% 기획(2차)(김재희님) 5/19-6/11 </v>
      </c>
      <c r="AW390" s="297"/>
      <c r="AX390" s="297"/>
      <c r="AY390" s="297"/>
      <c r="AZ390" s="297"/>
      <c r="BA390" s="297"/>
      <c r="BB390" s="297"/>
      <c r="BC390" s="297"/>
      <c r="BD390" s="297"/>
      <c r="BE390" s="297"/>
      <c r="BF390" s="297"/>
      <c r="BG390" s="297"/>
      <c r="BH390" s="297"/>
      <c r="BI390" s="297"/>
      <c r="BJ390" s="297"/>
      <c r="BK390" s="297"/>
      <c r="BL390" s="297"/>
      <c r="BM390" s="297"/>
      <c r="BN390" s="297"/>
      <c r="BO390" s="297"/>
      <c r="BP390" s="297"/>
      <c r="BQ390" s="297"/>
      <c r="BR390" s="297"/>
      <c r="BS390" s="297"/>
      <c r="BT390" s="297"/>
      <c r="BU390" s="297"/>
      <c r="BV390" s="297"/>
      <c r="BW390" s="297"/>
      <c r="BX390" s="297"/>
      <c r="BY390" s="297"/>
      <c r="BZ390" s="297"/>
      <c r="CA390" s="297"/>
      <c r="CB390" s="297"/>
      <c r="CC390" s="297"/>
      <c r="CD390" s="297"/>
      <c r="CE390" s="297"/>
      <c r="CF390" s="297"/>
      <c r="CG390" s="297"/>
    </row>
    <row r="391" spans="1:85" ht="12" customHeight="1" outlineLevel="3">
      <c r="A391" s="288"/>
      <c r="B391" s="288"/>
      <c r="C391" s="288">
        <v>4</v>
      </c>
      <c r="D391" s="313" t="s">
        <v>1986</v>
      </c>
      <c r="E391" s="314"/>
      <c r="F391" s="314"/>
      <c r="G391" s="314"/>
      <c r="H391" s="314" t="s">
        <v>2048</v>
      </c>
      <c r="I391" s="314"/>
      <c r="J391" s="314"/>
      <c r="K391" s="314"/>
      <c r="L391" s="314"/>
      <c r="M391" s="314"/>
      <c r="N391" s="314"/>
      <c r="O391" s="314"/>
      <c r="P391" s="243">
        <v>45733</v>
      </c>
      <c r="Q391" s="243">
        <v>45772</v>
      </c>
      <c r="R391" s="246"/>
      <c r="S391" s="247">
        <v>30</v>
      </c>
      <c r="T391" s="247">
        <v>30</v>
      </c>
      <c r="U391" s="247">
        <v>30</v>
      </c>
      <c r="V391" s="247">
        <v>30</v>
      </c>
      <c r="W391" s="248"/>
      <c r="X391" s="248"/>
      <c r="Y391" s="265"/>
      <c r="Z391" s="266">
        <v>0</v>
      </c>
      <c r="AA391" s="247">
        <v>1</v>
      </c>
      <c r="AB391" s="244" t="s">
        <v>1980</v>
      </c>
      <c r="AC391" s="311" t="s">
        <v>2197</v>
      </c>
      <c r="AD391" s="240">
        <v>1</v>
      </c>
      <c r="AE391" s="330">
        <v>1</v>
      </c>
      <c r="AF391" s="296"/>
      <c r="AG391" s="297"/>
      <c r="AH391" s="297"/>
      <c r="AI391" s="297"/>
      <c r="AJ391" s="297"/>
      <c r="AK391" s="297"/>
      <c r="AL391" s="297"/>
      <c r="AM391" s="297"/>
      <c r="AN391" s="297"/>
      <c r="AO391" s="297" t="str">
        <f>"      " &amp; TEXT(AE391,"#0.00%") &amp; " " &amp; "공통" &amp; "(김재희님)" &amp; " " &amp; IF(P391="","",TEXT(P391,"M/D-")) &amp; IF(Q391="","",TEXT(Q391,"M/D")) &amp; " "</f>
        <v xml:space="preserve">      100.00% 공통(김재희님) 3/17-4/25 </v>
      </c>
      <c r="AP391" s="297"/>
      <c r="AQ391" s="297"/>
      <c r="AR391" s="297"/>
      <c r="AS391" s="297"/>
      <c r="AT391" s="297"/>
      <c r="AU391" s="297"/>
      <c r="AV391" s="297"/>
      <c r="AW391" s="297"/>
      <c r="AX391" s="297"/>
      <c r="AY391" s="297"/>
      <c r="AZ391" s="297"/>
      <c r="BA391" s="297"/>
      <c r="BB391" s="297"/>
      <c r="BC391" s="297"/>
      <c r="BD391" s="297"/>
      <c r="BE391" s="297"/>
      <c r="BF391" s="297"/>
      <c r="BG391" s="297"/>
      <c r="BH391" s="297"/>
      <c r="BI391" s="297"/>
      <c r="BJ391" s="297"/>
      <c r="BK391" s="297"/>
      <c r="BL391" s="297"/>
      <c r="BM391" s="297"/>
      <c r="BN391" s="297"/>
      <c r="BO391" s="297"/>
      <c r="BP391" s="297"/>
      <c r="BQ391" s="297"/>
      <c r="BR391" s="297"/>
      <c r="BS391" s="297"/>
      <c r="BT391" s="297"/>
      <c r="BU391" s="297"/>
      <c r="BV391" s="297"/>
      <c r="BW391" s="297"/>
      <c r="BX391" s="297"/>
      <c r="BY391" s="297"/>
      <c r="BZ391" s="297"/>
      <c r="CA391" s="297"/>
      <c r="CB391" s="297"/>
      <c r="CC391" s="297"/>
      <c r="CD391" s="297"/>
      <c r="CE391" s="297"/>
      <c r="CF391" s="297"/>
      <c r="CG391" s="297"/>
    </row>
    <row r="392" spans="1:85" ht="12" customHeight="1" outlineLevel="3">
      <c r="A392" s="288"/>
      <c r="B392" s="288"/>
      <c r="C392" s="288">
        <v>4</v>
      </c>
      <c r="D392" s="291" t="s">
        <v>1988</v>
      </c>
      <c r="E392" s="246"/>
      <c r="F392" s="246"/>
      <c r="G392" s="246"/>
      <c r="H392" s="246" t="s">
        <v>2268</v>
      </c>
      <c r="I392" s="246"/>
      <c r="J392" s="246"/>
      <c r="K392" s="246"/>
      <c r="L392" s="246"/>
      <c r="M392" s="246"/>
      <c r="N392" s="246"/>
      <c r="O392" s="246"/>
      <c r="P392" s="243">
        <v>45733</v>
      </c>
      <c r="Q392" s="243">
        <v>45737</v>
      </c>
      <c r="R392" s="246"/>
      <c r="S392" s="247">
        <v>5</v>
      </c>
      <c r="T392" s="247">
        <v>5</v>
      </c>
      <c r="U392" s="247">
        <v>5</v>
      </c>
      <c r="V392" s="247">
        <v>5</v>
      </c>
      <c r="W392" s="248"/>
      <c r="X392" s="248"/>
      <c r="Y392" s="265"/>
      <c r="Z392" s="266">
        <v>0</v>
      </c>
      <c r="AA392" s="247">
        <v>1</v>
      </c>
      <c r="AB392" s="244" t="s">
        <v>1980</v>
      </c>
      <c r="AC392" s="316" t="s">
        <v>2198</v>
      </c>
      <c r="AD392" s="240">
        <v>1</v>
      </c>
      <c r="AE392" s="304">
        <v>1</v>
      </c>
      <c r="AF392" s="296"/>
      <c r="AG392" s="297"/>
      <c r="AH392" s="297"/>
      <c r="AI392" s="297"/>
      <c r="AJ392" s="297" t="str">
        <f>"      " &amp; TEXT(AE392,"#0.00%") &amp; " " &amp; "기준정보관리" &amp; "(김재희님)" &amp; " " &amp; IF(P392="","",TEXT(P392,"M/D-")) &amp; IF(Q392="","",TEXT(Q392,"M/D")) &amp; " "</f>
        <v xml:space="preserve">      100.00% 기준정보관리(김재희님) 3/17-3/21 </v>
      </c>
      <c r="AK392" s="297"/>
      <c r="AL392" s="297"/>
      <c r="AM392" s="297"/>
      <c r="AN392" s="297"/>
      <c r="AO392" s="297"/>
      <c r="AP392" s="297"/>
      <c r="AQ392" s="297"/>
      <c r="AR392" s="297"/>
      <c r="AS392" s="297"/>
      <c r="AT392" s="297"/>
      <c r="AU392" s="297"/>
      <c r="AV392" s="297"/>
      <c r="AW392" s="297"/>
      <c r="AX392" s="297"/>
      <c r="AY392" s="297"/>
      <c r="AZ392" s="297"/>
      <c r="BA392" s="297"/>
      <c r="BB392" s="297"/>
      <c r="BC392" s="297"/>
      <c r="BD392" s="297"/>
      <c r="BE392" s="297"/>
      <c r="BF392" s="297"/>
      <c r="BG392" s="297"/>
      <c r="BH392" s="297"/>
      <c r="BI392" s="297"/>
      <c r="BJ392" s="297"/>
      <c r="BK392" s="297"/>
      <c r="BL392" s="297"/>
      <c r="BM392" s="297"/>
      <c r="BN392" s="297"/>
      <c r="BO392" s="297"/>
      <c r="BP392" s="297"/>
      <c r="BQ392" s="297"/>
      <c r="BR392" s="297"/>
      <c r="BS392" s="297"/>
      <c r="BT392" s="297"/>
      <c r="BU392" s="297"/>
      <c r="BV392" s="297"/>
      <c r="BW392" s="297"/>
      <c r="BX392" s="297"/>
      <c r="BY392" s="297"/>
      <c r="BZ392" s="297"/>
      <c r="CA392" s="297"/>
      <c r="CB392" s="297"/>
      <c r="CC392" s="297"/>
      <c r="CD392" s="297"/>
      <c r="CE392" s="297"/>
      <c r="CF392" s="297"/>
      <c r="CG392" s="297"/>
    </row>
    <row r="393" spans="1:85" ht="12" customHeight="1" outlineLevel="3">
      <c r="A393" s="288"/>
      <c r="B393" s="288"/>
      <c r="C393" s="288">
        <v>4</v>
      </c>
      <c r="D393" s="291" t="s">
        <v>2467</v>
      </c>
      <c r="E393" s="246"/>
      <c r="F393" s="246"/>
      <c r="G393" s="246"/>
      <c r="H393" s="314" t="s">
        <v>2269</v>
      </c>
      <c r="I393" s="314"/>
      <c r="J393" s="314"/>
      <c r="K393" s="314"/>
      <c r="L393" s="314"/>
      <c r="M393" s="314"/>
      <c r="N393" s="314"/>
      <c r="O393" s="314"/>
      <c r="P393" s="243">
        <v>45733</v>
      </c>
      <c r="Q393" s="243">
        <v>45765</v>
      </c>
      <c r="R393" s="246"/>
      <c r="S393" s="247">
        <v>25</v>
      </c>
      <c r="T393" s="247">
        <v>25</v>
      </c>
      <c r="U393" s="247">
        <v>25</v>
      </c>
      <c r="V393" s="247">
        <v>25</v>
      </c>
      <c r="W393" s="248"/>
      <c r="X393" s="248"/>
      <c r="Y393" s="265"/>
      <c r="Z393" s="266">
        <v>0</v>
      </c>
      <c r="AA393" s="247">
        <v>1</v>
      </c>
      <c r="AB393" s="244" t="s">
        <v>1980</v>
      </c>
      <c r="AC393" s="264"/>
      <c r="AD393" s="240">
        <v>1</v>
      </c>
      <c r="AE393" s="304">
        <v>1</v>
      </c>
      <c r="AF393" s="296"/>
      <c r="AG393" s="297"/>
      <c r="AH393" s="297"/>
      <c r="AI393" s="297"/>
      <c r="AJ393" s="297"/>
      <c r="AK393" s="297"/>
      <c r="AL393" s="297"/>
      <c r="AM393" s="297"/>
      <c r="AN393" s="297" t="str">
        <f>"      " &amp; TEXT(AE393,"#0.00%") &amp; " " &amp; "POS/키오스크 관리" &amp; "(김재희님)" &amp; " " &amp; IF(P393="","",TEXT(P393,"M/D-")) &amp; IF(Q393="","",TEXT(Q393,"M/D")) &amp; " "</f>
        <v xml:space="preserve">      100.00% POS/키오스크 관리(김재희님) 3/17-4/18 </v>
      </c>
      <c r="AO393" s="297"/>
      <c r="AP393" s="297"/>
      <c r="AQ393" s="297"/>
      <c r="AR393" s="297"/>
      <c r="AS393" s="297"/>
      <c r="AT393" s="297"/>
      <c r="AU393" s="297"/>
      <c r="AV393" s="297"/>
      <c r="AW393" s="297"/>
      <c r="AX393" s="297"/>
      <c r="AY393" s="297"/>
      <c r="AZ393" s="297"/>
      <c r="BA393" s="297"/>
      <c r="BB393" s="297"/>
      <c r="BC393" s="297"/>
      <c r="BD393" s="297"/>
      <c r="BE393" s="297"/>
      <c r="BF393" s="297"/>
      <c r="BG393" s="297"/>
      <c r="BH393" s="297"/>
      <c r="BI393" s="297"/>
      <c r="BJ393" s="297"/>
      <c r="BK393" s="297"/>
      <c r="BL393" s="297"/>
      <c r="BM393" s="297"/>
      <c r="BN393" s="297"/>
      <c r="BO393" s="297"/>
      <c r="BP393" s="297"/>
      <c r="BQ393" s="297"/>
      <c r="BR393" s="297"/>
      <c r="BS393" s="297"/>
      <c r="BT393" s="297"/>
      <c r="BU393" s="297"/>
      <c r="BV393" s="297"/>
      <c r="BW393" s="297"/>
      <c r="BX393" s="297"/>
      <c r="BY393" s="297"/>
      <c r="BZ393" s="297"/>
      <c r="CA393" s="297"/>
      <c r="CB393" s="297"/>
      <c r="CC393" s="297"/>
      <c r="CD393" s="297"/>
      <c r="CE393" s="297"/>
      <c r="CF393" s="297"/>
      <c r="CG393" s="297"/>
    </row>
    <row r="394" spans="1:85" ht="12" customHeight="1" outlineLevel="3">
      <c r="A394" s="288"/>
      <c r="B394" s="288"/>
      <c r="C394" s="288">
        <v>4</v>
      </c>
      <c r="D394" s="291" t="s">
        <v>2468</v>
      </c>
      <c r="E394" s="246"/>
      <c r="F394" s="246"/>
      <c r="G394" s="246"/>
      <c r="H394" s="246" t="s">
        <v>2270</v>
      </c>
      <c r="I394" s="246"/>
      <c r="J394" s="246"/>
      <c r="K394" s="246"/>
      <c r="L394" s="246"/>
      <c r="M394" s="246"/>
      <c r="N394" s="246"/>
      <c r="O394" s="246"/>
      <c r="P394" s="248">
        <v>45754</v>
      </c>
      <c r="Q394" s="248">
        <v>45791</v>
      </c>
      <c r="R394" s="246"/>
      <c r="S394" s="247">
        <v>78</v>
      </c>
      <c r="T394" s="247">
        <v>78</v>
      </c>
      <c r="U394" s="247">
        <v>26</v>
      </c>
      <c r="V394" s="247">
        <v>26</v>
      </c>
      <c r="W394" s="248"/>
      <c r="X394" s="248"/>
      <c r="Y394" s="265"/>
      <c r="Z394" s="266">
        <v>0</v>
      </c>
      <c r="AA394" s="247">
        <v>3</v>
      </c>
      <c r="AB394" s="246"/>
      <c r="AC394" s="263"/>
      <c r="AD394" s="240">
        <v>1</v>
      </c>
      <c r="AE394" s="304">
        <v>1</v>
      </c>
      <c r="AF394" s="296"/>
      <c r="AG394" s="297"/>
      <c r="AH394" s="297"/>
      <c r="AI394" s="297"/>
      <c r="AJ394" s="297"/>
      <c r="AK394" s="297"/>
      <c r="AL394" s="297"/>
      <c r="AM394" s="297"/>
      <c r="AN394" s="297"/>
      <c r="AO394" s="297"/>
      <c r="AP394" s="297"/>
      <c r="AQ394" s="297"/>
      <c r="AR394" s="297" t="str">
        <f>"    " &amp; TEXT(AE394,"#0.00%") &amp; " " &amp; "시스템관리" &amp; " " &amp; IF(P394="","",TEXT(P394,"M/D-")) &amp; IF(Q394="","",TEXT(Q394,"M/D")) &amp; " "</f>
        <v xml:space="preserve">    100.00% 시스템관리 4/7-5/14 </v>
      </c>
      <c r="AS394" s="297"/>
      <c r="AT394" s="297"/>
      <c r="AU394" s="297"/>
      <c r="AV394" s="297"/>
      <c r="AW394" s="297"/>
      <c r="AX394" s="297"/>
      <c r="AY394" s="297"/>
      <c r="AZ394" s="297"/>
      <c r="BA394" s="297"/>
      <c r="BB394" s="297"/>
      <c r="BC394" s="297"/>
      <c r="BD394" s="297"/>
      <c r="BE394" s="297"/>
      <c r="BF394" s="297"/>
      <c r="BG394" s="297"/>
      <c r="BH394" s="297"/>
      <c r="BI394" s="297"/>
      <c r="BJ394" s="297"/>
      <c r="BK394" s="297"/>
      <c r="BL394" s="297"/>
      <c r="BM394" s="297"/>
      <c r="BN394" s="297"/>
      <c r="BO394" s="297"/>
      <c r="BP394" s="297"/>
      <c r="BQ394" s="297"/>
      <c r="BR394" s="297"/>
      <c r="BS394" s="297"/>
      <c r="BT394" s="297"/>
      <c r="BU394" s="297"/>
      <c r="BV394" s="297"/>
      <c r="BW394" s="297"/>
      <c r="BX394" s="297"/>
      <c r="BY394" s="297"/>
      <c r="BZ394" s="297"/>
      <c r="CA394" s="297"/>
      <c r="CB394" s="297"/>
      <c r="CC394" s="297"/>
      <c r="CD394" s="297"/>
      <c r="CE394" s="297"/>
      <c r="CF394" s="297"/>
      <c r="CG394" s="297"/>
    </row>
    <row r="395" spans="1:85" ht="12" customHeight="1" outlineLevel="3">
      <c r="A395" s="288"/>
      <c r="B395" s="288"/>
      <c r="C395" s="288">
        <v>4</v>
      </c>
      <c r="D395" s="291" t="s">
        <v>2469</v>
      </c>
      <c r="E395" s="246"/>
      <c r="F395" s="246"/>
      <c r="G395" s="246"/>
      <c r="H395" s="244" t="s">
        <v>2271</v>
      </c>
      <c r="I395" s="246"/>
      <c r="J395" s="246"/>
      <c r="K395" s="246"/>
      <c r="L395" s="246"/>
      <c r="M395" s="246"/>
      <c r="N395" s="246"/>
      <c r="O395" s="246"/>
      <c r="P395" s="248">
        <v>45747</v>
      </c>
      <c r="Q395" s="248">
        <v>45791</v>
      </c>
      <c r="R395" s="246"/>
      <c r="S395" s="247">
        <v>93</v>
      </c>
      <c r="T395" s="247">
        <v>93</v>
      </c>
      <c r="U395" s="247">
        <v>31</v>
      </c>
      <c r="V395" s="247">
        <v>31</v>
      </c>
      <c r="W395" s="248"/>
      <c r="X395" s="248"/>
      <c r="Y395" s="265"/>
      <c r="Z395" s="266">
        <v>0</v>
      </c>
      <c r="AA395" s="247">
        <v>3</v>
      </c>
      <c r="AB395" s="246"/>
      <c r="AC395" s="263"/>
      <c r="AD395" s="240">
        <v>1</v>
      </c>
      <c r="AE395" s="304">
        <v>1</v>
      </c>
      <c r="AF395" s="296"/>
      <c r="AG395" s="297"/>
      <c r="AH395" s="297"/>
      <c r="AI395" s="297"/>
      <c r="AJ395" s="297"/>
      <c r="AK395" s="297"/>
      <c r="AL395" s="297"/>
      <c r="AM395" s="297"/>
      <c r="AN395" s="297"/>
      <c r="AO395" s="297"/>
      <c r="AP395" s="297"/>
      <c r="AQ395" s="297"/>
      <c r="AR395" s="297" t="str">
        <f>"    " &amp; TEXT(AE395,"#0.00%") &amp; " " &amp; "배치관리" &amp; " " &amp; IF(P395="","",TEXT(P395,"M/D-")) &amp; IF(Q395="","",TEXT(Q395,"M/D")) &amp; " "</f>
        <v xml:space="preserve">    100.00% 배치관리 3/31-5/14 </v>
      </c>
      <c r="AS395" s="297"/>
      <c r="AT395" s="297"/>
      <c r="AU395" s="297"/>
      <c r="AV395" s="297"/>
      <c r="AW395" s="297"/>
      <c r="AX395" s="297"/>
      <c r="AY395" s="297"/>
      <c r="AZ395" s="297"/>
      <c r="BA395" s="297"/>
      <c r="BB395" s="297"/>
      <c r="BC395" s="297"/>
      <c r="BD395" s="297"/>
      <c r="BE395" s="297"/>
      <c r="BF395" s="297"/>
      <c r="BG395" s="297"/>
      <c r="BH395" s="297"/>
      <c r="BI395" s="297"/>
      <c r="BJ395" s="297"/>
      <c r="BK395" s="297"/>
      <c r="BL395" s="297"/>
      <c r="BM395" s="297"/>
      <c r="BN395" s="297"/>
      <c r="BO395" s="297"/>
      <c r="BP395" s="297"/>
      <c r="BQ395" s="297"/>
      <c r="BR395" s="297"/>
      <c r="BS395" s="297"/>
      <c r="BT395" s="297"/>
      <c r="BU395" s="297"/>
      <c r="BV395" s="297"/>
      <c r="BW395" s="297"/>
      <c r="BX395" s="297"/>
      <c r="BY395" s="297"/>
      <c r="BZ395" s="297"/>
      <c r="CA395" s="297"/>
      <c r="CB395" s="297"/>
      <c r="CC395" s="297"/>
      <c r="CD395" s="297"/>
      <c r="CE395" s="297"/>
      <c r="CF395" s="297"/>
      <c r="CG395" s="297"/>
    </row>
    <row r="396" spans="1:85" ht="12" customHeight="1" outlineLevel="3">
      <c r="A396" s="288"/>
      <c r="B396" s="288"/>
      <c r="C396" s="288">
        <v>4</v>
      </c>
      <c r="D396" s="291" t="s">
        <v>2470</v>
      </c>
      <c r="E396" s="246"/>
      <c r="F396" s="246"/>
      <c r="G396" s="246"/>
      <c r="H396" s="244" t="s">
        <v>1989</v>
      </c>
      <c r="I396" s="244"/>
      <c r="J396" s="246"/>
      <c r="K396" s="246"/>
      <c r="L396" s="246"/>
      <c r="M396" s="246"/>
      <c r="N396" s="246"/>
      <c r="O396" s="246"/>
      <c r="P396" s="243">
        <v>45831</v>
      </c>
      <c r="Q396" s="243">
        <v>45856</v>
      </c>
      <c r="R396" s="246"/>
      <c r="S396" s="247">
        <v>60</v>
      </c>
      <c r="T396" s="247">
        <v>60</v>
      </c>
      <c r="U396" s="247">
        <v>20</v>
      </c>
      <c r="V396" s="247">
        <v>20</v>
      </c>
      <c r="W396" s="248"/>
      <c r="X396" s="248"/>
      <c r="Y396" s="265"/>
      <c r="Z396" s="266">
        <v>0</v>
      </c>
      <c r="AA396" s="247">
        <v>3</v>
      </c>
      <c r="AB396" s="246"/>
      <c r="AC396" s="263"/>
      <c r="AD396" s="240">
        <v>1</v>
      </c>
      <c r="AE396" s="330">
        <v>1</v>
      </c>
      <c r="AF396" s="296"/>
      <c r="AG396" s="297"/>
      <c r="AH396" s="297"/>
      <c r="AI396" s="297"/>
      <c r="AJ396" s="297"/>
      <c r="AK396" s="297"/>
      <c r="AL396" s="297"/>
      <c r="AM396" s="297"/>
      <c r="AN396" s="297"/>
      <c r="AO396" s="297"/>
      <c r="AP396" s="297"/>
      <c r="AQ396" s="297"/>
      <c r="AR396" s="297"/>
      <c r="AS396" s="297"/>
      <c r="AT396" s="297"/>
      <c r="AU396" s="297"/>
      <c r="AV396" s="297"/>
      <c r="AW396" s="297"/>
      <c r="AX396" s="297"/>
      <c r="AY396" s="297"/>
      <c r="AZ396" s="297"/>
      <c r="BA396" s="297" t="str">
        <f>"      " &amp; TEXT(AE396,"#0.00%") &amp; " " &amp; "2차오픈 대상 로직 설계" &amp; " " &amp; IF(P396="","",TEXT(P396,"M/D-")) &amp; IF(Q396="","",TEXT(Q396,"M/D")) &amp; " "</f>
        <v xml:space="preserve">      100.00% 2차오픈 대상 로직 설계 6/23-7/18 </v>
      </c>
      <c r="BB396" s="297"/>
      <c r="BC396" s="297"/>
      <c r="BD396" s="297"/>
      <c r="BE396" s="297"/>
      <c r="BF396" s="297"/>
      <c r="BG396" s="297"/>
      <c r="BH396" s="297"/>
      <c r="BI396" s="297"/>
      <c r="BJ396" s="297"/>
      <c r="BK396" s="297"/>
      <c r="BL396" s="297"/>
      <c r="BM396" s="297"/>
      <c r="BN396" s="297"/>
      <c r="BO396" s="297"/>
      <c r="BP396" s="297"/>
      <c r="BQ396" s="297"/>
      <c r="BR396" s="297"/>
      <c r="BS396" s="297"/>
      <c r="BT396" s="297"/>
      <c r="BU396" s="297"/>
      <c r="BV396" s="297"/>
      <c r="BW396" s="297"/>
      <c r="BX396" s="297"/>
      <c r="BY396" s="297"/>
      <c r="BZ396" s="297"/>
      <c r="CA396" s="297"/>
      <c r="CB396" s="297"/>
      <c r="CC396" s="297"/>
      <c r="CD396" s="297"/>
      <c r="CE396" s="297"/>
      <c r="CF396" s="297"/>
      <c r="CG396" s="297"/>
    </row>
    <row r="397" spans="1:85" ht="12" customHeight="1" outlineLevel="3">
      <c r="A397" s="288"/>
      <c r="B397" s="288"/>
      <c r="C397" s="288">
        <v>4</v>
      </c>
      <c r="D397" s="291" t="s">
        <v>2471</v>
      </c>
      <c r="E397" s="246"/>
      <c r="F397" s="246"/>
      <c r="G397" s="246"/>
      <c r="H397" s="244" t="s">
        <v>2187</v>
      </c>
      <c r="I397" s="244"/>
      <c r="J397" s="246"/>
      <c r="K397" s="246"/>
      <c r="L397" s="246"/>
      <c r="M397" s="246"/>
      <c r="N397" s="246"/>
      <c r="O397" s="246" t="s">
        <v>2134</v>
      </c>
      <c r="P397" s="243">
        <v>45733</v>
      </c>
      <c r="Q397" s="243">
        <v>45775</v>
      </c>
      <c r="R397" s="246"/>
      <c r="S397" s="247">
        <v>31</v>
      </c>
      <c r="T397" s="247">
        <v>31</v>
      </c>
      <c r="U397" s="247">
        <v>31</v>
      </c>
      <c r="V397" s="247">
        <v>31</v>
      </c>
      <c r="W397" s="248"/>
      <c r="X397" s="248"/>
      <c r="Y397" s="265"/>
      <c r="Z397" s="266">
        <v>0</v>
      </c>
      <c r="AA397" s="247">
        <v>1</v>
      </c>
      <c r="AB397" s="246"/>
      <c r="AC397" s="263"/>
      <c r="AD397" s="240">
        <v>1</v>
      </c>
      <c r="AE397" s="304">
        <v>1</v>
      </c>
      <c r="AF397" s="296"/>
      <c r="AG397" s="297"/>
      <c r="AH397" s="297"/>
      <c r="AI397" s="297"/>
      <c r="AJ397" s="297"/>
      <c r="AK397" s="297"/>
      <c r="AL397" s="297"/>
      <c r="AM397" s="297"/>
      <c r="AN397" s="297"/>
      <c r="AO397" s="297"/>
      <c r="AP397" s="297" t="str">
        <f>"  " &amp; TEXT(AE397,"#0.00%") &amp; " " &amp; "프로세스모델링(TO-BE업무흐름도)" &amp; " " &amp; IF(P397="","",TEXT(P397,"M/D-")) &amp; IF(Q397="","",TEXT(Q397,"M/D")) &amp; " "</f>
        <v xml:space="preserve">  100.00% 프로세스모델링(TO-BE업무흐름도) 3/17-4/28 </v>
      </c>
      <c r="AQ397" s="297"/>
      <c r="AR397" s="297"/>
      <c r="AS397" s="297"/>
      <c r="AT397" s="297"/>
      <c r="AU397" s="297"/>
      <c r="AV397" s="297"/>
      <c r="AW397" s="297"/>
      <c r="AX397" s="297"/>
      <c r="AY397" s="297"/>
      <c r="AZ397" s="297"/>
      <c r="BA397" s="297"/>
      <c r="BB397" s="297"/>
      <c r="BC397" s="297"/>
      <c r="BD397" s="297"/>
      <c r="BE397" s="297"/>
      <c r="BF397" s="297"/>
      <c r="BG397" s="297"/>
      <c r="BH397" s="297"/>
      <c r="BI397" s="297"/>
      <c r="BJ397" s="297"/>
      <c r="BK397" s="297"/>
      <c r="BL397" s="297"/>
      <c r="BM397" s="297"/>
      <c r="BN397" s="297"/>
      <c r="BO397" s="297"/>
      <c r="BP397" s="297"/>
      <c r="BQ397" s="297"/>
      <c r="BR397" s="297"/>
      <c r="BS397" s="297"/>
      <c r="BT397" s="297"/>
      <c r="BU397" s="297"/>
      <c r="BV397" s="297"/>
      <c r="BW397" s="297"/>
      <c r="BX397" s="297"/>
      <c r="BY397" s="297"/>
      <c r="BZ397" s="297"/>
      <c r="CA397" s="297"/>
      <c r="CB397" s="297"/>
      <c r="CC397" s="297"/>
      <c r="CD397" s="297"/>
      <c r="CE397" s="297"/>
      <c r="CF397" s="297"/>
      <c r="CG397" s="297"/>
    </row>
    <row r="398" spans="1:85" ht="12" customHeight="1" outlineLevel="2">
      <c r="A398" s="288"/>
      <c r="B398" s="288" t="s">
        <v>2334</v>
      </c>
      <c r="C398" s="288">
        <v>3</v>
      </c>
      <c r="D398" s="291" t="s">
        <v>1782</v>
      </c>
      <c r="E398" s="246"/>
      <c r="F398" s="246"/>
      <c r="G398" s="246" t="s">
        <v>1743</v>
      </c>
      <c r="H398" s="246"/>
      <c r="I398" s="244"/>
      <c r="J398" s="246"/>
      <c r="K398" s="246"/>
      <c r="L398" s="246"/>
      <c r="M398" s="246"/>
      <c r="N398" s="246"/>
      <c r="O398" s="246"/>
      <c r="P398" s="248">
        <v>45740</v>
      </c>
      <c r="Q398" s="248">
        <v>45898</v>
      </c>
      <c r="R398" s="246"/>
      <c r="S398" s="247">
        <v>1026</v>
      </c>
      <c r="T398" s="247">
        <v>1026</v>
      </c>
      <c r="U398" s="247">
        <v>110</v>
      </c>
      <c r="V398" s="247">
        <v>110</v>
      </c>
      <c r="W398" s="248"/>
      <c r="X398" s="248"/>
      <c r="Y398" s="265">
        <v>0</v>
      </c>
      <c r="Z398" s="266">
        <v>0</v>
      </c>
      <c r="AA398" s="247"/>
      <c r="AB398" s="246"/>
      <c r="AC398" s="263"/>
      <c r="AD398" s="240">
        <v>1</v>
      </c>
      <c r="AE398" s="328">
        <v>1</v>
      </c>
      <c r="AF398" s="296"/>
      <c r="AG398" s="297"/>
      <c r="AH398" s="297"/>
      <c r="AI398" s="297"/>
      <c r="AJ398" s="297"/>
      <c r="AK398" s="297"/>
      <c r="AL398" s="297"/>
      <c r="AM398" s="297"/>
      <c r="AN398" s="297"/>
      <c r="AO398" s="297"/>
      <c r="AP398" s="297"/>
      <c r="AQ398" s="297"/>
      <c r="AR398" s="297"/>
      <c r="AS398" s="297"/>
      <c r="AT398" s="297"/>
      <c r="AU398" s="297"/>
      <c r="AV398" s="297"/>
      <c r="AW398" s="297"/>
      <c r="AX398" s="297"/>
      <c r="AY398" s="297"/>
      <c r="AZ398" s="297"/>
      <c r="BA398" s="297"/>
      <c r="BB398" s="297"/>
      <c r="BC398" s="297"/>
      <c r="BD398" s="297"/>
      <c r="BE398" s="297"/>
      <c r="BF398" s="297"/>
      <c r="BG398" s="297" t="str">
        <f>"      " &amp; TEXT(AE398,"#0.00%") &amp; " " &amp; "구축" &amp; " " &amp; IF(P398="","",TEXT(P398,"M/D-")) &amp; IF(Q398="","",TEXT(Q398,"M/D")) &amp; " "</f>
        <v xml:space="preserve">      100.00% 구축 3/24-8/29 </v>
      </c>
      <c r="BH398" s="297"/>
      <c r="BI398" s="297"/>
      <c r="BJ398" s="297"/>
      <c r="BK398" s="297"/>
      <c r="BL398" s="297"/>
      <c r="BM398" s="297"/>
      <c r="BN398" s="297"/>
      <c r="BO398" s="297"/>
      <c r="BP398" s="297"/>
      <c r="BQ398" s="297"/>
      <c r="BR398" s="297"/>
      <c r="BS398" s="297"/>
      <c r="BT398" s="297"/>
      <c r="BU398" s="297"/>
      <c r="BV398" s="297"/>
      <c r="BW398" s="297"/>
      <c r="BX398" s="297"/>
      <c r="BY398" s="297"/>
      <c r="BZ398" s="297"/>
      <c r="CA398" s="297"/>
      <c r="CB398" s="297"/>
      <c r="CC398" s="297"/>
      <c r="CD398" s="297"/>
      <c r="CE398" s="297"/>
      <c r="CF398" s="297"/>
      <c r="CG398" s="297"/>
    </row>
    <row r="399" spans="1:85" ht="12" customHeight="1" outlineLevel="3">
      <c r="A399" s="288"/>
      <c r="B399" s="288" t="s">
        <v>2334</v>
      </c>
      <c r="C399" s="288">
        <v>4</v>
      </c>
      <c r="D399" s="291" t="s">
        <v>1917</v>
      </c>
      <c r="E399" s="246"/>
      <c r="F399" s="246"/>
      <c r="G399" s="246"/>
      <c r="H399" s="246" t="s">
        <v>2255</v>
      </c>
      <c r="I399" s="244"/>
      <c r="J399" s="246"/>
      <c r="K399" s="246"/>
      <c r="L399" s="246"/>
      <c r="M399" s="246"/>
      <c r="N399" s="246"/>
      <c r="O399" s="246"/>
      <c r="P399" s="248">
        <v>45740</v>
      </c>
      <c r="Q399" s="248">
        <v>45856</v>
      </c>
      <c r="R399" s="246"/>
      <c r="S399" s="247">
        <v>884</v>
      </c>
      <c r="T399" s="247">
        <v>884</v>
      </c>
      <c r="U399" s="247">
        <v>81</v>
      </c>
      <c r="V399" s="247">
        <v>81</v>
      </c>
      <c r="W399" s="248"/>
      <c r="X399" s="248"/>
      <c r="Y399" s="265">
        <v>0</v>
      </c>
      <c r="Z399" s="266">
        <v>0</v>
      </c>
      <c r="AA399" s="247"/>
      <c r="AB399" s="246"/>
      <c r="AC399" s="263"/>
      <c r="AD399" s="240">
        <v>1</v>
      </c>
      <c r="AE399" s="241">
        <v>1</v>
      </c>
      <c r="AF399" s="296"/>
      <c r="AG399" s="297"/>
      <c r="AH399" s="297"/>
      <c r="AI399" s="297"/>
      <c r="AJ399" s="297"/>
      <c r="AK399" s="297"/>
      <c r="AL399" s="297"/>
      <c r="AM399" s="297"/>
      <c r="AN399" s="297"/>
      <c r="AO399" s="297"/>
      <c r="AP399" s="297"/>
      <c r="AQ399" s="297"/>
      <c r="AR399" s="297"/>
      <c r="AS399" s="297"/>
      <c r="AT399" s="297"/>
      <c r="AU399" s="297"/>
      <c r="AV399" s="297"/>
      <c r="AW399" s="297"/>
      <c r="AX399" s="297"/>
      <c r="AY399" s="297"/>
      <c r="AZ399" s="297"/>
      <c r="BA399" s="297" t="str">
        <f>"      " &amp; TEXT(AE399,"#0.00%") &amp; " " &amp; "개발 및 단위테스트(1차)" &amp; " " &amp; IF(P399="","",TEXT(P399,"M/D-")) &amp; IF(Q399="","",TEXT(Q399,"M/D")) &amp; " "</f>
        <v xml:space="preserve">      100.00% 개발 및 단위테스트(1차) 3/24-7/18 </v>
      </c>
      <c r="BB399" s="297"/>
      <c r="BC399" s="297"/>
      <c r="BD399" s="297"/>
      <c r="BE399" s="297"/>
      <c r="BF399" s="297"/>
      <c r="BG399" s="297"/>
      <c r="BH399" s="297"/>
      <c r="BI399" s="297"/>
      <c r="BJ399" s="297"/>
      <c r="BK399" s="297"/>
      <c r="BL399" s="297"/>
      <c r="BM399" s="297"/>
      <c r="BN399" s="297"/>
      <c r="BO399" s="297"/>
      <c r="BP399" s="297"/>
      <c r="BQ399" s="297"/>
      <c r="BR399" s="297"/>
      <c r="BS399" s="297"/>
      <c r="BT399" s="297"/>
      <c r="BU399" s="297"/>
      <c r="BV399" s="297"/>
      <c r="BW399" s="297"/>
      <c r="BX399" s="297"/>
      <c r="BY399" s="297"/>
      <c r="BZ399" s="297"/>
      <c r="CA399" s="297"/>
      <c r="CB399" s="297"/>
      <c r="CC399" s="297"/>
      <c r="CD399" s="297"/>
      <c r="CE399" s="297"/>
      <c r="CF399" s="297"/>
      <c r="CG399" s="297"/>
    </row>
    <row r="400" spans="1:85" ht="12" customHeight="1" outlineLevel="4">
      <c r="A400" s="288"/>
      <c r="B400" s="288"/>
      <c r="C400" s="288">
        <v>5</v>
      </c>
      <c r="D400" s="291" t="s">
        <v>1918</v>
      </c>
      <c r="E400" s="246"/>
      <c r="F400" s="246"/>
      <c r="G400" s="246"/>
      <c r="H400" s="246"/>
      <c r="I400" s="244" t="s">
        <v>1588</v>
      </c>
      <c r="J400" s="246"/>
      <c r="K400" s="246"/>
      <c r="L400" s="246"/>
      <c r="M400" s="246"/>
      <c r="N400" s="246"/>
      <c r="O400" s="246"/>
      <c r="P400" s="248">
        <v>45768</v>
      </c>
      <c r="Q400" s="248">
        <v>45807</v>
      </c>
      <c r="R400" s="246"/>
      <c r="S400" s="247">
        <v>28</v>
      </c>
      <c r="T400" s="247">
        <v>28</v>
      </c>
      <c r="U400" s="247">
        <v>28</v>
      </c>
      <c r="V400" s="247">
        <v>28</v>
      </c>
      <c r="W400" s="248"/>
      <c r="X400" s="248"/>
      <c r="Y400" s="265"/>
      <c r="Z400" s="266">
        <v>0</v>
      </c>
      <c r="AA400" s="247">
        <v>1</v>
      </c>
      <c r="AB400" s="246"/>
      <c r="AC400" s="263"/>
      <c r="AD400" s="240">
        <v>1</v>
      </c>
      <c r="AE400" s="304">
        <v>1</v>
      </c>
      <c r="AF400" s="296"/>
      <c r="AG400" s="297"/>
      <c r="AH400" s="297"/>
      <c r="AI400" s="297"/>
      <c r="AJ400" s="297"/>
      <c r="AK400" s="297"/>
      <c r="AL400" s="297"/>
      <c r="AM400" s="297"/>
      <c r="AN400" s="297"/>
      <c r="AO400" s="297"/>
      <c r="AP400" s="297"/>
      <c r="AQ400" s="297"/>
      <c r="AR400" s="297"/>
      <c r="AS400" s="297"/>
      <c r="AT400" s="297" t="str">
        <f>"      " &amp; TEXT(AE400,"#0.00%") &amp; " " &amp; "디자인" &amp; " " &amp; IF(P400="","",TEXT(P400,"M/D-")) &amp; IF(Q400="","",TEXT(Q400,"M/D")) &amp; " "</f>
        <v xml:space="preserve">      100.00% 디자인 4/21-5/30 </v>
      </c>
      <c r="AU400" s="297"/>
      <c r="AV400" s="297"/>
      <c r="AW400" s="297"/>
      <c r="AX400" s="297"/>
      <c r="AY400" s="297"/>
      <c r="AZ400" s="297"/>
      <c r="BA400" s="297"/>
      <c r="BB400" s="297"/>
      <c r="BC400" s="297"/>
      <c r="BD400" s="297"/>
      <c r="BE400" s="297"/>
      <c r="BF400" s="297"/>
      <c r="BG400" s="297"/>
      <c r="BH400" s="297"/>
      <c r="BI400" s="297"/>
      <c r="BJ400" s="297"/>
      <c r="BK400" s="297"/>
      <c r="BL400" s="297"/>
      <c r="BM400" s="297"/>
      <c r="BN400" s="297"/>
      <c r="BO400" s="297"/>
      <c r="BP400" s="297"/>
      <c r="BQ400" s="297"/>
      <c r="BR400" s="297"/>
      <c r="BS400" s="297"/>
      <c r="BT400" s="297"/>
      <c r="BU400" s="297"/>
      <c r="BV400" s="297"/>
      <c r="BW400" s="297"/>
      <c r="BX400" s="297"/>
      <c r="BY400" s="297"/>
      <c r="BZ400" s="297"/>
      <c r="CA400" s="297"/>
      <c r="CB400" s="297"/>
      <c r="CC400" s="297"/>
      <c r="CD400" s="297"/>
      <c r="CE400" s="297"/>
      <c r="CF400" s="297"/>
      <c r="CG400" s="297"/>
    </row>
    <row r="401" spans="1:85" ht="12" customHeight="1" outlineLevel="4">
      <c r="A401" s="288"/>
      <c r="B401" s="288"/>
      <c r="C401" s="288">
        <v>5</v>
      </c>
      <c r="D401" s="291" t="s">
        <v>1919</v>
      </c>
      <c r="E401" s="246"/>
      <c r="F401" s="246"/>
      <c r="G401" s="246"/>
      <c r="H401" s="246"/>
      <c r="I401" s="246" t="s">
        <v>1589</v>
      </c>
      <c r="J401" s="246"/>
      <c r="K401" s="246"/>
      <c r="L401" s="246"/>
      <c r="M401" s="246"/>
      <c r="N401" s="246"/>
      <c r="O401" s="246"/>
      <c r="P401" s="248">
        <v>45761</v>
      </c>
      <c r="Q401" s="248">
        <v>45835</v>
      </c>
      <c r="R401" s="246"/>
      <c r="S401" s="247">
        <v>51</v>
      </c>
      <c r="T401" s="247">
        <v>51</v>
      </c>
      <c r="U401" s="247">
        <v>51</v>
      </c>
      <c r="V401" s="247">
        <v>51</v>
      </c>
      <c r="W401" s="248"/>
      <c r="X401" s="248"/>
      <c r="Y401" s="265"/>
      <c r="Z401" s="266">
        <v>0</v>
      </c>
      <c r="AA401" s="247">
        <v>1</v>
      </c>
      <c r="AB401" s="246"/>
      <c r="AC401" s="263"/>
      <c r="AD401" s="240">
        <v>1</v>
      </c>
      <c r="AE401" s="304">
        <v>1</v>
      </c>
      <c r="AF401" s="296"/>
      <c r="AG401" s="297"/>
      <c r="AH401" s="297"/>
      <c r="AI401" s="297"/>
      <c r="AJ401" s="297"/>
      <c r="AK401" s="297"/>
      <c r="AL401" s="297"/>
      <c r="AM401" s="297"/>
      <c r="AN401" s="297"/>
      <c r="AO401" s="297"/>
      <c r="AP401" s="297"/>
      <c r="AQ401" s="297"/>
      <c r="AR401" s="297"/>
      <c r="AS401" s="297"/>
      <c r="AT401" s="297"/>
      <c r="AU401" s="297"/>
      <c r="AV401" s="297"/>
      <c r="AW401" s="297"/>
      <c r="AX401" s="297" t="str">
        <f>"      " &amp; TEXT(AE401,"#0.00%") &amp; " " &amp; "퍼블리싱" &amp; " " &amp; IF(P401="","",TEXT(P401,"M/D-")) &amp; IF(Q401="","",TEXT(Q401,"M/D")) &amp; " "</f>
        <v xml:space="preserve">      100.00% 퍼블리싱 4/14-6/27 </v>
      </c>
      <c r="AY401" s="297"/>
      <c r="AZ401" s="297"/>
      <c r="BA401" s="297"/>
      <c r="BB401" s="297"/>
      <c r="BC401" s="297"/>
      <c r="BD401" s="297"/>
      <c r="BE401" s="297"/>
      <c r="BF401" s="297"/>
      <c r="BG401" s="297"/>
      <c r="BH401" s="297"/>
      <c r="BI401" s="297"/>
      <c r="BJ401" s="297"/>
      <c r="BK401" s="297"/>
      <c r="BL401" s="297"/>
      <c r="BM401" s="297"/>
      <c r="BN401" s="297"/>
      <c r="BO401" s="297"/>
      <c r="BP401" s="297"/>
      <c r="BQ401" s="297"/>
      <c r="BR401" s="297"/>
      <c r="BS401" s="297"/>
      <c r="BT401" s="297"/>
      <c r="BU401" s="297"/>
      <c r="BV401" s="297"/>
      <c r="BW401" s="297"/>
      <c r="BX401" s="297"/>
      <c r="BY401" s="297"/>
      <c r="BZ401" s="297"/>
      <c r="CA401" s="297"/>
      <c r="CB401" s="297"/>
      <c r="CC401" s="297"/>
      <c r="CD401" s="297"/>
      <c r="CE401" s="297"/>
      <c r="CF401" s="297"/>
      <c r="CG401" s="297"/>
    </row>
    <row r="402" spans="1:85" ht="12" customHeight="1" outlineLevel="4">
      <c r="A402" s="288"/>
      <c r="B402" s="288"/>
      <c r="C402" s="288">
        <v>5</v>
      </c>
      <c r="D402" s="291" t="s">
        <v>1994</v>
      </c>
      <c r="E402" s="246"/>
      <c r="F402" s="246"/>
      <c r="G402" s="246"/>
      <c r="H402" s="246"/>
      <c r="I402" s="314" t="s">
        <v>2048</v>
      </c>
      <c r="J402" s="246"/>
      <c r="K402" s="246"/>
      <c r="L402" s="246"/>
      <c r="M402" s="246"/>
      <c r="N402" s="246"/>
      <c r="O402" s="246"/>
      <c r="P402" s="248">
        <v>45740</v>
      </c>
      <c r="Q402" s="248">
        <v>45772</v>
      </c>
      <c r="R402" s="246"/>
      <c r="S402" s="247">
        <v>125</v>
      </c>
      <c r="T402" s="247">
        <v>125</v>
      </c>
      <c r="U402" s="247">
        <v>25</v>
      </c>
      <c r="V402" s="247">
        <v>25</v>
      </c>
      <c r="W402" s="248"/>
      <c r="X402" s="248"/>
      <c r="Y402" s="265"/>
      <c r="Z402" s="266">
        <v>0</v>
      </c>
      <c r="AA402" s="247">
        <v>5</v>
      </c>
      <c r="AB402" s="246"/>
      <c r="AC402" s="263"/>
      <c r="AD402" s="240">
        <v>1</v>
      </c>
      <c r="AE402" s="304">
        <v>1</v>
      </c>
      <c r="AF402" s="296"/>
      <c r="AG402" s="297"/>
      <c r="AH402" s="297"/>
      <c r="AI402" s="297"/>
      <c r="AJ402" s="297"/>
      <c r="AK402" s="297"/>
      <c r="AL402" s="297"/>
      <c r="AM402" s="297"/>
      <c r="AN402" s="297"/>
      <c r="AO402" s="297" t="str">
        <f>"      " &amp; TEXT(AE402,"#0.00%") &amp; " " &amp; "공통" &amp; " " &amp; IF(P402="","",TEXT(P402,"M/D-")) &amp; IF(Q402="","",TEXT(Q402,"M/D")) &amp; " "</f>
        <v xml:space="preserve">      100.00% 공통 3/24-4/25 </v>
      </c>
      <c r="AP402" s="297"/>
      <c r="AQ402" s="297"/>
      <c r="AR402" s="297"/>
      <c r="AS402" s="297"/>
      <c r="AT402" s="297"/>
      <c r="AU402" s="297"/>
      <c r="AV402" s="297"/>
      <c r="AW402" s="297"/>
      <c r="AX402" s="297"/>
      <c r="AY402" s="297"/>
      <c r="AZ402" s="297"/>
      <c r="BA402" s="297"/>
      <c r="BB402" s="297"/>
      <c r="BC402" s="297"/>
      <c r="BD402" s="297"/>
      <c r="BE402" s="297"/>
      <c r="BF402" s="297"/>
      <c r="BG402" s="297"/>
      <c r="BH402" s="297"/>
      <c r="BI402" s="297"/>
      <c r="BJ402" s="297"/>
      <c r="BK402" s="297"/>
      <c r="BL402" s="297"/>
      <c r="BM402" s="297"/>
      <c r="BN402" s="297"/>
      <c r="BO402" s="297"/>
      <c r="BP402" s="297"/>
      <c r="BQ402" s="297"/>
      <c r="BR402" s="297"/>
      <c r="BS402" s="297"/>
      <c r="BT402" s="297"/>
      <c r="BU402" s="297"/>
      <c r="BV402" s="297"/>
      <c r="BW402" s="297"/>
      <c r="BX402" s="297"/>
      <c r="BY402" s="297"/>
      <c r="BZ402" s="297"/>
      <c r="CA402" s="297"/>
      <c r="CB402" s="297"/>
      <c r="CC402" s="297"/>
      <c r="CD402" s="297"/>
      <c r="CE402" s="297"/>
      <c r="CF402" s="297"/>
      <c r="CG402" s="297"/>
    </row>
    <row r="403" spans="1:85" ht="12" customHeight="1" outlineLevel="4">
      <c r="A403" s="288"/>
      <c r="B403" s="288"/>
      <c r="C403" s="288">
        <v>5</v>
      </c>
      <c r="D403" s="291" t="s">
        <v>1996</v>
      </c>
      <c r="E403" s="246"/>
      <c r="F403" s="246"/>
      <c r="G403" s="246"/>
      <c r="H403" s="244"/>
      <c r="I403" s="246" t="s">
        <v>2293</v>
      </c>
      <c r="J403" s="246"/>
      <c r="K403" s="246"/>
      <c r="L403" s="246"/>
      <c r="M403" s="246"/>
      <c r="N403" s="246"/>
      <c r="O403" s="246"/>
      <c r="P403" s="248">
        <v>45824</v>
      </c>
      <c r="Q403" s="248">
        <v>45828</v>
      </c>
      <c r="R403" s="246"/>
      <c r="S403" s="247">
        <v>25</v>
      </c>
      <c r="T403" s="247">
        <v>25</v>
      </c>
      <c r="U403" s="247">
        <v>5</v>
      </c>
      <c r="V403" s="247">
        <v>5</v>
      </c>
      <c r="W403" s="248"/>
      <c r="X403" s="248"/>
      <c r="Y403" s="265"/>
      <c r="Z403" s="266">
        <v>0</v>
      </c>
      <c r="AA403" s="247">
        <v>5</v>
      </c>
      <c r="AB403" s="246"/>
      <c r="AC403" s="263"/>
      <c r="AD403" s="240">
        <v>1</v>
      </c>
      <c r="AE403" s="304">
        <v>1</v>
      </c>
      <c r="AF403" s="296"/>
      <c r="AG403" s="297"/>
      <c r="AH403" s="297"/>
      <c r="AI403" s="297"/>
      <c r="AJ403" s="297"/>
      <c r="AK403" s="297"/>
      <c r="AL403" s="297"/>
      <c r="AM403" s="297"/>
      <c r="AN403" s="297"/>
      <c r="AO403" s="297"/>
      <c r="AP403" s="297"/>
      <c r="AQ403" s="297"/>
      <c r="AR403" s="297"/>
      <c r="AS403" s="297"/>
      <c r="AT403" s="297"/>
      <c r="AU403" s="297"/>
      <c r="AV403" s="297"/>
      <c r="AW403" s="297" t="str">
        <f>"      " &amp; TEXT(AE403,"#0.00%") &amp; " " &amp; "공통(실시간API 구조변경분 반영)" &amp; " " &amp; IF(P403="","",TEXT(P403,"M/D-")) &amp; IF(Q403="","",TEXT(Q403,"M/D")) &amp; " "</f>
        <v xml:space="preserve">      100.00% 공통(실시간API 구조변경분 반영) 6/16-6/20 </v>
      </c>
      <c r="AX403" s="297"/>
      <c r="AY403" s="297"/>
      <c r="AZ403" s="297"/>
      <c r="BA403" s="297"/>
      <c r="BB403" s="297"/>
      <c r="BC403" s="297"/>
      <c r="BD403" s="297"/>
      <c r="BE403" s="297"/>
      <c r="BF403" s="297"/>
      <c r="BG403" s="297"/>
      <c r="BH403" s="297"/>
      <c r="BI403" s="297"/>
      <c r="BJ403" s="297"/>
      <c r="BK403" s="297"/>
      <c r="BL403" s="297"/>
      <c r="BM403" s="297"/>
      <c r="BN403" s="297"/>
      <c r="BO403" s="297"/>
      <c r="BP403" s="297"/>
      <c r="BQ403" s="297"/>
      <c r="BR403" s="297"/>
      <c r="BS403" s="297"/>
      <c r="BT403" s="297"/>
      <c r="BU403" s="297"/>
      <c r="BV403" s="297"/>
      <c r="BW403" s="297"/>
      <c r="BX403" s="297"/>
      <c r="BY403" s="297"/>
      <c r="BZ403" s="297"/>
      <c r="CA403" s="297"/>
      <c r="CB403" s="297"/>
      <c r="CC403" s="297"/>
      <c r="CD403" s="297"/>
      <c r="CE403" s="297"/>
      <c r="CF403" s="297"/>
      <c r="CG403" s="297"/>
    </row>
    <row r="404" spans="1:85" ht="12" customHeight="1" outlineLevel="4">
      <c r="A404" s="288"/>
      <c r="B404" s="288"/>
      <c r="C404" s="288">
        <v>5</v>
      </c>
      <c r="D404" s="291" t="s">
        <v>1998</v>
      </c>
      <c r="E404" s="246"/>
      <c r="F404" s="246"/>
      <c r="G404" s="246"/>
      <c r="H404" s="244"/>
      <c r="I404" s="244" t="s">
        <v>2268</v>
      </c>
      <c r="J404" s="246"/>
      <c r="K404" s="246"/>
      <c r="L404" s="246"/>
      <c r="M404" s="246"/>
      <c r="N404" s="246"/>
      <c r="O404" s="246"/>
      <c r="P404" s="248">
        <v>45740</v>
      </c>
      <c r="Q404" s="248">
        <v>45744</v>
      </c>
      <c r="R404" s="246"/>
      <c r="S404" s="247">
        <v>25</v>
      </c>
      <c r="T404" s="247">
        <v>25</v>
      </c>
      <c r="U404" s="247">
        <v>5</v>
      </c>
      <c r="V404" s="247">
        <v>5</v>
      </c>
      <c r="W404" s="248"/>
      <c r="X404" s="248"/>
      <c r="Y404" s="265"/>
      <c r="Z404" s="266">
        <v>0</v>
      </c>
      <c r="AA404" s="247">
        <v>5</v>
      </c>
      <c r="AB404" s="246"/>
      <c r="AC404" s="263"/>
      <c r="AD404" s="240">
        <v>1</v>
      </c>
      <c r="AE404" s="304">
        <v>1</v>
      </c>
      <c r="AF404" s="296"/>
      <c r="AG404" s="297"/>
      <c r="AH404" s="297"/>
      <c r="AI404" s="297"/>
      <c r="AJ404" s="297"/>
      <c r="AK404" s="297" t="str">
        <f>"      " &amp; TEXT(AE404,"#0.00%") &amp; " " &amp; "기준정보관리" &amp; " " &amp; IF(P404="","",TEXT(P404,"M/D-")) &amp; IF(Q404="","",TEXT(Q404,"M/D")) &amp; " "</f>
        <v xml:space="preserve">      100.00% 기준정보관리 3/24-3/28 </v>
      </c>
      <c r="AL404" s="297"/>
      <c r="AM404" s="297"/>
      <c r="AN404" s="297"/>
      <c r="AO404" s="297"/>
      <c r="AP404" s="297"/>
      <c r="AQ404" s="297"/>
      <c r="AR404" s="297"/>
      <c r="AS404" s="297"/>
      <c r="AT404" s="297"/>
      <c r="AU404" s="297"/>
      <c r="AV404" s="297"/>
      <c r="AW404" s="297"/>
      <c r="AX404" s="297"/>
      <c r="AY404" s="297"/>
      <c r="AZ404" s="297"/>
      <c r="BA404" s="297"/>
      <c r="BB404" s="297"/>
      <c r="BC404" s="297"/>
      <c r="BD404" s="297"/>
      <c r="BE404" s="297"/>
      <c r="BF404" s="297"/>
      <c r="BG404" s="297"/>
      <c r="BH404" s="297"/>
      <c r="BI404" s="297"/>
      <c r="BJ404" s="297"/>
      <c r="BK404" s="297"/>
      <c r="BL404" s="297"/>
      <c r="BM404" s="297"/>
      <c r="BN404" s="297"/>
      <c r="BO404" s="297"/>
      <c r="BP404" s="297"/>
      <c r="BQ404" s="297"/>
      <c r="BR404" s="297"/>
      <c r="BS404" s="297"/>
      <c r="BT404" s="297"/>
      <c r="BU404" s="297"/>
      <c r="BV404" s="297"/>
      <c r="BW404" s="297"/>
      <c r="BX404" s="297"/>
      <c r="BY404" s="297"/>
      <c r="BZ404" s="297"/>
      <c r="CA404" s="297"/>
      <c r="CB404" s="297"/>
      <c r="CC404" s="297"/>
      <c r="CD404" s="297"/>
      <c r="CE404" s="297"/>
      <c r="CF404" s="297"/>
      <c r="CG404" s="297"/>
    </row>
    <row r="405" spans="1:85" ht="12" customHeight="1" outlineLevel="4">
      <c r="A405" s="288"/>
      <c r="B405" s="288"/>
      <c r="C405" s="288">
        <v>5</v>
      </c>
      <c r="D405" s="291" t="s">
        <v>2000</v>
      </c>
      <c r="E405" s="246"/>
      <c r="F405" s="246"/>
      <c r="G405" s="246"/>
      <c r="H405" s="244"/>
      <c r="I405" s="244" t="s">
        <v>2269</v>
      </c>
      <c r="J405" s="246"/>
      <c r="K405" s="246"/>
      <c r="L405" s="246"/>
      <c r="M405" s="246"/>
      <c r="N405" s="246"/>
      <c r="O405" s="246"/>
      <c r="P405" s="248">
        <v>45747</v>
      </c>
      <c r="Q405" s="248">
        <v>45804</v>
      </c>
      <c r="R405" s="246"/>
      <c r="S405" s="247">
        <v>200</v>
      </c>
      <c r="T405" s="247">
        <v>200</v>
      </c>
      <c r="U405" s="247">
        <v>40</v>
      </c>
      <c r="V405" s="247">
        <v>40</v>
      </c>
      <c r="W405" s="248"/>
      <c r="X405" s="248"/>
      <c r="Y405" s="265"/>
      <c r="Z405" s="266">
        <v>0</v>
      </c>
      <c r="AA405" s="247">
        <v>5</v>
      </c>
      <c r="AB405" s="246"/>
      <c r="AC405" s="263"/>
      <c r="AD405" s="240">
        <v>1</v>
      </c>
      <c r="AE405" s="304">
        <v>1</v>
      </c>
      <c r="AF405" s="296"/>
      <c r="AG405" s="297"/>
      <c r="AH405" s="297"/>
      <c r="AI405" s="297"/>
      <c r="AJ405" s="297"/>
      <c r="AK405" s="297"/>
      <c r="AL405" s="297"/>
      <c r="AM405" s="297"/>
      <c r="AN405" s="297"/>
      <c r="AO405" s="297"/>
      <c r="AP405" s="297"/>
      <c r="AQ405" s="297"/>
      <c r="AR405" s="297"/>
      <c r="AS405" s="297"/>
      <c r="AT405" s="297" t="str">
        <f>"   " &amp; TEXT(AE405,"#0.00%") &amp; " " &amp; "POS/키오스크 관리" &amp; " " &amp; IF(P405="","",TEXT(P405,"M/D-")) &amp; IF(Q405="","",TEXT(Q405,"M/D")) &amp; " "</f>
        <v xml:space="preserve">   100.00% POS/키오스크 관리 3/31-5/27 </v>
      </c>
      <c r="AU405" s="297"/>
      <c r="AV405" s="297"/>
      <c r="AW405" s="297"/>
      <c r="AX405" s="297"/>
      <c r="AY405" s="297"/>
      <c r="AZ405" s="297"/>
      <c r="BA405" s="297"/>
      <c r="BB405" s="297"/>
      <c r="BC405" s="297"/>
      <c r="BD405" s="297"/>
      <c r="BE405" s="297"/>
      <c r="BF405" s="297"/>
      <c r="BG405" s="297"/>
      <c r="BH405" s="297"/>
      <c r="BI405" s="297"/>
      <c r="BJ405" s="297"/>
      <c r="BK405" s="297"/>
      <c r="BL405" s="297"/>
      <c r="BM405" s="297"/>
      <c r="BN405" s="297"/>
      <c r="BO405" s="297"/>
      <c r="BP405" s="297"/>
      <c r="BQ405" s="297"/>
      <c r="BR405" s="297"/>
      <c r="BS405" s="297"/>
      <c r="BT405" s="297"/>
      <c r="BU405" s="297"/>
      <c r="BV405" s="297"/>
      <c r="BW405" s="297"/>
      <c r="BX405" s="297"/>
      <c r="BY405" s="297"/>
      <c r="BZ405" s="297"/>
      <c r="CA405" s="297"/>
      <c r="CB405" s="297"/>
      <c r="CC405" s="297"/>
      <c r="CD405" s="297"/>
      <c r="CE405" s="297"/>
      <c r="CF405" s="297"/>
      <c r="CG405" s="297"/>
    </row>
    <row r="406" spans="1:85" ht="12" customHeight="1" outlineLevel="4">
      <c r="A406" s="288"/>
      <c r="B406" s="288"/>
      <c r="C406" s="288">
        <v>5</v>
      </c>
      <c r="D406" s="291" t="s">
        <v>2002</v>
      </c>
      <c r="E406" s="246"/>
      <c r="F406" s="246"/>
      <c r="G406" s="246"/>
      <c r="H406" s="244"/>
      <c r="I406" s="244" t="s">
        <v>2270</v>
      </c>
      <c r="J406" s="246"/>
      <c r="K406" s="246"/>
      <c r="L406" s="246"/>
      <c r="M406" s="246"/>
      <c r="N406" s="246"/>
      <c r="O406" s="246"/>
      <c r="P406" s="248">
        <v>45805</v>
      </c>
      <c r="Q406" s="248">
        <v>45842</v>
      </c>
      <c r="R406" s="246"/>
      <c r="S406" s="247">
        <v>130</v>
      </c>
      <c r="T406" s="247">
        <v>130</v>
      </c>
      <c r="U406" s="247">
        <v>26</v>
      </c>
      <c r="V406" s="247">
        <v>26</v>
      </c>
      <c r="W406" s="248"/>
      <c r="X406" s="248"/>
      <c r="Y406" s="265"/>
      <c r="Z406" s="266">
        <v>0</v>
      </c>
      <c r="AA406" s="247">
        <v>5</v>
      </c>
      <c r="AB406" s="246"/>
      <c r="AC406" s="263"/>
      <c r="AD406" s="240">
        <v>1</v>
      </c>
      <c r="AE406" s="330">
        <v>1</v>
      </c>
      <c r="AF406" s="296"/>
      <c r="AG406" s="297"/>
      <c r="AH406" s="297"/>
      <c r="AI406" s="297"/>
      <c r="AJ406" s="297"/>
      <c r="AK406" s="297"/>
      <c r="AL406" s="297"/>
      <c r="AM406" s="297"/>
      <c r="AN406" s="297"/>
      <c r="AO406" s="297"/>
      <c r="AP406" s="297"/>
      <c r="AQ406" s="297"/>
      <c r="AR406" s="297"/>
      <c r="AS406" s="297"/>
      <c r="AT406" s="297"/>
      <c r="AU406" s="297"/>
      <c r="AV406" s="297"/>
      <c r="AW406" s="297"/>
      <c r="AX406" s="297"/>
      <c r="AY406" s="297" t="str">
        <f>"      " &amp; TEXT(AE406,"#0.00%") &amp; " " &amp; "시스템관리" &amp; " " &amp; IF(P406="","",TEXT(P406,"M/D-")) &amp; IF(Q406="","",TEXT(Q406,"M/D")) &amp; " "</f>
        <v xml:space="preserve">      100.00% 시스템관리 5/28-7/4 </v>
      </c>
      <c r="AZ406" s="297"/>
      <c r="BA406" s="297"/>
      <c r="BB406" s="297"/>
      <c r="BC406" s="297"/>
      <c r="BD406" s="297"/>
      <c r="BE406" s="297"/>
      <c r="BF406" s="297"/>
      <c r="BG406" s="297"/>
      <c r="BH406" s="297"/>
      <c r="BI406" s="297"/>
      <c r="BJ406" s="297"/>
      <c r="BK406" s="297"/>
      <c r="BL406" s="297"/>
      <c r="BM406" s="297"/>
      <c r="BN406" s="297"/>
      <c r="BO406" s="297"/>
      <c r="BP406" s="297"/>
      <c r="BQ406" s="297"/>
      <c r="BR406" s="297"/>
      <c r="BS406" s="297"/>
      <c r="BT406" s="297"/>
      <c r="BU406" s="297"/>
      <c r="BV406" s="297"/>
      <c r="BW406" s="297"/>
      <c r="BX406" s="297"/>
      <c r="BY406" s="297"/>
      <c r="BZ406" s="297"/>
      <c r="CA406" s="297"/>
      <c r="CB406" s="297"/>
      <c r="CC406" s="297"/>
      <c r="CD406" s="297"/>
      <c r="CE406" s="297"/>
      <c r="CF406" s="297"/>
      <c r="CG406" s="297"/>
    </row>
    <row r="407" spans="1:85" ht="12" customHeight="1" outlineLevel="4">
      <c r="A407" s="288"/>
      <c r="B407" s="288"/>
      <c r="C407" s="288">
        <v>5</v>
      </c>
      <c r="D407" s="291" t="s">
        <v>2004</v>
      </c>
      <c r="E407" s="246"/>
      <c r="F407" s="246"/>
      <c r="G407" s="246"/>
      <c r="H407" s="244"/>
      <c r="I407" s="244" t="s">
        <v>2271</v>
      </c>
      <c r="J407" s="246"/>
      <c r="K407" s="246"/>
      <c r="L407" s="246"/>
      <c r="M407" s="246"/>
      <c r="N407" s="246"/>
      <c r="O407" s="246"/>
      <c r="P407" s="248">
        <v>45757</v>
      </c>
      <c r="Q407" s="248">
        <v>45840</v>
      </c>
      <c r="R407" s="246"/>
      <c r="S407" s="247">
        <v>280</v>
      </c>
      <c r="T407" s="247">
        <v>280</v>
      </c>
      <c r="U407" s="247">
        <v>56</v>
      </c>
      <c r="V407" s="247">
        <v>56</v>
      </c>
      <c r="W407" s="248"/>
      <c r="X407" s="248"/>
      <c r="Y407" s="265"/>
      <c r="Z407" s="266">
        <v>0</v>
      </c>
      <c r="AA407" s="247">
        <v>5</v>
      </c>
      <c r="AB407" s="246"/>
      <c r="AC407" s="263"/>
      <c r="AD407" s="240">
        <v>1</v>
      </c>
      <c r="AE407" s="330">
        <v>1</v>
      </c>
      <c r="AF407" s="296"/>
      <c r="AG407" s="297"/>
      <c r="AH407" s="297"/>
      <c r="AI407" s="297"/>
      <c r="AJ407" s="297"/>
      <c r="AK407" s="297"/>
      <c r="AL407" s="297"/>
      <c r="AM407" s="297"/>
      <c r="AN407" s="297"/>
      <c r="AO407" s="297"/>
      <c r="AP407" s="297"/>
      <c r="AQ407" s="297"/>
      <c r="AR407" s="297"/>
      <c r="AS407" s="297"/>
      <c r="AT407" s="297"/>
      <c r="AU407" s="297"/>
      <c r="AV407" s="297"/>
      <c r="AW407" s="297"/>
      <c r="AX407" s="297"/>
      <c r="AY407" s="297" t="str">
        <f>"    " &amp; TEXT(AE407,"#0.00%") &amp; " " &amp; "배치관리" &amp; " " &amp; IF(P407="","",TEXT(P407,"M/D-")) &amp; IF(Q407="","",TEXT(Q407,"M/D")) &amp; " "</f>
        <v xml:space="preserve">    100.00% 배치관리 4/10-7/2 </v>
      </c>
      <c r="AZ407" s="297"/>
      <c r="BA407" s="297"/>
      <c r="BB407" s="297"/>
      <c r="BC407" s="297"/>
      <c r="BD407" s="297"/>
      <c r="BE407" s="297"/>
      <c r="BF407" s="297"/>
      <c r="BG407" s="297"/>
      <c r="BH407" s="297"/>
      <c r="BI407" s="297"/>
      <c r="BJ407" s="297"/>
      <c r="BK407" s="297"/>
      <c r="BL407" s="297"/>
      <c r="BM407" s="297"/>
      <c r="BN407" s="297"/>
      <c r="BO407" s="297"/>
      <c r="BP407" s="297"/>
      <c r="BQ407" s="297"/>
      <c r="BR407" s="297"/>
      <c r="BS407" s="297"/>
      <c r="BT407" s="297"/>
      <c r="BU407" s="297"/>
      <c r="BV407" s="297"/>
      <c r="BW407" s="297"/>
      <c r="BX407" s="297"/>
      <c r="BY407" s="297"/>
      <c r="BZ407" s="297"/>
      <c r="CA407" s="297"/>
      <c r="CB407" s="297"/>
      <c r="CC407" s="297"/>
      <c r="CD407" s="297"/>
      <c r="CE407" s="297"/>
      <c r="CF407" s="297"/>
      <c r="CG407" s="297"/>
    </row>
    <row r="408" spans="1:85" ht="12" customHeight="1" outlineLevel="4">
      <c r="A408" s="288"/>
      <c r="B408" s="288"/>
      <c r="C408" s="288">
        <v>5</v>
      </c>
      <c r="D408" s="291" t="s">
        <v>2006</v>
      </c>
      <c r="E408" s="246"/>
      <c r="F408" s="246"/>
      <c r="G408" s="246"/>
      <c r="H408" s="244"/>
      <c r="I408" s="244" t="s">
        <v>1852</v>
      </c>
      <c r="J408" s="244"/>
      <c r="K408" s="244"/>
      <c r="L408" s="244"/>
      <c r="M408" s="244"/>
      <c r="N408" s="244"/>
      <c r="O408" s="244"/>
      <c r="P408" s="248">
        <v>45831</v>
      </c>
      <c r="Q408" s="248">
        <v>45856</v>
      </c>
      <c r="R408" s="246"/>
      <c r="S408" s="247">
        <v>20</v>
      </c>
      <c r="T408" s="247">
        <v>20</v>
      </c>
      <c r="U408" s="247">
        <v>20</v>
      </c>
      <c r="V408" s="247">
        <v>20</v>
      </c>
      <c r="W408" s="248"/>
      <c r="X408" s="248"/>
      <c r="Y408" s="265"/>
      <c r="Z408" s="266">
        <v>0</v>
      </c>
      <c r="AA408" s="247">
        <v>1</v>
      </c>
      <c r="AB408" s="246"/>
      <c r="AC408" s="263"/>
      <c r="AD408" s="240">
        <v>1</v>
      </c>
      <c r="AE408" s="330">
        <v>1</v>
      </c>
      <c r="AF408" s="296"/>
      <c r="AG408" s="297"/>
      <c r="AH408" s="297"/>
      <c r="AI408" s="297"/>
      <c r="AJ408" s="297"/>
      <c r="AK408" s="297"/>
      <c r="AL408" s="297"/>
      <c r="AM408" s="297"/>
      <c r="AN408" s="297"/>
      <c r="AO408" s="297"/>
      <c r="AP408" s="297"/>
      <c r="AQ408" s="297"/>
      <c r="AR408" s="297"/>
      <c r="AS408" s="297"/>
      <c r="AT408" s="297"/>
      <c r="AU408" s="297"/>
      <c r="AV408" s="297"/>
      <c r="AW408" s="297"/>
      <c r="AX408" s="297"/>
      <c r="AY408" s="297"/>
      <c r="AZ408" s="297"/>
      <c r="BA408" s="297" t="str">
        <f>"      " &amp; TEXT(AE408,"#0.00%") &amp; " " &amp; "단위테스트(1차)" &amp; " " &amp; IF(P408="","",TEXT(P408,"M/D-")) &amp; IF(Q408="","",TEXT(Q408,"M/D")) &amp; " "</f>
        <v xml:space="preserve">      100.00% 단위테스트(1차) 6/23-7/18 </v>
      </c>
      <c r="BB408" s="297"/>
      <c r="BC408" s="297"/>
      <c r="BD408" s="297"/>
      <c r="BE408" s="297"/>
      <c r="BF408" s="297"/>
      <c r="BG408" s="297"/>
      <c r="BH408" s="297"/>
      <c r="BI408" s="297"/>
      <c r="BJ408" s="297"/>
      <c r="BK408" s="297"/>
      <c r="BL408" s="297"/>
      <c r="BM408" s="297"/>
      <c r="BN408" s="297"/>
      <c r="BO408" s="297"/>
      <c r="BP408" s="297"/>
      <c r="BQ408" s="297"/>
      <c r="BR408" s="297"/>
      <c r="BS408" s="297"/>
      <c r="BT408" s="297"/>
      <c r="BU408" s="297"/>
      <c r="BV408" s="297"/>
      <c r="BW408" s="297"/>
      <c r="BX408" s="297"/>
      <c r="BY408" s="297"/>
      <c r="BZ408" s="297"/>
      <c r="CA408" s="297"/>
      <c r="CB408" s="297"/>
      <c r="CC408" s="297"/>
      <c r="CD408" s="297"/>
      <c r="CE408" s="297"/>
      <c r="CF408" s="297"/>
      <c r="CG408" s="297"/>
    </row>
    <row r="409" spans="1:85" ht="12" customHeight="1" outlineLevel="3">
      <c r="A409" s="288"/>
      <c r="B409" s="288" t="s">
        <v>2334</v>
      </c>
      <c r="C409" s="288">
        <v>4</v>
      </c>
      <c r="D409" s="291" t="s">
        <v>1920</v>
      </c>
      <c r="E409" s="246"/>
      <c r="F409" s="246"/>
      <c r="G409" s="246"/>
      <c r="H409" s="244" t="s">
        <v>2259</v>
      </c>
      <c r="I409" s="246"/>
      <c r="J409" s="246"/>
      <c r="K409" s="246"/>
      <c r="L409" s="246"/>
      <c r="M409" s="246"/>
      <c r="N409" s="246"/>
      <c r="O409" s="246"/>
      <c r="P409" s="248">
        <v>45859</v>
      </c>
      <c r="Q409" s="248">
        <v>45898</v>
      </c>
      <c r="R409" s="246"/>
      <c r="S409" s="247">
        <v>142</v>
      </c>
      <c r="T409" s="247">
        <v>142</v>
      </c>
      <c r="U409" s="247">
        <v>29</v>
      </c>
      <c r="V409" s="247">
        <v>29</v>
      </c>
      <c r="W409" s="248"/>
      <c r="X409" s="248"/>
      <c r="Y409" s="265">
        <v>0</v>
      </c>
      <c r="Z409" s="266">
        <v>0</v>
      </c>
      <c r="AA409" s="247"/>
      <c r="AB409" s="246"/>
      <c r="AC409" s="263"/>
      <c r="AD409" s="240">
        <v>1</v>
      </c>
      <c r="AE409" s="241">
        <v>1</v>
      </c>
      <c r="AF409" s="296"/>
      <c r="AG409" s="297"/>
      <c r="AH409" s="297"/>
      <c r="AI409" s="297"/>
      <c r="AJ409" s="297"/>
      <c r="AK409" s="297"/>
      <c r="AL409" s="297"/>
      <c r="AM409" s="297"/>
      <c r="AN409" s="297"/>
      <c r="AO409" s="297"/>
      <c r="AP409" s="297"/>
      <c r="AQ409" s="297"/>
      <c r="AR409" s="297"/>
      <c r="AS409" s="297"/>
      <c r="AT409" s="297"/>
      <c r="AU409" s="297"/>
      <c r="AV409" s="297"/>
      <c r="AW409" s="297"/>
      <c r="AX409" s="297"/>
      <c r="AY409" s="297"/>
      <c r="AZ409" s="297"/>
      <c r="BA409" s="297"/>
      <c r="BB409" s="297"/>
      <c r="BC409" s="297"/>
      <c r="BD409" s="297"/>
      <c r="BE409" s="297"/>
      <c r="BF409" s="297"/>
      <c r="BG409" s="297" t="str">
        <f>"      " &amp; TEXT(AE409,"#0.00%") &amp; " " &amp; "개발 및 단위테스트(2차)" &amp; " " &amp; IF(P409="","",TEXT(P409,"M/D-")) &amp; IF(Q409="","",TEXT(Q409,"M/D")) &amp; " "</f>
        <v xml:space="preserve">      100.00% 개발 및 단위테스트(2차) 7/21-8/29 </v>
      </c>
      <c r="BH409" s="297"/>
      <c r="BI409" s="297"/>
      <c r="BJ409" s="297"/>
      <c r="BK409" s="297"/>
      <c r="BL409" s="297"/>
      <c r="BM409" s="297"/>
      <c r="BN409" s="297"/>
      <c r="BO409" s="297"/>
      <c r="BP409" s="297"/>
      <c r="BQ409" s="297"/>
      <c r="BR409" s="297"/>
      <c r="BS409" s="297"/>
      <c r="BT409" s="297"/>
      <c r="BU409" s="297"/>
      <c r="BV409" s="297"/>
      <c r="BW409" s="297"/>
      <c r="BX409" s="297"/>
      <c r="BY409" s="297"/>
      <c r="BZ409" s="297"/>
      <c r="CA409" s="297"/>
      <c r="CB409" s="297"/>
      <c r="CC409" s="297"/>
      <c r="CD409" s="297"/>
      <c r="CE409" s="297"/>
      <c r="CF409" s="297"/>
      <c r="CG409" s="297"/>
    </row>
    <row r="410" spans="1:85" ht="12" customHeight="1" outlineLevel="4">
      <c r="A410" s="288"/>
      <c r="B410" s="288"/>
      <c r="C410" s="288">
        <v>5</v>
      </c>
      <c r="D410" s="291" t="s">
        <v>1921</v>
      </c>
      <c r="E410" s="246"/>
      <c r="F410" s="246"/>
      <c r="G410" s="246"/>
      <c r="H410" s="246"/>
      <c r="I410" s="314" t="s">
        <v>2048</v>
      </c>
      <c r="J410" s="246"/>
      <c r="K410" s="246"/>
      <c r="L410" s="246"/>
      <c r="M410" s="246"/>
      <c r="N410" s="246"/>
      <c r="O410" s="246"/>
      <c r="P410" s="248">
        <v>45866</v>
      </c>
      <c r="Q410" s="248">
        <v>45877</v>
      </c>
      <c r="R410" s="246"/>
      <c r="S410" s="247">
        <v>10</v>
      </c>
      <c r="T410" s="247">
        <v>10</v>
      </c>
      <c r="U410" s="247">
        <v>10</v>
      </c>
      <c r="V410" s="247">
        <v>10</v>
      </c>
      <c r="W410" s="248"/>
      <c r="X410" s="248"/>
      <c r="Y410" s="265"/>
      <c r="Z410" s="266">
        <v>0</v>
      </c>
      <c r="AA410" s="247">
        <v>1</v>
      </c>
      <c r="AB410" s="246" t="s">
        <v>1991</v>
      </c>
      <c r="AC410" s="263"/>
      <c r="AD410" s="240">
        <v>1</v>
      </c>
      <c r="AE410" s="304">
        <v>1</v>
      </c>
      <c r="AF410" s="296"/>
      <c r="AG410" s="297"/>
      <c r="AH410" s="297"/>
      <c r="AI410" s="297"/>
      <c r="AJ410" s="297"/>
      <c r="AK410" s="297"/>
      <c r="AL410" s="297"/>
      <c r="AM410" s="297"/>
      <c r="AN410" s="297"/>
      <c r="AO410" s="297"/>
      <c r="AP410" s="297"/>
      <c r="AQ410" s="297"/>
      <c r="AR410" s="297"/>
      <c r="AS410" s="297"/>
      <c r="AT410" s="297"/>
      <c r="AU410" s="297"/>
      <c r="AV410" s="297"/>
      <c r="AW410" s="297"/>
      <c r="AX410" s="297"/>
      <c r="AY410" s="297"/>
      <c r="AZ410" s="297"/>
      <c r="BA410" s="297"/>
      <c r="BB410" s="297"/>
      <c r="BC410" s="297"/>
      <c r="BD410" s="297" t="str">
        <f>"      " &amp; TEXT(AE410,"#0.00%") &amp; " " &amp; "공통" &amp; "(이정표님)" &amp; " " &amp; IF(P410="","",TEXT(P410,"M/D-")) &amp; IF(Q410="","",TEXT(Q410,"M/D")) &amp; " "</f>
        <v xml:space="preserve">      100.00% 공통(이정표님) 7/28-8/8 </v>
      </c>
      <c r="BE410" s="297"/>
      <c r="BF410" s="297"/>
      <c r="BG410" s="297"/>
      <c r="BH410" s="297"/>
      <c r="BI410" s="297"/>
      <c r="BJ410" s="297"/>
      <c r="BK410" s="297"/>
      <c r="BL410" s="297"/>
      <c r="BM410" s="297"/>
      <c r="BN410" s="297"/>
      <c r="BO410" s="297"/>
      <c r="BP410" s="297"/>
      <c r="BQ410" s="297"/>
      <c r="BR410" s="297"/>
      <c r="BS410" s="297"/>
      <c r="BT410" s="297"/>
      <c r="BU410" s="297"/>
      <c r="BV410" s="297"/>
      <c r="BW410" s="297"/>
      <c r="BX410" s="297"/>
      <c r="BY410" s="297"/>
      <c r="BZ410" s="297"/>
      <c r="CA410" s="297"/>
      <c r="CB410" s="297"/>
      <c r="CC410" s="297"/>
      <c r="CD410" s="297"/>
      <c r="CE410" s="297"/>
      <c r="CF410" s="297"/>
      <c r="CG410" s="297"/>
    </row>
    <row r="411" spans="1:85" ht="12" customHeight="1" outlineLevel="4">
      <c r="A411" s="288"/>
      <c r="B411" s="288"/>
      <c r="C411" s="288">
        <v>5</v>
      </c>
      <c r="D411" s="291" t="s">
        <v>1922</v>
      </c>
      <c r="E411" s="246"/>
      <c r="F411" s="246"/>
      <c r="G411" s="246"/>
      <c r="H411" s="246"/>
      <c r="I411" s="246" t="s">
        <v>2268</v>
      </c>
      <c r="J411" s="246"/>
      <c r="K411" s="246"/>
      <c r="L411" s="246"/>
      <c r="M411" s="246"/>
      <c r="N411" s="246"/>
      <c r="O411" s="246"/>
      <c r="P411" s="248">
        <v>45875</v>
      </c>
      <c r="Q411" s="248">
        <v>45881</v>
      </c>
      <c r="R411" s="246"/>
      <c r="S411" s="247">
        <v>5</v>
      </c>
      <c r="T411" s="247">
        <v>5</v>
      </c>
      <c r="U411" s="247">
        <v>5</v>
      </c>
      <c r="V411" s="247">
        <v>5</v>
      </c>
      <c r="W411" s="248"/>
      <c r="X411" s="248"/>
      <c r="Y411" s="265"/>
      <c r="Z411" s="266">
        <v>0</v>
      </c>
      <c r="AA411" s="247">
        <v>1</v>
      </c>
      <c r="AB411" s="246"/>
      <c r="AC411" s="263"/>
      <c r="AD411" s="240">
        <v>1</v>
      </c>
      <c r="AE411" s="304">
        <v>1</v>
      </c>
      <c r="AF411" s="296"/>
      <c r="AG411" s="297"/>
      <c r="AH411" s="297"/>
      <c r="AI411" s="297"/>
      <c r="AJ411" s="297"/>
      <c r="AK411" s="297"/>
      <c r="AL411" s="297"/>
      <c r="AM411" s="297"/>
      <c r="AN411" s="297"/>
      <c r="AO411" s="297"/>
      <c r="AP411" s="297"/>
      <c r="AQ411" s="297"/>
      <c r="AR411" s="297"/>
      <c r="AS411" s="297"/>
      <c r="AT411" s="297"/>
      <c r="AU411" s="297"/>
      <c r="AV411" s="297"/>
      <c r="AW411" s="297"/>
      <c r="AX411" s="297"/>
      <c r="AY411" s="297"/>
      <c r="AZ411" s="297"/>
      <c r="BA411" s="297"/>
      <c r="BB411" s="297"/>
      <c r="BC411" s="297"/>
      <c r="BD411" s="297"/>
      <c r="BE411" s="297" t="str">
        <f>"   " &amp; TEXT(AE411,"#0.00%") &amp; " " &amp; "기준정보관리" &amp; " " &amp; IF(P411="","",TEXT(P411,"M/D-")) &amp; IF(Q411="","",TEXT(Q411,"M/D")) &amp; " "</f>
        <v xml:space="preserve">   100.00% 기준정보관리 8/6-8/12 </v>
      </c>
      <c r="BF411" s="297"/>
      <c r="BG411" s="297"/>
      <c r="BH411" s="297"/>
      <c r="BI411" s="297"/>
      <c r="BJ411" s="297"/>
      <c r="BK411" s="297"/>
      <c r="BL411" s="297"/>
      <c r="BM411" s="297"/>
      <c r="BN411" s="297"/>
      <c r="BO411" s="297"/>
      <c r="BP411" s="297"/>
      <c r="BQ411" s="297"/>
      <c r="BR411" s="297"/>
      <c r="BS411" s="297"/>
      <c r="BT411" s="297"/>
      <c r="BU411" s="297"/>
      <c r="BV411" s="297"/>
      <c r="BW411" s="297"/>
      <c r="BX411" s="297"/>
      <c r="BY411" s="297"/>
      <c r="BZ411" s="297"/>
      <c r="CA411" s="297"/>
      <c r="CB411" s="297"/>
      <c r="CC411" s="297"/>
      <c r="CD411" s="297"/>
      <c r="CE411" s="297"/>
      <c r="CF411" s="297"/>
      <c r="CG411" s="297"/>
    </row>
    <row r="412" spans="1:85" ht="12" customHeight="1" outlineLevel="4">
      <c r="A412" s="288"/>
      <c r="B412" s="288"/>
      <c r="C412" s="288">
        <v>5</v>
      </c>
      <c r="D412" s="291" t="s">
        <v>2472</v>
      </c>
      <c r="E412" s="246"/>
      <c r="F412" s="246"/>
      <c r="G412" s="246"/>
      <c r="H412" s="246"/>
      <c r="I412" s="246" t="s">
        <v>2269</v>
      </c>
      <c r="J412" s="246"/>
      <c r="K412" s="246"/>
      <c r="L412" s="246"/>
      <c r="M412" s="246"/>
      <c r="N412" s="246"/>
      <c r="O412" s="246"/>
      <c r="P412" s="248">
        <v>45888</v>
      </c>
      <c r="Q412" s="248">
        <v>45898</v>
      </c>
      <c r="R412" s="246"/>
      <c r="S412" s="247">
        <v>9</v>
      </c>
      <c r="T412" s="247">
        <v>9</v>
      </c>
      <c r="U412" s="247">
        <v>9</v>
      </c>
      <c r="V412" s="247">
        <v>9</v>
      </c>
      <c r="W412" s="248"/>
      <c r="X412" s="248"/>
      <c r="Y412" s="265"/>
      <c r="Z412" s="266">
        <v>0</v>
      </c>
      <c r="AA412" s="247">
        <v>1</v>
      </c>
      <c r="AB412" s="246"/>
      <c r="AC412" s="263"/>
      <c r="AD412" s="240">
        <v>1</v>
      </c>
      <c r="AE412" s="304">
        <v>1</v>
      </c>
      <c r="AF412" s="296"/>
      <c r="AG412" s="297"/>
      <c r="AH412" s="297"/>
      <c r="AI412" s="297"/>
      <c r="AJ412" s="297"/>
      <c r="AK412" s="297"/>
      <c r="AL412" s="297"/>
      <c r="AM412" s="297"/>
      <c r="AN412" s="297"/>
      <c r="AO412" s="297"/>
      <c r="AP412" s="297"/>
      <c r="AQ412" s="297"/>
      <c r="AR412" s="297"/>
      <c r="AS412" s="297"/>
      <c r="AT412" s="297"/>
      <c r="AU412" s="297"/>
      <c r="AV412" s="297"/>
      <c r="AW412" s="297"/>
      <c r="AX412" s="297"/>
      <c r="AY412" s="297"/>
      <c r="AZ412" s="297"/>
      <c r="BA412" s="297"/>
      <c r="BB412" s="297"/>
      <c r="BC412" s="297"/>
      <c r="BD412" s="297"/>
      <c r="BE412" s="297"/>
      <c r="BF412" s="297"/>
      <c r="BG412" s="297" t="str">
        <f>"      " &amp; TEXT(AE412,"#0.00%") &amp; " " &amp; "POS/키오스크 관리" &amp; " " &amp; IF(P412="","",TEXT(P412,"M/D-")) &amp; IF(Q412="","",TEXT(Q412,"M/D")) &amp; " "</f>
        <v xml:space="preserve">      100.00% POS/키오스크 관리 8/19-8/29 </v>
      </c>
      <c r="BH412" s="297"/>
      <c r="BI412" s="297"/>
      <c r="BJ412" s="297"/>
      <c r="BK412" s="297"/>
      <c r="BL412" s="297"/>
      <c r="BM412" s="297"/>
      <c r="BN412" s="297"/>
      <c r="BO412" s="297"/>
      <c r="BP412" s="297"/>
      <c r="BQ412" s="297"/>
      <c r="BR412" s="297"/>
      <c r="BS412" s="297"/>
      <c r="BT412" s="297"/>
      <c r="BU412" s="297"/>
      <c r="BV412" s="297"/>
      <c r="BW412" s="297"/>
      <c r="BX412" s="297"/>
      <c r="BY412" s="297"/>
      <c r="BZ412" s="297"/>
      <c r="CA412" s="297"/>
      <c r="CB412" s="297"/>
      <c r="CC412" s="297"/>
      <c r="CD412" s="297"/>
      <c r="CE412" s="297"/>
      <c r="CF412" s="297"/>
      <c r="CG412" s="297"/>
    </row>
    <row r="413" spans="1:85" ht="12" customHeight="1" outlineLevel="4">
      <c r="A413" s="288"/>
      <c r="B413" s="288"/>
      <c r="C413" s="288">
        <v>5</v>
      </c>
      <c r="D413" s="291" t="s">
        <v>2473</v>
      </c>
      <c r="E413" s="246"/>
      <c r="F413" s="246"/>
      <c r="G413" s="246"/>
      <c r="H413" s="246"/>
      <c r="I413" s="246" t="s">
        <v>2272</v>
      </c>
      <c r="J413" s="246"/>
      <c r="K413" s="246"/>
      <c r="L413" s="246"/>
      <c r="M413" s="246"/>
      <c r="N413" s="246"/>
      <c r="O413" s="246"/>
      <c r="P413" s="248">
        <v>45859</v>
      </c>
      <c r="Q413" s="248">
        <v>45898</v>
      </c>
      <c r="R413" s="246"/>
      <c r="S413" s="247">
        <v>29</v>
      </c>
      <c r="T413" s="247">
        <v>29</v>
      </c>
      <c r="U413" s="247">
        <v>29</v>
      </c>
      <c r="V413" s="247">
        <v>29</v>
      </c>
      <c r="W413" s="248"/>
      <c r="X413" s="248"/>
      <c r="Y413" s="265"/>
      <c r="Z413" s="266">
        <v>0</v>
      </c>
      <c r="AA413" s="247">
        <v>1</v>
      </c>
      <c r="AB413" s="246"/>
      <c r="AC413" s="263"/>
      <c r="AD413" s="240">
        <v>1</v>
      </c>
      <c r="AE413" s="304">
        <v>1</v>
      </c>
      <c r="AF413" s="296"/>
      <c r="AG413" s="297"/>
      <c r="AH413" s="297"/>
      <c r="AI413" s="297"/>
      <c r="AJ413" s="297"/>
      <c r="AK413" s="297"/>
      <c r="AL413" s="297"/>
      <c r="AM413" s="297"/>
      <c r="AN413" s="297"/>
      <c r="AO413" s="297"/>
      <c r="AP413" s="297"/>
      <c r="AQ413" s="297"/>
      <c r="AR413" s="297"/>
      <c r="AS413" s="297"/>
      <c r="AT413" s="297"/>
      <c r="AU413" s="297"/>
      <c r="AV413" s="297"/>
      <c r="AW413" s="297"/>
      <c r="AX413" s="297"/>
      <c r="AY413" s="297"/>
      <c r="AZ413" s="297"/>
      <c r="BA413" s="297"/>
      <c r="BB413" s="297"/>
      <c r="BC413" s="297"/>
      <c r="BD413" s="297"/>
      <c r="BE413" s="297"/>
      <c r="BF413" s="297"/>
      <c r="BG413" s="297" t="str">
        <f>"      " &amp; TEXT(AE413,"#0.00%") &amp; " " &amp; "판매관리" &amp; " " &amp; IF(P413="","",TEXT(P413,"M/D-")) &amp; IF(Q413="","",TEXT(Q413,"M/D")) &amp; " "</f>
        <v xml:space="preserve">      100.00% 판매관리 7/21-8/29 </v>
      </c>
      <c r="BH413" s="297"/>
      <c r="BI413" s="297"/>
      <c r="BJ413" s="297"/>
      <c r="BK413" s="297"/>
      <c r="BL413" s="297"/>
      <c r="BM413" s="297"/>
      <c r="BN413" s="297"/>
      <c r="BO413" s="297"/>
      <c r="BP413" s="297"/>
      <c r="BQ413" s="297"/>
      <c r="BR413" s="297"/>
      <c r="BS413" s="297"/>
      <c r="BT413" s="297"/>
      <c r="BU413" s="297"/>
      <c r="BV413" s="297"/>
      <c r="BW413" s="297"/>
      <c r="BX413" s="297"/>
      <c r="BY413" s="297"/>
      <c r="BZ413" s="297"/>
      <c r="CA413" s="297"/>
      <c r="CB413" s="297"/>
      <c r="CC413" s="297"/>
      <c r="CD413" s="297"/>
      <c r="CE413" s="297"/>
      <c r="CF413" s="297"/>
      <c r="CG413" s="297"/>
    </row>
    <row r="414" spans="1:85" ht="12" customHeight="1" outlineLevel="4">
      <c r="A414" s="288"/>
      <c r="B414" s="288"/>
      <c r="C414" s="288">
        <v>5</v>
      </c>
      <c r="D414" s="313" t="s">
        <v>2474</v>
      </c>
      <c r="E414" s="314"/>
      <c r="F414" s="314"/>
      <c r="G414" s="314"/>
      <c r="H414" s="314"/>
      <c r="I414" s="314" t="s">
        <v>2270</v>
      </c>
      <c r="J414" s="314"/>
      <c r="K414" s="314"/>
      <c r="L414" s="314"/>
      <c r="M414" s="314"/>
      <c r="N414" s="314"/>
      <c r="O414" s="314"/>
      <c r="P414" s="248">
        <v>45859</v>
      </c>
      <c r="Q414" s="248">
        <v>45898</v>
      </c>
      <c r="R414" s="246"/>
      <c r="S414" s="247">
        <v>29</v>
      </c>
      <c r="T414" s="247">
        <v>29</v>
      </c>
      <c r="U414" s="247">
        <v>29</v>
      </c>
      <c r="V414" s="247">
        <v>29</v>
      </c>
      <c r="W414" s="248"/>
      <c r="X414" s="248"/>
      <c r="Y414" s="265"/>
      <c r="Z414" s="266">
        <v>0</v>
      </c>
      <c r="AA414" s="247">
        <v>1</v>
      </c>
      <c r="AB414" s="246" t="s">
        <v>1720</v>
      </c>
      <c r="AC414" s="311" t="s">
        <v>2199</v>
      </c>
      <c r="AD414" s="240">
        <v>1</v>
      </c>
      <c r="AE414" s="304">
        <v>1</v>
      </c>
      <c r="AF414" s="296"/>
      <c r="AG414" s="297"/>
      <c r="AH414" s="297"/>
      <c r="AI414" s="297"/>
      <c r="AJ414" s="297"/>
      <c r="AK414" s="297"/>
      <c r="AL414" s="297"/>
      <c r="AM414" s="297"/>
      <c r="AN414" s="297"/>
      <c r="AO414" s="297"/>
      <c r="AP414" s="297"/>
      <c r="AQ414" s="297"/>
      <c r="AR414" s="297"/>
      <c r="AS414" s="297"/>
      <c r="AT414" s="297"/>
      <c r="AU414" s="297"/>
      <c r="AV414" s="297"/>
      <c r="AW414" s="297"/>
      <c r="AX414" s="297"/>
      <c r="AY414" s="297"/>
      <c r="AZ414" s="297"/>
      <c r="BA414" s="297"/>
      <c r="BB414" s="297"/>
      <c r="BC414" s="297"/>
      <c r="BD414" s="297"/>
      <c r="BE414" s="297"/>
      <c r="BF414" s="297"/>
      <c r="BG414" s="297" t="str">
        <f>"      " &amp; TEXT(AE414,"#0.00%") &amp; " " &amp; "시스템관리" &amp; "(PL)" &amp; " " &amp; IF(P414="","",TEXT(P414,"M/D-")) &amp; IF(Q414="","",TEXT(Q414,"M/D")) &amp; " "</f>
        <v xml:space="preserve">      100.00% 시스템관리(PL) 7/21-8/29 </v>
      </c>
      <c r="BH414" s="297"/>
      <c r="BI414" s="297"/>
      <c r="BJ414" s="297"/>
      <c r="BK414" s="297"/>
      <c r="BL414" s="297"/>
      <c r="BM414" s="297"/>
      <c r="BN414" s="297"/>
      <c r="BO414" s="297"/>
      <c r="BP414" s="297"/>
      <c r="BQ414" s="297"/>
      <c r="BR414" s="297"/>
      <c r="BS414" s="297"/>
      <c r="BT414" s="297"/>
      <c r="BU414" s="297"/>
      <c r="BV414" s="297"/>
      <c r="BW414" s="297"/>
      <c r="BX414" s="297"/>
      <c r="BY414" s="297"/>
      <c r="BZ414" s="297"/>
      <c r="CA414" s="297"/>
      <c r="CB414" s="297"/>
      <c r="CC414" s="297"/>
      <c r="CD414" s="297"/>
      <c r="CE414" s="297"/>
      <c r="CF414" s="297"/>
      <c r="CG414" s="297"/>
    </row>
    <row r="415" spans="1:85" ht="12" customHeight="1" outlineLevel="4">
      <c r="A415" s="288"/>
      <c r="B415" s="288"/>
      <c r="C415" s="288">
        <v>5</v>
      </c>
      <c r="D415" s="313" t="s">
        <v>2475</v>
      </c>
      <c r="E415" s="314"/>
      <c r="F415" s="314"/>
      <c r="G415" s="314"/>
      <c r="H415" s="314"/>
      <c r="I415" s="314" t="s">
        <v>2271</v>
      </c>
      <c r="J415" s="314"/>
      <c r="K415" s="314"/>
      <c r="L415" s="314"/>
      <c r="M415" s="314"/>
      <c r="N415" s="314"/>
      <c r="O415" s="314"/>
      <c r="P415" s="248">
        <v>45880</v>
      </c>
      <c r="Q415" s="248">
        <v>45894</v>
      </c>
      <c r="R415" s="246"/>
      <c r="S415" s="247">
        <v>50</v>
      </c>
      <c r="T415" s="247">
        <v>50</v>
      </c>
      <c r="U415" s="247">
        <v>10</v>
      </c>
      <c r="V415" s="247">
        <v>10</v>
      </c>
      <c r="W415" s="248"/>
      <c r="X415" s="248"/>
      <c r="Y415" s="265"/>
      <c r="Z415" s="266">
        <v>0</v>
      </c>
      <c r="AA415" s="247">
        <v>5</v>
      </c>
      <c r="AB415" s="246" t="s">
        <v>1720</v>
      </c>
      <c r="AC415" s="311" t="s">
        <v>2200</v>
      </c>
      <c r="AD415" s="240">
        <v>1</v>
      </c>
      <c r="AE415" s="304">
        <v>1</v>
      </c>
      <c r="AF415" s="296"/>
      <c r="AG415" s="297"/>
      <c r="AH415" s="297"/>
      <c r="AI415" s="297"/>
      <c r="AJ415" s="297"/>
      <c r="AK415" s="297"/>
      <c r="AL415" s="297"/>
      <c r="AM415" s="297"/>
      <c r="AN415" s="297"/>
      <c r="AO415" s="297"/>
      <c r="AP415" s="297"/>
      <c r="AQ415" s="297"/>
      <c r="AR415" s="297"/>
      <c r="AS415" s="297"/>
      <c r="AT415" s="297"/>
      <c r="AU415" s="297"/>
      <c r="AV415" s="297"/>
      <c r="AW415" s="297"/>
      <c r="AX415" s="297"/>
      <c r="AY415" s="297"/>
      <c r="AZ415" s="297"/>
      <c r="BA415" s="297"/>
      <c r="BB415" s="297"/>
      <c r="BC415" s="297"/>
      <c r="BD415" s="297"/>
      <c r="BE415" s="297"/>
      <c r="BF415" s="297"/>
      <c r="BG415" s="297" t="str">
        <f>"  " &amp; TEXT(AE415,"#0.00%") &amp; " " &amp; "배치관리" &amp; "(PL)" &amp; " " &amp; IF(P415="","",TEXT(P415,"M/D-")) &amp; IF(Q415="","",TEXT(Q415,"M/D")) &amp; " "</f>
        <v xml:space="preserve">  100.00% 배치관리(PL) 8/11-8/25 </v>
      </c>
      <c r="BH415" s="297"/>
      <c r="BI415" s="297"/>
      <c r="BJ415" s="297"/>
      <c r="BK415" s="297"/>
      <c r="BL415" s="297"/>
      <c r="BM415" s="297"/>
      <c r="BN415" s="297"/>
      <c r="BO415" s="297"/>
      <c r="BP415" s="297"/>
      <c r="BQ415" s="297"/>
      <c r="BR415" s="297"/>
      <c r="BS415" s="297"/>
      <c r="BT415" s="297"/>
      <c r="BU415" s="297"/>
      <c r="BV415" s="297"/>
      <c r="BW415" s="297"/>
      <c r="BX415" s="297"/>
      <c r="BY415" s="297"/>
      <c r="BZ415" s="297"/>
      <c r="CA415" s="297"/>
      <c r="CB415" s="297"/>
      <c r="CC415" s="297"/>
      <c r="CD415" s="297"/>
      <c r="CE415" s="297"/>
      <c r="CF415" s="297"/>
      <c r="CG415" s="297"/>
    </row>
    <row r="416" spans="1:85" ht="12" customHeight="1" outlineLevel="4">
      <c r="A416" s="288"/>
      <c r="B416" s="288"/>
      <c r="C416" s="288">
        <v>5</v>
      </c>
      <c r="D416" s="313" t="s">
        <v>2476</v>
      </c>
      <c r="E416" s="314"/>
      <c r="F416" s="314"/>
      <c r="G416" s="314"/>
      <c r="H416" s="314"/>
      <c r="I416" s="244" t="s">
        <v>1853</v>
      </c>
      <c r="J416" s="244"/>
      <c r="K416" s="244"/>
      <c r="L416" s="244"/>
      <c r="M416" s="244"/>
      <c r="N416" s="244"/>
      <c r="O416" s="244"/>
      <c r="P416" s="248">
        <v>45887</v>
      </c>
      <c r="Q416" s="248">
        <v>45898</v>
      </c>
      <c r="R416" s="246"/>
      <c r="S416" s="247">
        <v>10</v>
      </c>
      <c r="T416" s="247">
        <v>10</v>
      </c>
      <c r="U416" s="247">
        <v>10</v>
      </c>
      <c r="V416" s="247">
        <v>10</v>
      </c>
      <c r="W416" s="248"/>
      <c r="X416" s="248"/>
      <c r="Y416" s="265"/>
      <c r="Z416" s="266">
        <v>0</v>
      </c>
      <c r="AA416" s="247">
        <v>1</v>
      </c>
      <c r="AB416" s="246"/>
      <c r="AC416" s="311"/>
      <c r="AD416" s="240">
        <v>1</v>
      </c>
      <c r="AE416" s="304">
        <v>1</v>
      </c>
      <c r="AF416" s="296"/>
      <c r="AG416" s="297"/>
      <c r="AH416" s="297"/>
      <c r="AI416" s="297"/>
      <c r="AJ416" s="297"/>
      <c r="AK416" s="297"/>
      <c r="AL416" s="297"/>
      <c r="AM416" s="297"/>
      <c r="AN416" s="297"/>
      <c r="AO416" s="297"/>
      <c r="AP416" s="297"/>
      <c r="AQ416" s="297"/>
      <c r="AR416" s="297"/>
      <c r="AS416" s="297"/>
      <c r="AT416" s="297"/>
      <c r="AU416" s="297"/>
      <c r="AV416" s="297"/>
      <c r="AW416" s="297"/>
      <c r="AX416" s="297"/>
      <c r="AY416" s="297"/>
      <c r="AZ416" s="297"/>
      <c r="BA416" s="297"/>
      <c r="BB416" s="297"/>
      <c r="BC416" s="297"/>
      <c r="BD416" s="297"/>
      <c r="BE416" s="297"/>
      <c r="BF416" s="297"/>
      <c r="BG416" s="297" t="str">
        <f>"      " &amp; TEXT(AE416,"#0.00%") &amp; " " &amp; "단위테스트(2차)" &amp; " " &amp; IF(P416="","",TEXT(P416,"M/D-")) &amp; IF(Q416="","",TEXT(Q416,"M/D")) &amp; " "</f>
        <v xml:space="preserve">      100.00% 단위테스트(2차) 8/18-8/29 </v>
      </c>
      <c r="BH416" s="297"/>
      <c r="BI416" s="297"/>
      <c r="BJ416" s="297"/>
      <c r="BK416" s="297"/>
      <c r="BL416" s="297"/>
      <c r="BM416" s="297"/>
      <c r="BN416" s="297"/>
      <c r="BO416" s="297"/>
      <c r="BP416" s="297"/>
      <c r="BQ416" s="297"/>
      <c r="BR416" s="297"/>
      <c r="BS416" s="297"/>
      <c r="BT416" s="297"/>
      <c r="BU416" s="297"/>
      <c r="BV416" s="297"/>
      <c r="BW416" s="297"/>
      <c r="BX416" s="297"/>
      <c r="BY416" s="297"/>
      <c r="BZ416" s="297"/>
      <c r="CA416" s="297"/>
      <c r="CB416" s="297"/>
      <c r="CC416" s="297"/>
      <c r="CD416" s="297"/>
      <c r="CE416" s="297"/>
      <c r="CF416" s="297"/>
      <c r="CG416" s="297"/>
    </row>
    <row r="417" spans="1:85" ht="12" customHeight="1">
      <c r="A417" s="288"/>
      <c r="B417" s="288" t="s">
        <v>2334</v>
      </c>
      <c r="C417" s="288">
        <v>1</v>
      </c>
      <c r="D417" s="291" t="s">
        <v>1466</v>
      </c>
      <c r="E417" s="246" t="s">
        <v>1923</v>
      </c>
      <c r="F417" s="246"/>
      <c r="G417" s="246"/>
      <c r="H417" s="246"/>
      <c r="I417" s="246"/>
      <c r="J417" s="246"/>
      <c r="K417" s="246"/>
      <c r="L417" s="246"/>
      <c r="M417" s="246"/>
      <c r="N417" s="246"/>
      <c r="O417" s="246"/>
      <c r="P417" s="248">
        <v>45824</v>
      </c>
      <c r="Q417" s="248">
        <v>45954</v>
      </c>
      <c r="R417" s="246"/>
      <c r="S417" s="247">
        <v>125</v>
      </c>
      <c r="T417" s="247">
        <v>125</v>
      </c>
      <c r="U417" s="247">
        <v>89</v>
      </c>
      <c r="V417" s="247">
        <v>89</v>
      </c>
      <c r="W417" s="248"/>
      <c r="X417" s="248"/>
      <c r="Y417" s="265">
        <v>0</v>
      </c>
      <c r="Z417" s="266">
        <v>0</v>
      </c>
      <c r="AA417" s="247"/>
      <c r="AB417" s="246" t="s">
        <v>1720</v>
      </c>
      <c r="AC417" s="311" t="s">
        <v>2201</v>
      </c>
      <c r="AD417" s="240">
        <v>1</v>
      </c>
      <c r="AE417" s="328">
        <v>1</v>
      </c>
      <c r="AF417" s="296"/>
      <c r="AG417" s="297"/>
      <c r="AH417" s="297"/>
      <c r="AI417" s="297"/>
      <c r="AJ417" s="297"/>
      <c r="AK417" s="297"/>
      <c r="AL417" s="297"/>
      <c r="AM417" s="297"/>
      <c r="AN417" s="297"/>
      <c r="AO417" s="297"/>
      <c r="AP417" s="297"/>
      <c r="AQ417" s="297"/>
      <c r="AR417" s="297"/>
      <c r="AS417" s="297"/>
      <c r="AT417" s="297"/>
      <c r="AU417" s="297"/>
      <c r="AV417" s="297"/>
      <c r="AW417" s="297"/>
      <c r="AX417" s="297"/>
      <c r="AY417" s="297"/>
      <c r="AZ417" s="297"/>
      <c r="BA417" s="297"/>
      <c r="BB417" s="297"/>
      <c r="BC417" s="297"/>
      <c r="BD417" s="297"/>
      <c r="BE417" s="297"/>
      <c r="BF417" s="297"/>
      <c r="BG417" s="297"/>
      <c r="BH417" s="297"/>
      <c r="BI417" s="297"/>
      <c r="BJ417" s="297"/>
      <c r="BK417" s="297"/>
      <c r="BL417" s="297"/>
      <c r="BM417" s="297"/>
      <c r="BN417" s="297"/>
      <c r="BO417" s="297" t="str">
        <f>"      " &amp; TEXT(AE417,"#0.00%") &amp; " " &amp; "테스트" &amp; "(PL)" &amp; " " &amp; IF(P417="","",TEXT(P417,"M/D-")) &amp; IF(Q417="","",TEXT(Q417,"M/D")) &amp; " "</f>
        <v xml:space="preserve">      100.00% 테스트(PL) 6/16-10/24 </v>
      </c>
      <c r="BP417" s="297"/>
      <c r="BQ417" s="297"/>
      <c r="BR417" s="297"/>
      <c r="BS417" s="297"/>
      <c r="BT417" s="297"/>
      <c r="BU417" s="297"/>
      <c r="BV417" s="297"/>
      <c r="BW417" s="297"/>
      <c r="BX417" s="297"/>
      <c r="BY417" s="297"/>
      <c r="BZ417" s="297"/>
      <c r="CA417" s="297"/>
      <c r="CB417" s="297"/>
      <c r="CC417" s="297"/>
      <c r="CD417" s="297"/>
      <c r="CE417" s="297"/>
      <c r="CF417" s="297"/>
      <c r="CG417" s="297"/>
    </row>
    <row r="418" spans="1:85" ht="12" customHeight="1" outlineLevel="1">
      <c r="A418" s="288"/>
      <c r="B418" s="288" t="s">
        <v>2334</v>
      </c>
      <c r="C418" s="288">
        <v>2</v>
      </c>
      <c r="D418" s="291" t="s">
        <v>1708</v>
      </c>
      <c r="E418" s="246"/>
      <c r="F418" s="246" t="s">
        <v>1566</v>
      </c>
      <c r="G418" s="246"/>
      <c r="H418" s="246"/>
      <c r="I418" s="246"/>
      <c r="J418" s="246"/>
      <c r="K418" s="246"/>
      <c r="L418" s="246"/>
      <c r="M418" s="246"/>
      <c r="N418" s="246"/>
      <c r="O418" s="246"/>
      <c r="P418" s="248">
        <v>45824</v>
      </c>
      <c r="Q418" s="248">
        <v>45947</v>
      </c>
      <c r="R418" s="246"/>
      <c r="S418" s="247">
        <v>41.5</v>
      </c>
      <c r="T418" s="247">
        <v>41.5</v>
      </c>
      <c r="U418" s="247">
        <v>84</v>
      </c>
      <c r="V418" s="247">
        <v>84</v>
      </c>
      <c r="W418" s="248"/>
      <c r="X418" s="248"/>
      <c r="Y418" s="265">
        <v>0</v>
      </c>
      <c r="Z418" s="266">
        <v>0</v>
      </c>
      <c r="AA418" s="247"/>
      <c r="AB418" s="246"/>
      <c r="AC418" s="263"/>
      <c r="AD418" s="240">
        <v>1</v>
      </c>
      <c r="AE418" s="241">
        <v>1</v>
      </c>
      <c r="AF418" s="296"/>
      <c r="AG418" s="297"/>
      <c r="AH418" s="297"/>
      <c r="AI418" s="297"/>
      <c r="AJ418" s="297"/>
      <c r="AK418" s="297"/>
      <c r="AL418" s="297"/>
      <c r="AM418" s="297"/>
      <c r="AN418" s="297"/>
      <c r="AO418" s="297"/>
      <c r="AP418" s="297"/>
      <c r="AQ418" s="297"/>
      <c r="AR418" s="297"/>
      <c r="AS418" s="297"/>
      <c r="AT418" s="297"/>
      <c r="AU418" s="297"/>
      <c r="AV418" s="297"/>
      <c r="AW418" s="297"/>
      <c r="AX418" s="297"/>
      <c r="AY418" s="297"/>
      <c r="AZ418" s="297"/>
      <c r="BA418" s="297"/>
      <c r="BB418" s="297"/>
      <c r="BC418" s="297"/>
      <c r="BD418" s="297"/>
      <c r="BE418" s="297"/>
      <c r="BF418" s="297"/>
      <c r="BG418" s="297"/>
      <c r="BH418" s="297"/>
      <c r="BI418" s="297"/>
      <c r="BJ418" s="297"/>
      <c r="BK418" s="297"/>
      <c r="BL418" s="297"/>
      <c r="BM418" s="297"/>
      <c r="BN418" s="297" t="str">
        <f>"      " &amp; TEXT(AE418,"#0.00%") &amp; " " &amp; "통합테스트" &amp; " " &amp; IF(P418="","",TEXT(P418,"M/D-")) &amp; IF(Q418="","",TEXT(Q418,"M/D")) &amp; " "</f>
        <v xml:space="preserve">      100.00% 통합테스트 6/16-10/17 </v>
      </c>
      <c r="BO418" s="297"/>
      <c r="BP418" s="297"/>
      <c r="BQ418" s="297"/>
      <c r="BR418" s="297"/>
      <c r="BS418" s="297"/>
      <c r="BT418" s="297"/>
      <c r="BU418" s="297"/>
      <c r="BV418" s="297"/>
      <c r="BW418" s="297"/>
      <c r="BX418" s="297"/>
      <c r="BY418" s="297"/>
      <c r="BZ418" s="297"/>
      <c r="CA418" s="297"/>
      <c r="CB418" s="297"/>
      <c r="CC418" s="297"/>
      <c r="CD418" s="297"/>
      <c r="CE418" s="297"/>
      <c r="CF418" s="297"/>
      <c r="CG418" s="297"/>
    </row>
    <row r="419" spans="1:85" ht="12" customHeight="1" outlineLevel="2">
      <c r="A419" s="288"/>
      <c r="B419" s="288" t="s">
        <v>2334</v>
      </c>
      <c r="C419" s="288">
        <v>3</v>
      </c>
      <c r="D419" s="313" t="s">
        <v>1783</v>
      </c>
      <c r="E419" s="314"/>
      <c r="F419" s="314"/>
      <c r="G419" s="314" t="s">
        <v>1567</v>
      </c>
      <c r="H419" s="314"/>
      <c r="I419" s="314"/>
      <c r="J419" s="314"/>
      <c r="K419" s="314"/>
      <c r="L419" s="314"/>
      <c r="M419" s="314"/>
      <c r="N419" s="314"/>
      <c r="O419" s="314"/>
      <c r="P419" s="248">
        <v>45824</v>
      </c>
      <c r="Q419" s="248">
        <v>45870</v>
      </c>
      <c r="R419" s="246"/>
      <c r="S419" s="247">
        <v>12.5</v>
      </c>
      <c r="T419" s="247">
        <v>12.5</v>
      </c>
      <c r="U419" s="247">
        <v>35</v>
      </c>
      <c r="V419" s="247">
        <v>35</v>
      </c>
      <c r="W419" s="248"/>
      <c r="X419" s="248"/>
      <c r="Y419" s="265">
        <v>0</v>
      </c>
      <c r="Z419" s="266">
        <v>0</v>
      </c>
      <c r="AA419" s="247"/>
      <c r="AB419" s="246" t="s">
        <v>1720</v>
      </c>
      <c r="AC419" s="311" t="s">
        <v>2202</v>
      </c>
      <c r="AD419" s="240">
        <v>1</v>
      </c>
      <c r="AE419" s="241">
        <v>1</v>
      </c>
      <c r="AF419" s="296"/>
      <c r="AG419" s="297"/>
      <c r="AH419" s="297"/>
      <c r="AI419" s="297"/>
      <c r="AJ419" s="297"/>
      <c r="AK419" s="297"/>
      <c r="AL419" s="297"/>
      <c r="AM419" s="297"/>
      <c r="AN419" s="297"/>
      <c r="AO419" s="297"/>
      <c r="AP419" s="297"/>
      <c r="AQ419" s="297"/>
      <c r="AR419" s="297"/>
      <c r="AS419" s="297"/>
      <c r="AT419" s="297"/>
      <c r="AU419" s="297"/>
      <c r="AV419" s="297"/>
      <c r="AW419" s="297"/>
      <c r="AX419" s="297"/>
      <c r="AY419" s="297"/>
      <c r="AZ419" s="297"/>
      <c r="BA419" s="297"/>
      <c r="BB419" s="297"/>
      <c r="BC419" s="297" t="str">
        <f>"      " &amp; TEXT(AE419,"#0.00%") &amp; " " &amp; "1차 통합테스트" &amp; "(PL)" &amp; " " &amp; IF(P419="","",TEXT(P419,"M/D-")) &amp; IF(Q419="","",TEXT(Q419,"M/D")) &amp; " "</f>
        <v xml:space="preserve">      100.00% 1차 통합테스트(PL) 6/16-8/1 </v>
      </c>
      <c r="BD419" s="297"/>
      <c r="BE419" s="297"/>
      <c r="BF419" s="297"/>
      <c r="BG419" s="297"/>
      <c r="BH419" s="297"/>
      <c r="BI419" s="297"/>
      <c r="BJ419" s="297"/>
      <c r="BK419" s="297"/>
      <c r="BL419" s="297"/>
      <c r="BM419" s="297"/>
      <c r="BN419" s="297"/>
      <c r="BO419" s="297"/>
      <c r="BP419" s="297"/>
      <c r="BQ419" s="297"/>
      <c r="BR419" s="297"/>
      <c r="BS419" s="297"/>
      <c r="BT419" s="297"/>
      <c r="BU419" s="297"/>
      <c r="BV419" s="297"/>
      <c r="BW419" s="297"/>
      <c r="BX419" s="297"/>
      <c r="BY419" s="297"/>
      <c r="BZ419" s="297"/>
      <c r="CA419" s="297"/>
      <c r="CB419" s="297"/>
      <c r="CC419" s="297"/>
      <c r="CD419" s="297"/>
      <c r="CE419" s="297"/>
      <c r="CF419" s="297"/>
      <c r="CG419" s="297"/>
    </row>
    <row r="420" spans="1:85" ht="12" customHeight="1" outlineLevel="3">
      <c r="A420" s="288"/>
      <c r="B420" s="288"/>
      <c r="C420" s="288">
        <v>4</v>
      </c>
      <c r="D420" s="291" t="s">
        <v>1924</v>
      </c>
      <c r="E420" s="246"/>
      <c r="F420" s="246"/>
      <c r="G420" s="246"/>
      <c r="H420" s="246" t="s">
        <v>1568</v>
      </c>
      <c r="I420" s="246"/>
      <c r="J420" s="246"/>
      <c r="K420" s="246"/>
      <c r="L420" s="246"/>
      <c r="M420" s="246"/>
      <c r="N420" s="246"/>
      <c r="O420" s="246"/>
      <c r="P420" s="248">
        <v>45824</v>
      </c>
      <c r="Q420" s="248">
        <v>45856</v>
      </c>
      <c r="R420" s="246"/>
      <c r="S420" s="247">
        <v>2.5</v>
      </c>
      <c r="T420" s="247">
        <v>2.5</v>
      </c>
      <c r="U420" s="247">
        <v>25</v>
      </c>
      <c r="V420" s="247">
        <v>25</v>
      </c>
      <c r="W420" s="248"/>
      <c r="X420" s="248"/>
      <c r="Y420" s="265"/>
      <c r="Z420" s="266">
        <v>0</v>
      </c>
      <c r="AA420" s="247">
        <v>0.1</v>
      </c>
      <c r="AB420" s="246" t="s">
        <v>1720</v>
      </c>
      <c r="AC420" s="311" t="s">
        <v>2201</v>
      </c>
      <c r="AD420" s="240">
        <v>1</v>
      </c>
      <c r="AE420" s="330">
        <v>1</v>
      </c>
      <c r="AF420" s="296"/>
      <c r="AG420" s="297"/>
      <c r="AH420" s="297"/>
      <c r="AI420" s="297"/>
      <c r="AJ420" s="297"/>
      <c r="AK420" s="297"/>
      <c r="AL420" s="297"/>
      <c r="AM420" s="297"/>
      <c r="AN420" s="297"/>
      <c r="AO420" s="297"/>
      <c r="AP420" s="297"/>
      <c r="AQ420" s="297"/>
      <c r="AR420" s="297"/>
      <c r="AS420" s="297"/>
      <c r="AT420" s="297"/>
      <c r="AU420" s="297"/>
      <c r="AV420" s="297"/>
      <c r="AW420" s="297"/>
      <c r="AX420" s="297"/>
      <c r="AY420" s="297"/>
      <c r="AZ420" s="297"/>
      <c r="BA420" s="297" t="str">
        <f>"      " &amp; TEXT(AE420,"#0.00%") &amp; " " &amp; "통합테스트 계획수립 및 환경구성" &amp; "(PL)" &amp; " " &amp; IF(P420="","",TEXT(P420,"M/D-")) &amp; IF(Q420="","",TEXT(Q420,"M/D")) &amp; " "</f>
        <v xml:space="preserve">      100.00% 통합테스트 계획수립 및 환경구성(PL) 6/16-7/18 </v>
      </c>
      <c r="BB420" s="297"/>
      <c r="BC420" s="297"/>
      <c r="BD420" s="297"/>
      <c r="BE420" s="297"/>
      <c r="BF420" s="297"/>
      <c r="BG420" s="297"/>
      <c r="BH420" s="297"/>
      <c r="BI420" s="297"/>
      <c r="BJ420" s="297"/>
      <c r="BK420" s="297"/>
      <c r="BL420" s="297"/>
      <c r="BM420" s="297"/>
      <c r="BN420" s="297"/>
      <c r="BO420" s="297"/>
      <c r="BP420" s="297"/>
      <c r="BQ420" s="297"/>
      <c r="BR420" s="297"/>
      <c r="BS420" s="297"/>
      <c r="BT420" s="297"/>
      <c r="BU420" s="297"/>
      <c r="BV420" s="297"/>
      <c r="BW420" s="297"/>
      <c r="BX420" s="297"/>
      <c r="BY420" s="297"/>
      <c r="BZ420" s="297"/>
      <c r="CA420" s="297"/>
      <c r="CB420" s="297"/>
      <c r="CC420" s="297"/>
      <c r="CD420" s="297"/>
      <c r="CE420" s="297"/>
      <c r="CF420" s="297"/>
      <c r="CG420" s="297"/>
    </row>
    <row r="421" spans="1:85" ht="12" customHeight="1" outlineLevel="3">
      <c r="A421" s="288"/>
      <c r="B421" s="288"/>
      <c r="C421" s="288">
        <v>4</v>
      </c>
      <c r="D421" s="291" t="s">
        <v>1925</v>
      </c>
      <c r="E421" s="246"/>
      <c r="F421" s="246"/>
      <c r="G421" s="246"/>
      <c r="H421" s="246" t="s">
        <v>1569</v>
      </c>
      <c r="I421" s="246"/>
      <c r="J421" s="246"/>
      <c r="K421" s="246"/>
      <c r="L421" s="246"/>
      <c r="M421" s="246"/>
      <c r="N421" s="246"/>
      <c r="O421" s="246"/>
      <c r="P421" s="248">
        <v>45859</v>
      </c>
      <c r="Q421" s="248">
        <v>45863</v>
      </c>
      <c r="R421" s="246"/>
      <c r="S421" s="247">
        <v>5</v>
      </c>
      <c r="T421" s="247">
        <v>5</v>
      </c>
      <c r="U421" s="247">
        <v>5</v>
      </c>
      <c r="V421" s="247">
        <v>5</v>
      </c>
      <c r="W421" s="248"/>
      <c r="X421" s="248"/>
      <c r="Y421" s="265"/>
      <c r="Z421" s="266">
        <v>0</v>
      </c>
      <c r="AA421" s="247">
        <v>1</v>
      </c>
      <c r="AB421" s="246"/>
      <c r="AC421" s="263"/>
      <c r="AD421" s="240">
        <v>1</v>
      </c>
      <c r="AE421" s="304">
        <v>1</v>
      </c>
      <c r="AF421" s="296"/>
      <c r="AG421" s="297"/>
      <c r="AH421" s="297"/>
      <c r="AI421" s="297"/>
      <c r="AJ421" s="297"/>
      <c r="AK421" s="297"/>
      <c r="AL421" s="297"/>
      <c r="AM421" s="297"/>
      <c r="AN421" s="297"/>
      <c r="AO421" s="297"/>
      <c r="AP421" s="297"/>
      <c r="AQ421" s="297"/>
      <c r="AR421" s="297"/>
      <c r="AS421" s="297"/>
      <c r="AT421" s="297"/>
      <c r="AU421" s="297"/>
      <c r="AV421" s="297"/>
      <c r="AW421" s="297"/>
      <c r="AX421" s="297"/>
      <c r="AY421" s="297"/>
      <c r="AZ421" s="297"/>
      <c r="BA421" s="297"/>
      <c r="BB421" s="297" t="str">
        <f>"      " &amp; TEXT(AE421,"#0.00%") &amp; " " &amp; "통합테스트 수행" &amp; " " &amp; IF(P421="","",TEXT(P421,"M/D-")) &amp; IF(Q421="","",TEXT(Q421,"M/D")) &amp; " "</f>
        <v xml:space="preserve">      100.00% 통합테스트 수행 7/21-7/25 </v>
      </c>
      <c r="BC421" s="297"/>
      <c r="BD421" s="297"/>
      <c r="BE421" s="297"/>
      <c r="BF421" s="297"/>
      <c r="BG421" s="297"/>
      <c r="BH421" s="297"/>
      <c r="BI421" s="297"/>
      <c r="BJ421" s="297"/>
      <c r="BK421" s="297"/>
      <c r="BL421" s="297"/>
      <c r="BM421" s="297"/>
      <c r="BN421" s="297"/>
      <c r="BO421" s="297"/>
      <c r="BP421" s="297"/>
      <c r="BQ421" s="297"/>
      <c r="BR421" s="297"/>
      <c r="BS421" s="297"/>
      <c r="BT421" s="297"/>
      <c r="BU421" s="297"/>
      <c r="BV421" s="297"/>
      <c r="BW421" s="297"/>
      <c r="BX421" s="297"/>
      <c r="BY421" s="297"/>
      <c r="BZ421" s="297"/>
      <c r="CA421" s="297"/>
      <c r="CB421" s="297"/>
      <c r="CC421" s="297"/>
      <c r="CD421" s="297"/>
      <c r="CE421" s="297"/>
      <c r="CF421" s="297"/>
      <c r="CG421" s="297"/>
    </row>
    <row r="422" spans="1:85" ht="12" customHeight="1" outlineLevel="3">
      <c r="A422" s="288"/>
      <c r="B422" s="288"/>
      <c r="C422" s="288">
        <v>4</v>
      </c>
      <c r="D422" s="291" t="s">
        <v>1926</v>
      </c>
      <c r="E422" s="246"/>
      <c r="F422" s="246"/>
      <c r="G422" s="246"/>
      <c r="H422" s="246" t="s">
        <v>1570</v>
      </c>
      <c r="I422" s="246"/>
      <c r="J422" s="246"/>
      <c r="K422" s="246"/>
      <c r="L422" s="246"/>
      <c r="M422" s="246"/>
      <c r="N422" s="246"/>
      <c r="O422" s="246"/>
      <c r="P422" s="248">
        <v>45866</v>
      </c>
      <c r="Q422" s="248">
        <v>45870</v>
      </c>
      <c r="R422" s="246"/>
      <c r="S422" s="247">
        <v>5</v>
      </c>
      <c r="T422" s="247">
        <v>5</v>
      </c>
      <c r="U422" s="247">
        <v>5</v>
      </c>
      <c r="V422" s="247">
        <v>5</v>
      </c>
      <c r="W422" s="248"/>
      <c r="X422" s="248"/>
      <c r="Y422" s="265"/>
      <c r="Z422" s="266">
        <v>0</v>
      </c>
      <c r="AA422" s="247">
        <v>1</v>
      </c>
      <c r="AB422" s="246" t="s">
        <v>1720</v>
      </c>
      <c r="AC422" s="263"/>
      <c r="AD422" s="240">
        <v>1</v>
      </c>
      <c r="AE422" s="304">
        <v>1</v>
      </c>
      <c r="AF422" s="296"/>
      <c r="AG422" s="297"/>
      <c r="AH422" s="297"/>
      <c r="AI422" s="297"/>
      <c r="AJ422" s="297"/>
      <c r="AK422" s="297"/>
      <c r="AL422" s="297"/>
      <c r="AM422" s="297"/>
      <c r="AN422" s="297"/>
      <c r="AO422" s="297"/>
      <c r="AP422" s="297"/>
      <c r="AQ422" s="297"/>
      <c r="AR422" s="297"/>
      <c r="AS422" s="297"/>
      <c r="AT422" s="297"/>
      <c r="AU422" s="297"/>
      <c r="AV422" s="297"/>
      <c r="AW422" s="297"/>
      <c r="AX422" s="297"/>
      <c r="AY422" s="297"/>
      <c r="AZ422" s="297"/>
      <c r="BA422" s="297"/>
      <c r="BB422" s="297"/>
      <c r="BC422" s="297" t="str">
        <f>"      " &amp; TEXT(AE422,"#0.00%") &amp; " " &amp; "테스트결과 조치" &amp; "(PL)" &amp; " " &amp; IF(P422="","",TEXT(P422,"M/D-")) &amp; IF(Q422="","",TEXT(Q422,"M/D")) &amp; " "</f>
        <v xml:space="preserve">      100.00% 테스트결과 조치(PL) 7/28-8/1 </v>
      </c>
      <c r="BD422" s="297"/>
      <c r="BE422" s="297"/>
      <c r="BF422" s="297"/>
      <c r="BG422" s="297"/>
      <c r="BH422" s="297"/>
      <c r="BI422" s="297"/>
      <c r="BJ422" s="297"/>
      <c r="BK422" s="297"/>
      <c r="BL422" s="297"/>
      <c r="BM422" s="297"/>
      <c r="BN422" s="297"/>
      <c r="BO422" s="297"/>
      <c r="BP422" s="297"/>
      <c r="BQ422" s="297"/>
      <c r="BR422" s="297"/>
      <c r="BS422" s="297"/>
      <c r="BT422" s="297"/>
      <c r="BU422" s="297"/>
      <c r="BV422" s="297"/>
      <c r="BW422" s="297"/>
      <c r="BX422" s="297"/>
      <c r="BY422" s="297"/>
      <c r="BZ422" s="297"/>
      <c r="CA422" s="297"/>
      <c r="CB422" s="297"/>
      <c r="CC422" s="297"/>
      <c r="CD422" s="297"/>
      <c r="CE422" s="297"/>
      <c r="CF422" s="297"/>
      <c r="CG422" s="297"/>
    </row>
    <row r="423" spans="1:85" ht="12" customHeight="1" outlineLevel="2">
      <c r="A423" s="288"/>
      <c r="B423" s="288" t="s">
        <v>2334</v>
      </c>
      <c r="C423" s="288">
        <v>3</v>
      </c>
      <c r="D423" s="313" t="s">
        <v>1784</v>
      </c>
      <c r="E423" s="314"/>
      <c r="F423" s="314"/>
      <c r="G423" s="314" t="s">
        <v>1571</v>
      </c>
      <c r="H423" s="314"/>
      <c r="I423" s="314"/>
      <c r="J423" s="314"/>
      <c r="K423" s="314"/>
      <c r="L423" s="314"/>
      <c r="M423" s="314"/>
      <c r="N423" s="314"/>
      <c r="O423" s="314"/>
      <c r="P423" s="248">
        <v>45873</v>
      </c>
      <c r="Q423" s="248">
        <v>45883</v>
      </c>
      <c r="R423" s="246"/>
      <c r="S423" s="247">
        <v>9</v>
      </c>
      <c r="T423" s="247">
        <v>9</v>
      </c>
      <c r="U423" s="247">
        <v>9</v>
      </c>
      <c r="V423" s="247">
        <v>9</v>
      </c>
      <c r="W423" s="248"/>
      <c r="X423" s="248"/>
      <c r="Y423" s="265">
        <v>0</v>
      </c>
      <c r="Z423" s="266">
        <v>0</v>
      </c>
      <c r="AA423" s="247"/>
      <c r="AB423" s="246" t="s">
        <v>1720</v>
      </c>
      <c r="AC423" s="311" t="s">
        <v>2203</v>
      </c>
      <c r="AD423" s="240">
        <v>1</v>
      </c>
      <c r="AE423" s="241">
        <v>1</v>
      </c>
      <c r="AF423" s="296"/>
      <c r="AG423" s="297"/>
      <c r="AH423" s="297"/>
      <c r="AI423" s="297"/>
      <c r="AJ423" s="297"/>
      <c r="AK423" s="297"/>
      <c r="AL423" s="297"/>
      <c r="AM423" s="297"/>
      <c r="AN423" s="297"/>
      <c r="AO423" s="297"/>
      <c r="AP423" s="297"/>
      <c r="AQ423" s="297"/>
      <c r="AR423" s="297"/>
      <c r="AS423" s="297"/>
      <c r="AT423" s="297"/>
      <c r="AU423" s="297"/>
      <c r="AV423" s="297"/>
      <c r="AW423" s="297"/>
      <c r="AX423" s="297"/>
      <c r="AY423" s="297"/>
      <c r="AZ423" s="297"/>
      <c r="BA423" s="297"/>
      <c r="BB423" s="297"/>
      <c r="BC423" s="297"/>
      <c r="BD423" s="297"/>
      <c r="BE423" s="297" t="str">
        <f>"     " &amp; TEXT(AE423,"#0.00%") &amp; " " &amp; "2차 통합테스트" &amp; "(PL)" &amp; " " &amp; IF(P423="","",TEXT(P423,"M/D-")) &amp; IF(Q423="","",TEXT(Q423,"M/D")) &amp; " "</f>
        <v xml:space="preserve">     100.00% 2차 통합테스트(PL) 8/4-8/14 </v>
      </c>
      <c r="BF423" s="297"/>
      <c r="BG423" s="297"/>
      <c r="BH423" s="297"/>
      <c r="BI423" s="297"/>
      <c r="BJ423" s="297"/>
      <c r="BK423" s="297"/>
      <c r="BL423" s="297"/>
      <c r="BM423" s="297"/>
      <c r="BN423" s="297"/>
      <c r="BO423" s="297"/>
      <c r="BP423" s="297"/>
      <c r="BQ423" s="297"/>
      <c r="BR423" s="297"/>
      <c r="BS423" s="297"/>
      <c r="BT423" s="297"/>
      <c r="BU423" s="297"/>
      <c r="BV423" s="297"/>
      <c r="BW423" s="297"/>
      <c r="BX423" s="297"/>
      <c r="BY423" s="297"/>
      <c r="BZ423" s="297"/>
      <c r="CA423" s="297"/>
      <c r="CB423" s="297"/>
      <c r="CC423" s="297"/>
      <c r="CD423" s="297"/>
      <c r="CE423" s="297"/>
      <c r="CF423" s="297"/>
      <c r="CG423" s="297"/>
    </row>
    <row r="424" spans="1:85" ht="12" customHeight="1" outlineLevel="3">
      <c r="A424" s="288"/>
      <c r="B424" s="288"/>
      <c r="C424" s="288">
        <v>4</v>
      </c>
      <c r="D424" s="291" t="s">
        <v>1927</v>
      </c>
      <c r="E424" s="246"/>
      <c r="F424" s="246"/>
      <c r="G424" s="246"/>
      <c r="H424" s="246" t="s">
        <v>1569</v>
      </c>
      <c r="I424" s="246"/>
      <c r="J424" s="246"/>
      <c r="K424" s="246"/>
      <c r="L424" s="246"/>
      <c r="M424" s="246"/>
      <c r="N424" s="246"/>
      <c r="O424" s="246"/>
      <c r="P424" s="248">
        <v>45873</v>
      </c>
      <c r="Q424" s="248">
        <v>45877</v>
      </c>
      <c r="R424" s="246"/>
      <c r="S424" s="247">
        <v>5</v>
      </c>
      <c r="T424" s="247">
        <v>5</v>
      </c>
      <c r="U424" s="247">
        <v>5</v>
      </c>
      <c r="V424" s="247">
        <v>5</v>
      </c>
      <c r="W424" s="248"/>
      <c r="X424" s="248"/>
      <c r="Y424" s="265"/>
      <c r="Z424" s="266">
        <v>0</v>
      </c>
      <c r="AA424" s="247">
        <v>1</v>
      </c>
      <c r="AB424" s="246" t="s">
        <v>1720</v>
      </c>
      <c r="AC424" s="311" t="s">
        <v>2201</v>
      </c>
      <c r="AD424" s="240">
        <v>1</v>
      </c>
      <c r="AE424" s="304">
        <v>1</v>
      </c>
      <c r="AF424" s="296"/>
      <c r="AG424" s="297"/>
      <c r="AH424" s="297"/>
      <c r="AI424" s="297"/>
      <c r="AJ424" s="297"/>
      <c r="AK424" s="297"/>
      <c r="AL424" s="297"/>
      <c r="AM424" s="297"/>
      <c r="AN424" s="297"/>
      <c r="AO424" s="297"/>
      <c r="AP424" s="297"/>
      <c r="AQ424" s="297"/>
      <c r="AR424" s="297"/>
      <c r="AS424" s="297"/>
      <c r="AT424" s="297"/>
      <c r="AU424" s="297"/>
      <c r="AV424" s="297"/>
      <c r="AW424" s="297"/>
      <c r="AX424" s="297"/>
      <c r="AY424" s="297"/>
      <c r="AZ424" s="297"/>
      <c r="BA424" s="297"/>
      <c r="BB424" s="297"/>
      <c r="BC424" s="297"/>
      <c r="BD424" s="297" t="str">
        <f>"      " &amp; TEXT(AE424,"#0.00%") &amp; " " &amp; "통합테스트 수행" &amp; "(PL)" &amp; " " &amp; IF(P424="","",TEXT(P424,"M/D-")) &amp; IF(Q424="","",TEXT(Q424,"M/D")) &amp; " "</f>
        <v xml:space="preserve">      100.00% 통합테스트 수행(PL) 8/4-8/8 </v>
      </c>
      <c r="BE424" s="297"/>
      <c r="BF424" s="297"/>
      <c r="BG424" s="297"/>
      <c r="BH424" s="297"/>
      <c r="BI424" s="297"/>
      <c r="BJ424" s="297"/>
      <c r="BK424" s="297"/>
      <c r="BL424" s="297"/>
      <c r="BM424" s="297"/>
      <c r="BN424" s="297"/>
      <c r="BO424" s="297"/>
      <c r="BP424" s="297"/>
      <c r="BQ424" s="297"/>
      <c r="BR424" s="297"/>
      <c r="BS424" s="297"/>
      <c r="BT424" s="297"/>
      <c r="BU424" s="297"/>
      <c r="BV424" s="297"/>
      <c r="BW424" s="297"/>
      <c r="BX424" s="297"/>
      <c r="BY424" s="297"/>
      <c r="BZ424" s="297"/>
      <c r="CA424" s="297"/>
      <c r="CB424" s="297"/>
      <c r="CC424" s="297"/>
      <c r="CD424" s="297"/>
      <c r="CE424" s="297"/>
      <c r="CF424" s="297"/>
      <c r="CG424" s="297"/>
    </row>
    <row r="425" spans="1:85" ht="12" customHeight="1" outlineLevel="3">
      <c r="A425" s="288"/>
      <c r="B425" s="288"/>
      <c r="C425" s="288">
        <v>4</v>
      </c>
      <c r="D425" s="291" t="s">
        <v>1928</v>
      </c>
      <c r="E425" s="246"/>
      <c r="F425" s="246"/>
      <c r="G425" s="246"/>
      <c r="H425" s="246" t="s">
        <v>1570</v>
      </c>
      <c r="I425" s="246"/>
      <c r="J425" s="246"/>
      <c r="K425" s="246"/>
      <c r="L425" s="246"/>
      <c r="M425" s="246"/>
      <c r="N425" s="246"/>
      <c r="O425" s="246"/>
      <c r="P425" s="248">
        <v>45880</v>
      </c>
      <c r="Q425" s="248">
        <v>45883</v>
      </c>
      <c r="R425" s="246"/>
      <c r="S425" s="247">
        <v>4</v>
      </c>
      <c r="T425" s="247">
        <v>4</v>
      </c>
      <c r="U425" s="247">
        <v>4</v>
      </c>
      <c r="V425" s="247">
        <v>4</v>
      </c>
      <c r="W425" s="248"/>
      <c r="X425" s="248"/>
      <c r="Y425" s="265"/>
      <c r="Z425" s="266">
        <v>0</v>
      </c>
      <c r="AA425" s="247">
        <v>1</v>
      </c>
      <c r="AB425" s="246"/>
      <c r="AC425" s="263"/>
      <c r="AD425" s="240">
        <v>1</v>
      </c>
      <c r="AE425" s="330">
        <v>1</v>
      </c>
      <c r="AF425" s="296"/>
      <c r="AG425" s="297"/>
      <c r="AH425" s="297"/>
      <c r="AI425" s="297"/>
      <c r="AJ425" s="297"/>
      <c r="AK425" s="297"/>
      <c r="AL425" s="297"/>
      <c r="AM425" s="297"/>
      <c r="AN425" s="297"/>
      <c r="AO425" s="297"/>
      <c r="AP425" s="297"/>
      <c r="AQ425" s="297"/>
      <c r="AR425" s="297"/>
      <c r="AS425" s="297"/>
      <c r="AT425" s="297"/>
      <c r="AU425" s="297"/>
      <c r="AV425" s="297"/>
      <c r="AW425" s="297"/>
      <c r="AX425" s="297"/>
      <c r="AY425" s="297"/>
      <c r="AZ425" s="297"/>
      <c r="BA425" s="297"/>
      <c r="BB425" s="297"/>
      <c r="BC425" s="297"/>
      <c r="BD425" s="297"/>
      <c r="BE425" s="297" t="str">
        <f>"     " &amp; TEXT(AE425,"#0.00%") &amp; " " &amp; "테스트결과 조치" &amp; " " &amp; IF(P425="","",TEXT(P425,"M/D-")) &amp; IF(Q425="","",TEXT(Q425,"M/D")) &amp; " "</f>
        <v xml:space="preserve">     100.00% 테스트결과 조치 8/11-8/14 </v>
      </c>
      <c r="BF425" s="297"/>
      <c r="BG425" s="297"/>
      <c r="BH425" s="297"/>
      <c r="BI425" s="297"/>
      <c r="BJ425" s="297"/>
      <c r="BK425" s="297"/>
      <c r="BL425" s="297"/>
      <c r="BM425" s="297"/>
      <c r="BN425" s="297"/>
      <c r="BO425" s="297"/>
      <c r="BP425" s="297"/>
      <c r="BQ425" s="297"/>
      <c r="BR425" s="297"/>
      <c r="BS425" s="297"/>
      <c r="BT425" s="297"/>
      <c r="BU425" s="297"/>
      <c r="BV425" s="297"/>
      <c r="BW425" s="297"/>
      <c r="BX425" s="297"/>
      <c r="BY425" s="297"/>
      <c r="BZ425" s="297"/>
      <c r="CA425" s="297"/>
      <c r="CB425" s="297"/>
      <c r="CC425" s="297"/>
      <c r="CD425" s="297"/>
      <c r="CE425" s="297"/>
      <c r="CF425" s="297"/>
      <c r="CG425" s="297"/>
    </row>
    <row r="426" spans="1:85" ht="12" customHeight="1" outlineLevel="2">
      <c r="A426" s="288"/>
      <c r="B426" s="288" t="s">
        <v>2334</v>
      </c>
      <c r="C426" s="288">
        <v>3</v>
      </c>
      <c r="D426" s="313" t="s">
        <v>1929</v>
      </c>
      <c r="E426" s="314"/>
      <c r="F426" s="314"/>
      <c r="G426" s="314" t="s">
        <v>1593</v>
      </c>
      <c r="H426" s="314"/>
      <c r="I426" s="314"/>
      <c r="J426" s="314"/>
      <c r="K426" s="314"/>
      <c r="L426" s="314"/>
      <c r="M426" s="314"/>
      <c r="N426" s="314"/>
      <c r="O426" s="314"/>
      <c r="P426" s="248">
        <v>45887</v>
      </c>
      <c r="Q426" s="248">
        <v>45912</v>
      </c>
      <c r="R426" s="246"/>
      <c r="S426" s="247">
        <v>11</v>
      </c>
      <c r="T426" s="247">
        <v>11</v>
      </c>
      <c r="U426" s="247">
        <v>20</v>
      </c>
      <c r="V426" s="247">
        <v>20</v>
      </c>
      <c r="W426" s="248"/>
      <c r="X426" s="248"/>
      <c r="Y426" s="265">
        <v>0</v>
      </c>
      <c r="Z426" s="266">
        <v>0</v>
      </c>
      <c r="AA426" s="247"/>
      <c r="AB426" s="246" t="s">
        <v>1720</v>
      </c>
      <c r="AC426" s="311" t="s">
        <v>2203</v>
      </c>
      <c r="AD426" s="240">
        <v>1</v>
      </c>
      <c r="AE426" s="241">
        <v>1</v>
      </c>
      <c r="AF426" s="296"/>
      <c r="AG426" s="297"/>
      <c r="AH426" s="297"/>
      <c r="AI426" s="297"/>
      <c r="AJ426" s="297"/>
      <c r="AK426" s="297"/>
      <c r="AL426" s="297"/>
      <c r="AM426" s="297"/>
      <c r="AN426" s="297"/>
      <c r="AO426" s="297"/>
      <c r="AP426" s="297"/>
      <c r="AQ426" s="297"/>
      <c r="AR426" s="297"/>
      <c r="AS426" s="297"/>
      <c r="AT426" s="297"/>
      <c r="AU426" s="297"/>
      <c r="AV426" s="297"/>
      <c r="AW426" s="297"/>
      <c r="AX426" s="297"/>
      <c r="AY426" s="297"/>
      <c r="AZ426" s="297"/>
      <c r="BA426" s="297"/>
      <c r="BB426" s="297"/>
      <c r="BC426" s="297"/>
      <c r="BD426" s="297"/>
      <c r="BE426" s="297"/>
      <c r="BF426" s="297"/>
      <c r="BG426" s="297"/>
      <c r="BH426" s="297"/>
      <c r="BI426" s="297" t="str">
        <f>"      " &amp; TEXT(AE426,"#0.00%") &amp; " " &amp; "3차 통합테스트" &amp; "(PL)" &amp; " " &amp; IF(P426="","",TEXT(P426,"M/D-")) &amp; IF(Q426="","",TEXT(Q426,"M/D")) &amp; " "</f>
        <v xml:space="preserve">      100.00% 3차 통합테스트(PL) 8/18-9/12 </v>
      </c>
      <c r="BJ426" s="297"/>
      <c r="BK426" s="297"/>
      <c r="BL426" s="297"/>
      <c r="BM426" s="297"/>
      <c r="BN426" s="297"/>
      <c r="BO426" s="297"/>
      <c r="BP426" s="297"/>
      <c r="BQ426" s="297"/>
      <c r="BR426" s="297"/>
      <c r="BS426" s="297"/>
      <c r="BT426" s="297"/>
      <c r="BU426" s="297"/>
      <c r="BV426" s="297"/>
      <c r="BW426" s="297"/>
      <c r="BX426" s="297"/>
      <c r="BY426" s="297"/>
      <c r="BZ426" s="297"/>
      <c r="CA426" s="297"/>
      <c r="CB426" s="297"/>
      <c r="CC426" s="297"/>
      <c r="CD426" s="297"/>
      <c r="CE426" s="297"/>
      <c r="CF426" s="297"/>
      <c r="CG426" s="297"/>
    </row>
    <row r="427" spans="1:85" ht="12" customHeight="1" outlineLevel="3">
      <c r="A427" s="288"/>
      <c r="B427" s="288"/>
      <c r="C427" s="288">
        <v>4</v>
      </c>
      <c r="D427" s="291" t="s">
        <v>1930</v>
      </c>
      <c r="E427" s="246"/>
      <c r="F427" s="246"/>
      <c r="G427" s="246"/>
      <c r="H427" s="246" t="s">
        <v>1568</v>
      </c>
      <c r="I427" s="246"/>
      <c r="J427" s="246"/>
      <c r="K427" s="246"/>
      <c r="L427" s="246"/>
      <c r="M427" s="246"/>
      <c r="N427" s="246"/>
      <c r="O427" s="246"/>
      <c r="P427" s="248">
        <v>45887</v>
      </c>
      <c r="Q427" s="248">
        <v>45898</v>
      </c>
      <c r="R427" s="246"/>
      <c r="S427" s="247">
        <v>1</v>
      </c>
      <c r="T427" s="247">
        <v>1</v>
      </c>
      <c r="U427" s="247">
        <v>10</v>
      </c>
      <c r="V427" s="247">
        <v>10</v>
      </c>
      <c r="W427" s="248"/>
      <c r="X427" s="248"/>
      <c r="Y427" s="265"/>
      <c r="Z427" s="266">
        <v>0</v>
      </c>
      <c r="AA427" s="247">
        <v>0.1</v>
      </c>
      <c r="AB427" s="246" t="s">
        <v>1720</v>
      </c>
      <c r="AC427" s="311" t="s">
        <v>2201</v>
      </c>
      <c r="AD427" s="240">
        <v>1</v>
      </c>
      <c r="AE427" s="330">
        <v>1</v>
      </c>
      <c r="AF427" s="296"/>
      <c r="AG427" s="297"/>
      <c r="AH427" s="297"/>
      <c r="AI427" s="297"/>
      <c r="AJ427" s="297"/>
      <c r="AK427" s="297"/>
      <c r="AL427" s="297"/>
      <c r="AM427" s="297"/>
      <c r="AN427" s="297"/>
      <c r="AO427" s="297"/>
      <c r="AP427" s="297"/>
      <c r="AQ427" s="297"/>
      <c r="AR427" s="297"/>
      <c r="AS427" s="297"/>
      <c r="AT427" s="297"/>
      <c r="AU427" s="297"/>
      <c r="AV427" s="297"/>
      <c r="AW427" s="297"/>
      <c r="AX427" s="297"/>
      <c r="AY427" s="297"/>
      <c r="AZ427" s="297"/>
      <c r="BA427" s="297"/>
      <c r="BB427" s="297"/>
      <c r="BC427" s="297"/>
      <c r="BD427" s="297"/>
      <c r="BE427" s="297"/>
      <c r="BF427" s="297"/>
      <c r="BG427" s="297" t="str">
        <f>"      " &amp; TEXT(AE427,"#0.00%") &amp; " " &amp; "통합테스트 계획수립 및 환경구성" &amp; "(PL)" &amp; " " &amp; IF(P427="","",TEXT(P427,"M/D-")) &amp; IF(Q427="","",TEXT(Q427,"M/D")) &amp; " "</f>
        <v xml:space="preserve">      100.00% 통합테스트 계획수립 및 환경구성(PL) 8/18-8/29 </v>
      </c>
      <c r="BH427" s="297"/>
      <c r="BI427" s="297"/>
      <c r="BJ427" s="297"/>
      <c r="BK427" s="297"/>
      <c r="BL427" s="297"/>
      <c r="BM427" s="297"/>
      <c r="BN427" s="297"/>
      <c r="BO427" s="297"/>
      <c r="BP427" s="297"/>
      <c r="BQ427" s="297"/>
      <c r="BR427" s="297"/>
      <c r="BS427" s="297"/>
      <c r="BT427" s="297"/>
      <c r="BU427" s="297"/>
      <c r="BV427" s="297"/>
      <c r="BW427" s="297"/>
      <c r="BX427" s="297"/>
      <c r="BY427" s="297"/>
      <c r="BZ427" s="297"/>
      <c r="CA427" s="297"/>
      <c r="CB427" s="297"/>
      <c r="CC427" s="297"/>
      <c r="CD427" s="297"/>
      <c r="CE427" s="297"/>
      <c r="CF427" s="297"/>
      <c r="CG427" s="297"/>
    </row>
    <row r="428" spans="1:85" ht="12" customHeight="1" outlineLevel="3">
      <c r="A428" s="288"/>
      <c r="B428" s="288"/>
      <c r="C428" s="288">
        <v>4</v>
      </c>
      <c r="D428" s="291" t="s">
        <v>1931</v>
      </c>
      <c r="E428" s="246"/>
      <c r="F428" s="246"/>
      <c r="G428" s="246"/>
      <c r="H428" s="246" t="s">
        <v>1569</v>
      </c>
      <c r="I428" s="246"/>
      <c r="J428" s="246"/>
      <c r="K428" s="246"/>
      <c r="L428" s="246"/>
      <c r="M428" s="246"/>
      <c r="N428" s="246"/>
      <c r="O428" s="246"/>
      <c r="P428" s="248">
        <v>45901</v>
      </c>
      <c r="Q428" s="248">
        <v>45905</v>
      </c>
      <c r="R428" s="246"/>
      <c r="S428" s="247">
        <v>5</v>
      </c>
      <c r="T428" s="247">
        <v>5</v>
      </c>
      <c r="U428" s="247">
        <v>5</v>
      </c>
      <c r="V428" s="247">
        <v>5</v>
      </c>
      <c r="W428" s="248"/>
      <c r="X428" s="248"/>
      <c r="Y428" s="265"/>
      <c r="Z428" s="266">
        <v>0</v>
      </c>
      <c r="AA428" s="247">
        <v>1</v>
      </c>
      <c r="AB428" s="246"/>
      <c r="AC428" s="263"/>
      <c r="AD428" s="240">
        <v>1</v>
      </c>
      <c r="AE428" s="304">
        <v>1</v>
      </c>
      <c r="AF428" s="296"/>
      <c r="AG428" s="297"/>
      <c r="AH428" s="297"/>
      <c r="AI428" s="297"/>
      <c r="AJ428" s="297"/>
      <c r="AK428" s="297"/>
      <c r="AL428" s="297"/>
      <c r="AM428" s="297"/>
      <c r="AN428" s="297"/>
      <c r="AO428" s="297"/>
      <c r="AP428" s="297"/>
      <c r="AQ428" s="297"/>
      <c r="AR428" s="297"/>
      <c r="AS428" s="297"/>
      <c r="AT428" s="297"/>
      <c r="AU428" s="297"/>
      <c r="AV428" s="297"/>
      <c r="AW428" s="297"/>
      <c r="AX428" s="297"/>
      <c r="AY428" s="297"/>
      <c r="AZ428" s="297"/>
      <c r="BA428" s="297"/>
      <c r="BB428" s="297"/>
      <c r="BC428" s="297"/>
      <c r="BD428" s="297"/>
      <c r="BE428" s="297"/>
      <c r="BF428" s="297"/>
      <c r="BG428" s="297"/>
      <c r="BH428" s="297" t="str">
        <f>"      " &amp; TEXT(AE428,"#0.00%") &amp; " " &amp; "통합테스트 수행" &amp; " " &amp; IF(P428="","",TEXT(P428,"M/D-")) &amp; IF(Q428="","",TEXT(Q428,"M/D")) &amp; " "</f>
        <v xml:space="preserve">      100.00% 통합테스트 수행 9/1-9/5 </v>
      </c>
      <c r="BI428" s="297"/>
      <c r="BJ428" s="297"/>
      <c r="BK428" s="297"/>
      <c r="BL428" s="297"/>
      <c r="BM428" s="297"/>
      <c r="BN428" s="297"/>
      <c r="BO428" s="297"/>
      <c r="BP428" s="297"/>
      <c r="BQ428" s="297"/>
      <c r="BR428" s="297"/>
      <c r="BS428" s="297"/>
      <c r="BT428" s="297"/>
      <c r="BU428" s="297"/>
      <c r="BV428" s="297"/>
      <c r="BW428" s="297"/>
      <c r="BX428" s="297"/>
      <c r="BY428" s="297"/>
      <c r="BZ428" s="297"/>
      <c r="CA428" s="297"/>
      <c r="CB428" s="297"/>
      <c r="CC428" s="297"/>
      <c r="CD428" s="297"/>
      <c r="CE428" s="297"/>
      <c r="CF428" s="297"/>
      <c r="CG428" s="297"/>
    </row>
    <row r="429" spans="1:85" ht="12" customHeight="1" outlineLevel="3">
      <c r="A429" s="288"/>
      <c r="B429" s="288"/>
      <c r="C429" s="288">
        <v>4</v>
      </c>
      <c r="D429" s="291" t="s">
        <v>1932</v>
      </c>
      <c r="E429" s="246"/>
      <c r="F429" s="246"/>
      <c r="G429" s="246"/>
      <c r="H429" s="246" t="s">
        <v>1570</v>
      </c>
      <c r="I429" s="246"/>
      <c r="J429" s="246"/>
      <c r="K429" s="246"/>
      <c r="L429" s="246"/>
      <c r="M429" s="246"/>
      <c r="N429" s="246"/>
      <c r="O429" s="246"/>
      <c r="P429" s="248">
        <v>45908</v>
      </c>
      <c r="Q429" s="248">
        <v>45912</v>
      </c>
      <c r="R429" s="246"/>
      <c r="S429" s="247">
        <v>5</v>
      </c>
      <c r="T429" s="247">
        <v>5</v>
      </c>
      <c r="U429" s="247">
        <v>5</v>
      </c>
      <c r="V429" s="247">
        <v>5</v>
      </c>
      <c r="W429" s="248"/>
      <c r="X429" s="248"/>
      <c r="Y429" s="265"/>
      <c r="Z429" s="266">
        <v>0</v>
      </c>
      <c r="AA429" s="247">
        <v>1</v>
      </c>
      <c r="AB429" s="246"/>
      <c r="AC429" s="263"/>
      <c r="AD429" s="240">
        <v>1</v>
      </c>
      <c r="AE429" s="304">
        <v>1</v>
      </c>
      <c r="AF429" s="296"/>
      <c r="AG429" s="297"/>
      <c r="AH429" s="297"/>
      <c r="AI429" s="297"/>
      <c r="AJ429" s="297"/>
      <c r="AK429" s="297"/>
      <c r="AL429" s="297"/>
      <c r="AM429" s="297"/>
      <c r="AN429" s="297"/>
      <c r="AO429" s="297"/>
      <c r="AP429" s="297"/>
      <c r="AQ429" s="297"/>
      <c r="AR429" s="297"/>
      <c r="AS429" s="297"/>
      <c r="AT429" s="297"/>
      <c r="AU429" s="297"/>
      <c r="AV429" s="297"/>
      <c r="AW429" s="297"/>
      <c r="AX429" s="297"/>
      <c r="AY429" s="297"/>
      <c r="AZ429" s="297"/>
      <c r="BA429" s="297"/>
      <c r="BB429" s="297"/>
      <c r="BC429" s="297"/>
      <c r="BD429" s="297"/>
      <c r="BE429" s="297"/>
      <c r="BF429" s="297"/>
      <c r="BG429" s="297"/>
      <c r="BH429" s="297"/>
      <c r="BI429" s="297" t="str">
        <f>"      " &amp; TEXT(AE429,"#0.00%") &amp; " " &amp; "테스트결과 조치" &amp; " " &amp; IF(P429="","",TEXT(P429,"M/D-")) &amp; IF(Q429="","",TEXT(Q429,"M/D")) &amp; " "</f>
        <v xml:space="preserve">      100.00% 테스트결과 조치 9/8-9/12 </v>
      </c>
      <c r="BJ429" s="297"/>
      <c r="BK429" s="297"/>
      <c r="BL429" s="297"/>
      <c r="BM429" s="297"/>
      <c r="BN429" s="297"/>
      <c r="BO429" s="297"/>
      <c r="BP429" s="297"/>
      <c r="BQ429" s="297"/>
      <c r="BR429" s="297"/>
      <c r="BS429" s="297"/>
      <c r="BT429" s="297"/>
      <c r="BU429" s="297"/>
      <c r="BV429" s="297"/>
      <c r="BW429" s="297"/>
      <c r="BX429" s="297"/>
      <c r="BY429" s="297"/>
      <c r="BZ429" s="297"/>
      <c r="CA429" s="297"/>
      <c r="CB429" s="297"/>
      <c r="CC429" s="297"/>
      <c r="CD429" s="297"/>
      <c r="CE429" s="297"/>
      <c r="CF429" s="297"/>
      <c r="CG429" s="297"/>
    </row>
    <row r="430" spans="1:85" ht="12" customHeight="1" outlineLevel="2">
      <c r="A430" s="288"/>
      <c r="B430" s="288" t="s">
        <v>2334</v>
      </c>
      <c r="C430" s="288">
        <v>3</v>
      </c>
      <c r="D430" s="291" t="s">
        <v>1933</v>
      </c>
      <c r="E430" s="246"/>
      <c r="F430" s="246"/>
      <c r="G430" s="246" t="s">
        <v>1594</v>
      </c>
      <c r="H430" s="246"/>
      <c r="I430" s="246"/>
      <c r="J430" s="246"/>
      <c r="K430" s="246"/>
      <c r="L430" s="246"/>
      <c r="M430" s="246"/>
      <c r="N430" s="246"/>
      <c r="O430" s="246"/>
      <c r="P430" s="248">
        <v>45929</v>
      </c>
      <c r="Q430" s="248">
        <v>45947</v>
      </c>
      <c r="R430" s="246"/>
      <c r="S430" s="247">
        <v>9</v>
      </c>
      <c r="T430" s="247">
        <v>9</v>
      </c>
      <c r="U430" s="247">
        <v>10</v>
      </c>
      <c r="V430" s="247">
        <v>10</v>
      </c>
      <c r="W430" s="248"/>
      <c r="X430" s="248"/>
      <c r="Y430" s="265">
        <v>0</v>
      </c>
      <c r="Z430" s="266">
        <v>0</v>
      </c>
      <c r="AA430" s="247"/>
      <c r="AB430" s="246" t="s">
        <v>1722</v>
      </c>
      <c r="AC430" s="263"/>
      <c r="AD430" s="240">
        <v>1</v>
      </c>
      <c r="AE430" s="241">
        <v>1</v>
      </c>
      <c r="AF430" s="296"/>
      <c r="AG430" s="297"/>
      <c r="AH430" s="297"/>
      <c r="AI430" s="297"/>
      <c r="AJ430" s="297"/>
      <c r="AK430" s="297"/>
      <c r="AL430" s="297"/>
      <c r="AM430" s="297"/>
      <c r="AN430" s="297"/>
      <c r="AO430" s="297"/>
      <c r="AP430" s="297"/>
      <c r="AQ430" s="297"/>
      <c r="AR430" s="297"/>
      <c r="AS430" s="297"/>
      <c r="AT430" s="297"/>
      <c r="AU430" s="297"/>
      <c r="AV430" s="297"/>
      <c r="AW430" s="297"/>
      <c r="AX430" s="297"/>
      <c r="AY430" s="297"/>
      <c r="AZ430" s="297"/>
      <c r="BA430" s="297"/>
      <c r="BB430" s="297"/>
      <c r="BC430" s="297"/>
      <c r="BD430" s="297"/>
      <c r="BE430" s="297"/>
      <c r="BF430" s="297"/>
      <c r="BG430" s="297"/>
      <c r="BH430" s="297"/>
      <c r="BI430" s="297"/>
      <c r="BJ430" s="297"/>
      <c r="BK430" s="297"/>
      <c r="BL430" s="297"/>
      <c r="BM430" s="297"/>
      <c r="BN430" s="297" t="str">
        <f>"      " &amp; TEXT(AE430,"#0.00%") &amp; " " &amp; "4차 통합테스트" &amp; "(3자테스터)" &amp; " " &amp; IF(P430="","",TEXT(P430,"M/D-")) &amp; IF(Q430="","",TEXT(Q430,"M/D")) &amp; " "</f>
        <v xml:space="preserve">      100.00% 4차 통합테스트(3자테스터) 9/29-10/17 </v>
      </c>
      <c r="BO430" s="297"/>
      <c r="BP430" s="297"/>
      <c r="BQ430" s="297"/>
      <c r="BR430" s="297"/>
      <c r="BS430" s="297"/>
      <c r="BT430" s="297"/>
      <c r="BU430" s="297"/>
      <c r="BV430" s="297"/>
      <c r="BW430" s="297"/>
      <c r="BX430" s="297"/>
      <c r="BY430" s="297"/>
      <c r="BZ430" s="297"/>
      <c r="CA430" s="297"/>
      <c r="CB430" s="297"/>
      <c r="CC430" s="297"/>
      <c r="CD430" s="297"/>
      <c r="CE430" s="297"/>
      <c r="CF430" s="297"/>
      <c r="CG430" s="297"/>
    </row>
    <row r="431" spans="1:85" ht="12" customHeight="1" outlineLevel="3">
      <c r="A431" s="288"/>
      <c r="B431" s="288"/>
      <c r="C431" s="288">
        <v>4</v>
      </c>
      <c r="D431" s="313" t="s">
        <v>1934</v>
      </c>
      <c r="E431" s="314"/>
      <c r="F431" s="314"/>
      <c r="G431" s="314"/>
      <c r="H431" s="314" t="s">
        <v>1569</v>
      </c>
      <c r="I431" s="314"/>
      <c r="J431" s="314"/>
      <c r="K431" s="314"/>
      <c r="L431" s="314"/>
      <c r="M431" s="314"/>
      <c r="N431" s="314"/>
      <c r="O431" s="314"/>
      <c r="P431" s="248">
        <v>45929</v>
      </c>
      <c r="Q431" s="248">
        <v>45932</v>
      </c>
      <c r="R431" s="246"/>
      <c r="S431" s="247">
        <v>4</v>
      </c>
      <c r="T431" s="247">
        <v>4</v>
      </c>
      <c r="U431" s="247">
        <v>4</v>
      </c>
      <c r="V431" s="247">
        <v>4</v>
      </c>
      <c r="W431" s="248"/>
      <c r="X431" s="248"/>
      <c r="Y431" s="265"/>
      <c r="Z431" s="266">
        <v>0</v>
      </c>
      <c r="AA431" s="247">
        <v>1</v>
      </c>
      <c r="AB431" s="246" t="s">
        <v>1720</v>
      </c>
      <c r="AC431" s="311" t="s">
        <v>2204</v>
      </c>
      <c r="AD431" s="240">
        <v>1</v>
      </c>
      <c r="AE431" s="304">
        <v>1</v>
      </c>
      <c r="AF431" s="296"/>
      <c r="AG431" s="297"/>
      <c r="AH431" s="297"/>
      <c r="AI431" s="297"/>
      <c r="AJ431" s="297"/>
      <c r="AK431" s="297"/>
      <c r="AL431" s="297"/>
      <c r="AM431" s="297"/>
      <c r="AN431" s="297"/>
      <c r="AO431" s="297"/>
      <c r="AP431" s="297"/>
      <c r="AQ431" s="297"/>
      <c r="AR431" s="297"/>
      <c r="AS431" s="297"/>
      <c r="AT431" s="297"/>
      <c r="AU431" s="297"/>
      <c r="AV431" s="297"/>
      <c r="AW431" s="297"/>
      <c r="AX431" s="297"/>
      <c r="AY431" s="297"/>
      <c r="AZ431" s="297"/>
      <c r="BA431" s="297"/>
      <c r="BB431" s="297"/>
      <c r="BC431" s="297"/>
      <c r="BD431" s="297"/>
      <c r="BE431" s="297"/>
      <c r="BF431" s="297"/>
      <c r="BG431" s="297"/>
      <c r="BH431" s="297"/>
      <c r="BI431" s="297"/>
      <c r="BJ431" s="297"/>
      <c r="BK431" s="297"/>
      <c r="BL431" s="297" t="str">
        <f>"     " &amp; TEXT(AE431,"#0.00%") &amp; " " &amp; "통합테스트 수행" &amp; "(PL)" &amp; " " &amp; IF(P431="","",TEXT(P431,"M/D-")) &amp; IF(Q431="","",TEXT(Q431,"M/D")) &amp; " "</f>
        <v xml:space="preserve">     100.00% 통합테스트 수행(PL) 9/29-10/2 </v>
      </c>
      <c r="BM431" s="297"/>
      <c r="BN431" s="297"/>
      <c r="BO431" s="297"/>
      <c r="BP431" s="297"/>
      <c r="BQ431" s="297"/>
      <c r="BR431" s="297"/>
      <c r="BS431" s="297"/>
      <c r="BT431" s="297"/>
      <c r="BU431" s="297"/>
      <c r="BV431" s="297"/>
      <c r="BW431" s="297"/>
      <c r="BX431" s="297"/>
      <c r="BY431" s="297"/>
      <c r="BZ431" s="297"/>
      <c r="CA431" s="297"/>
      <c r="CB431" s="297"/>
      <c r="CC431" s="297"/>
      <c r="CD431" s="297"/>
      <c r="CE431" s="297"/>
      <c r="CF431" s="297"/>
      <c r="CG431" s="297"/>
    </row>
    <row r="432" spans="1:85" ht="12" customHeight="1" outlineLevel="3">
      <c r="A432" s="288"/>
      <c r="B432" s="288"/>
      <c r="C432" s="288">
        <v>4</v>
      </c>
      <c r="D432" s="291" t="s">
        <v>1935</v>
      </c>
      <c r="E432" s="246"/>
      <c r="F432" s="246"/>
      <c r="G432" s="246"/>
      <c r="H432" s="246" t="s">
        <v>1570</v>
      </c>
      <c r="I432" s="246"/>
      <c r="J432" s="246"/>
      <c r="K432" s="246"/>
      <c r="L432" s="246"/>
      <c r="M432" s="246"/>
      <c r="N432" s="246"/>
      <c r="O432" s="246"/>
      <c r="P432" s="248">
        <v>45943</v>
      </c>
      <c r="Q432" s="248">
        <v>45947</v>
      </c>
      <c r="R432" s="246"/>
      <c r="S432" s="247">
        <v>5</v>
      </c>
      <c r="T432" s="247">
        <v>5</v>
      </c>
      <c r="U432" s="247">
        <v>5</v>
      </c>
      <c r="V432" s="247">
        <v>5</v>
      </c>
      <c r="W432" s="248"/>
      <c r="X432" s="248"/>
      <c r="Y432" s="265"/>
      <c r="Z432" s="266">
        <v>0</v>
      </c>
      <c r="AA432" s="247">
        <v>1</v>
      </c>
      <c r="AB432" s="246"/>
      <c r="AC432" s="263"/>
      <c r="AD432" s="240">
        <v>1</v>
      </c>
      <c r="AE432" s="330">
        <v>1</v>
      </c>
      <c r="AF432" s="296"/>
      <c r="AG432" s="297"/>
      <c r="AH432" s="297"/>
      <c r="AI432" s="297"/>
      <c r="AJ432" s="297"/>
      <c r="AK432" s="297"/>
      <c r="AL432" s="297"/>
      <c r="AM432" s="297"/>
      <c r="AN432" s="297"/>
      <c r="AO432" s="297"/>
      <c r="AP432" s="297"/>
      <c r="AQ432" s="297"/>
      <c r="AR432" s="297"/>
      <c r="AS432" s="297"/>
      <c r="AT432" s="297"/>
      <c r="AU432" s="297"/>
      <c r="AV432" s="297"/>
      <c r="AW432" s="297"/>
      <c r="AX432" s="297"/>
      <c r="AY432" s="297"/>
      <c r="AZ432" s="297"/>
      <c r="BA432" s="297"/>
      <c r="BB432" s="297"/>
      <c r="BC432" s="297"/>
      <c r="BD432" s="297"/>
      <c r="BE432" s="297"/>
      <c r="BF432" s="297"/>
      <c r="BG432" s="297"/>
      <c r="BH432" s="297"/>
      <c r="BI432" s="297"/>
      <c r="BJ432" s="297"/>
      <c r="BK432" s="297"/>
      <c r="BL432" s="297"/>
      <c r="BM432" s="297"/>
      <c r="BN432" s="297" t="str">
        <f>"      " &amp; TEXT(AE432,"#0.00%") &amp; " " &amp; "테스트결과 조치" &amp; " " &amp; IF(P432="","",TEXT(P432,"M/D-")) &amp; IF(Q432="","",TEXT(Q432,"M/D")) &amp; " "</f>
        <v xml:space="preserve">      100.00% 테스트결과 조치 10/13-10/17 </v>
      </c>
      <c r="BO432" s="297"/>
      <c r="BP432" s="297"/>
      <c r="BQ432" s="297"/>
      <c r="BR432" s="297"/>
      <c r="BS432" s="297"/>
      <c r="BT432" s="297"/>
      <c r="BU432" s="297"/>
      <c r="BV432" s="297"/>
      <c r="BW432" s="297"/>
      <c r="BX432" s="297"/>
      <c r="BY432" s="297"/>
      <c r="BZ432" s="297"/>
      <c r="CA432" s="297"/>
      <c r="CB432" s="297"/>
      <c r="CC432" s="297"/>
      <c r="CD432" s="297"/>
      <c r="CE432" s="297"/>
      <c r="CF432" s="297"/>
      <c r="CG432" s="297"/>
    </row>
    <row r="433" spans="1:85" ht="12" customHeight="1" outlineLevel="1">
      <c r="A433" s="288"/>
      <c r="B433" s="288" t="s">
        <v>2334</v>
      </c>
      <c r="C433" s="288">
        <v>2</v>
      </c>
      <c r="D433" s="291" t="s">
        <v>1709</v>
      </c>
      <c r="E433" s="246"/>
      <c r="F433" s="246" t="s">
        <v>1714</v>
      </c>
      <c r="G433" s="246"/>
      <c r="H433" s="246"/>
      <c r="I433" s="246"/>
      <c r="J433" s="246"/>
      <c r="K433" s="246"/>
      <c r="L433" s="246"/>
      <c r="M433" s="246"/>
      <c r="N433" s="246"/>
      <c r="O433" s="246"/>
      <c r="P433" s="248">
        <v>45855</v>
      </c>
      <c r="Q433" s="248">
        <v>45954</v>
      </c>
      <c r="R433" s="246"/>
      <c r="S433" s="247">
        <v>58.5</v>
      </c>
      <c r="T433" s="247">
        <v>58.5</v>
      </c>
      <c r="U433" s="247">
        <v>66</v>
      </c>
      <c r="V433" s="247">
        <v>66</v>
      </c>
      <c r="W433" s="248"/>
      <c r="X433" s="248"/>
      <c r="Y433" s="265">
        <v>0</v>
      </c>
      <c r="Z433" s="266">
        <v>0</v>
      </c>
      <c r="AA433" s="247"/>
      <c r="AB433" s="246"/>
      <c r="AC433" s="263"/>
      <c r="AD433" s="240">
        <v>1</v>
      </c>
      <c r="AE433" s="241">
        <v>1</v>
      </c>
      <c r="AF433" s="296"/>
      <c r="AG433" s="297"/>
      <c r="AH433" s="297"/>
      <c r="AI433" s="297"/>
      <c r="AJ433" s="297"/>
      <c r="AK433" s="297"/>
      <c r="AL433" s="297"/>
      <c r="AM433" s="297"/>
      <c r="AN433" s="297"/>
      <c r="AO433" s="297"/>
      <c r="AP433" s="297"/>
      <c r="AQ433" s="297"/>
      <c r="AR433" s="297"/>
      <c r="AS433" s="297"/>
      <c r="AT433" s="297"/>
      <c r="AU433" s="297"/>
      <c r="AV433" s="297"/>
      <c r="AW433" s="297"/>
      <c r="AX433" s="297"/>
      <c r="AY433" s="297"/>
      <c r="AZ433" s="297"/>
      <c r="BA433" s="297"/>
      <c r="BB433" s="297"/>
      <c r="BC433" s="297"/>
      <c r="BD433" s="297"/>
      <c r="BE433" s="297"/>
      <c r="BF433" s="297"/>
      <c r="BG433" s="297"/>
      <c r="BH433" s="297"/>
      <c r="BI433" s="297"/>
      <c r="BJ433" s="297"/>
      <c r="BK433" s="297"/>
      <c r="BL433" s="297"/>
      <c r="BM433" s="297"/>
      <c r="BN433" s="297"/>
      <c r="BO433" s="297" t="str">
        <f>"      " &amp; TEXT(AE433,"#0.00%") &amp; " " &amp; "3자테스트" &amp; " " &amp; IF(P433="","",TEXT(P433,"M/D-")) &amp; IF(Q433="","",TEXT(Q433,"M/D")) &amp; " "</f>
        <v xml:space="preserve">      100.00% 3자테스트 7/17-10/24 </v>
      </c>
      <c r="BP433" s="297"/>
      <c r="BQ433" s="297"/>
      <c r="BR433" s="297"/>
      <c r="BS433" s="297"/>
      <c r="BT433" s="297"/>
      <c r="BU433" s="297"/>
      <c r="BV433" s="297"/>
      <c r="BW433" s="297"/>
      <c r="BX433" s="297"/>
      <c r="BY433" s="297"/>
      <c r="BZ433" s="297"/>
      <c r="CA433" s="297"/>
      <c r="CB433" s="297"/>
      <c r="CC433" s="297"/>
      <c r="CD433" s="297"/>
      <c r="CE433" s="297"/>
      <c r="CF433" s="297"/>
      <c r="CG433" s="297"/>
    </row>
    <row r="434" spans="1:85" ht="12" customHeight="1" outlineLevel="2">
      <c r="A434" s="288"/>
      <c r="B434" s="288" t="s">
        <v>2334</v>
      </c>
      <c r="C434" s="288">
        <v>3</v>
      </c>
      <c r="D434" s="291" t="s">
        <v>1785</v>
      </c>
      <c r="E434" s="246"/>
      <c r="F434" s="246"/>
      <c r="G434" s="246" t="s">
        <v>1714</v>
      </c>
      <c r="H434" s="246"/>
      <c r="I434" s="246"/>
      <c r="J434" s="246"/>
      <c r="K434" s="246"/>
      <c r="L434" s="246"/>
      <c r="M434" s="246"/>
      <c r="N434" s="246"/>
      <c r="O434" s="246"/>
      <c r="P434" s="248">
        <v>45855</v>
      </c>
      <c r="Q434" s="248">
        <v>45954</v>
      </c>
      <c r="R434" s="246"/>
      <c r="S434" s="247">
        <v>58.5</v>
      </c>
      <c r="T434" s="247">
        <v>58.5</v>
      </c>
      <c r="U434" s="247">
        <v>66</v>
      </c>
      <c r="V434" s="247">
        <v>66</v>
      </c>
      <c r="W434" s="248"/>
      <c r="X434" s="248"/>
      <c r="Y434" s="265">
        <v>0</v>
      </c>
      <c r="Z434" s="266">
        <v>0</v>
      </c>
      <c r="AA434" s="247"/>
      <c r="AB434" s="246" t="s">
        <v>1720</v>
      </c>
      <c r="AC434" s="263"/>
      <c r="AD434" s="240">
        <v>1</v>
      </c>
      <c r="AE434" s="241">
        <v>1</v>
      </c>
      <c r="AF434" s="296"/>
      <c r="AG434" s="297"/>
      <c r="AH434" s="297"/>
      <c r="AI434" s="297"/>
      <c r="AJ434" s="297"/>
      <c r="AK434" s="297"/>
      <c r="AL434" s="297"/>
      <c r="AM434" s="297"/>
      <c r="AN434" s="297"/>
      <c r="AO434" s="297"/>
      <c r="AP434" s="297"/>
      <c r="AQ434" s="297"/>
      <c r="AR434" s="297"/>
      <c r="AS434" s="297"/>
      <c r="AT434" s="297"/>
      <c r="AU434" s="297"/>
      <c r="AV434" s="297"/>
      <c r="AW434" s="297"/>
      <c r="AX434" s="297"/>
      <c r="AY434" s="297"/>
      <c r="AZ434" s="297"/>
      <c r="BA434" s="297"/>
      <c r="BB434" s="297"/>
      <c r="BC434" s="297"/>
      <c r="BD434" s="297"/>
      <c r="BE434" s="297"/>
      <c r="BF434" s="297"/>
      <c r="BG434" s="297"/>
      <c r="BH434" s="297"/>
      <c r="BI434" s="297"/>
      <c r="BJ434" s="297"/>
      <c r="BK434" s="297"/>
      <c r="BL434" s="297"/>
      <c r="BM434" s="297"/>
      <c r="BN434" s="297"/>
      <c r="BO434" s="297" t="str">
        <f>"      " &amp; TEXT(AE434,"#0.00%") &amp; " " &amp; "3자테스트" &amp; "(PL)" &amp; " " &amp; IF(P434="","",TEXT(P434,"M/D-")) &amp; IF(Q434="","",TEXT(Q434,"M/D")) &amp; " "</f>
        <v xml:space="preserve">      100.00% 3자테스트(PL) 7/17-10/24 </v>
      </c>
      <c r="BP434" s="297"/>
      <c r="BQ434" s="297"/>
      <c r="BR434" s="297"/>
      <c r="BS434" s="297"/>
      <c r="BT434" s="297"/>
      <c r="BU434" s="297"/>
      <c r="BV434" s="297"/>
      <c r="BW434" s="297"/>
      <c r="BX434" s="297"/>
      <c r="BY434" s="297"/>
      <c r="BZ434" s="297"/>
      <c r="CA434" s="297"/>
      <c r="CB434" s="297"/>
      <c r="CC434" s="297"/>
      <c r="CD434" s="297"/>
      <c r="CE434" s="297"/>
      <c r="CF434" s="297"/>
      <c r="CG434" s="297"/>
    </row>
    <row r="435" spans="1:85" ht="12" customHeight="1" outlineLevel="3">
      <c r="A435" s="288"/>
      <c r="B435" s="288"/>
      <c r="C435" s="288">
        <v>4</v>
      </c>
      <c r="D435" s="291" t="s">
        <v>1936</v>
      </c>
      <c r="E435" s="246"/>
      <c r="F435" s="246"/>
      <c r="G435" s="246"/>
      <c r="H435" s="246" t="s">
        <v>2603</v>
      </c>
      <c r="I435" s="246"/>
      <c r="J435" s="246"/>
      <c r="K435" s="246"/>
      <c r="L435" s="246"/>
      <c r="M435" s="246"/>
      <c r="N435" s="246"/>
      <c r="O435" s="246"/>
      <c r="P435" s="248">
        <v>45855</v>
      </c>
      <c r="Q435" s="248">
        <v>45863</v>
      </c>
      <c r="R435" s="246"/>
      <c r="S435" s="247">
        <v>7</v>
      </c>
      <c r="T435" s="247">
        <v>7</v>
      </c>
      <c r="U435" s="247">
        <v>7</v>
      </c>
      <c r="V435" s="247">
        <v>7</v>
      </c>
      <c r="W435" s="248"/>
      <c r="X435" s="248"/>
      <c r="Y435" s="265"/>
      <c r="Z435" s="266">
        <v>0</v>
      </c>
      <c r="AA435" s="247">
        <v>1</v>
      </c>
      <c r="AB435" s="246"/>
      <c r="AC435" s="263"/>
      <c r="AD435" s="240">
        <v>1</v>
      </c>
      <c r="AE435" s="330">
        <v>1</v>
      </c>
      <c r="AF435" s="296"/>
      <c r="AG435" s="297"/>
      <c r="AH435" s="297"/>
      <c r="AI435" s="297"/>
      <c r="AJ435" s="297"/>
      <c r="AK435" s="297"/>
      <c r="AL435" s="297"/>
      <c r="AM435" s="297"/>
      <c r="AN435" s="297"/>
      <c r="AO435" s="297"/>
      <c r="AP435" s="297"/>
      <c r="AQ435" s="297"/>
      <c r="AR435" s="297"/>
      <c r="AS435" s="297"/>
      <c r="AT435" s="297"/>
      <c r="AU435" s="297"/>
      <c r="AV435" s="297"/>
      <c r="AW435" s="297"/>
      <c r="AX435" s="297"/>
      <c r="AY435" s="297"/>
      <c r="AZ435" s="297"/>
      <c r="BA435" s="297"/>
      <c r="BB435" s="297" t="str">
        <f>"      " &amp; TEXT(AE435,"#0.00%") &amp; " " &amp; "계획수립 및 환경구성" &amp; " " &amp; IF(P435="","",TEXT(P435,"M/D-")) &amp; IF(Q435="","",TEXT(Q435,"M/D")) &amp; " "</f>
        <v xml:space="preserve">      100.00% 계획수립 및 환경구성 7/17-7/25 </v>
      </c>
      <c r="BC435" s="297"/>
      <c r="BD435" s="297"/>
      <c r="BE435" s="297"/>
      <c r="BF435" s="297"/>
      <c r="BG435" s="297"/>
      <c r="BH435" s="297"/>
      <c r="BI435" s="297"/>
      <c r="BJ435" s="297"/>
      <c r="BK435" s="297"/>
      <c r="BL435" s="297"/>
      <c r="BM435" s="297"/>
      <c r="BN435" s="297"/>
      <c r="BO435" s="297"/>
      <c r="BP435" s="297"/>
      <c r="BQ435" s="297"/>
      <c r="BR435" s="297"/>
      <c r="BS435" s="297"/>
      <c r="BT435" s="297"/>
      <c r="BU435" s="297"/>
      <c r="BV435" s="297"/>
      <c r="BW435" s="297"/>
      <c r="BX435" s="297"/>
      <c r="BY435" s="297"/>
      <c r="BZ435" s="297"/>
      <c r="CA435" s="297"/>
      <c r="CB435" s="297"/>
      <c r="CC435" s="297"/>
      <c r="CD435" s="297"/>
      <c r="CE435" s="297"/>
      <c r="CF435" s="297"/>
      <c r="CG435" s="297"/>
    </row>
    <row r="436" spans="1:85" ht="12" customHeight="1" outlineLevel="3">
      <c r="A436" s="288"/>
      <c r="B436" s="288"/>
      <c r="C436" s="288">
        <v>4</v>
      </c>
      <c r="D436" s="291" t="s">
        <v>1937</v>
      </c>
      <c r="E436" s="246"/>
      <c r="F436" s="246"/>
      <c r="G436" s="246"/>
      <c r="H436" s="246" t="s">
        <v>1716</v>
      </c>
      <c r="I436" s="246"/>
      <c r="J436" s="246"/>
      <c r="K436" s="246"/>
      <c r="L436" s="246"/>
      <c r="M436" s="246"/>
      <c r="N436" s="246"/>
      <c r="O436" s="246"/>
      <c r="P436" s="248">
        <v>45866</v>
      </c>
      <c r="Q436" s="248">
        <v>45947</v>
      </c>
      <c r="R436" s="246"/>
      <c r="S436" s="247">
        <v>27</v>
      </c>
      <c r="T436" s="247">
        <v>27</v>
      </c>
      <c r="U436" s="247">
        <v>54</v>
      </c>
      <c r="V436" s="247">
        <v>54</v>
      </c>
      <c r="W436" s="248"/>
      <c r="X436" s="248"/>
      <c r="Y436" s="265"/>
      <c r="Z436" s="266">
        <v>0</v>
      </c>
      <c r="AA436" s="247">
        <v>0.5</v>
      </c>
      <c r="AB436" s="246" t="s">
        <v>1723</v>
      </c>
      <c r="AC436" s="263"/>
      <c r="AD436" s="240">
        <v>1</v>
      </c>
      <c r="AE436" s="330">
        <v>1</v>
      </c>
      <c r="AF436" s="296"/>
      <c r="AG436" s="297"/>
      <c r="AH436" s="297"/>
      <c r="AI436" s="297"/>
      <c r="AJ436" s="297"/>
      <c r="AK436" s="297"/>
      <c r="AL436" s="297"/>
      <c r="AM436" s="297"/>
      <c r="AN436" s="297"/>
      <c r="AO436" s="297"/>
      <c r="AP436" s="297"/>
      <c r="AQ436" s="297"/>
      <c r="AR436" s="297"/>
      <c r="AS436" s="297"/>
      <c r="AT436" s="297"/>
      <c r="AU436" s="297"/>
      <c r="AV436" s="297"/>
      <c r="AW436" s="297"/>
      <c r="AX436" s="297"/>
      <c r="AY436" s="297"/>
      <c r="AZ436" s="297"/>
      <c r="BA436" s="297"/>
      <c r="BB436" s="297"/>
      <c r="BC436" s="297"/>
      <c r="BD436" s="297"/>
      <c r="BE436" s="297"/>
      <c r="BF436" s="297"/>
      <c r="BG436" s="297"/>
      <c r="BH436" s="297"/>
      <c r="BI436" s="297"/>
      <c r="BJ436" s="297"/>
      <c r="BK436" s="297"/>
      <c r="BL436" s="297"/>
      <c r="BM436" s="297"/>
      <c r="BN436" s="297" t="str">
        <f>"      " &amp; TEXT(AE436,"#0.00%") &amp; " " &amp; "3자테스트 수행" &amp; "(성능테스터)" &amp; " " &amp; IF(P436="","",TEXT(P436,"M/D-")) &amp; IF(Q436="","",TEXT(Q436,"M/D")) &amp; " "</f>
        <v xml:space="preserve">      100.00% 3자테스트 수행(성능테스터) 7/28-10/17 </v>
      </c>
      <c r="BO436" s="297"/>
      <c r="BP436" s="297"/>
      <c r="BQ436" s="297"/>
      <c r="BR436" s="297"/>
      <c r="BS436" s="297"/>
      <c r="BT436" s="297"/>
      <c r="BU436" s="297"/>
      <c r="BV436" s="297"/>
      <c r="BW436" s="297"/>
      <c r="BX436" s="297"/>
      <c r="BY436" s="297"/>
      <c r="BZ436" s="297"/>
      <c r="CA436" s="297"/>
      <c r="CB436" s="297"/>
      <c r="CC436" s="297"/>
      <c r="CD436" s="297"/>
      <c r="CE436" s="297"/>
      <c r="CF436" s="297"/>
      <c r="CG436" s="297"/>
    </row>
    <row r="437" spans="1:85" ht="12" customHeight="1" outlineLevel="3">
      <c r="A437" s="288"/>
      <c r="B437" s="288"/>
      <c r="C437" s="288">
        <v>4</v>
      </c>
      <c r="D437" s="291" t="s">
        <v>1938</v>
      </c>
      <c r="E437" s="246"/>
      <c r="F437" s="246"/>
      <c r="G437" s="246"/>
      <c r="H437" s="246" t="s">
        <v>1558</v>
      </c>
      <c r="I437" s="246"/>
      <c r="J437" s="246"/>
      <c r="K437" s="246"/>
      <c r="L437" s="246"/>
      <c r="M437" s="246"/>
      <c r="N437" s="246"/>
      <c r="O437" s="246"/>
      <c r="P437" s="248">
        <v>45880</v>
      </c>
      <c r="Q437" s="248">
        <v>45954</v>
      </c>
      <c r="R437" s="246"/>
      <c r="S437" s="247">
        <v>24.5</v>
      </c>
      <c r="T437" s="247">
        <v>24.5</v>
      </c>
      <c r="U437" s="247">
        <v>49</v>
      </c>
      <c r="V437" s="247">
        <v>49</v>
      </c>
      <c r="W437" s="248"/>
      <c r="X437" s="248"/>
      <c r="Y437" s="265"/>
      <c r="Z437" s="266">
        <v>0</v>
      </c>
      <c r="AA437" s="247">
        <v>0.5</v>
      </c>
      <c r="AB437" s="246" t="s">
        <v>1720</v>
      </c>
      <c r="AC437" s="311" t="s">
        <v>2205</v>
      </c>
      <c r="AD437" s="240">
        <v>1</v>
      </c>
      <c r="AE437" s="330">
        <v>1</v>
      </c>
      <c r="AF437" s="296"/>
      <c r="AG437" s="297"/>
      <c r="AH437" s="297"/>
      <c r="AI437" s="297"/>
      <c r="AJ437" s="297"/>
      <c r="AK437" s="297"/>
      <c r="AL437" s="297"/>
      <c r="AM437" s="297"/>
      <c r="AN437" s="297"/>
      <c r="AO437" s="297"/>
      <c r="AP437" s="297"/>
      <c r="AQ437" s="297"/>
      <c r="AR437" s="297"/>
      <c r="AS437" s="297"/>
      <c r="AT437" s="297"/>
      <c r="AU437" s="297"/>
      <c r="AV437" s="297"/>
      <c r="AW437" s="297"/>
      <c r="AX437" s="297"/>
      <c r="AY437" s="297"/>
      <c r="AZ437" s="297"/>
      <c r="BA437" s="297"/>
      <c r="BB437" s="297"/>
      <c r="BC437" s="297"/>
      <c r="BD437" s="297"/>
      <c r="BE437" s="297"/>
      <c r="BF437" s="297"/>
      <c r="BG437" s="297"/>
      <c r="BH437" s="297"/>
      <c r="BI437" s="297"/>
      <c r="BJ437" s="297"/>
      <c r="BK437" s="297"/>
      <c r="BL437" s="297"/>
      <c r="BM437" s="297"/>
      <c r="BN437" s="297"/>
      <c r="BO437" s="297" t="str">
        <f>"      " &amp; TEXT(AE437,"#0.00%") &amp; " " &amp; "수행결과 조치" &amp; "(PL)" &amp; " " &amp; IF(P437="","",TEXT(P437,"M/D-")) &amp; IF(Q437="","",TEXT(Q437,"M/D")) &amp; " "</f>
        <v xml:space="preserve">      100.00% 수행결과 조치(PL) 8/11-10/24 </v>
      </c>
      <c r="BP437" s="297"/>
      <c r="BQ437" s="297"/>
      <c r="BR437" s="297"/>
      <c r="BS437" s="297"/>
      <c r="BT437" s="297"/>
      <c r="BU437" s="297"/>
      <c r="BV437" s="297"/>
      <c r="BW437" s="297"/>
      <c r="BX437" s="297"/>
      <c r="BY437" s="297"/>
      <c r="BZ437" s="297"/>
      <c r="CA437" s="297"/>
      <c r="CB437" s="297"/>
      <c r="CC437" s="297"/>
      <c r="CD437" s="297"/>
      <c r="CE437" s="297"/>
      <c r="CF437" s="297"/>
      <c r="CG437" s="297"/>
    </row>
    <row r="438" spans="1:85" ht="12" customHeight="1" outlineLevel="1">
      <c r="A438" s="288"/>
      <c r="B438" s="288" t="s">
        <v>2334</v>
      </c>
      <c r="C438" s="288">
        <v>2</v>
      </c>
      <c r="D438" s="291" t="s">
        <v>1710</v>
      </c>
      <c r="E438" s="246"/>
      <c r="F438" s="246" t="s">
        <v>1712</v>
      </c>
      <c r="G438" s="246"/>
      <c r="H438" s="246"/>
      <c r="I438" s="246"/>
      <c r="J438" s="246"/>
      <c r="K438" s="246"/>
      <c r="L438" s="246"/>
      <c r="M438" s="246"/>
      <c r="N438" s="246"/>
      <c r="O438" s="246"/>
      <c r="P438" s="248">
        <v>45859</v>
      </c>
      <c r="Q438" s="248">
        <v>45926</v>
      </c>
      <c r="R438" s="246"/>
      <c r="S438" s="247">
        <v>25</v>
      </c>
      <c r="T438" s="247">
        <v>25</v>
      </c>
      <c r="U438" s="247">
        <v>49</v>
      </c>
      <c r="V438" s="247">
        <v>49</v>
      </c>
      <c r="W438" s="248"/>
      <c r="X438" s="248"/>
      <c r="Y438" s="265">
        <v>0</v>
      </c>
      <c r="Z438" s="266">
        <v>0</v>
      </c>
      <c r="AA438" s="247"/>
      <c r="AB438" s="246"/>
      <c r="AC438" s="263"/>
      <c r="AD438" s="240">
        <v>1</v>
      </c>
      <c r="AE438" s="241">
        <v>1</v>
      </c>
      <c r="AF438" s="296"/>
      <c r="AG438" s="297"/>
      <c r="AH438" s="297"/>
      <c r="AI438" s="297"/>
      <c r="AJ438" s="297"/>
      <c r="AK438" s="297"/>
      <c r="AL438" s="297"/>
      <c r="AM438" s="297"/>
      <c r="AN438" s="297"/>
      <c r="AO438" s="297"/>
      <c r="AP438" s="297"/>
      <c r="AQ438" s="297"/>
      <c r="AR438" s="297"/>
      <c r="AS438" s="297"/>
      <c r="AT438" s="297"/>
      <c r="AU438" s="297"/>
      <c r="AV438" s="297"/>
      <c r="AW438" s="297"/>
      <c r="AX438" s="297"/>
      <c r="AY438" s="297"/>
      <c r="AZ438" s="297"/>
      <c r="BA438" s="297"/>
      <c r="BB438" s="297"/>
      <c r="BC438" s="297"/>
      <c r="BD438" s="297"/>
      <c r="BE438" s="297"/>
      <c r="BF438" s="297"/>
      <c r="BG438" s="297"/>
      <c r="BH438" s="297"/>
      <c r="BI438" s="297"/>
      <c r="BJ438" s="297"/>
      <c r="BK438" s="297" t="str">
        <f>"      " &amp; TEXT(AE438,"#0.00%") &amp; " " &amp; "성능테스트" &amp; " " &amp; IF(P438="","",TEXT(P438,"M/D-")) &amp; IF(Q438="","",TEXT(Q438,"M/D")) &amp; " "</f>
        <v xml:space="preserve">      100.00% 성능테스트 7/21-9/26 </v>
      </c>
      <c r="BL438" s="297"/>
      <c r="BM438" s="297"/>
      <c r="BN438" s="297"/>
      <c r="BO438" s="297"/>
      <c r="BP438" s="297"/>
      <c r="BQ438" s="297"/>
      <c r="BR438" s="297"/>
      <c r="BS438" s="297"/>
      <c r="BT438" s="297"/>
      <c r="BU438" s="297"/>
      <c r="BV438" s="297"/>
      <c r="BW438" s="297"/>
      <c r="BX438" s="297"/>
      <c r="BY438" s="297"/>
      <c r="BZ438" s="297"/>
      <c r="CA438" s="297"/>
      <c r="CB438" s="297"/>
      <c r="CC438" s="297"/>
      <c r="CD438" s="297"/>
      <c r="CE438" s="297"/>
      <c r="CF438" s="297"/>
      <c r="CG438" s="297"/>
    </row>
    <row r="439" spans="1:85" ht="12" customHeight="1" outlineLevel="2">
      <c r="A439" s="288"/>
      <c r="B439" s="288" t="s">
        <v>2334</v>
      </c>
      <c r="C439" s="288">
        <v>3</v>
      </c>
      <c r="D439" s="291" t="s">
        <v>1787</v>
      </c>
      <c r="E439" s="246"/>
      <c r="F439" s="246"/>
      <c r="G439" s="246" t="s">
        <v>1713</v>
      </c>
      <c r="H439" s="246"/>
      <c r="I439" s="246"/>
      <c r="J439" s="246"/>
      <c r="K439" s="246"/>
      <c r="L439" s="246"/>
      <c r="M439" s="246"/>
      <c r="N439" s="246"/>
      <c r="O439" s="246"/>
      <c r="P439" s="248">
        <v>45859</v>
      </c>
      <c r="Q439" s="248">
        <v>45883</v>
      </c>
      <c r="R439" s="246"/>
      <c r="S439" s="247">
        <v>14.5</v>
      </c>
      <c r="T439" s="247">
        <v>14.5</v>
      </c>
      <c r="U439" s="247">
        <v>19</v>
      </c>
      <c r="V439" s="247">
        <v>19</v>
      </c>
      <c r="W439" s="248"/>
      <c r="X439" s="248"/>
      <c r="Y439" s="265">
        <v>0</v>
      </c>
      <c r="Z439" s="266">
        <v>0</v>
      </c>
      <c r="AA439" s="247"/>
      <c r="AB439" s="246" t="s">
        <v>1720</v>
      </c>
      <c r="AC439" s="263"/>
      <c r="AD439" s="240">
        <v>1</v>
      </c>
      <c r="AE439" s="241">
        <v>1</v>
      </c>
      <c r="AF439" s="296"/>
      <c r="AG439" s="297"/>
      <c r="AH439" s="297"/>
      <c r="AI439" s="297"/>
      <c r="AJ439" s="297"/>
      <c r="AK439" s="297"/>
      <c r="AL439" s="297"/>
      <c r="AM439" s="297"/>
      <c r="AN439" s="297"/>
      <c r="AO439" s="297"/>
      <c r="AP439" s="297"/>
      <c r="AQ439" s="297"/>
      <c r="AR439" s="297"/>
      <c r="AS439" s="297"/>
      <c r="AT439" s="297"/>
      <c r="AU439" s="297"/>
      <c r="AV439" s="297"/>
      <c r="AW439" s="297"/>
      <c r="AX439" s="297"/>
      <c r="AY439" s="297"/>
      <c r="AZ439" s="297"/>
      <c r="BA439" s="297"/>
      <c r="BB439" s="297"/>
      <c r="BC439" s="297"/>
      <c r="BD439" s="297"/>
      <c r="BE439" s="297" t="str">
        <f>"     " &amp; TEXT(AE439,"#0.00%") &amp; " " &amp; "1차 성능테스트" &amp; "(PL)" &amp; " " &amp; IF(P439="","",TEXT(P439,"M/D-")) &amp; IF(Q439="","",TEXT(Q439,"M/D")) &amp; " "</f>
        <v xml:space="preserve">     100.00% 1차 성능테스트(PL) 7/21-8/14 </v>
      </c>
      <c r="BF439" s="297"/>
      <c r="BG439" s="297"/>
      <c r="BH439" s="297"/>
      <c r="BI439" s="297"/>
      <c r="BJ439" s="297"/>
      <c r="BK439" s="297"/>
      <c r="BL439" s="297"/>
      <c r="BM439" s="297"/>
      <c r="BN439" s="297"/>
      <c r="BO439" s="297"/>
      <c r="BP439" s="297"/>
      <c r="BQ439" s="297"/>
      <c r="BR439" s="297"/>
      <c r="BS439" s="297"/>
      <c r="BT439" s="297"/>
      <c r="BU439" s="297"/>
      <c r="BV439" s="297"/>
      <c r="BW439" s="297"/>
      <c r="BX439" s="297"/>
      <c r="BY439" s="297"/>
      <c r="BZ439" s="297"/>
      <c r="CA439" s="297"/>
      <c r="CB439" s="297"/>
      <c r="CC439" s="297"/>
      <c r="CD439" s="297"/>
      <c r="CE439" s="297"/>
      <c r="CF439" s="297"/>
      <c r="CG439" s="297"/>
    </row>
    <row r="440" spans="1:85" ht="12" customHeight="1" outlineLevel="3">
      <c r="A440" s="288"/>
      <c r="B440" s="288"/>
      <c r="C440" s="288">
        <v>4</v>
      </c>
      <c r="D440" s="313" t="s">
        <v>1944</v>
      </c>
      <c r="E440" s="314"/>
      <c r="F440" s="314"/>
      <c r="G440" s="314"/>
      <c r="H440" s="314" t="s">
        <v>1572</v>
      </c>
      <c r="I440" s="314"/>
      <c r="J440" s="314"/>
      <c r="K440" s="314"/>
      <c r="L440" s="314"/>
      <c r="M440" s="314"/>
      <c r="N440" s="314"/>
      <c r="O440" s="314"/>
      <c r="P440" s="248">
        <v>45859</v>
      </c>
      <c r="Q440" s="248">
        <v>45877</v>
      </c>
      <c r="R440" s="246"/>
      <c r="S440" s="247">
        <v>1.5</v>
      </c>
      <c r="T440" s="247">
        <v>1.5</v>
      </c>
      <c r="U440" s="247">
        <v>15</v>
      </c>
      <c r="V440" s="247">
        <v>15</v>
      </c>
      <c r="W440" s="248"/>
      <c r="X440" s="248"/>
      <c r="Y440" s="265"/>
      <c r="Z440" s="266">
        <v>0</v>
      </c>
      <c r="AA440" s="247">
        <v>0.1</v>
      </c>
      <c r="AB440" s="246" t="s">
        <v>1723</v>
      </c>
      <c r="AC440" s="263"/>
      <c r="AD440" s="240">
        <v>1</v>
      </c>
      <c r="AE440" s="304">
        <v>1</v>
      </c>
      <c r="AF440" s="296"/>
      <c r="AG440" s="297"/>
      <c r="AH440" s="297"/>
      <c r="AI440" s="297"/>
      <c r="AJ440" s="297"/>
      <c r="AK440" s="297"/>
      <c r="AL440" s="297"/>
      <c r="AM440" s="297"/>
      <c r="AN440" s="297"/>
      <c r="AO440" s="297"/>
      <c r="AP440" s="297"/>
      <c r="AQ440" s="297"/>
      <c r="AR440" s="297"/>
      <c r="AS440" s="297"/>
      <c r="AT440" s="297"/>
      <c r="AU440" s="297"/>
      <c r="AV440" s="297"/>
      <c r="AW440" s="297"/>
      <c r="AX440" s="297"/>
      <c r="AY440" s="297"/>
      <c r="AZ440" s="297"/>
      <c r="BA440" s="297"/>
      <c r="BB440" s="297"/>
      <c r="BC440" s="297"/>
      <c r="BD440" s="297" t="str">
        <f>"      " &amp; TEXT(AE440,"#0.00%") &amp; " " &amp; "성능테스트 계획수립 및 준비 " &amp; "(성능테스터)" &amp; " " &amp; IF(P440="","",TEXT(P440,"M/D-")) &amp; IF(Q440="","",TEXT(Q440,"M/D")) &amp; " "</f>
        <v xml:space="preserve">      100.00% 성능테스트 계획수립 및 준비 (성능테스터) 7/21-8/8 </v>
      </c>
      <c r="BE440" s="297"/>
      <c r="BF440" s="297"/>
      <c r="BG440" s="297"/>
      <c r="BH440" s="297"/>
      <c r="BI440" s="297"/>
      <c r="BJ440" s="297"/>
      <c r="BK440" s="297"/>
      <c r="BL440" s="297"/>
      <c r="BM440" s="297"/>
      <c r="BN440" s="297"/>
      <c r="BO440" s="297"/>
      <c r="BP440" s="297"/>
      <c r="BQ440" s="297"/>
      <c r="BR440" s="297"/>
      <c r="BS440" s="297"/>
      <c r="BT440" s="297"/>
      <c r="BU440" s="297"/>
      <c r="BV440" s="297"/>
      <c r="BW440" s="297"/>
      <c r="BX440" s="297"/>
      <c r="BY440" s="297"/>
      <c r="BZ440" s="297"/>
      <c r="CA440" s="297"/>
      <c r="CB440" s="297"/>
      <c r="CC440" s="297"/>
      <c r="CD440" s="297"/>
      <c r="CE440" s="297"/>
      <c r="CF440" s="297"/>
      <c r="CG440" s="297"/>
    </row>
    <row r="441" spans="1:85" ht="12" customHeight="1" outlineLevel="3">
      <c r="A441" s="288"/>
      <c r="B441" s="288"/>
      <c r="C441" s="288">
        <v>4</v>
      </c>
      <c r="D441" s="313" t="s">
        <v>1945</v>
      </c>
      <c r="E441" s="314"/>
      <c r="F441" s="314"/>
      <c r="G441" s="314"/>
      <c r="H441" s="314" t="s">
        <v>1557</v>
      </c>
      <c r="I441" s="314"/>
      <c r="J441" s="314"/>
      <c r="K441" s="314"/>
      <c r="L441" s="314"/>
      <c r="M441" s="314"/>
      <c r="N441" s="314"/>
      <c r="O441" s="314"/>
      <c r="P441" s="248">
        <v>45873</v>
      </c>
      <c r="Q441" s="248">
        <v>45883</v>
      </c>
      <c r="R441" s="246"/>
      <c r="S441" s="247">
        <v>9</v>
      </c>
      <c r="T441" s="247">
        <v>9</v>
      </c>
      <c r="U441" s="247">
        <v>9</v>
      </c>
      <c r="V441" s="247">
        <v>9</v>
      </c>
      <c r="W441" s="248"/>
      <c r="X441" s="248"/>
      <c r="Y441" s="265"/>
      <c r="Z441" s="266">
        <v>0</v>
      </c>
      <c r="AA441" s="247">
        <v>1</v>
      </c>
      <c r="AB441" s="246" t="s">
        <v>1720</v>
      </c>
      <c r="AC441" s="311" t="s">
        <v>2206</v>
      </c>
      <c r="AD441" s="240">
        <v>1</v>
      </c>
      <c r="AE441" s="330">
        <v>1</v>
      </c>
      <c r="AF441" s="296"/>
      <c r="AG441" s="297"/>
      <c r="AH441" s="297"/>
      <c r="AI441" s="297"/>
      <c r="AJ441" s="297"/>
      <c r="AK441" s="297"/>
      <c r="AL441" s="297"/>
      <c r="AM441" s="297"/>
      <c r="AN441" s="297"/>
      <c r="AO441" s="297"/>
      <c r="AP441" s="297"/>
      <c r="AQ441" s="297"/>
      <c r="AR441" s="297"/>
      <c r="AS441" s="297"/>
      <c r="AT441" s="297"/>
      <c r="AU441" s="297"/>
      <c r="AV441" s="297"/>
      <c r="AW441" s="297"/>
      <c r="AX441" s="297"/>
      <c r="AY441" s="297"/>
      <c r="AZ441" s="297"/>
      <c r="BA441" s="297"/>
      <c r="BB441" s="297"/>
      <c r="BC441" s="297"/>
      <c r="BD441" s="297"/>
      <c r="BE441" s="297" t="str">
        <f>"     " &amp; TEXT(AE441,"#0.00%") &amp; " " &amp; "성능테스트 수행" &amp; "(PL)" &amp; " " &amp; IF(P441="","",TEXT(P441,"M/D-")) &amp; IF(Q441="","",TEXT(Q441,"M/D")) &amp; " "</f>
        <v xml:space="preserve">     100.00% 성능테스트 수행(PL) 8/4-8/14 </v>
      </c>
      <c r="BF441" s="297"/>
      <c r="BG441" s="297"/>
      <c r="BH441" s="297"/>
      <c r="BI441" s="297"/>
      <c r="BJ441" s="297"/>
      <c r="BK441" s="297"/>
      <c r="BL441" s="297"/>
      <c r="BM441" s="297"/>
      <c r="BN441" s="297"/>
      <c r="BO441" s="297"/>
      <c r="BP441" s="297"/>
      <c r="BQ441" s="297"/>
      <c r="BR441" s="297"/>
      <c r="BS441" s="297"/>
      <c r="BT441" s="297"/>
      <c r="BU441" s="297"/>
      <c r="BV441" s="297"/>
      <c r="BW441" s="297"/>
      <c r="BX441" s="297"/>
      <c r="BY441" s="297"/>
      <c r="BZ441" s="297"/>
      <c r="CA441" s="297"/>
      <c r="CB441" s="297"/>
      <c r="CC441" s="297"/>
      <c r="CD441" s="297"/>
      <c r="CE441" s="297"/>
      <c r="CF441" s="297"/>
      <c r="CG441" s="297"/>
    </row>
    <row r="442" spans="1:85" ht="12" customHeight="1" outlineLevel="3">
      <c r="A442" s="288"/>
      <c r="B442" s="288"/>
      <c r="C442" s="288">
        <v>4</v>
      </c>
      <c r="D442" s="291" t="s">
        <v>1946</v>
      </c>
      <c r="E442" s="246"/>
      <c r="F442" s="246"/>
      <c r="G442" s="246"/>
      <c r="H442" s="246" t="s">
        <v>1558</v>
      </c>
      <c r="I442" s="246"/>
      <c r="J442" s="246"/>
      <c r="K442" s="246"/>
      <c r="L442" s="246"/>
      <c r="M442" s="246"/>
      <c r="N442" s="246"/>
      <c r="O442" s="246"/>
      <c r="P442" s="248">
        <v>45880</v>
      </c>
      <c r="Q442" s="248">
        <v>45883</v>
      </c>
      <c r="R442" s="246"/>
      <c r="S442" s="247">
        <v>4</v>
      </c>
      <c r="T442" s="247">
        <v>4</v>
      </c>
      <c r="U442" s="247">
        <v>4</v>
      </c>
      <c r="V442" s="247">
        <v>4</v>
      </c>
      <c r="W442" s="248"/>
      <c r="X442" s="248"/>
      <c r="Y442" s="265"/>
      <c r="Z442" s="266">
        <v>0</v>
      </c>
      <c r="AA442" s="247">
        <v>1</v>
      </c>
      <c r="AB442" s="246"/>
      <c r="AC442" s="263"/>
      <c r="AD442" s="240">
        <v>1</v>
      </c>
      <c r="AE442" s="330">
        <v>1</v>
      </c>
      <c r="AF442" s="296"/>
      <c r="AG442" s="297"/>
      <c r="AH442" s="297"/>
      <c r="AI442" s="297"/>
      <c r="AJ442" s="297"/>
      <c r="AK442" s="297"/>
      <c r="AL442" s="297"/>
      <c r="AM442" s="297"/>
      <c r="AN442" s="297"/>
      <c r="AO442" s="297"/>
      <c r="AP442" s="297"/>
      <c r="AQ442" s="297"/>
      <c r="AR442" s="297"/>
      <c r="AS442" s="297"/>
      <c r="AT442" s="297"/>
      <c r="AU442" s="297"/>
      <c r="AV442" s="297"/>
      <c r="AW442" s="297"/>
      <c r="AX442" s="297"/>
      <c r="AY442" s="297"/>
      <c r="AZ442" s="297"/>
      <c r="BA442" s="297"/>
      <c r="BB442" s="297"/>
      <c r="BC442" s="297"/>
      <c r="BD442" s="297"/>
      <c r="BE442" s="297" t="str">
        <f>"     " &amp; TEXT(AE442,"#0.00%") &amp; " " &amp; "수행결과 조치" &amp; " " &amp; IF(P442="","",TEXT(P442,"M/D-")) &amp; IF(Q442="","",TEXT(Q442,"M/D")) &amp; " "</f>
        <v xml:space="preserve">     100.00% 수행결과 조치 8/11-8/14 </v>
      </c>
      <c r="BF442" s="297"/>
      <c r="BG442" s="297"/>
      <c r="BH442" s="297"/>
      <c r="BI442" s="297"/>
      <c r="BJ442" s="297"/>
      <c r="BK442" s="297"/>
      <c r="BL442" s="297"/>
      <c r="BM442" s="297"/>
      <c r="BN442" s="297"/>
      <c r="BO442" s="297"/>
      <c r="BP442" s="297"/>
      <c r="BQ442" s="297"/>
      <c r="BR442" s="297"/>
      <c r="BS442" s="297"/>
      <c r="BT442" s="297"/>
      <c r="BU442" s="297"/>
      <c r="BV442" s="297"/>
      <c r="BW442" s="297"/>
      <c r="BX442" s="297"/>
      <c r="BY442" s="297"/>
      <c r="BZ442" s="297"/>
      <c r="CA442" s="297"/>
      <c r="CB442" s="297"/>
      <c r="CC442" s="297"/>
      <c r="CD442" s="297"/>
      <c r="CE442" s="297"/>
      <c r="CF442" s="297"/>
      <c r="CG442" s="297"/>
    </row>
    <row r="443" spans="1:85" ht="12" customHeight="1" outlineLevel="2">
      <c r="A443" s="288"/>
      <c r="B443" s="288" t="s">
        <v>2334</v>
      </c>
      <c r="C443" s="288">
        <v>3</v>
      </c>
      <c r="D443" s="291" t="s">
        <v>1788</v>
      </c>
      <c r="E443" s="246"/>
      <c r="F443" s="246"/>
      <c r="G443" s="246" t="s">
        <v>1711</v>
      </c>
      <c r="H443" s="246"/>
      <c r="I443" s="246"/>
      <c r="J443" s="246"/>
      <c r="K443" s="246"/>
      <c r="L443" s="246"/>
      <c r="M443" s="246"/>
      <c r="N443" s="246"/>
      <c r="O443" s="246"/>
      <c r="P443" s="248">
        <v>45908</v>
      </c>
      <c r="Q443" s="248">
        <v>45926</v>
      </c>
      <c r="R443" s="246"/>
      <c r="S443" s="247">
        <v>10.5</v>
      </c>
      <c r="T443" s="247">
        <v>10.5</v>
      </c>
      <c r="U443" s="247">
        <v>15</v>
      </c>
      <c r="V443" s="247">
        <v>15</v>
      </c>
      <c r="W443" s="248"/>
      <c r="X443" s="248"/>
      <c r="Y443" s="265">
        <v>0</v>
      </c>
      <c r="Z443" s="266">
        <v>0</v>
      </c>
      <c r="AA443" s="247"/>
      <c r="AB443" s="246"/>
      <c r="AC443" s="263"/>
      <c r="AD443" s="240">
        <v>1</v>
      </c>
      <c r="AE443" s="241">
        <v>1</v>
      </c>
      <c r="AF443" s="296"/>
      <c r="AG443" s="297"/>
      <c r="AH443" s="297"/>
      <c r="AI443" s="297"/>
      <c r="AJ443" s="297"/>
      <c r="AK443" s="297"/>
      <c r="AL443" s="297"/>
      <c r="AM443" s="297"/>
      <c r="AN443" s="297"/>
      <c r="AO443" s="297"/>
      <c r="AP443" s="297"/>
      <c r="AQ443" s="297"/>
      <c r="AR443" s="297"/>
      <c r="AS443" s="297"/>
      <c r="AT443" s="297"/>
      <c r="AU443" s="297"/>
      <c r="AV443" s="297"/>
      <c r="AW443" s="297"/>
      <c r="AX443" s="297"/>
      <c r="AY443" s="297"/>
      <c r="AZ443" s="297"/>
      <c r="BA443" s="297"/>
      <c r="BB443" s="297"/>
      <c r="BC443" s="297"/>
      <c r="BD443" s="297"/>
      <c r="BE443" s="297"/>
      <c r="BF443" s="297"/>
      <c r="BG443" s="297"/>
      <c r="BH443" s="297"/>
      <c r="BI443" s="297"/>
      <c r="BJ443" s="297"/>
      <c r="BK443" s="297" t="str">
        <f>"      " &amp; TEXT(AE443,"#0.00%") &amp; " " &amp; "2차 성능테스트" &amp; " " &amp; IF(P443="","",TEXT(P443,"M/D-")) &amp; IF(Q443="","",TEXT(Q443,"M/D")) &amp; " "</f>
        <v xml:space="preserve">      100.00% 2차 성능테스트 9/8-9/26 </v>
      </c>
      <c r="BL443" s="297"/>
      <c r="BM443" s="297"/>
      <c r="BN443" s="297"/>
      <c r="BO443" s="297"/>
      <c r="BP443" s="297"/>
      <c r="BQ443" s="297"/>
      <c r="BR443" s="297"/>
      <c r="BS443" s="297"/>
      <c r="BT443" s="297"/>
      <c r="BU443" s="297"/>
      <c r="BV443" s="297"/>
      <c r="BW443" s="297"/>
      <c r="BX443" s="297"/>
      <c r="BY443" s="297"/>
      <c r="BZ443" s="297"/>
      <c r="CA443" s="297"/>
      <c r="CB443" s="297"/>
      <c r="CC443" s="297"/>
      <c r="CD443" s="297"/>
      <c r="CE443" s="297"/>
      <c r="CF443" s="297"/>
      <c r="CG443" s="297"/>
    </row>
    <row r="444" spans="1:85" ht="12" customHeight="1" outlineLevel="3">
      <c r="A444" s="288"/>
      <c r="B444" s="288"/>
      <c r="C444" s="288">
        <v>4</v>
      </c>
      <c r="D444" s="313" t="s">
        <v>1947</v>
      </c>
      <c r="E444" s="314"/>
      <c r="F444" s="314"/>
      <c r="G444" s="314"/>
      <c r="H444" s="314" t="s">
        <v>1572</v>
      </c>
      <c r="I444" s="314"/>
      <c r="J444" s="314"/>
      <c r="K444" s="314"/>
      <c r="L444" s="314"/>
      <c r="M444" s="314"/>
      <c r="N444" s="314"/>
      <c r="O444" s="314"/>
      <c r="P444" s="248">
        <v>45908</v>
      </c>
      <c r="Q444" s="248">
        <v>45912</v>
      </c>
      <c r="R444" s="246"/>
      <c r="S444" s="247">
        <v>0.5</v>
      </c>
      <c r="T444" s="247">
        <v>0.5</v>
      </c>
      <c r="U444" s="247">
        <v>5</v>
      </c>
      <c r="V444" s="247">
        <v>5</v>
      </c>
      <c r="W444" s="248"/>
      <c r="X444" s="248"/>
      <c r="Y444" s="265"/>
      <c r="Z444" s="266">
        <v>0</v>
      </c>
      <c r="AA444" s="247">
        <v>0.1</v>
      </c>
      <c r="AB444" s="246" t="s">
        <v>1720</v>
      </c>
      <c r="AC444" s="315" t="s">
        <v>2207</v>
      </c>
      <c r="AD444" s="240">
        <v>1</v>
      </c>
      <c r="AE444" s="330">
        <v>1</v>
      </c>
      <c r="AF444" s="296"/>
      <c r="AG444" s="297"/>
      <c r="AH444" s="297"/>
      <c r="AI444" s="297"/>
      <c r="AJ444" s="297"/>
      <c r="AK444" s="297"/>
      <c r="AL444" s="297"/>
      <c r="AM444" s="297"/>
      <c r="AN444" s="297"/>
      <c r="AO444" s="297"/>
      <c r="AP444" s="297"/>
      <c r="AQ444" s="297"/>
      <c r="AR444" s="297"/>
      <c r="AS444" s="297"/>
      <c r="AT444" s="297"/>
      <c r="AU444" s="297"/>
      <c r="AV444" s="297"/>
      <c r="AW444" s="297"/>
      <c r="AX444" s="297"/>
      <c r="AY444" s="297"/>
      <c r="AZ444" s="297"/>
      <c r="BA444" s="297"/>
      <c r="BB444" s="297"/>
      <c r="BC444" s="297"/>
      <c r="BD444" s="297"/>
      <c r="BE444" s="297"/>
      <c r="BF444" s="297"/>
      <c r="BG444" s="297"/>
      <c r="BH444" s="297"/>
      <c r="BI444" s="297" t="str">
        <f>"      " &amp; TEXT(AE444,"#0.00%") &amp; " " &amp; "성능테스트 계획수립 및 준비 " &amp; "(PL)" &amp; " " &amp; IF(P444="","",TEXT(P444,"M/D-")) &amp; IF(Q444="","",TEXT(Q444,"M/D")) &amp; " "</f>
        <v xml:space="preserve">      100.00% 성능테스트 계획수립 및 준비 (PL) 9/8-9/12 </v>
      </c>
      <c r="BJ444" s="297"/>
      <c r="BK444" s="297"/>
      <c r="BL444" s="297"/>
      <c r="BM444" s="297"/>
      <c r="BN444" s="297"/>
      <c r="BO444" s="297"/>
      <c r="BP444" s="297"/>
      <c r="BQ444" s="297"/>
      <c r="BR444" s="297"/>
      <c r="BS444" s="297"/>
      <c r="BT444" s="297"/>
      <c r="BU444" s="297"/>
      <c r="BV444" s="297"/>
      <c r="BW444" s="297"/>
      <c r="BX444" s="297"/>
      <c r="BY444" s="297"/>
      <c r="BZ444" s="297"/>
      <c r="CA444" s="297"/>
      <c r="CB444" s="297"/>
      <c r="CC444" s="297"/>
      <c r="CD444" s="297"/>
      <c r="CE444" s="297"/>
      <c r="CF444" s="297"/>
      <c r="CG444" s="297"/>
    </row>
    <row r="445" spans="1:85" ht="12" customHeight="1" outlineLevel="3">
      <c r="A445" s="288"/>
      <c r="B445" s="288"/>
      <c r="C445" s="288">
        <v>4</v>
      </c>
      <c r="D445" s="291" t="s">
        <v>1948</v>
      </c>
      <c r="E445" s="246"/>
      <c r="F445" s="246"/>
      <c r="G445" s="246"/>
      <c r="H445" s="246" t="s">
        <v>1557</v>
      </c>
      <c r="I445" s="246"/>
      <c r="J445" s="246"/>
      <c r="K445" s="246"/>
      <c r="L445" s="246"/>
      <c r="M445" s="246"/>
      <c r="N445" s="246"/>
      <c r="O445" s="246"/>
      <c r="P445" s="248">
        <v>45915</v>
      </c>
      <c r="Q445" s="248">
        <v>45919</v>
      </c>
      <c r="R445" s="246"/>
      <c r="S445" s="247">
        <v>5</v>
      </c>
      <c r="T445" s="247">
        <v>5</v>
      </c>
      <c r="U445" s="247">
        <v>5</v>
      </c>
      <c r="V445" s="247">
        <v>5</v>
      </c>
      <c r="W445" s="248"/>
      <c r="X445" s="248"/>
      <c r="Y445" s="265"/>
      <c r="Z445" s="266">
        <v>0</v>
      </c>
      <c r="AA445" s="247">
        <v>1</v>
      </c>
      <c r="AB445" s="246" t="s">
        <v>1720</v>
      </c>
      <c r="AC445" s="315" t="s">
        <v>2208</v>
      </c>
      <c r="AD445" s="240">
        <v>1</v>
      </c>
      <c r="AE445" s="330">
        <v>1</v>
      </c>
      <c r="AF445" s="296"/>
      <c r="AG445" s="297"/>
      <c r="AH445" s="297"/>
      <c r="AI445" s="297"/>
      <c r="AJ445" s="297"/>
      <c r="AK445" s="297"/>
      <c r="AL445" s="297"/>
      <c r="AM445" s="297"/>
      <c r="AN445" s="297"/>
      <c r="AO445" s="297"/>
      <c r="AP445" s="297"/>
      <c r="AQ445" s="297"/>
      <c r="AR445" s="297"/>
      <c r="AS445" s="297"/>
      <c r="AT445" s="297"/>
      <c r="AU445" s="297"/>
      <c r="AV445" s="297"/>
      <c r="AW445" s="297"/>
      <c r="AX445" s="297"/>
      <c r="AY445" s="297"/>
      <c r="AZ445" s="297"/>
      <c r="BA445" s="297"/>
      <c r="BB445" s="297"/>
      <c r="BC445" s="297"/>
      <c r="BD445" s="297"/>
      <c r="BE445" s="297"/>
      <c r="BF445" s="297"/>
      <c r="BG445" s="297"/>
      <c r="BH445" s="297"/>
      <c r="BI445" s="297"/>
      <c r="BJ445" s="297" t="str">
        <f>"      " &amp; TEXT(AE445,"#0.00%") &amp; " " &amp; "성능테스트 수행" &amp; "(PL)" &amp; " " &amp; IF(P445="","",TEXT(P445,"M/D-")) &amp; IF(Q445="","",TEXT(Q445,"M/D")) &amp; " "</f>
        <v xml:space="preserve">      100.00% 성능테스트 수행(PL) 9/15-9/19 </v>
      </c>
      <c r="BK445" s="297"/>
      <c r="BL445" s="297"/>
      <c r="BM445" s="297"/>
      <c r="BN445" s="297"/>
      <c r="BO445" s="297"/>
      <c r="BP445" s="297"/>
      <c r="BQ445" s="297"/>
      <c r="BR445" s="297"/>
      <c r="BS445" s="297"/>
      <c r="BT445" s="297"/>
      <c r="BU445" s="297"/>
      <c r="BV445" s="297"/>
      <c r="BW445" s="297"/>
      <c r="BX445" s="297"/>
      <c r="BY445" s="297"/>
      <c r="BZ445" s="297"/>
      <c r="CA445" s="297"/>
      <c r="CB445" s="297"/>
      <c r="CC445" s="297"/>
      <c r="CD445" s="297"/>
      <c r="CE445" s="297"/>
      <c r="CF445" s="297"/>
      <c r="CG445" s="297"/>
    </row>
    <row r="446" spans="1:85" ht="12" customHeight="1" outlineLevel="3">
      <c r="A446" s="288"/>
      <c r="B446" s="288"/>
      <c r="C446" s="288">
        <v>4</v>
      </c>
      <c r="D446" s="291" t="s">
        <v>1949</v>
      </c>
      <c r="E446" s="246"/>
      <c r="F446" s="246"/>
      <c r="G446" s="246"/>
      <c r="H446" s="246" t="s">
        <v>1558</v>
      </c>
      <c r="I446" s="246"/>
      <c r="J446" s="246"/>
      <c r="K446" s="246"/>
      <c r="L446" s="246"/>
      <c r="M446" s="246"/>
      <c r="N446" s="246"/>
      <c r="O446" s="246"/>
      <c r="P446" s="248">
        <v>45922</v>
      </c>
      <c r="Q446" s="248">
        <v>45926</v>
      </c>
      <c r="R446" s="246"/>
      <c r="S446" s="247">
        <v>5</v>
      </c>
      <c r="T446" s="247">
        <v>5</v>
      </c>
      <c r="U446" s="247">
        <v>5</v>
      </c>
      <c r="V446" s="247">
        <v>5</v>
      </c>
      <c r="W446" s="248"/>
      <c r="X446" s="248"/>
      <c r="Y446" s="265"/>
      <c r="Z446" s="266">
        <v>0</v>
      </c>
      <c r="AA446" s="247">
        <v>1</v>
      </c>
      <c r="AB446" s="246" t="s">
        <v>1720</v>
      </c>
      <c r="AC446" s="315" t="s">
        <v>2209</v>
      </c>
      <c r="AD446" s="240">
        <v>1</v>
      </c>
      <c r="AE446" s="330">
        <v>1</v>
      </c>
      <c r="AF446" s="296"/>
      <c r="AG446" s="297"/>
      <c r="AH446" s="297"/>
      <c r="AI446" s="297"/>
      <c r="AJ446" s="297"/>
      <c r="AK446" s="297"/>
      <c r="AL446" s="297"/>
      <c r="AM446" s="297"/>
      <c r="AN446" s="297"/>
      <c r="AO446" s="297"/>
      <c r="AP446" s="297"/>
      <c r="AQ446" s="297"/>
      <c r="AR446" s="297"/>
      <c r="AS446" s="297"/>
      <c r="AT446" s="297"/>
      <c r="AU446" s="297"/>
      <c r="AV446" s="297"/>
      <c r="AW446" s="297"/>
      <c r="AX446" s="297"/>
      <c r="AY446" s="297"/>
      <c r="AZ446" s="297"/>
      <c r="BA446" s="297"/>
      <c r="BB446" s="297"/>
      <c r="BC446" s="297"/>
      <c r="BD446" s="297"/>
      <c r="BE446" s="297"/>
      <c r="BF446" s="297"/>
      <c r="BG446" s="297"/>
      <c r="BH446" s="297"/>
      <c r="BI446" s="297"/>
      <c r="BJ446" s="297"/>
      <c r="BK446" s="297" t="str">
        <f>"      " &amp; TEXT(AE446,"#0.00%") &amp; " " &amp; "수행결과 조치" &amp; "(PL)" &amp; " " &amp; IF(P446="","",TEXT(P446,"M/D-")) &amp; IF(Q446="","",TEXT(Q446,"M/D")) &amp; " "</f>
        <v xml:space="preserve">      100.00% 수행결과 조치(PL) 9/22-9/26 </v>
      </c>
      <c r="BL446" s="297"/>
      <c r="BM446" s="297"/>
      <c r="BN446" s="297"/>
      <c r="BO446" s="297"/>
      <c r="BP446" s="297"/>
      <c r="BQ446" s="297"/>
      <c r="BR446" s="297"/>
      <c r="BS446" s="297"/>
      <c r="BT446" s="297"/>
      <c r="BU446" s="297"/>
      <c r="BV446" s="297"/>
      <c r="BW446" s="297"/>
      <c r="BX446" s="297"/>
      <c r="BY446" s="297"/>
      <c r="BZ446" s="297"/>
      <c r="CA446" s="297"/>
      <c r="CB446" s="297"/>
      <c r="CC446" s="297"/>
      <c r="CD446" s="297"/>
      <c r="CE446" s="297"/>
      <c r="CF446" s="297"/>
      <c r="CG446" s="297"/>
    </row>
    <row r="447" spans="1:85" ht="12" customHeight="1">
      <c r="A447" s="288"/>
      <c r="B447" s="288" t="s">
        <v>2334</v>
      </c>
      <c r="C447" s="288">
        <v>1</v>
      </c>
      <c r="D447" s="291" t="s">
        <v>1467</v>
      </c>
      <c r="E447" s="246" t="s">
        <v>1573</v>
      </c>
      <c r="F447" s="246"/>
      <c r="G447" s="246"/>
      <c r="H447" s="246"/>
      <c r="I447" s="246"/>
      <c r="J447" s="246"/>
      <c r="K447" s="246"/>
      <c r="L447" s="246"/>
      <c r="M447" s="246"/>
      <c r="N447" s="246"/>
      <c r="O447" s="246"/>
      <c r="P447" s="248">
        <v>45870</v>
      </c>
      <c r="Q447" s="248">
        <v>46069</v>
      </c>
      <c r="R447" s="246"/>
      <c r="S447" s="247">
        <v>2910.9</v>
      </c>
      <c r="T447" s="247">
        <v>2910.9</v>
      </c>
      <c r="U447" s="247">
        <v>133</v>
      </c>
      <c r="V447" s="247">
        <v>133</v>
      </c>
      <c r="W447" s="248"/>
      <c r="X447" s="248"/>
      <c r="Y447" s="265">
        <v>0</v>
      </c>
      <c r="Z447" s="266">
        <v>0</v>
      </c>
      <c r="AA447" s="247"/>
      <c r="AB447" s="246"/>
      <c r="AC447" s="263"/>
      <c r="AD447" s="240">
        <v>1</v>
      </c>
      <c r="AE447" s="241">
        <v>1</v>
      </c>
      <c r="AF447" s="296"/>
      <c r="AG447" s="297"/>
      <c r="AH447" s="297"/>
      <c r="AI447" s="297"/>
      <c r="AJ447" s="297"/>
      <c r="AK447" s="297"/>
      <c r="AL447" s="297"/>
      <c r="AM447" s="297"/>
      <c r="AN447" s="297"/>
      <c r="AO447" s="297"/>
      <c r="AP447" s="297"/>
      <c r="AQ447" s="297"/>
      <c r="AR447" s="297"/>
      <c r="AS447" s="297"/>
      <c r="AT447" s="297"/>
      <c r="AU447" s="297"/>
      <c r="AV447" s="297"/>
      <c r="AW447" s="297"/>
      <c r="AX447" s="297"/>
      <c r="AY447" s="297"/>
      <c r="AZ447" s="297"/>
      <c r="BA447" s="297"/>
      <c r="BB447" s="297"/>
      <c r="BC447" s="297"/>
      <c r="BD447" s="297"/>
      <c r="BE447" s="297"/>
      <c r="BF447" s="297"/>
      <c r="BG447" s="297"/>
      <c r="BH447" s="297"/>
      <c r="BI447" s="297"/>
      <c r="BJ447" s="297"/>
      <c r="BK447" s="297"/>
      <c r="BL447" s="297"/>
      <c r="BM447" s="297"/>
      <c r="BN447" s="297"/>
      <c r="BO447" s="297"/>
      <c r="BP447" s="297"/>
      <c r="BQ447" s="297"/>
      <c r="BR447" s="297"/>
      <c r="BS447" s="297"/>
      <c r="BT447" s="297"/>
      <c r="BU447" s="297"/>
      <c r="BV447" s="297"/>
      <c r="BW447" s="297"/>
      <c r="BX447" s="297"/>
      <c r="BY447" s="297"/>
      <c r="BZ447" s="297"/>
      <c r="CA447" s="297"/>
      <c r="CB447" s="297"/>
      <c r="CC447" s="297"/>
      <c r="CD447" s="297"/>
      <c r="CE447" s="297"/>
      <c r="CF447" s="297" t="str">
        <f>"  " &amp; TEXT(AE447,"#0.00%") &amp; " " &amp; "오픈 및 안정화" &amp; " " &amp; IF(P447="","",TEXT(P447,"M/D-")) &amp; IF(Q447="","",TEXT(Q447,"M/D")) &amp; " "</f>
        <v xml:space="preserve">  100.00% 오픈 및 안정화 8/1-2/16 </v>
      </c>
      <c r="CG447" s="297"/>
    </row>
    <row r="448" spans="1:85" ht="12" customHeight="1" outlineLevel="1">
      <c r="A448" s="288"/>
      <c r="B448" s="288" t="s">
        <v>2334</v>
      </c>
      <c r="C448" s="288">
        <v>2</v>
      </c>
      <c r="D448" s="313" t="s">
        <v>1789</v>
      </c>
      <c r="E448" s="314"/>
      <c r="F448" s="314" t="s">
        <v>2606</v>
      </c>
      <c r="G448" s="314"/>
      <c r="H448" s="314"/>
      <c r="I448" s="314"/>
      <c r="J448" s="314"/>
      <c r="K448" s="314"/>
      <c r="L448" s="314"/>
      <c r="M448" s="314"/>
      <c r="N448" s="314"/>
      <c r="O448" s="314"/>
      <c r="P448" s="248">
        <v>45870</v>
      </c>
      <c r="Q448" s="248">
        <v>45930</v>
      </c>
      <c r="R448" s="246"/>
      <c r="S448" s="247">
        <v>24</v>
      </c>
      <c r="T448" s="247">
        <v>24</v>
      </c>
      <c r="U448" s="247">
        <v>42</v>
      </c>
      <c r="V448" s="247">
        <v>42</v>
      </c>
      <c r="W448" s="248"/>
      <c r="X448" s="248"/>
      <c r="Y448" s="265">
        <v>0</v>
      </c>
      <c r="Z448" s="266">
        <v>0</v>
      </c>
      <c r="AA448" s="247"/>
      <c r="AB448" s="246" t="s">
        <v>1720</v>
      </c>
      <c r="AC448" s="263"/>
      <c r="AD448" s="240">
        <v>1</v>
      </c>
      <c r="AE448" s="241">
        <v>1</v>
      </c>
      <c r="AF448" s="296"/>
      <c r="AG448" s="297"/>
      <c r="AH448" s="297"/>
      <c r="AI448" s="297"/>
      <c r="AJ448" s="297"/>
      <c r="AK448" s="297"/>
      <c r="AL448" s="297"/>
      <c r="AM448" s="297"/>
      <c r="AN448" s="297"/>
      <c r="AO448" s="297"/>
      <c r="AP448" s="297"/>
      <c r="AQ448" s="297"/>
      <c r="AR448" s="297"/>
      <c r="AS448" s="297"/>
      <c r="AT448" s="297"/>
      <c r="AU448" s="297"/>
      <c r="AV448" s="297"/>
      <c r="AW448" s="297"/>
      <c r="AX448" s="297"/>
      <c r="AY448" s="297"/>
      <c r="AZ448" s="297"/>
      <c r="BA448" s="297"/>
      <c r="BB448" s="297"/>
      <c r="BC448" s="297"/>
      <c r="BD448" s="297"/>
      <c r="BE448" s="297"/>
      <c r="BF448" s="297"/>
      <c r="BG448" s="297"/>
      <c r="BH448" s="297"/>
      <c r="BI448" s="297"/>
      <c r="BJ448" s="297"/>
      <c r="BK448" s="297"/>
      <c r="BL448" s="297" t="str">
        <f>"   " &amp; TEXT(AE448,"#0.00%") &amp; " " &amp; "1차 파일럿 오픈" &amp; "(PL)" &amp; " " &amp; IF(P448="","",TEXT(P448,"M/D-")) &amp; IF(Q448="","",TEXT(Q448,"M/D")) &amp; " "</f>
        <v xml:space="preserve">   100.00% 1차 파일럿 오픈(PL) 8/1-9/30 </v>
      </c>
      <c r="BM448" s="297"/>
      <c r="BN448" s="297"/>
      <c r="BO448" s="297"/>
      <c r="BP448" s="297"/>
      <c r="BQ448" s="297"/>
      <c r="BR448" s="297"/>
      <c r="BS448" s="297"/>
      <c r="BT448" s="297"/>
      <c r="BU448" s="297"/>
      <c r="BV448" s="297"/>
      <c r="BW448" s="297"/>
      <c r="BX448" s="297"/>
      <c r="BY448" s="297"/>
      <c r="BZ448" s="297"/>
      <c r="CA448" s="297"/>
      <c r="CB448" s="297"/>
      <c r="CC448" s="297"/>
      <c r="CD448" s="297"/>
      <c r="CE448" s="297"/>
      <c r="CF448" s="297"/>
      <c r="CG448" s="297"/>
    </row>
    <row r="449" spans="1:85" ht="12" customHeight="1" outlineLevel="2">
      <c r="A449" s="288"/>
      <c r="B449" s="288"/>
      <c r="C449" s="288">
        <v>3</v>
      </c>
      <c r="D449" s="291" t="s">
        <v>1950</v>
      </c>
      <c r="E449" s="246"/>
      <c r="F449" s="246"/>
      <c r="G449" s="246" t="s">
        <v>1574</v>
      </c>
      <c r="H449" s="246"/>
      <c r="I449" s="246"/>
      <c r="J449" s="246"/>
      <c r="K449" s="246"/>
      <c r="L449" s="246"/>
      <c r="M449" s="246"/>
      <c r="N449" s="246"/>
      <c r="O449" s="246"/>
      <c r="P449" s="248">
        <v>45870</v>
      </c>
      <c r="Q449" s="248">
        <v>45898</v>
      </c>
      <c r="R449" s="246"/>
      <c r="S449" s="247">
        <v>2</v>
      </c>
      <c r="T449" s="247">
        <v>2</v>
      </c>
      <c r="U449" s="247">
        <v>20</v>
      </c>
      <c r="V449" s="247">
        <v>20</v>
      </c>
      <c r="W449" s="248"/>
      <c r="X449" s="248"/>
      <c r="Y449" s="265"/>
      <c r="Z449" s="266">
        <v>0</v>
      </c>
      <c r="AA449" s="247">
        <v>0.1</v>
      </c>
      <c r="AB449" s="246"/>
      <c r="AC449" s="263"/>
      <c r="AD449" s="240">
        <v>1</v>
      </c>
      <c r="AE449" s="330">
        <v>1</v>
      </c>
      <c r="AF449" s="296"/>
      <c r="AG449" s="297"/>
      <c r="AH449" s="297"/>
      <c r="AI449" s="297"/>
      <c r="AJ449" s="297"/>
      <c r="AK449" s="297"/>
      <c r="AL449" s="297"/>
      <c r="AM449" s="297"/>
      <c r="AN449" s="297"/>
      <c r="AO449" s="297"/>
      <c r="AP449" s="297"/>
      <c r="AQ449" s="297"/>
      <c r="AR449" s="297"/>
      <c r="AS449" s="297"/>
      <c r="AT449" s="297"/>
      <c r="AU449" s="297"/>
      <c r="AV449" s="297"/>
      <c r="AW449" s="297"/>
      <c r="AX449" s="297"/>
      <c r="AY449" s="297"/>
      <c r="AZ449" s="297"/>
      <c r="BA449" s="297"/>
      <c r="BB449" s="297"/>
      <c r="BC449" s="297"/>
      <c r="BD449" s="297"/>
      <c r="BE449" s="297"/>
      <c r="BF449" s="297"/>
      <c r="BG449" s="297" t="str">
        <f>"      " &amp; TEXT(AE449,"#0.00%") &amp; " " &amp; "오픈계획 수립 및 환경 구성" &amp; " " &amp; IF(P449="","",TEXT(P449,"M/D-")) &amp; IF(Q449="","",TEXT(Q449,"M/D")) &amp; " "</f>
        <v xml:space="preserve">      100.00% 오픈계획 수립 및 환경 구성 8/1-8/29 </v>
      </c>
      <c r="BH449" s="297"/>
      <c r="BI449" s="297"/>
      <c r="BJ449" s="297"/>
      <c r="BK449" s="297"/>
      <c r="BL449" s="297"/>
      <c r="BM449" s="297"/>
      <c r="BN449" s="297"/>
      <c r="BO449" s="297"/>
      <c r="BP449" s="297"/>
      <c r="BQ449" s="297"/>
      <c r="BR449" s="297"/>
      <c r="BS449" s="297"/>
      <c r="BT449" s="297"/>
      <c r="BU449" s="297"/>
      <c r="BV449" s="297"/>
      <c r="BW449" s="297"/>
      <c r="BX449" s="297"/>
      <c r="BY449" s="297"/>
      <c r="BZ449" s="297"/>
      <c r="CA449" s="297"/>
      <c r="CB449" s="297"/>
      <c r="CC449" s="297"/>
      <c r="CD449" s="297"/>
      <c r="CE449" s="297"/>
      <c r="CF449" s="297"/>
      <c r="CG449" s="297"/>
    </row>
    <row r="450" spans="1:85" ht="12" customHeight="1" outlineLevel="2">
      <c r="A450" s="288"/>
      <c r="B450" s="288"/>
      <c r="C450" s="288">
        <v>3</v>
      </c>
      <c r="D450" s="313" t="s">
        <v>1951</v>
      </c>
      <c r="E450" s="314"/>
      <c r="F450" s="314"/>
      <c r="G450" s="314" t="s">
        <v>1575</v>
      </c>
      <c r="H450" s="314"/>
      <c r="I450" s="314"/>
      <c r="J450" s="314"/>
      <c r="K450" s="314"/>
      <c r="L450" s="314"/>
      <c r="M450" s="314"/>
      <c r="N450" s="314"/>
      <c r="O450" s="314"/>
      <c r="P450" s="248">
        <v>45901</v>
      </c>
      <c r="Q450" s="248">
        <v>45930</v>
      </c>
      <c r="R450" s="246"/>
      <c r="S450" s="247">
        <v>22</v>
      </c>
      <c r="T450" s="247">
        <v>22</v>
      </c>
      <c r="U450" s="247">
        <v>22</v>
      </c>
      <c r="V450" s="247">
        <v>22</v>
      </c>
      <c r="W450" s="248"/>
      <c r="X450" s="248"/>
      <c r="Y450" s="265"/>
      <c r="Z450" s="266">
        <v>0</v>
      </c>
      <c r="AA450" s="247">
        <v>1</v>
      </c>
      <c r="AB450" s="246" t="s">
        <v>1720</v>
      </c>
      <c r="AC450" s="311" t="s">
        <v>2210</v>
      </c>
      <c r="AD450" s="240">
        <v>1</v>
      </c>
      <c r="AE450" s="330">
        <v>1</v>
      </c>
      <c r="AF450" s="296"/>
      <c r="AG450" s="297"/>
      <c r="AH450" s="297"/>
      <c r="AI450" s="297"/>
      <c r="AJ450" s="297"/>
      <c r="AK450" s="297"/>
      <c r="AL450" s="297"/>
      <c r="AM450" s="297"/>
      <c r="AN450" s="297"/>
      <c r="AO450" s="297"/>
      <c r="AP450" s="297"/>
      <c r="AQ450" s="297"/>
      <c r="AR450" s="297"/>
      <c r="AS450" s="297"/>
      <c r="AT450" s="297"/>
      <c r="AU450" s="297"/>
      <c r="AV450" s="297"/>
      <c r="AW450" s="297"/>
      <c r="AX450" s="297"/>
      <c r="AY450" s="297"/>
      <c r="AZ450" s="297"/>
      <c r="BA450" s="297"/>
      <c r="BB450" s="297"/>
      <c r="BC450" s="297"/>
      <c r="BD450" s="297"/>
      <c r="BE450" s="297"/>
      <c r="BF450" s="297"/>
      <c r="BG450" s="297"/>
      <c r="BH450" s="297"/>
      <c r="BI450" s="297"/>
      <c r="BJ450" s="297"/>
      <c r="BK450" s="297"/>
      <c r="BL450" s="297" t="str">
        <f>"   " &amp; TEXT(AE450,"#0.00%") &amp; " " &amp; "오픈 실시" &amp; "(PL)" &amp; " " &amp; IF(P450="","",TEXT(P450,"M/D-")) &amp; IF(Q450="","",TEXT(Q450,"M/D")) &amp; " "</f>
        <v xml:space="preserve">   100.00% 오픈 실시(PL) 9/1-9/30 </v>
      </c>
      <c r="BM450" s="297"/>
      <c r="BN450" s="297"/>
      <c r="BO450" s="297"/>
      <c r="BP450" s="297"/>
      <c r="BQ450" s="297"/>
      <c r="BR450" s="297"/>
      <c r="BS450" s="297"/>
      <c r="BT450" s="297"/>
      <c r="BU450" s="297"/>
      <c r="BV450" s="297"/>
      <c r="BW450" s="297"/>
      <c r="BX450" s="297"/>
      <c r="BY450" s="297"/>
      <c r="BZ450" s="297"/>
      <c r="CA450" s="297"/>
      <c r="CB450" s="297"/>
      <c r="CC450" s="297"/>
      <c r="CD450" s="297"/>
      <c r="CE450" s="297"/>
      <c r="CF450" s="297"/>
      <c r="CG450" s="297"/>
    </row>
    <row r="451" spans="1:85" ht="12" customHeight="1" outlineLevel="1">
      <c r="A451" s="288"/>
      <c r="B451" s="288" t="s">
        <v>2334</v>
      </c>
      <c r="C451" s="288">
        <v>2</v>
      </c>
      <c r="D451" s="291" t="s">
        <v>1790</v>
      </c>
      <c r="E451" s="246"/>
      <c r="F451" s="246" t="s">
        <v>2478</v>
      </c>
      <c r="G451" s="246"/>
      <c r="H451" s="246"/>
      <c r="I451" s="246"/>
      <c r="J451" s="246"/>
      <c r="K451" s="246"/>
      <c r="L451" s="246"/>
      <c r="M451" s="246"/>
      <c r="N451" s="246"/>
      <c r="O451" s="246"/>
      <c r="P451" s="248">
        <v>45931</v>
      </c>
      <c r="Q451" s="248">
        <v>46017</v>
      </c>
      <c r="R451" s="246"/>
      <c r="S451" s="247">
        <v>391.8</v>
      </c>
      <c r="T451" s="247">
        <v>391.8</v>
      </c>
      <c r="U451" s="247">
        <v>57</v>
      </c>
      <c r="V451" s="247">
        <v>57</v>
      </c>
      <c r="W451" s="248"/>
      <c r="X451" s="248"/>
      <c r="Y451" s="265">
        <v>0</v>
      </c>
      <c r="Z451" s="266">
        <v>0</v>
      </c>
      <c r="AA451" s="247"/>
      <c r="AB451" s="246" t="s">
        <v>1720</v>
      </c>
      <c r="AC451" s="263"/>
      <c r="AD451" s="240">
        <v>1</v>
      </c>
      <c r="AE451" s="241">
        <v>1</v>
      </c>
      <c r="AF451" s="296"/>
      <c r="AG451" s="297"/>
      <c r="AH451" s="297"/>
      <c r="AI451" s="297"/>
      <c r="AJ451" s="297"/>
      <c r="AK451" s="297"/>
      <c r="AL451" s="297"/>
      <c r="AM451" s="297"/>
      <c r="AN451" s="297"/>
      <c r="AO451" s="297"/>
      <c r="AP451" s="297"/>
      <c r="AQ451" s="297"/>
      <c r="AR451" s="297"/>
      <c r="AS451" s="297"/>
      <c r="AT451" s="297"/>
      <c r="AU451" s="297"/>
      <c r="AV451" s="297"/>
      <c r="AW451" s="297"/>
      <c r="AX451" s="297"/>
      <c r="AY451" s="297"/>
      <c r="AZ451" s="297"/>
      <c r="BA451" s="297"/>
      <c r="BB451" s="297"/>
      <c r="BC451" s="297"/>
      <c r="BD451" s="297"/>
      <c r="BE451" s="297"/>
      <c r="BF451" s="297"/>
      <c r="BG451" s="297"/>
      <c r="BH451" s="297"/>
      <c r="BI451" s="297"/>
      <c r="BJ451" s="297"/>
      <c r="BK451" s="297"/>
      <c r="BL451" s="297"/>
      <c r="BM451" s="297"/>
      <c r="BN451" s="297"/>
      <c r="BO451" s="297"/>
      <c r="BP451" s="297"/>
      <c r="BQ451" s="297"/>
      <c r="BR451" s="297"/>
      <c r="BS451" s="297"/>
      <c r="BT451" s="297"/>
      <c r="BU451" s="297"/>
      <c r="BV451" s="297"/>
      <c r="BW451" s="297"/>
      <c r="BX451" s="297" t="str">
        <f>"      " &amp; TEXT(AE451,"#0.00%") &amp; " " &amp; "2차 오픈(신성통상)" &amp; "(PL)" &amp; " " &amp; IF(P451="","",TEXT(P451,"M/D-")) &amp; IF(Q451="","",TEXT(Q451,"M/D")) &amp; " "</f>
        <v xml:space="preserve">      100.00% 2차 오픈(신성통상)(PL) 10/1-12/26 </v>
      </c>
      <c r="BY451" s="297"/>
      <c r="BZ451" s="297"/>
      <c r="CA451" s="297"/>
      <c r="CB451" s="297"/>
      <c r="CC451" s="297"/>
      <c r="CD451" s="297"/>
      <c r="CE451" s="297"/>
      <c r="CF451" s="297"/>
      <c r="CG451" s="297"/>
    </row>
    <row r="452" spans="1:85" ht="12" customHeight="1" outlineLevel="2">
      <c r="A452" s="288"/>
      <c r="B452" s="288"/>
      <c r="C452" s="288">
        <v>3</v>
      </c>
      <c r="D452" s="291" t="s">
        <v>1952</v>
      </c>
      <c r="E452" s="246"/>
      <c r="F452" s="246"/>
      <c r="G452" s="246" t="s">
        <v>1574</v>
      </c>
      <c r="H452" s="246"/>
      <c r="I452" s="246"/>
      <c r="J452" s="246"/>
      <c r="K452" s="246"/>
      <c r="L452" s="246"/>
      <c r="M452" s="246"/>
      <c r="N452" s="246"/>
      <c r="O452" s="246"/>
      <c r="P452" s="248">
        <v>45931</v>
      </c>
      <c r="Q452" s="248">
        <v>45961</v>
      </c>
      <c r="R452" s="246"/>
      <c r="S452" s="247">
        <v>1.8</v>
      </c>
      <c r="T452" s="247">
        <v>1.8</v>
      </c>
      <c r="U452" s="247">
        <v>18</v>
      </c>
      <c r="V452" s="247">
        <v>18</v>
      </c>
      <c r="W452" s="248"/>
      <c r="X452" s="248"/>
      <c r="Y452" s="265"/>
      <c r="Z452" s="266">
        <v>0</v>
      </c>
      <c r="AA452" s="247">
        <v>0.1</v>
      </c>
      <c r="AB452" s="246"/>
      <c r="AC452" s="263"/>
      <c r="AD452" s="240">
        <v>1</v>
      </c>
      <c r="AE452" s="330">
        <v>1</v>
      </c>
      <c r="AF452" s="296"/>
      <c r="AG452" s="297"/>
      <c r="AH452" s="297"/>
      <c r="AI452" s="297"/>
      <c r="AJ452" s="297"/>
      <c r="AK452" s="297"/>
      <c r="AL452" s="297"/>
      <c r="AM452" s="297"/>
      <c r="AN452" s="297"/>
      <c r="AO452" s="297"/>
      <c r="AP452" s="297"/>
      <c r="AQ452" s="297"/>
      <c r="AR452" s="297"/>
      <c r="AS452" s="297"/>
      <c r="AT452" s="297"/>
      <c r="AU452" s="297"/>
      <c r="AV452" s="297"/>
      <c r="AW452" s="297"/>
      <c r="AX452" s="297"/>
      <c r="AY452" s="297"/>
      <c r="AZ452" s="297"/>
      <c r="BA452" s="297"/>
      <c r="BB452" s="297"/>
      <c r="BC452" s="297"/>
      <c r="BD452" s="297"/>
      <c r="BE452" s="297"/>
      <c r="BF452" s="297"/>
      <c r="BG452" s="297"/>
      <c r="BH452" s="297"/>
      <c r="BI452" s="297"/>
      <c r="BJ452" s="297"/>
      <c r="BK452" s="297"/>
      <c r="BL452" s="297"/>
      <c r="BM452" s="297"/>
      <c r="BN452" s="297"/>
      <c r="BO452" s="297"/>
      <c r="BP452" s="297" t="str">
        <f>"      " &amp; TEXT(AE452,"#0.00%") &amp; " " &amp; "오픈계획 수립 및 환경 구성" &amp; " " &amp; IF(P452="","",TEXT(P452,"M/D-")) &amp; IF(Q452="","",TEXT(Q452,"M/D")) &amp; " "</f>
        <v xml:space="preserve">      100.00% 오픈계획 수립 및 환경 구성 10/1-10/31 </v>
      </c>
      <c r="BQ452" s="297"/>
      <c r="BR452" s="297"/>
      <c r="BS452" s="297"/>
      <c r="BT452" s="297"/>
      <c r="BU452" s="297"/>
      <c r="BV452" s="297"/>
      <c r="BW452" s="297"/>
      <c r="BX452" s="297"/>
      <c r="BY452" s="297"/>
      <c r="BZ452" s="297"/>
      <c r="CA452" s="297"/>
      <c r="CB452" s="297"/>
      <c r="CC452" s="297"/>
      <c r="CD452" s="297"/>
      <c r="CE452" s="297"/>
      <c r="CF452" s="297"/>
      <c r="CG452" s="297"/>
    </row>
    <row r="453" spans="1:85" ht="12" customHeight="1" outlineLevel="2">
      <c r="A453" s="288"/>
      <c r="B453" s="288"/>
      <c r="C453" s="288">
        <v>3</v>
      </c>
      <c r="D453" s="291" t="s">
        <v>1953</v>
      </c>
      <c r="E453" s="246"/>
      <c r="F453" s="246"/>
      <c r="G453" s="246" t="s">
        <v>1575</v>
      </c>
      <c r="H453" s="246"/>
      <c r="I453" s="246"/>
      <c r="J453" s="246"/>
      <c r="K453" s="246"/>
      <c r="L453" s="246"/>
      <c r="M453" s="246"/>
      <c r="N453" s="246"/>
      <c r="O453" s="246"/>
      <c r="P453" s="248">
        <v>45964</v>
      </c>
      <c r="Q453" s="248">
        <v>46017</v>
      </c>
      <c r="R453" s="246"/>
      <c r="S453" s="247">
        <v>390</v>
      </c>
      <c r="T453" s="247">
        <v>390</v>
      </c>
      <c r="U453" s="247">
        <v>39</v>
      </c>
      <c r="V453" s="247">
        <v>39</v>
      </c>
      <c r="W453" s="248"/>
      <c r="X453" s="248"/>
      <c r="Y453" s="265"/>
      <c r="Z453" s="266">
        <v>0</v>
      </c>
      <c r="AA453" s="247">
        <v>10</v>
      </c>
      <c r="AB453" s="246" t="s">
        <v>1720</v>
      </c>
      <c r="AC453" s="263" t="s">
        <v>1724</v>
      </c>
      <c r="AD453" s="240">
        <v>1</v>
      </c>
      <c r="AE453" s="330">
        <v>1</v>
      </c>
      <c r="AF453" s="296"/>
      <c r="AG453" s="297"/>
      <c r="AH453" s="297"/>
      <c r="AI453" s="297"/>
      <c r="AJ453" s="297"/>
      <c r="AK453" s="297"/>
      <c r="AL453" s="297"/>
      <c r="AM453" s="297"/>
      <c r="AN453" s="297"/>
      <c r="AO453" s="297"/>
      <c r="AP453" s="297"/>
      <c r="AQ453" s="297"/>
      <c r="AR453" s="297"/>
      <c r="AS453" s="297"/>
      <c r="AT453" s="297"/>
      <c r="AU453" s="297"/>
      <c r="AV453" s="297"/>
      <c r="AW453" s="297"/>
      <c r="AX453" s="297"/>
      <c r="AY453" s="297"/>
      <c r="AZ453" s="297"/>
      <c r="BA453" s="297"/>
      <c r="BB453" s="297"/>
      <c r="BC453" s="297"/>
      <c r="BD453" s="297"/>
      <c r="BE453" s="297"/>
      <c r="BF453" s="297"/>
      <c r="BG453" s="297"/>
      <c r="BH453" s="297"/>
      <c r="BI453" s="297"/>
      <c r="BJ453" s="297"/>
      <c r="BK453" s="297"/>
      <c r="BL453" s="297"/>
      <c r="BM453" s="297"/>
      <c r="BN453" s="297"/>
      <c r="BO453" s="297"/>
      <c r="BP453" s="297"/>
      <c r="BQ453" s="297"/>
      <c r="BR453" s="297"/>
      <c r="BS453" s="297"/>
      <c r="BT453" s="297"/>
      <c r="BU453" s="297"/>
      <c r="BV453" s="297"/>
      <c r="BW453" s="297"/>
      <c r="BX453" s="297" t="str">
        <f>"      " &amp; TEXT(AE453,"#0.00%") &amp; " " &amp; "오픈 실시" &amp; "(PL)" &amp; " " &amp; IF(P453="","",TEXT(P453,"M/D-")) &amp; IF(Q453="","",TEXT(Q453,"M/D")) &amp; " "</f>
        <v xml:space="preserve">      100.00% 오픈 실시(PL) 11/3-12/26 </v>
      </c>
      <c r="BY453" s="297"/>
      <c r="BZ453" s="297"/>
      <c r="CA453" s="297"/>
      <c r="CB453" s="297"/>
      <c r="CC453" s="297"/>
      <c r="CD453" s="297"/>
      <c r="CE453" s="297"/>
      <c r="CF453" s="297"/>
      <c r="CG453" s="297"/>
    </row>
    <row r="454" spans="1:85" ht="12" customHeight="1" outlineLevel="1">
      <c r="A454" s="288"/>
      <c r="B454" s="288" t="s">
        <v>2334</v>
      </c>
      <c r="C454" s="288">
        <v>2</v>
      </c>
      <c r="D454" s="291" t="s">
        <v>1791</v>
      </c>
      <c r="E454" s="246"/>
      <c r="F454" s="246" t="s">
        <v>2477</v>
      </c>
      <c r="G454" s="246"/>
      <c r="H454" s="246"/>
      <c r="I454" s="246"/>
      <c r="J454" s="246"/>
      <c r="K454" s="246"/>
      <c r="L454" s="246"/>
      <c r="M454" s="246"/>
      <c r="N454" s="246"/>
      <c r="O454" s="246"/>
      <c r="P454" s="248">
        <v>46010</v>
      </c>
      <c r="Q454" s="248">
        <v>46052</v>
      </c>
      <c r="R454" s="246"/>
      <c r="S454" s="247">
        <v>200.5</v>
      </c>
      <c r="T454" s="247">
        <v>200.5</v>
      </c>
      <c r="U454" s="247">
        <v>29</v>
      </c>
      <c r="V454" s="247">
        <v>29</v>
      </c>
      <c r="W454" s="248"/>
      <c r="X454" s="248"/>
      <c r="Y454" s="265">
        <v>0</v>
      </c>
      <c r="Z454" s="266">
        <v>0</v>
      </c>
      <c r="AA454" s="247"/>
      <c r="AB454" s="246" t="s">
        <v>1720</v>
      </c>
      <c r="AC454" s="263" t="s">
        <v>1725</v>
      </c>
      <c r="AD454" s="240">
        <v>1</v>
      </c>
      <c r="AE454" s="241">
        <v>1</v>
      </c>
      <c r="AF454" s="296"/>
      <c r="AG454" s="297"/>
      <c r="AH454" s="297"/>
      <c r="AI454" s="297"/>
      <c r="AJ454" s="297"/>
      <c r="AK454" s="297"/>
      <c r="AL454" s="297"/>
      <c r="AM454" s="297"/>
      <c r="AN454" s="297"/>
      <c r="AO454" s="297"/>
      <c r="AP454" s="297"/>
      <c r="AQ454" s="297"/>
      <c r="AR454" s="297"/>
      <c r="AS454" s="297"/>
      <c r="AT454" s="297"/>
      <c r="AU454" s="297"/>
      <c r="AV454" s="297"/>
      <c r="AW454" s="297"/>
      <c r="AX454" s="297"/>
      <c r="AY454" s="297"/>
      <c r="AZ454" s="297"/>
      <c r="BA454" s="297"/>
      <c r="BB454" s="297"/>
      <c r="BC454" s="297"/>
      <c r="BD454" s="297"/>
      <c r="BE454" s="297"/>
      <c r="BF454" s="297"/>
      <c r="BG454" s="297"/>
      <c r="BH454" s="297"/>
      <c r="BI454" s="297"/>
      <c r="BJ454" s="297"/>
      <c r="BK454" s="297"/>
      <c r="BL454" s="297"/>
      <c r="BM454" s="297"/>
      <c r="BN454" s="297"/>
      <c r="BO454" s="297"/>
      <c r="BP454" s="297"/>
      <c r="BQ454" s="297"/>
      <c r="BR454" s="297"/>
      <c r="BS454" s="297"/>
      <c r="BT454" s="297"/>
      <c r="BU454" s="297"/>
      <c r="BV454" s="297"/>
      <c r="BW454" s="297"/>
      <c r="BX454" s="297"/>
      <c r="BY454" s="297"/>
      <c r="BZ454" s="297"/>
      <c r="CA454" s="297"/>
      <c r="CB454" s="297"/>
      <c r="CC454" s="297" t="str">
        <f>"      " &amp; TEXT(AE454,"#0.00%") &amp; " " &amp; "3차 오픈(에이션패션)" &amp; "(PL)" &amp; " " &amp; IF(P454="","",TEXT(P454,"M/D-")) &amp; IF(Q454="","",TEXT(Q454,"M/D")) &amp; " "</f>
        <v xml:space="preserve">      100.00% 3차 오픈(에이션패션)(PL) 12/19-1/30 </v>
      </c>
      <c r="CD454" s="297"/>
      <c r="CE454" s="297"/>
      <c r="CF454" s="297"/>
      <c r="CG454" s="297"/>
    </row>
    <row r="455" spans="1:85" ht="12" customHeight="1" outlineLevel="2">
      <c r="A455" s="288"/>
      <c r="B455" s="288"/>
      <c r="C455" s="288">
        <v>3</v>
      </c>
      <c r="D455" s="291" t="s">
        <v>1954</v>
      </c>
      <c r="E455" s="246"/>
      <c r="F455" s="246"/>
      <c r="G455" s="246" t="s">
        <v>1574</v>
      </c>
      <c r="H455" s="246"/>
      <c r="I455" s="246"/>
      <c r="J455" s="246"/>
      <c r="K455" s="246"/>
      <c r="L455" s="246"/>
      <c r="M455" s="246"/>
      <c r="N455" s="246"/>
      <c r="O455" s="246"/>
      <c r="P455" s="248">
        <v>46010</v>
      </c>
      <c r="Q455" s="248">
        <v>46017</v>
      </c>
      <c r="R455" s="246"/>
      <c r="S455" s="247">
        <v>0.5</v>
      </c>
      <c r="T455" s="247">
        <v>0.5</v>
      </c>
      <c r="U455" s="247">
        <v>5</v>
      </c>
      <c r="V455" s="247">
        <v>5</v>
      </c>
      <c r="W455" s="248"/>
      <c r="X455" s="248"/>
      <c r="Y455" s="265"/>
      <c r="Z455" s="266">
        <v>0</v>
      </c>
      <c r="AA455" s="247">
        <v>0.1</v>
      </c>
      <c r="AB455" s="246"/>
      <c r="AC455" s="263"/>
      <c r="AD455" s="240">
        <v>1</v>
      </c>
      <c r="AE455" s="304">
        <v>1</v>
      </c>
      <c r="AF455" s="296"/>
      <c r="AG455" s="297"/>
      <c r="AH455" s="297"/>
      <c r="AI455" s="297"/>
      <c r="AJ455" s="297"/>
      <c r="AK455" s="297"/>
      <c r="AL455" s="297"/>
      <c r="AM455" s="297"/>
      <c r="AN455" s="297"/>
      <c r="AO455" s="297"/>
      <c r="AP455" s="297"/>
      <c r="AQ455" s="297"/>
      <c r="AR455" s="297"/>
      <c r="AS455" s="297"/>
      <c r="AT455" s="297"/>
      <c r="AU455" s="297"/>
      <c r="AV455" s="297"/>
      <c r="AW455" s="297"/>
      <c r="AX455" s="297"/>
      <c r="AY455" s="297"/>
      <c r="AZ455" s="297"/>
      <c r="BA455" s="297"/>
      <c r="BB455" s="297"/>
      <c r="BC455" s="297"/>
      <c r="BD455" s="297"/>
      <c r="BE455" s="297"/>
      <c r="BF455" s="297"/>
      <c r="BG455" s="297"/>
      <c r="BH455" s="297"/>
      <c r="BI455" s="297"/>
      <c r="BJ455" s="297"/>
      <c r="BK455" s="297"/>
      <c r="BL455" s="297"/>
      <c r="BM455" s="297"/>
      <c r="BN455" s="297"/>
      <c r="BO455" s="297"/>
      <c r="BP455" s="297"/>
      <c r="BQ455" s="297"/>
      <c r="BR455" s="297"/>
      <c r="BS455" s="297"/>
      <c r="BT455" s="297"/>
      <c r="BU455" s="297"/>
      <c r="BV455" s="297"/>
      <c r="BW455" s="297"/>
      <c r="BX455" s="297" t="str">
        <f>"      " &amp; TEXT(AE455,"#0.00%") &amp; " " &amp; "오픈계획 수립 및 환경 구성" &amp; " " &amp; IF(P455="","",TEXT(P455,"M/D-")) &amp; IF(Q455="","",TEXT(Q455,"M/D")) &amp; " "</f>
        <v xml:space="preserve">      100.00% 오픈계획 수립 및 환경 구성 12/19-12/26 </v>
      </c>
      <c r="BY455" s="297"/>
      <c r="BZ455" s="297"/>
      <c r="CA455" s="297"/>
      <c r="CB455" s="297"/>
      <c r="CC455" s="297"/>
      <c r="CD455" s="297"/>
      <c r="CE455" s="297"/>
      <c r="CF455" s="297"/>
      <c r="CG455" s="297"/>
    </row>
    <row r="456" spans="1:85" ht="12" customHeight="1" outlineLevel="2">
      <c r="A456" s="288"/>
      <c r="B456" s="288"/>
      <c r="C456" s="288">
        <v>3</v>
      </c>
      <c r="D456" s="313" t="s">
        <v>1955</v>
      </c>
      <c r="E456" s="314"/>
      <c r="F456" s="314"/>
      <c r="G456" s="314" t="s">
        <v>1575</v>
      </c>
      <c r="H456" s="314"/>
      <c r="I456" s="314"/>
      <c r="J456" s="314"/>
      <c r="K456" s="314"/>
      <c r="L456" s="314"/>
      <c r="M456" s="314"/>
      <c r="N456" s="314"/>
      <c r="O456" s="314"/>
      <c r="P456" s="248">
        <v>46027</v>
      </c>
      <c r="Q456" s="248">
        <v>46052</v>
      </c>
      <c r="R456" s="246"/>
      <c r="S456" s="247">
        <v>200</v>
      </c>
      <c r="T456" s="247">
        <v>200</v>
      </c>
      <c r="U456" s="247">
        <v>20</v>
      </c>
      <c r="V456" s="247">
        <v>20</v>
      </c>
      <c r="W456" s="248"/>
      <c r="X456" s="248"/>
      <c r="Y456" s="265"/>
      <c r="Z456" s="266">
        <v>0</v>
      </c>
      <c r="AA456" s="247">
        <v>10</v>
      </c>
      <c r="AB456" s="246" t="s">
        <v>1720</v>
      </c>
      <c r="AC456" s="311" t="s">
        <v>2185</v>
      </c>
      <c r="AD456" s="240">
        <v>1</v>
      </c>
      <c r="AE456" s="330">
        <v>1</v>
      </c>
      <c r="AF456" s="296"/>
      <c r="AG456" s="297"/>
      <c r="AH456" s="297"/>
      <c r="AI456" s="297"/>
      <c r="AJ456" s="297"/>
      <c r="AK456" s="297"/>
      <c r="AL456" s="297"/>
      <c r="AM456" s="297"/>
      <c r="AN456" s="297"/>
      <c r="AO456" s="297"/>
      <c r="AP456" s="297"/>
      <c r="AQ456" s="297"/>
      <c r="AR456" s="297"/>
      <c r="AS456" s="297"/>
      <c r="AT456" s="297"/>
      <c r="AU456" s="297"/>
      <c r="AV456" s="297"/>
      <c r="AW456" s="297"/>
      <c r="AX456" s="297"/>
      <c r="AY456" s="297"/>
      <c r="AZ456" s="297"/>
      <c r="BA456" s="297"/>
      <c r="BB456" s="297"/>
      <c r="BC456" s="297"/>
      <c r="BD456" s="297"/>
      <c r="BE456" s="297"/>
      <c r="BF456" s="297"/>
      <c r="BG456" s="297"/>
      <c r="BH456" s="297"/>
      <c r="BI456" s="297"/>
      <c r="BJ456" s="297"/>
      <c r="BK456" s="297"/>
      <c r="BL456" s="297"/>
      <c r="BM456" s="297"/>
      <c r="BN456" s="297"/>
      <c r="BO456" s="297"/>
      <c r="BP456" s="297"/>
      <c r="BQ456" s="297"/>
      <c r="BR456" s="297"/>
      <c r="BS456" s="297"/>
      <c r="BT456" s="297"/>
      <c r="BU456" s="297"/>
      <c r="BV456" s="297"/>
      <c r="BW456" s="297"/>
      <c r="BX456" s="297"/>
      <c r="BY456" s="297"/>
      <c r="BZ456" s="297"/>
      <c r="CA456" s="297"/>
      <c r="CB456" s="297"/>
      <c r="CC456" s="297" t="str">
        <f>"      " &amp; TEXT(AE456,"#0.00%") &amp; " " &amp; "오픈 실시" &amp; "(PL)" &amp; " " &amp; IF(P456="","",TEXT(P456,"M/D-")) &amp; IF(Q456="","",TEXT(Q456,"M/D")) &amp; " "</f>
        <v xml:space="preserve">      100.00% 오픈 실시(PL) 1/5-1/30 </v>
      </c>
      <c r="CD456" s="297"/>
      <c r="CE456" s="297"/>
      <c r="CF456" s="297"/>
      <c r="CG456" s="297"/>
    </row>
    <row r="457" spans="1:85" ht="12" customHeight="1" outlineLevel="1">
      <c r="A457" s="288"/>
      <c r="B457" s="288" t="s">
        <v>2334</v>
      </c>
      <c r="C457" s="288">
        <v>2</v>
      </c>
      <c r="D457" s="291" t="s">
        <v>1956</v>
      </c>
      <c r="E457" s="246"/>
      <c r="F457" s="246" t="s">
        <v>1576</v>
      </c>
      <c r="G457" s="246"/>
      <c r="H457" s="246"/>
      <c r="I457" s="246"/>
      <c r="J457" s="246"/>
      <c r="K457" s="246"/>
      <c r="L457" s="246"/>
      <c r="M457" s="246"/>
      <c r="N457" s="246"/>
      <c r="O457" s="246"/>
      <c r="P457" s="248">
        <v>45870</v>
      </c>
      <c r="Q457" s="248">
        <v>46069</v>
      </c>
      <c r="R457" s="246"/>
      <c r="S457" s="247">
        <v>2269.5</v>
      </c>
      <c r="T457" s="247">
        <v>2269.5</v>
      </c>
      <c r="U457" s="247">
        <v>133</v>
      </c>
      <c r="V457" s="247">
        <v>133</v>
      </c>
      <c r="W457" s="248"/>
      <c r="X457" s="248"/>
      <c r="Y457" s="265">
        <v>0</v>
      </c>
      <c r="Z457" s="266">
        <v>0</v>
      </c>
      <c r="AA457" s="247"/>
      <c r="AB457" s="246" t="s">
        <v>1720</v>
      </c>
      <c r="AC457" s="263" t="s">
        <v>1726</v>
      </c>
      <c r="AD457" s="240">
        <v>1</v>
      </c>
      <c r="AE457" s="241">
        <v>1</v>
      </c>
      <c r="AF457" s="296"/>
      <c r="AG457" s="297"/>
      <c r="AH457" s="297"/>
      <c r="AI457" s="297"/>
      <c r="AJ457" s="297"/>
      <c r="AK457" s="297"/>
      <c r="AL457" s="297"/>
      <c r="AM457" s="297"/>
      <c r="AN457" s="297"/>
      <c r="AO457" s="297"/>
      <c r="AP457" s="297"/>
      <c r="AQ457" s="297"/>
      <c r="AR457" s="297"/>
      <c r="AS457" s="297"/>
      <c r="AT457" s="297"/>
      <c r="AU457" s="297"/>
      <c r="AV457" s="297"/>
      <c r="AW457" s="297"/>
      <c r="AX457" s="297"/>
      <c r="AY457" s="297"/>
      <c r="AZ457" s="297"/>
      <c r="BA457" s="297"/>
      <c r="BB457" s="297"/>
      <c r="BC457" s="297"/>
      <c r="BD457" s="297"/>
      <c r="BE457" s="297"/>
      <c r="BF457" s="297"/>
      <c r="BG457" s="297"/>
      <c r="BH457" s="297"/>
      <c r="BI457" s="297"/>
      <c r="BJ457" s="297"/>
      <c r="BK457" s="297"/>
      <c r="BL457" s="297"/>
      <c r="BM457" s="297"/>
      <c r="BN457" s="297"/>
      <c r="BO457" s="297"/>
      <c r="BP457" s="297"/>
      <c r="BQ457" s="297"/>
      <c r="BR457" s="297"/>
      <c r="BS457" s="297"/>
      <c r="BT457" s="297"/>
      <c r="BU457" s="297"/>
      <c r="BV457" s="297"/>
      <c r="BW457" s="297"/>
      <c r="BX457" s="297"/>
      <c r="BY457" s="297"/>
      <c r="BZ457" s="297"/>
      <c r="CA457" s="297"/>
      <c r="CB457" s="297"/>
      <c r="CC457" s="297"/>
      <c r="CD457" s="297"/>
      <c r="CE457" s="297"/>
      <c r="CF457" s="297" t="str">
        <f>"  " &amp; TEXT(AE457,"#0.00%") &amp; " " &amp; "오픈 안정화" &amp; "(PL)" &amp; " " &amp; IF(P457="","",TEXT(P457,"M/D-")) &amp; IF(Q457="","",TEXT(Q457,"M/D")) &amp; " "</f>
        <v xml:space="preserve">  100.00% 오픈 안정화(PL) 8/1-2/16 </v>
      </c>
      <c r="CG457" s="297"/>
    </row>
    <row r="458" spans="1:85" ht="12" customHeight="1" outlineLevel="2">
      <c r="A458" s="288"/>
      <c r="B458" s="288"/>
      <c r="C458" s="288">
        <v>3</v>
      </c>
      <c r="D458" s="291" t="s">
        <v>1957</v>
      </c>
      <c r="E458" s="246"/>
      <c r="F458" s="246"/>
      <c r="G458" s="246" t="s">
        <v>1577</v>
      </c>
      <c r="H458" s="246"/>
      <c r="I458" s="246"/>
      <c r="J458" s="246"/>
      <c r="K458" s="246"/>
      <c r="L458" s="246"/>
      <c r="M458" s="246"/>
      <c r="N458" s="246"/>
      <c r="O458" s="246"/>
      <c r="P458" s="248">
        <v>45870</v>
      </c>
      <c r="Q458" s="248">
        <v>46010</v>
      </c>
      <c r="R458" s="246"/>
      <c r="S458" s="247">
        <v>9.5</v>
      </c>
      <c r="T458" s="247">
        <v>9.5</v>
      </c>
      <c r="U458" s="247">
        <v>95</v>
      </c>
      <c r="V458" s="247">
        <v>95</v>
      </c>
      <c r="W458" s="248"/>
      <c r="X458" s="248"/>
      <c r="Y458" s="265"/>
      <c r="Z458" s="266">
        <v>0</v>
      </c>
      <c r="AA458" s="247">
        <v>0.1</v>
      </c>
      <c r="AB458" s="246" t="s">
        <v>1720</v>
      </c>
      <c r="AC458" s="263"/>
      <c r="AD458" s="240">
        <v>1</v>
      </c>
      <c r="AE458" s="330">
        <v>1</v>
      </c>
      <c r="AF458" s="296"/>
      <c r="AG458" s="297"/>
      <c r="AH458" s="297"/>
      <c r="AI458" s="297"/>
      <c r="AJ458" s="297"/>
      <c r="AK458" s="297"/>
      <c r="AL458" s="297"/>
      <c r="AM458" s="297"/>
      <c r="AN458" s="297"/>
      <c r="AO458" s="297"/>
      <c r="AP458" s="297"/>
      <c r="AQ458" s="297"/>
      <c r="AR458" s="297"/>
      <c r="AS458" s="297"/>
      <c r="AT458" s="297"/>
      <c r="AU458" s="297"/>
      <c r="AV458" s="297"/>
      <c r="AW458" s="297"/>
      <c r="AX458" s="297"/>
      <c r="AY458" s="297"/>
      <c r="AZ458" s="297"/>
      <c r="BA458" s="297"/>
      <c r="BB458" s="297"/>
      <c r="BC458" s="297"/>
      <c r="BD458" s="297"/>
      <c r="BE458" s="297"/>
      <c r="BF458" s="297"/>
      <c r="BG458" s="297"/>
      <c r="BH458" s="297"/>
      <c r="BI458" s="297"/>
      <c r="BJ458" s="297"/>
      <c r="BK458" s="297"/>
      <c r="BL458" s="297"/>
      <c r="BM458" s="297"/>
      <c r="BN458" s="297"/>
      <c r="BO458" s="297"/>
      <c r="BP458" s="297"/>
      <c r="BQ458" s="297"/>
      <c r="BR458" s="297"/>
      <c r="BS458" s="297"/>
      <c r="BT458" s="297"/>
      <c r="BU458" s="297"/>
      <c r="BV458" s="297"/>
      <c r="BW458" s="297" t="str">
        <f>"      " &amp; TEXT(AE458,"#0.00%") &amp; " " &amp; "오픈 안정화계획 수립" &amp; "(PL)" &amp; " " &amp; IF(P458="","",TEXT(P458,"M/D-")) &amp; IF(Q458="","",TEXT(Q458,"M/D")) &amp; " "</f>
        <v xml:space="preserve">      100.00% 오픈 안정화계획 수립(PL) 8/1-12/19 </v>
      </c>
      <c r="BX458" s="297"/>
      <c r="BY458" s="297"/>
      <c r="BZ458" s="297"/>
      <c r="CA458" s="297"/>
      <c r="CB458" s="297"/>
      <c r="CC458" s="297"/>
      <c r="CD458" s="297"/>
      <c r="CE458" s="297"/>
      <c r="CF458" s="297"/>
      <c r="CG458" s="297"/>
    </row>
    <row r="459" spans="1:85" ht="12" customHeight="1" outlineLevel="2">
      <c r="A459" s="288"/>
      <c r="B459" s="288"/>
      <c r="C459" s="288">
        <v>3</v>
      </c>
      <c r="D459" s="291" t="s">
        <v>1958</v>
      </c>
      <c r="E459" s="246"/>
      <c r="F459" s="246"/>
      <c r="G459" s="246" t="s">
        <v>1578</v>
      </c>
      <c r="H459" s="246"/>
      <c r="I459" s="246"/>
      <c r="J459" s="246"/>
      <c r="K459" s="246"/>
      <c r="L459" s="246"/>
      <c r="M459" s="246"/>
      <c r="N459" s="246"/>
      <c r="O459" s="246"/>
      <c r="P459" s="248">
        <v>45901</v>
      </c>
      <c r="Q459" s="248">
        <v>46069</v>
      </c>
      <c r="R459" s="246"/>
      <c r="S459" s="247">
        <v>2260</v>
      </c>
      <c r="T459" s="247">
        <v>2260</v>
      </c>
      <c r="U459" s="247">
        <v>113</v>
      </c>
      <c r="V459" s="247">
        <v>113</v>
      </c>
      <c r="W459" s="248"/>
      <c r="X459" s="248"/>
      <c r="Y459" s="265"/>
      <c r="Z459" s="266">
        <v>0</v>
      </c>
      <c r="AA459" s="247">
        <v>20</v>
      </c>
      <c r="AB459" s="246"/>
      <c r="AC459" s="263"/>
      <c r="AD459" s="240">
        <v>1</v>
      </c>
      <c r="AE459" s="304">
        <v>1</v>
      </c>
      <c r="AF459" s="296"/>
      <c r="AG459" s="297"/>
      <c r="AH459" s="297"/>
      <c r="AI459" s="297"/>
      <c r="AJ459" s="297"/>
      <c r="AK459" s="297"/>
      <c r="AL459" s="297"/>
      <c r="AM459" s="297"/>
      <c r="AN459" s="297"/>
      <c r="AO459" s="297"/>
      <c r="AP459" s="297"/>
      <c r="AQ459" s="297"/>
      <c r="AR459" s="297"/>
      <c r="AS459" s="297"/>
      <c r="AT459" s="297"/>
      <c r="AU459" s="297"/>
      <c r="AV459" s="297"/>
      <c r="AW459" s="297"/>
      <c r="AX459" s="297"/>
      <c r="AY459" s="297"/>
      <c r="AZ459" s="297"/>
      <c r="BA459" s="297"/>
      <c r="BB459" s="297"/>
      <c r="BC459" s="297"/>
      <c r="BD459" s="297"/>
      <c r="BE459" s="297"/>
      <c r="BF459" s="297"/>
      <c r="BG459" s="297"/>
      <c r="BH459" s="297"/>
      <c r="BI459" s="297"/>
      <c r="BJ459" s="297"/>
      <c r="BK459" s="297"/>
      <c r="BL459" s="297"/>
      <c r="BM459" s="297"/>
      <c r="BN459" s="297"/>
      <c r="BO459" s="297"/>
      <c r="BP459" s="297"/>
      <c r="BQ459" s="297"/>
      <c r="BR459" s="297"/>
      <c r="BS459" s="297"/>
      <c r="BT459" s="297"/>
      <c r="BU459" s="297"/>
      <c r="BV459" s="297"/>
      <c r="BW459" s="297"/>
      <c r="BX459" s="297"/>
      <c r="BY459" s="297"/>
      <c r="BZ459" s="297"/>
      <c r="CA459" s="297"/>
      <c r="CB459" s="297"/>
      <c r="CC459" s="297"/>
      <c r="CD459" s="297"/>
      <c r="CE459" s="297"/>
      <c r="CF459" s="297" t="str">
        <f>"  " &amp; TEXT(AE459,"#0.00%") &amp; " " &amp; "안정화 수행" &amp; " " &amp; IF(P459="","",TEXT(P459,"M/D-")) &amp; IF(Q459="","",TEXT(Q459,"M/D")) &amp; " "</f>
        <v xml:space="preserve">  100.00% 안정화 수행 9/1-2/16 </v>
      </c>
      <c r="CG459" s="297"/>
    </row>
    <row r="460" spans="1:85" ht="12" customHeight="1" outlineLevel="1">
      <c r="A460" s="288"/>
      <c r="B460" s="288" t="s">
        <v>2334</v>
      </c>
      <c r="C460" s="288">
        <v>2</v>
      </c>
      <c r="D460" s="291" t="s">
        <v>1959</v>
      </c>
      <c r="E460" s="246"/>
      <c r="F460" s="246" t="s">
        <v>1579</v>
      </c>
      <c r="G460" s="246"/>
      <c r="H460" s="246"/>
      <c r="I460" s="246"/>
      <c r="J460" s="246"/>
      <c r="K460" s="246"/>
      <c r="L460" s="246"/>
      <c r="M460" s="246"/>
      <c r="N460" s="246"/>
      <c r="O460" s="246"/>
      <c r="P460" s="248">
        <v>45964</v>
      </c>
      <c r="Q460" s="248">
        <v>46066</v>
      </c>
      <c r="R460" s="246"/>
      <c r="S460" s="247">
        <v>25.1</v>
      </c>
      <c r="T460" s="247">
        <v>25.1</v>
      </c>
      <c r="U460" s="247">
        <v>73</v>
      </c>
      <c r="V460" s="247">
        <v>73</v>
      </c>
      <c r="W460" s="248"/>
      <c r="X460" s="248"/>
      <c r="Y460" s="265">
        <v>0</v>
      </c>
      <c r="Z460" s="266">
        <v>0</v>
      </c>
      <c r="AA460" s="247"/>
      <c r="AB460" s="246"/>
      <c r="AC460" s="263"/>
      <c r="AD460" s="240">
        <v>1</v>
      </c>
      <c r="AE460" s="241">
        <v>1</v>
      </c>
      <c r="AF460" s="296"/>
      <c r="AG460" s="297"/>
      <c r="AH460" s="297"/>
      <c r="AI460" s="297"/>
      <c r="AJ460" s="297"/>
      <c r="AK460" s="297"/>
      <c r="AL460" s="297"/>
      <c r="AM460" s="297"/>
      <c r="AN460" s="297"/>
      <c r="AO460" s="297"/>
      <c r="AP460" s="297"/>
      <c r="AQ460" s="297"/>
      <c r="AR460" s="297"/>
      <c r="AS460" s="297"/>
      <c r="AT460" s="297"/>
      <c r="AU460" s="297"/>
      <c r="AV460" s="297"/>
      <c r="AW460" s="297"/>
      <c r="AX460" s="297"/>
      <c r="AY460" s="297"/>
      <c r="AZ460" s="297"/>
      <c r="BA460" s="297"/>
      <c r="BB460" s="297"/>
      <c r="BC460" s="297"/>
      <c r="BD460" s="297"/>
      <c r="BE460" s="297"/>
      <c r="BF460" s="297"/>
      <c r="BG460" s="297"/>
      <c r="BH460" s="297"/>
      <c r="BI460" s="297"/>
      <c r="BJ460" s="297"/>
      <c r="BK460" s="297"/>
      <c r="BL460" s="297"/>
      <c r="BM460" s="297"/>
      <c r="BN460" s="297"/>
      <c r="BO460" s="297"/>
      <c r="BP460" s="297"/>
      <c r="BQ460" s="297"/>
      <c r="BR460" s="297"/>
      <c r="BS460" s="297"/>
      <c r="BT460" s="297"/>
      <c r="BU460" s="297"/>
      <c r="BV460" s="297"/>
      <c r="BW460" s="297"/>
      <c r="BX460" s="297"/>
      <c r="BY460" s="297"/>
      <c r="BZ460" s="297"/>
      <c r="CA460" s="297"/>
      <c r="CB460" s="297"/>
      <c r="CC460" s="297"/>
      <c r="CD460" s="297"/>
      <c r="CE460" s="297" t="str">
        <f>"      " &amp; TEXT(AE460,"#0.00%") &amp; " " &amp; "인수인계" &amp; " " &amp; IF(P460="","",TEXT(P460,"M/D-")) &amp; IF(Q460="","",TEXT(Q460,"M/D")) &amp; " "</f>
        <v xml:space="preserve">      100.00% 인수인계 11/3-2/13 </v>
      </c>
      <c r="CF460" s="297"/>
      <c r="CG460" s="297"/>
    </row>
    <row r="461" spans="1:85" ht="12" customHeight="1" outlineLevel="2">
      <c r="A461" s="288"/>
      <c r="B461" s="288"/>
      <c r="C461" s="288">
        <v>3</v>
      </c>
      <c r="D461" s="291" t="s">
        <v>1960</v>
      </c>
      <c r="E461" s="246"/>
      <c r="F461" s="246"/>
      <c r="G461" s="246" t="s">
        <v>1580</v>
      </c>
      <c r="H461" s="246"/>
      <c r="I461" s="246"/>
      <c r="J461" s="246"/>
      <c r="K461" s="246"/>
      <c r="L461" s="246"/>
      <c r="M461" s="246"/>
      <c r="N461" s="246"/>
      <c r="O461" s="246"/>
      <c r="P461" s="248">
        <v>45964</v>
      </c>
      <c r="Q461" s="248">
        <v>46017</v>
      </c>
      <c r="R461" s="246"/>
      <c r="S461" s="247">
        <v>3.9000000000000004</v>
      </c>
      <c r="T461" s="247">
        <v>3.9000000000000004</v>
      </c>
      <c r="U461" s="247">
        <v>39</v>
      </c>
      <c r="V461" s="247">
        <v>39</v>
      </c>
      <c r="W461" s="248"/>
      <c r="X461" s="248"/>
      <c r="Y461" s="265"/>
      <c r="Z461" s="266">
        <v>0</v>
      </c>
      <c r="AA461" s="247">
        <v>0.1</v>
      </c>
      <c r="AB461" s="246"/>
      <c r="AC461" s="263"/>
      <c r="AD461" s="240">
        <v>1</v>
      </c>
      <c r="AE461" s="330">
        <v>1</v>
      </c>
      <c r="AF461" s="296"/>
      <c r="AG461" s="297"/>
      <c r="AH461" s="297"/>
      <c r="AI461" s="297"/>
      <c r="AJ461" s="297"/>
      <c r="AK461" s="297"/>
      <c r="AL461" s="297"/>
      <c r="AM461" s="297"/>
      <c r="AN461" s="297"/>
      <c r="AO461" s="297"/>
      <c r="AP461" s="297"/>
      <c r="AQ461" s="297"/>
      <c r="AR461" s="297"/>
      <c r="AS461" s="297"/>
      <c r="AT461" s="297"/>
      <c r="AU461" s="297"/>
      <c r="AV461" s="297"/>
      <c r="AW461" s="297"/>
      <c r="AX461" s="297"/>
      <c r="AY461" s="297"/>
      <c r="AZ461" s="297"/>
      <c r="BA461" s="297"/>
      <c r="BB461" s="297"/>
      <c r="BC461" s="297"/>
      <c r="BD461" s="297"/>
      <c r="BE461" s="297"/>
      <c r="BF461" s="297"/>
      <c r="BG461" s="297"/>
      <c r="BH461" s="297"/>
      <c r="BI461" s="297"/>
      <c r="BJ461" s="297"/>
      <c r="BK461" s="297"/>
      <c r="BL461" s="297"/>
      <c r="BM461" s="297"/>
      <c r="BN461" s="297"/>
      <c r="BO461" s="297"/>
      <c r="BP461" s="297"/>
      <c r="BQ461" s="297"/>
      <c r="BR461" s="297"/>
      <c r="BS461" s="297"/>
      <c r="BT461" s="297"/>
      <c r="BU461" s="297"/>
      <c r="BV461" s="297"/>
      <c r="BW461" s="297"/>
      <c r="BX461" s="297" t="str">
        <f>"      " &amp; TEXT(AE461,"#0.00%") &amp; " " &amp; "인수인계 산출물 작성 " &amp; " " &amp; IF(P461="","",TEXT(P461,"M/D-")) &amp; IF(Q461="","",TEXT(Q461,"M/D")) &amp; " "</f>
        <v xml:space="preserve">      100.00% 인수인계 산출물 작성  11/3-12/26 </v>
      </c>
      <c r="BY461" s="297"/>
      <c r="BZ461" s="297"/>
      <c r="CA461" s="297"/>
      <c r="CB461" s="297"/>
      <c r="CC461" s="297"/>
      <c r="CD461" s="297"/>
      <c r="CE461" s="297"/>
      <c r="CF461" s="297"/>
      <c r="CG461" s="297"/>
    </row>
    <row r="462" spans="1:85" ht="12" customHeight="1" outlineLevel="2">
      <c r="A462" s="288"/>
      <c r="B462" s="288"/>
      <c r="C462" s="288">
        <v>3</v>
      </c>
      <c r="D462" s="291" t="s">
        <v>1961</v>
      </c>
      <c r="E462" s="246"/>
      <c r="F462" s="246"/>
      <c r="G462" s="246" t="s">
        <v>1581</v>
      </c>
      <c r="H462" s="246"/>
      <c r="I462" s="246"/>
      <c r="J462" s="246"/>
      <c r="K462" s="246"/>
      <c r="L462" s="246"/>
      <c r="M462" s="246"/>
      <c r="N462" s="246"/>
      <c r="O462" s="246"/>
      <c r="P462" s="248">
        <v>46006</v>
      </c>
      <c r="Q462" s="248">
        <v>46022</v>
      </c>
      <c r="R462" s="246"/>
      <c r="S462" s="247">
        <v>1.2000000000000002</v>
      </c>
      <c r="T462" s="247">
        <v>1.2000000000000002</v>
      </c>
      <c r="U462" s="247">
        <v>12</v>
      </c>
      <c r="V462" s="247">
        <v>12</v>
      </c>
      <c r="W462" s="248"/>
      <c r="X462" s="248"/>
      <c r="Y462" s="265"/>
      <c r="Z462" s="266">
        <v>0</v>
      </c>
      <c r="AA462" s="247">
        <v>0.1</v>
      </c>
      <c r="AB462" s="246"/>
      <c r="AC462" s="263"/>
      <c r="AD462" s="240">
        <v>1</v>
      </c>
      <c r="AE462" s="304">
        <v>1</v>
      </c>
      <c r="AF462" s="296"/>
      <c r="AG462" s="297"/>
      <c r="AH462" s="297"/>
      <c r="AI462" s="297"/>
      <c r="AJ462" s="297"/>
      <c r="AK462" s="297"/>
      <c r="AL462" s="297"/>
      <c r="AM462" s="297"/>
      <c r="AN462" s="297"/>
      <c r="AO462" s="297"/>
      <c r="AP462" s="297"/>
      <c r="AQ462" s="297"/>
      <c r="AR462" s="297"/>
      <c r="AS462" s="297"/>
      <c r="AT462" s="297"/>
      <c r="AU462" s="297"/>
      <c r="AV462" s="297"/>
      <c r="AW462" s="297"/>
      <c r="AX462" s="297"/>
      <c r="AY462" s="297"/>
      <c r="AZ462" s="297"/>
      <c r="BA462" s="297"/>
      <c r="BB462" s="297"/>
      <c r="BC462" s="297"/>
      <c r="BD462" s="297"/>
      <c r="BE462" s="297"/>
      <c r="BF462" s="297"/>
      <c r="BG462" s="297"/>
      <c r="BH462" s="297"/>
      <c r="BI462" s="297"/>
      <c r="BJ462" s="297"/>
      <c r="BK462" s="297"/>
      <c r="BL462" s="297"/>
      <c r="BM462" s="297"/>
      <c r="BN462" s="297"/>
      <c r="BO462" s="297"/>
      <c r="BP462" s="297"/>
      <c r="BQ462" s="297"/>
      <c r="BR462" s="297"/>
      <c r="BS462" s="297"/>
      <c r="BT462" s="297"/>
      <c r="BU462" s="297"/>
      <c r="BV462" s="297"/>
      <c r="BW462" s="297"/>
      <c r="BX462" s="297"/>
      <c r="BY462" s="297" t="str">
        <f>"    " &amp; TEXT(AE462,"#0.00%") &amp; " " &amp; "인수인계 계획수립" &amp; " " &amp; IF(P462="","",TEXT(P462,"M/D-")) &amp; IF(Q462="","",TEXT(Q462,"M/D")) &amp; " "</f>
        <v xml:space="preserve">    100.00% 인수인계 계획수립 12/15-12/31 </v>
      </c>
      <c r="BZ462" s="297"/>
      <c r="CA462" s="297"/>
      <c r="CB462" s="297"/>
      <c r="CC462" s="297"/>
      <c r="CD462" s="297"/>
      <c r="CE462" s="297"/>
      <c r="CF462" s="297"/>
      <c r="CG462" s="297"/>
    </row>
    <row r="463" spans="1:85" ht="12" customHeight="1" outlineLevel="2">
      <c r="A463" s="288"/>
      <c r="B463" s="288"/>
      <c r="C463" s="288">
        <v>3</v>
      </c>
      <c r="D463" s="291" t="s">
        <v>2564</v>
      </c>
      <c r="E463" s="246"/>
      <c r="F463" s="246"/>
      <c r="G463" s="246" t="s">
        <v>1582</v>
      </c>
      <c r="H463" s="246"/>
      <c r="I463" s="246"/>
      <c r="J463" s="246"/>
      <c r="K463" s="246"/>
      <c r="L463" s="246"/>
      <c r="M463" s="246"/>
      <c r="N463" s="246"/>
      <c r="O463" s="246"/>
      <c r="P463" s="248">
        <v>46039</v>
      </c>
      <c r="Q463" s="248">
        <v>46066</v>
      </c>
      <c r="R463" s="246"/>
      <c r="S463" s="247">
        <v>20</v>
      </c>
      <c r="T463" s="247">
        <v>20</v>
      </c>
      <c r="U463" s="247">
        <v>20</v>
      </c>
      <c r="V463" s="247">
        <v>20</v>
      </c>
      <c r="W463" s="248"/>
      <c r="X463" s="248"/>
      <c r="Y463" s="265"/>
      <c r="Z463" s="266">
        <v>0</v>
      </c>
      <c r="AA463" s="247">
        <v>1</v>
      </c>
      <c r="AB463" s="246"/>
      <c r="AC463" s="263"/>
      <c r="AD463" s="240">
        <v>1</v>
      </c>
      <c r="AE463" s="304">
        <v>1</v>
      </c>
      <c r="AF463" s="296"/>
      <c r="AG463" s="297"/>
      <c r="AH463" s="297"/>
      <c r="AI463" s="297"/>
      <c r="AJ463" s="297"/>
      <c r="AK463" s="297"/>
      <c r="AL463" s="297"/>
      <c r="AM463" s="297"/>
      <c r="AN463" s="297"/>
      <c r="AO463" s="297"/>
      <c r="AP463" s="297"/>
      <c r="AQ463" s="297"/>
      <c r="AR463" s="297"/>
      <c r="AS463" s="297"/>
      <c r="AT463" s="297"/>
      <c r="AU463" s="297"/>
      <c r="AV463" s="297"/>
      <c r="AW463" s="297"/>
      <c r="AX463" s="297"/>
      <c r="AY463" s="297"/>
      <c r="AZ463" s="297"/>
      <c r="BA463" s="297"/>
      <c r="BB463" s="297"/>
      <c r="BC463" s="297"/>
      <c r="BD463" s="297"/>
      <c r="BE463" s="297"/>
      <c r="BF463" s="297"/>
      <c r="BG463" s="297"/>
      <c r="BH463" s="297"/>
      <c r="BI463" s="297"/>
      <c r="BJ463" s="297"/>
      <c r="BK463" s="297"/>
      <c r="BL463" s="297"/>
      <c r="BM463" s="297"/>
      <c r="BN463" s="297"/>
      <c r="BO463" s="297"/>
      <c r="BP463" s="297"/>
      <c r="BQ463" s="297"/>
      <c r="BR463" s="297"/>
      <c r="BS463" s="297"/>
      <c r="BT463" s="297"/>
      <c r="BU463" s="297"/>
      <c r="BV463" s="297"/>
      <c r="BW463" s="297"/>
      <c r="BX463" s="297"/>
      <c r="BY463" s="297"/>
      <c r="BZ463" s="297"/>
      <c r="CA463" s="297"/>
      <c r="CB463" s="297"/>
      <c r="CC463" s="297"/>
      <c r="CD463" s="297"/>
      <c r="CE463" s="297" t="str">
        <f>"      " &amp; TEXT(AE463,"#0.00%") &amp; " " &amp; "인수인계 수행" &amp; " " &amp; IF(P463="","",TEXT(P463,"M/D-")) &amp; IF(Q463="","",TEXT(Q463,"M/D")) &amp; " "</f>
        <v xml:space="preserve">      100.00% 인수인계 수행 1/17-2/13 </v>
      </c>
      <c r="CF463" s="297"/>
      <c r="CG463" s="297"/>
    </row>
    <row r="464" spans="1:85" ht="12" customHeight="1">
      <c r="A464" s="117"/>
      <c r="B464" s="117"/>
      <c r="C464" s="117"/>
      <c r="D464" s="118"/>
      <c r="E464" s="119"/>
      <c r="F464" s="119"/>
      <c r="G464" s="119"/>
      <c r="H464" s="119"/>
      <c r="I464" s="119"/>
      <c r="J464" s="119"/>
      <c r="K464" s="119"/>
      <c r="L464" s="119"/>
      <c r="M464" s="119"/>
      <c r="N464" s="119"/>
      <c r="O464" s="119"/>
      <c r="P464" s="179"/>
      <c r="Q464" s="179"/>
      <c r="R464" s="119"/>
      <c r="S464" s="120"/>
      <c r="T464" s="120"/>
      <c r="U464" s="120"/>
      <c r="V464" s="120"/>
      <c r="W464" s="179"/>
      <c r="X464" s="179"/>
      <c r="Y464" s="121"/>
      <c r="Z464" s="122"/>
      <c r="AA464" s="120"/>
      <c r="AB464" s="119"/>
      <c r="AC464" s="123"/>
      <c r="AD464" s="124"/>
      <c r="AE464" s="125"/>
      <c r="AF464" s="293"/>
      <c r="AG464" s="293"/>
      <c r="AH464" s="293"/>
      <c r="AI464" s="293"/>
      <c r="AJ464" s="293"/>
      <c r="AK464" s="293"/>
      <c r="AL464" s="293"/>
      <c r="AM464" s="293"/>
      <c r="AN464" s="293"/>
      <c r="AO464" s="293"/>
      <c r="AP464" s="293"/>
      <c r="AQ464" s="293"/>
      <c r="AR464" s="293"/>
      <c r="AS464" s="293"/>
      <c r="AT464" s="293"/>
      <c r="AU464" s="293"/>
      <c r="AV464" s="293"/>
      <c r="AW464" s="293"/>
      <c r="AX464" s="293"/>
      <c r="AY464" s="293"/>
      <c r="AZ464" s="293"/>
      <c r="BA464" s="293"/>
      <c r="BB464" s="293"/>
      <c r="BC464" s="293"/>
      <c r="BD464" s="293"/>
      <c r="BE464" s="293"/>
      <c r="BF464" s="293"/>
      <c r="BG464" s="293"/>
      <c r="BH464" s="293"/>
      <c r="BI464" s="293"/>
      <c r="BJ464" s="293"/>
      <c r="BK464" s="293"/>
      <c r="BL464" s="293"/>
      <c r="BM464" s="293"/>
      <c r="BN464" s="293"/>
      <c r="BO464" s="293"/>
      <c r="BP464" s="293"/>
      <c r="BQ464" s="293"/>
      <c r="BR464" s="293"/>
      <c r="BS464" s="293"/>
      <c r="BT464" s="293"/>
      <c r="BU464" s="293"/>
      <c r="BV464" s="293"/>
      <c r="BW464" s="293"/>
      <c r="BX464" s="293"/>
      <c r="BY464" s="293"/>
      <c r="BZ464" s="293"/>
      <c r="CA464" s="293"/>
      <c r="CB464" s="293"/>
      <c r="CC464" s="293"/>
      <c r="CD464" s="293"/>
      <c r="CE464" s="293"/>
      <c r="CF464" s="293"/>
      <c r="CG464" s="293"/>
    </row>
  </sheetData>
  <sheetProtection formatCells="0" formatColumns="0" formatRows="0" insertColumns="0" insertRows="0" insertHyperlinks="0" deleteColumns="0" deleteRows="0" sort="0" autoFilter="0" pivotTables="0"/>
  <sortState ref="I357:AB368">
    <sortCondition ref="P357:P368"/>
    <sortCondition ref="Q357:Q368"/>
  </sortState>
  <dataConsolidate/>
  <mergeCells count="51">
    <mergeCell ref="BH3:BK3"/>
    <mergeCell ref="BL3:BO3"/>
    <mergeCell ref="BX2:CA2"/>
    <mergeCell ref="CB2:CE2"/>
    <mergeCell ref="CF2:CI2"/>
    <mergeCell ref="BX3:CA3"/>
    <mergeCell ref="CB3:CE3"/>
    <mergeCell ref="CF3:CI3"/>
    <mergeCell ref="BP3:BS3"/>
    <mergeCell ref="BT3:BW3"/>
    <mergeCell ref="BD2:BG2"/>
    <mergeCell ref="BH2:BK2"/>
    <mergeCell ref="BL2:BO2"/>
    <mergeCell ref="BP2:BS2"/>
    <mergeCell ref="BT2:BW2"/>
    <mergeCell ref="AE3:AE4"/>
    <mergeCell ref="AB3:AB4"/>
    <mergeCell ref="AC3:AC4"/>
    <mergeCell ref="AD3:AD4"/>
    <mergeCell ref="A3:A4"/>
    <mergeCell ref="B3:B4"/>
    <mergeCell ref="C3:C4"/>
    <mergeCell ref="D3:D4"/>
    <mergeCell ref="E3:N4"/>
    <mergeCell ref="O3:O4"/>
    <mergeCell ref="BD3:BG3"/>
    <mergeCell ref="AZ3:BC3"/>
    <mergeCell ref="AZ2:BC2"/>
    <mergeCell ref="D2:F2"/>
    <mergeCell ref="AA3:AA4"/>
    <mergeCell ref="P3:P4"/>
    <mergeCell ref="Q3:Q4"/>
    <mergeCell ref="R3:R4"/>
    <mergeCell ref="S3:S4"/>
    <mergeCell ref="Y3:Y4"/>
    <mergeCell ref="Z3:Z4"/>
    <mergeCell ref="T3:T4"/>
    <mergeCell ref="U3:U4"/>
    <mergeCell ref="V3:V4"/>
    <mergeCell ref="W3:W4"/>
    <mergeCell ref="X3:X4"/>
    <mergeCell ref="AN2:AQ2"/>
    <mergeCell ref="AF2:AI2"/>
    <mergeCell ref="AJ2:AM2"/>
    <mergeCell ref="AR2:AU2"/>
    <mergeCell ref="AV3:AY3"/>
    <mergeCell ref="AV2:AY2"/>
    <mergeCell ref="AF3:AI3"/>
    <mergeCell ref="AJ3:AM3"/>
    <mergeCell ref="AN3:AQ3"/>
    <mergeCell ref="AR3:AU3"/>
  </mergeCells>
  <phoneticPr fontId="16" type="noConversion"/>
  <conditionalFormatting sqref="D5:AD463">
    <cfRule type="expression" dxfId="0" priority="1">
      <formula>($B5="G")</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10"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zoomScale="130" zoomScaleNormal="130" workbookViewId="0">
      <selection activeCell="J23" sqref="J23"/>
    </sheetView>
  </sheetViews>
  <sheetFormatPr defaultRowHeight="16.5"/>
  <sheetData/>
  <phoneticPr fontId="16"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D7"/>
  <sheetViews>
    <sheetView workbookViewId="0">
      <selection activeCell="F18" sqref="F18"/>
    </sheetView>
  </sheetViews>
  <sheetFormatPr defaultColWidth="8.75" defaultRowHeight="13.5"/>
  <cols>
    <col min="1" max="1" width="12.375" style="181" bestFit="1" customWidth="1"/>
    <col min="2" max="16384" width="8.75" style="181"/>
  </cols>
  <sheetData>
    <row r="2" spans="1:4">
      <c r="A2" s="181" t="s">
        <v>1854</v>
      </c>
      <c r="B2" s="181">
        <f>SUM(Schedule!AA8:AA102)</f>
        <v>17.499999999999986</v>
      </c>
      <c r="C2" s="182" t="e">
        <f>B2/$B$7</f>
        <v>#REF!</v>
      </c>
      <c r="D2" s="181">
        <v>5</v>
      </c>
    </row>
    <row r="3" spans="1:4">
      <c r="A3" s="181" t="s">
        <v>1855</v>
      </c>
      <c r="B3" s="181">
        <f>SUM(Schedule!AA106:AA111)</f>
        <v>3.5</v>
      </c>
      <c r="C3" s="182" t="e">
        <f t="shared" ref="C3:C7" si="0">B3/$B$7</f>
        <v>#REF!</v>
      </c>
      <c r="D3" s="181">
        <v>15</v>
      </c>
    </row>
    <row r="4" spans="1:4">
      <c r="A4" s="181" t="s">
        <v>1968</v>
      </c>
      <c r="B4" s="181" t="e">
        <f>SUM(Schedule!#REF!)</f>
        <v>#REF!</v>
      </c>
      <c r="C4" s="182" t="e">
        <f t="shared" si="0"/>
        <v>#REF!</v>
      </c>
      <c r="D4" s="181">
        <v>65</v>
      </c>
    </row>
    <row r="5" spans="1:4">
      <c r="A5" s="181" t="s">
        <v>1969</v>
      </c>
      <c r="B5" s="181">
        <f>SUM(Schedule!AA414:AA441)</f>
        <v>18.3</v>
      </c>
      <c r="C5" s="182" t="e">
        <f t="shared" si="0"/>
        <v>#REF!</v>
      </c>
      <c r="D5" s="181">
        <v>5</v>
      </c>
    </row>
    <row r="6" spans="1:4">
      <c r="A6" s="181" t="s">
        <v>1856</v>
      </c>
      <c r="B6" s="181">
        <f>SUM(Schedule!AA444:AA458)</f>
        <v>23.5</v>
      </c>
      <c r="C6" s="182" t="e">
        <f t="shared" si="0"/>
        <v>#REF!</v>
      </c>
      <c r="D6" s="181">
        <v>10</v>
      </c>
    </row>
    <row r="7" spans="1:4">
      <c r="B7" s="181" t="e">
        <f>SUM(B2:B6)</f>
        <v>#REF!</v>
      </c>
      <c r="C7" s="182" t="e">
        <f t="shared" si="0"/>
        <v>#REF!</v>
      </c>
      <c r="D7" s="181">
        <f>SUM(D2:D6)</f>
        <v>100</v>
      </c>
    </row>
  </sheetData>
  <phoneticPr fontId="1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60"/>
  <sheetViews>
    <sheetView showGridLines="0" topLeftCell="A34" zoomScale="85" zoomScaleNormal="85" workbookViewId="0">
      <selection activeCell="W1" sqref="W1:X36"/>
    </sheetView>
  </sheetViews>
  <sheetFormatPr defaultColWidth="8.75" defaultRowHeight="12"/>
  <cols>
    <col min="1" max="1" width="12.75" style="213" customWidth="1"/>
    <col min="2" max="6" width="17.25" style="213" customWidth="1"/>
    <col min="7" max="7" width="5.25" style="213" customWidth="1"/>
    <col min="8" max="9" width="12.375" style="213" customWidth="1"/>
    <col min="10" max="11" width="5.75" style="213" customWidth="1"/>
    <col min="12" max="12" width="2.75" style="213" customWidth="1"/>
    <col min="13" max="14" width="10" style="213" customWidth="1"/>
    <col min="15" max="15" width="6.25" style="213" customWidth="1"/>
    <col min="16" max="17" width="6.75" style="213" bestFit="1" customWidth="1"/>
    <col min="18" max="19" width="5.875" style="213" bestFit="1" customWidth="1"/>
    <col min="20" max="20" width="7.5" style="213" customWidth="1"/>
    <col min="21" max="22" width="7.625" style="213" customWidth="1"/>
    <col min="23" max="23" width="9.375" style="213" customWidth="1"/>
    <col min="24" max="24" width="11.5" style="213" customWidth="1"/>
    <col min="25" max="25" width="15.375" style="216" customWidth="1"/>
    <col min="26" max="26" width="8.75" style="216"/>
    <col min="27" max="27" width="9.875" style="216" customWidth="1"/>
    <col min="28" max="16384" width="8.75" style="213"/>
  </cols>
  <sheetData>
    <row r="1" spans="1:27" s="228" customFormat="1">
      <c r="A1" s="310" t="s">
        <v>496</v>
      </c>
      <c r="B1" s="246" t="s">
        <v>1433</v>
      </c>
      <c r="C1" s="246"/>
      <c r="D1" s="246"/>
      <c r="E1" s="246"/>
      <c r="F1" s="246"/>
      <c r="G1" s="246"/>
      <c r="H1" s="246"/>
      <c r="I1" s="246"/>
      <c r="J1" s="246"/>
      <c r="K1" s="246"/>
      <c r="L1" s="246"/>
      <c r="M1" s="248">
        <v>45705</v>
      </c>
      <c r="N1" s="248">
        <v>46066</v>
      </c>
      <c r="O1" s="246"/>
      <c r="P1" s="247">
        <v>49</v>
      </c>
      <c r="Q1" s="247">
        <v>44</v>
      </c>
      <c r="R1" s="247">
        <v>247</v>
      </c>
      <c r="S1" s="247">
        <v>242</v>
      </c>
      <c r="T1" s="247"/>
      <c r="U1" s="240">
        <v>0.89795918367346939</v>
      </c>
      <c r="V1" s="335">
        <v>0.87755102040816324</v>
      </c>
      <c r="W1" s="240">
        <v>0.89795918367346939</v>
      </c>
      <c r="X1" s="335">
        <v>0.87755102040816324</v>
      </c>
      <c r="Y1" s="234" t="str">
        <f>ROUND(X1*100,2)&amp;" / "&amp;ROUND(W1*100,2)</f>
        <v>87.76 / 89.8</v>
      </c>
      <c r="Z1" s="234">
        <f>W1-X1</f>
        <v>2.0408163265306145E-2</v>
      </c>
      <c r="AA1" s="222" t="str">
        <f>"("&amp;IF(Z1&lt;=3%,"A",IF(Z1&lt;=5%,"B","C"))&amp;")"</f>
        <v>(A)</v>
      </c>
    </row>
    <row r="2" spans="1:27" s="228" customFormat="1">
      <c r="A2" s="291" t="s">
        <v>774</v>
      </c>
      <c r="B2" s="246" t="s">
        <v>1773</v>
      </c>
      <c r="C2" s="246"/>
      <c r="D2" s="246"/>
      <c r="E2" s="246"/>
      <c r="F2" s="246"/>
      <c r="G2" s="246"/>
      <c r="H2" s="246"/>
      <c r="I2" s="246"/>
      <c r="J2" s="246"/>
      <c r="K2" s="246"/>
      <c r="L2" s="246"/>
      <c r="M2" s="248">
        <v>45705</v>
      </c>
      <c r="N2" s="248">
        <v>45975</v>
      </c>
      <c r="O2" s="246"/>
      <c r="P2" s="247">
        <v>1062.5</v>
      </c>
      <c r="Q2" s="247">
        <v>1062.5</v>
      </c>
      <c r="R2" s="247">
        <v>184</v>
      </c>
      <c r="S2" s="247">
        <v>184</v>
      </c>
      <c r="T2" s="247"/>
      <c r="U2" s="240">
        <v>1</v>
      </c>
      <c r="V2" s="241">
        <v>1</v>
      </c>
      <c r="W2" s="240">
        <v>1</v>
      </c>
      <c r="X2" s="241">
        <v>1</v>
      </c>
      <c r="Y2" s="234" t="str">
        <f t="shared" ref="Y2:Y34" si="0">ROUND(X2*100,2)&amp;" / "&amp;ROUND(W2*100,2)</f>
        <v>100 / 100</v>
      </c>
      <c r="Z2" s="234">
        <f t="shared" ref="Z2:Z34" si="1">W2-X2</f>
        <v>0</v>
      </c>
      <c r="AA2" s="222" t="str">
        <f t="shared" ref="AA2:AA34" si="2">"("&amp;IF(Z2&lt;=3%,"A",IF(Z2&lt;=5%,"B","C"))&amp;")"</f>
        <v>(A)</v>
      </c>
    </row>
    <row r="3" spans="1:27" s="228" customFormat="1">
      <c r="A3" s="291" t="s">
        <v>1436</v>
      </c>
      <c r="B3" s="246"/>
      <c r="C3" s="246" t="s">
        <v>1424</v>
      </c>
      <c r="D3" s="246"/>
      <c r="E3" s="246"/>
      <c r="F3" s="246"/>
      <c r="G3" s="246"/>
      <c r="H3" s="246"/>
      <c r="I3" s="246"/>
      <c r="J3" s="246"/>
      <c r="K3" s="246"/>
      <c r="L3" s="246"/>
      <c r="M3" s="248">
        <v>45705</v>
      </c>
      <c r="N3" s="248">
        <v>45730</v>
      </c>
      <c r="O3" s="246"/>
      <c r="P3" s="247">
        <v>44</v>
      </c>
      <c r="Q3" s="247">
        <v>44</v>
      </c>
      <c r="R3" s="247">
        <v>19</v>
      </c>
      <c r="S3" s="247">
        <v>19</v>
      </c>
      <c r="T3" s="247"/>
      <c r="U3" s="240">
        <v>1</v>
      </c>
      <c r="V3" s="241">
        <v>1</v>
      </c>
      <c r="W3" s="240">
        <v>1</v>
      </c>
      <c r="X3" s="241">
        <v>1</v>
      </c>
      <c r="Y3" s="234" t="str">
        <f t="shared" si="0"/>
        <v>100 / 100</v>
      </c>
      <c r="Z3" s="234">
        <f t="shared" si="1"/>
        <v>0</v>
      </c>
      <c r="AA3" s="222" t="str">
        <f t="shared" si="2"/>
        <v>(A)</v>
      </c>
    </row>
    <row r="4" spans="1:27" s="228" customFormat="1">
      <c r="A4" s="291" t="s">
        <v>1437</v>
      </c>
      <c r="B4" s="246"/>
      <c r="C4" s="246"/>
      <c r="D4" s="246" t="s">
        <v>1737</v>
      </c>
      <c r="E4" s="246"/>
      <c r="F4" s="246"/>
      <c r="G4" s="246"/>
      <c r="H4" s="246"/>
      <c r="I4" s="246"/>
      <c r="J4" s="246"/>
      <c r="K4" s="246"/>
      <c r="L4" s="246"/>
      <c r="M4" s="248">
        <v>45712</v>
      </c>
      <c r="N4" s="248">
        <v>45730</v>
      </c>
      <c r="O4" s="246"/>
      <c r="P4" s="247">
        <v>11.5</v>
      </c>
      <c r="Q4" s="247">
        <v>11.5</v>
      </c>
      <c r="R4" s="247">
        <v>14</v>
      </c>
      <c r="S4" s="247">
        <v>14</v>
      </c>
      <c r="T4" s="247"/>
      <c r="U4" s="240">
        <v>1</v>
      </c>
      <c r="V4" s="241">
        <v>1</v>
      </c>
      <c r="W4" s="240">
        <v>1</v>
      </c>
      <c r="X4" s="241">
        <v>1</v>
      </c>
      <c r="Y4" s="234" t="str">
        <f t="shared" si="0"/>
        <v>100 / 100</v>
      </c>
      <c r="Z4" s="234">
        <f t="shared" si="1"/>
        <v>0</v>
      </c>
      <c r="AA4" s="222" t="str">
        <f t="shared" si="2"/>
        <v>(A)</v>
      </c>
    </row>
    <row r="5" spans="1:27" s="228" customFormat="1">
      <c r="A5" s="291" t="s">
        <v>1438</v>
      </c>
      <c r="B5" s="246"/>
      <c r="C5" s="246"/>
      <c r="D5" s="245" t="s">
        <v>2048</v>
      </c>
      <c r="E5" s="246"/>
      <c r="F5" s="246"/>
      <c r="G5" s="246"/>
      <c r="H5" s="246"/>
      <c r="I5" s="246"/>
      <c r="J5" s="246"/>
      <c r="K5" s="246"/>
      <c r="L5" s="246"/>
      <c r="M5" s="248">
        <v>45705</v>
      </c>
      <c r="N5" s="248">
        <v>45730</v>
      </c>
      <c r="O5" s="246"/>
      <c r="P5" s="247">
        <v>32.5</v>
      </c>
      <c r="Q5" s="247">
        <v>32.5</v>
      </c>
      <c r="R5" s="247">
        <v>19</v>
      </c>
      <c r="S5" s="247">
        <v>19</v>
      </c>
      <c r="T5" s="247"/>
      <c r="U5" s="240">
        <v>1</v>
      </c>
      <c r="V5" s="241">
        <v>1</v>
      </c>
      <c r="W5" s="240">
        <v>1</v>
      </c>
      <c r="X5" s="241">
        <v>1</v>
      </c>
      <c r="Y5" s="234" t="str">
        <f t="shared" si="0"/>
        <v>100 / 100</v>
      </c>
      <c r="Z5" s="234">
        <f t="shared" si="1"/>
        <v>0</v>
      </c>
      <c r="AA5" s="222" t="str">
        <f t="shared" si="2"/>
        <v>(A)</v>
      </c>
    </row>
    <row r="6" spans="1:27" s="228" customFormat="1">
      <c r="A6" s="291" t="s">
        <v>1462</v>
      </c>
      <c r="B6" s="246"/>
      <c r="C6" s="246" t="s">
        <v>1427</v>
      </c>
      <c r="D6" s="246"/>
      <c r="E6" s="246"/>
      <c r="F6" s="246"/>
      <c r="G6" s="246"/>
      <c r="H6" s="246"/>
      <c r="I6" s="246"/>
      <c r="J6" s="246"/>
      <c r="K6" s="246"/>
      <c r="L6" s="246"/>
      <c r="M6" s="248">
        <v>45726</v>
      </c>
      <c r="N6" s="248">
        <v>45765</v>
      </c>
      <c r="O6" s="246"/>
      <c r="P6" s="247">
        <v>236</v>
      </c>
      <c r="Q6" s="247">
        <v>236</v>
      </c>
      <c r="R6" s="247">
        <v>30</v>
      </c>
      <c r="S6" s="247">
        <v>30</v>
      </c>
      <c r="T6" s="247"/>
      <c r="U6" s="240">
        <v>1</v>
      </c>
      <c r="V6" s="241">
        <v>1</v>
      </c>
      <c r="W6" s="240">
        <v>1</v>
      </c>
      <c r="X6" s="241">
        <v>1</v>
      </c>
      <c r="Y6" s="234" t="str">
        <f t="shared" si="0"/>
        <v>100 / 100</v>
      </c>
      <c r="Z6" s="234">
        <f t="shared" si="1"/>
        <v>0</v>
      </c>
      <c r="AA6" s="222" t="str">
        <f t="shared" si="2"/>
        <v>(A)</v>
      </c>
    </row>
    <row r="7" spans="1:27" s="228" customFormat="1">
      <c r="A7" s="291" t="s">
        <v>1448</v>
      </c>
      <c r="B7" s="246"/>
      <c r="C7" s="246"/>
      <c r="D7" s="246" t="s">
        <v>1734</v>
      </c>
      <c r="E7" s="246"/>
      <c r="F7" s="246"/>
      <c r="G7" s="246"/>
      <c r="H7" s="246"/>
      <c r="I7" s="246"/>
      <c r="J7" s="246"/>
      <c r="K7" s="246"/>
      <c r="L7" s="246"/>
      <c r="M7" s="248">
        <v>45726</v>
      </c>
      <c r="N7" s="248">
        <v>45744</v>
      </c>
      <c r="O7" s="246"/>
      <c r="P7" s="247">
        <v>105</v>
      </c>
      <c r="Q7" s="247">
        <v>105</v>
      </c>
      <c r="R7" s="247">
        <v>15</v>
      </c>
      <c r="S7" s="247">
        <v>15</v>
      </c>
      <c r="T7" s="247"/>
      <c r="U7" s="240">
        <v>1</v>
      </c>
      <c r="V7" s="241">
        <v>1</v>
      </c>
      <c r="W7" s="240">
        <v>1</v>
      </c>
      <c r="X7" s="241">
        <v>1</v>
      </c>
      <c r="Y7" s="234" t="str">
        <f t="shared" si="0"/>
        <v>100 / 100</v>
      </c>
      <c r="Z7" s="234">
        <f t="shared" si="1"/>
        <v>0</v>
      </c>
      <c r="AA7" s="222" t="str">
        <f t="shared" si="2"/>
        <v>(A)</v>
      </c>
    </row>
    <row r="8" spans="1:27" s="228" customFormat="1">
      <c r="A8" s="257" t="s">
        <v>1449</v>
      </c>
      <c r="B8" s="244"/>
      <c r="C8" s="244"/>
      <c r="D8" s="244" t="s">
        <v>1737</v>
      </c>
      <c r="E8" s="244"/>
      <c r="F8" s="244"/>
      <c r="G8" s="244"/>
      <c r="H8" s="244"/>
      <c r="I8" s="244"/>
      <c r="J8" s="244"/>
      <c r="K8" s="244"/>
      <c r="L8" s="244"/>
      <c r="M8" s="243">
        <v>45726</v>
      </c>
      <c r="N8" s="243">
        <v>45751</v>
      </c>
      <c r="O8" s="244"/>
      <c r="P8" s="242">
        <v>46</v>
      </c>
      <c r="Q8" s="242">
        <v>46</v>
      </c>
      <c r="R8" s="242">
        <v>20</v>
      </c>
      <c r="S8" s="242">
        <v>20</v>
      </c>
      <c r="T8" s="242"/>
      <c r="U8" s="239">
        <v>1</v>
      </c>
      <c r="V8" s="241">
        <v>1</v>
      </c>
      <c r="W8" s="239">
        <v>1</v>
      </c>
      <c r="X8" s="241">
        <v>1</v>
      </c>
      <c r="Y8" s="234" t="str">
        <f t="shared" si="0"/>
        <v>100 / 100</v>
      </c>
      <c r="Z8" s="234">
        <f t="shared" si="1"/>
        <v>0</v>
      </c>
      <c r="AA8" s="222" t="str">
        <f t="shared" si="2"/>
        <v>(A)</v>
      </c>
    </row>
    <row r="9" spans="1:27" s="228" customFormat="1">
      <c r="A9" s="257" t="s">
        <v>1452</v>
      </c>
      <c r="B9" s="244"/>
      <c r="C9" s="244"/>
      <c r="D9" s="249" t="s">
        <v>2048</v>
      </c>
      <c r="E9" s="244"/>
      <c r="F9" s="244"/>
      <c r="G9" s="244"/>
      <c r="H9" s="244"/>
      <c r="I9" s="244"/>
      <c r="J9" s="244"/>
      <c r="K9" s="244"/>
      <c r="L9" s="244"/>
      <c r="M9" s="243">
        <v>45733</v>
      </c>
      <c r="N9" s="243">
        <v>45765</v>
      </c>
      <c r="O9" s="244"/>
      <c r="P9" s="242">
        <v>85</v>
      </c>
      <c r="Q9" s="242">
        <v>85</v>
      </c>
      <c r="R9" s="242">
        <v>25</v>
      </c>
      <c r="S9" s="242">
        <v>25</v>
      </c>
      <c r="T9" s="242"/>
      <c r="U9" s="239">
        <v>1</v>
      </c>
      <c r="V9" s="241">
        <v>1</v>
      </c>
      <c r="W9" s="239">
        <v>1</v>
      </c>
      <c r="X9" s="241">
        <v>1</v>
      </c>
      <c r="Y9" s="234" t="str">
        <f t="shared" si="0"/>
        <v>100 / 100</v>
      </c>
      <c r="Z9" s="234">
        <f t="shared" si="1"/>
        <v>0</v>
      </c>
      <c r="AA9" s="222" t="str">
        <f t="shared" si="2"/>
        <v>(A)</v>
      </c>
    </row>
    <row r="10" spans="1:27" s="228" customFormat="1">
      <c r="A10" s="257" t="s">
        <v>1463</v>
      </c>
      <c r="B10" s="244"/>
      <c r="C10" s="250" t="s">
        <v>1743</v>
      </c>
      <c r="D10" s="244"/>
      <c r="E10" s="244"/>
      <c r="F10" s="244"/>
      <c r="G10" s="244"/>
      <c r="H10" s="244"/>
      <c r="I10" s="244"/>
      <c r="J10" s="244"/>
      <c r="K10" s="244"/>
      <c r="L10" s="244"/>
      <c r="M10" s="243">
        <v>45726</v>
      </c>
      <c r="N10" s="243">
        <v>45863</v>
      </c>
      <c r="O10" s="244"/>
      <c r="P10" s="242">
        <v>503</v>
      </c>
      <c r="Q10" s="242">
        <v>503</v>
      </c>
      <c r="R10" s="242">
        <v>96</v>
      </c>
      <c r="S10" s="242">
        <v>96</v>
      </c>
      <c r="T10" s="242"/>
      <c r="U10" s="239">
        <v>1</v>
      </c>
      <c r="V10" s="241">
        <v>1</v>
      </c>
      <c r="W10" s="239">
        <v>1</v>
      </c>
      <c r="X10" s="241">
        <v>1</v>
      </c>
      <c r="Y10" s="234" t="str">
        <f t="shared" si="0"/>
        <v>100 / 100</v>
      </c>
      <c r="Z10" s="234">
        <f t="shared" si="1"/>
        <v>0</v>
      </c>
      <c r="AA10" s="222" t="str">
        <f t="shared" si="2"/>
        <v>(A)</v>
      </c>
    </row>
    <row r="11" spans="1:27" s="228" customFormat="1">
      <c r="A11" s="257" t="s">
        <v>1453</v>
      </c>
      <c r="B11" s="244"/>
      <c r="C11" s="244"/>
      <c r="D11" s="244" t="s">
        <v>1744</v>
      </c>
      <c r="E11" s="244"/>
      <c r="F11" s="244"/>
      <c r="G11" s="244"/>
      <c r="H11" s="244"/>
      <c r="I11" s="244"/>
      <c r="J11" s="244"/>
      <c r="K11" s="244"/>
      <c r="L11" s="244"/>
      <c r="M11" s="243">
        <v>45726</v>
      </c>
      <c r="N11" s="243">
        <v>45813</v>
      </c>
      <c r="O11" s="244"/>
      <c r="P11" s="242">
        <v>304</v>
      </c>
      <c r="Q11" s="242">
        <v>304</v>
      </c>
      <c r="R11" s="242">
        <v>61</v>
      </c>
      <c r="S11" s="242">
        <v>61</v>
      </c>
      <c r="T11" s="242"/>
      <c r="U11" s="239">
        <v>1</v>
      </c>
      <c r="V11" s="241">
        <v>1</v>
      </c>
      <c r="W11" s="239">
        <v>1</v>
      </c>
      <c r="X11" s="241">
        <v>1</v>
      </c>
      <c r="Y11" s="234" t="str">
        <f t="shared" si="0"/>
        <v>100 / 100</v>
      </c>
      <c r="Z11" s="234">
        <f t="shared" si="1"/>
        <v>0</v>
      </c>
      <c r="AA11" s="222" t="str">
        <f t="shared" si="2"/>
        <v>(A)</v>
      </c>
    </row>
    <row r="12" spans="1:27" s="228" customFormat="1">
      <c r="A12" s="257" t="s">
        <v>1459</v>
      </c>
      <c r="B12" s="244"/>
      <c r="C12" s="244"/>
      <c r="D12" s="244" t="s">
        <v>2275</v>
      </c>
      <c r="E12" s="244"/>
      <c r="F12" s="244"/>
      <c r="G12" s="244"/>
      <c r="H12" s="244"/>
      <c r="I12" s="244"/>
      <c r="J12" s="244"/>
      <c r="K12" s="244"/>
      <c r="L12" s="244"/>
      <c r="M12" s="243">
        <v>45775</v>
      </c>
      <c r="N12" s="243">
        <v>45786</v>
      </c>
      <c r="O12" s="244"/>
      <c r="P12" s="242">
        <v>24</v>
      </c>
      <c r="Q12" s="242">
        <v>24</v>
      </c>
      <c r="R12" s="242">
        <v>8</v>
      </c>
      <c r="S12" s="242">
        <v>8</v>
      </c>
      <c r="T12" s="242"/>
      <c r="U12" s="239">
        <v>1</v>
      </c>
      <c r="V12" s="241">
        <v>1</v>
      </c>
      <c r="W12" s="239">
        <v>1</v>
      </c>
      <c r="X12" s="241">
        <v>1</v>
      </c>
      <c r="Y12" s="234" t="str">
        <f t="shared" si="0"/>
        <v>100 / 100</v>
      </c>
      <c r="Z12" s="234">
        <f t="shared" si="1"/>
        <v>0</v>
      </c>
      <c r="AA12" s="222" t="str">
        <f t="shared" si="2"/>
        <v>(A)</v>
      </c>
    </row>
    <row r="13" spans="1:27" s="228" customFormat="1">
      <c r="A13" s="257" t="s">
        <v>2357</v>
      </c>
      <c r="B13" s="244"/>
      <c r="C13" s="244"/>
      <c r="D13" s="244" t="s">
        <v>2245</v>
      </c>
      <c r="E13" s="244"/>
      <c r="F13" s="244"/>
      <c r="G13" s="244"/>
      <c r="H13" s="244"/>
      <c r="I13" s="244"/>
      <c r="J13" s="244"/>
      <c r="K13" s="244"/>
      <c r="L13" s="244"/>
      <c r="M13" s="243">
        <v>45789</v>
      </c>
      <c r="N13" s="243">
        <v>45807</v>
      </c>
      <c r="O13" s="244"/>
      <c r="P13" s="242">
        <v>15</v>
      </c>
      <c r="Q13" s="242">
        <v>15</v>
      </c>
      <c r="R13" s="242">
        <v>15</v>
      </c>
      <c r="S13" s="242">
        <v>15</v>
      </c>
      <c r="T13" s="242"/>
      <c r="U13" s="239">
        <v>1</v>
      </c>
      <c r="V13" s="241">
        <v>1</v>
      </c>
      <c r="W13" s="239">
        <v>1</v>
      </c>
      <c r="X13" s="241">
        <v>1</v>
      </c>
      <c r="Y13" s="234" t="str">
        <f t="shared" si="0"/>
        <v>100 / 100</v>
      </c>
      <c r="Z13" s="234">
        <f t="shared" si="1"/>
        <v>0</v>
      </c>
      <c r="AA13" s="222" t="str">
        <f t="shared" si="2"/>
        <v>(A)</v>
      </c>
    </row>
    <row r="14" spans="1:27" s="228" customFormat="1">
      <c r="A14" s="257" t="s">
        <v>2360</v>
      </c>
      <c r="B14" s="244"/>
      <c r="C14" s="244"/>
      <c r="D14" s="244" t="s">
        <v>1765</v>
      </c>
      <c r="E14" s="244"/>
      <c r="F14" s="244"/>
      <c r="G14" s="244"/>
      <c r="H14" s="244"/>
      <c r="I14" s="244"/>
      <c r="J14" s="244"/>
      <c r="K14" s="244"/>
      <c r="L14" s="244"/>
      <c r="M14" s="243">
        <v>45831</v>
      </c>
      <c r="N14" s="243">
        <v>45863</v>
      </c>
      <c r="O14" s="244"/>
      <c r="P14" s="242">
        <v>160</v>
      </c>
      <c r="Q14" s="242">
        <v>160</v>
      </c>
      <c r="R14" s="242">
        <v>25</v>
      </c>
      <c r="S14" s="242">
        <v>25</v>
      </c>
      <c r="T14" s="242"/>
      <c r="U14" s="239">
        <v>1</v>
      </c>
      <c r="V14" s="241">
        <v>1</v>
      </c>
      <c r="W14" s="239">
        <v>1</v>
      </c>
      <c r="X14" s="241">
        <v>1</v>
      </c>
      <c r="Y14" s="234" t="str">
        <f t="shared" si="0"/>
        <v>100 / 100</v>
      </c>
      <c r="Z14" s="234">
        <f t="shared" si="1"/>
        <v>0</v>
      </c>
      <c r="AA14" s="222" t="str">
        <f t="shared" si="2"/>
        <v>(A)</v>
      </c>
    </row>
    <row r="15" spans="1:27" s="228" customFormat="1">
      <c r="A15" s="257" t="s">
        <v>2379</v>
      </c>
      <c r="B15" s="244"/>
      <c r="C15" s="244" t="s">
        <v>2107</v>
      </c>
      <c r="D15" s="244"/>
      <c r="E15" s="244"/>
      <c r="F15" s="244"/>
      <c r="G15" s="244"/>
      <c r="H15" s="244"/>
      <c r="I15" s="244"/>
      <c r="J15" s="244"/>
      <c r="K15" s="244"/>
      <c r="L15" s="244"/>
      <c r="M15" s="319">
        <v>45733</v>
      </c>
      <c r="N15" s="319">
        <v>45975</v>
      </c>
      <c r="O15" s="244"/>
      <c r="P15" s="242">
        <v>279.5</v>
      </c>
      <c r="Q15" s="242">
        <v>279.5</v>
      </c>
      <c r="R15" s="242">
        <v>165</v>
      </c>
      <c r="S15" s="242">
        <v>165</v>
      </c>
      <c r="T15" s="320"/>
      <c r="U15" s="239">
        <v>1</v>
      </c>
      <c r="V15" s="241">
        <v>1</v>
      </c>
      <c r="W15" s="239">
        <v>1</v>
      </c>
      <c r="X15" s="241">
        <v>1</v>
      </c>
      <c r="Y15" s="234" t="str">
        <f t="shared" si="0"/>
        <v>100 / 100</v>
      </c>
      <c r="Z15" s="234">
        <f t="shared" si="1"/>
        <v>0</v>
      </c>
      <c r="AA15" s="222" t="str">
        <f t="shared" si="2"/>
        <v>(A)</v>
      </c>
    </row>
    <row r="16" spans="1:27" s="228" customFormat="1">
      <c r="A16" s="257" t="s">
        <v>2380</v>
      </c>
      <c r="B16" s="244"/>
      <c r="C16" s="244"/>
      <c r="D16" s="244" t="s">
        <v>1744</v>
      </c>
      <c r="E16" s="244"/>
      <c r="F16" s="244"/>
      <c r="G16" s="244"/>
      <c r="H16" s="244"/>
      <c r="I16" s="244"/>
      <c r="J16" s="244"/>
      <c r="K16" s="244"/>
      <c r="L16" s="244"/>
      <c r="M16" s="319">
        <v>45733</v>
      </c>
      <c r="N16" s="319">
        <v>45777</v>
      </c>
      <c r="O16" s="244"/>
      <c r="P16" s="242">
        <v>60.699999999999996</v>
      </c>
      <c r="Q16" s="242">
        <v>60.699999999999996</v>
      </c>
      <c r="R16" s="242">
        <v>33</v>
      </c>
      <c r="S16" s="242">
        <v>33</v>
      </c>
      <c r="T16" s="320"/>
      <c r="U16" s="239">
        <v>1</v>
      </c>
      <c r="V16" s="241">
        <v>1</v>
      </c>
      <c r="W16" s="239">
        <v>1</v>
      </c>
      <c r="X16" s="241">
        <v>1</v>
      </c>
      <c r="Y16" s="234" t="str">
        <f t="shared" si="0"/>
        <v>100 / 100</v>
      </c>
      <c r="Z16" s="234">
        <f t="shared" si="1"/>
        <v>0</v>
      </c>
      <c r="AA16" s="222" t="str">
        <f t="shared" si="2"/>
        <v>(A)</v>
      </c>
    </row>
    <row r="17" spans="1:27" s="228" customFormat="1">
      <c r="A17" s="257" t="s">
        <v>2412</v>
      </c>
      <c r="B17" s="244"/>
      <c r="C17" s="244"/>
      <c r="D17" s="244" t="s">
        <v>1765</v>
      </c>
      <c r="E17" s="244"/>
      <c r="F17" s="244"/>
      <c r="G17" s="244"/>
      <c r="H17" s="244"/>
      <c r="I17" s="244"/>
      <c r="J17" s="244"/>
      <c r="K17" s="244"/>
      <c r="L17" s="244"/>
      <c r="M17" s="243">
        <v>45831</v>
      </c>
      <c r="N17" s="243">
        <v>45975</v>
      </c>
      <c r="O17" s="244"/>
      <c r="P17" s="242">
        <v>218.79999999999998</v>
      </c>
      <c r="Q17" s="242">
        <v>218.79999999999998</v>
      </c>
      <c r="R17" s="242">
        <v>99</v>
      </c>
      <c r="S17" s="242">
        <v>99</v>
      </c>
      <c r="T17" s="242"/>
      <c r="U17" s="239">
        <v>1</v>
      </c>
      <c r="V17" s="241">
        <v>1</v>
      </c>
      <c r="W17" s="239">
        <v>1</v>
      </c>
      <c r="X17" s="241">
        <v>1</v>
      </c>
      <c r="Y17" s="234" t="str">
        <f t="shared" si="0"/>
        <v>100 / 100</v>
      </c>
      <c r="Z17" s="234">
        <f t="shared" si="1"/>
        <v>0</v>
      </c>
      <c r="AA17" s="222" t="str">
        <f t="shared" si="2"/>
        <v>(A)</v>
      </c>
    </row>
    <row r="18" spans="1:27" s="228" customFormat="1">
      <c r="A18" s="313" t="s">
        <v>1465</v>
      </c>
      <c r="B18" s="314" t="s">
        <v>1584</v>
      </c>
      <c r="C18" s="314"/>
      <c r="D18" s="314"/>
      <c r="E18" s="314"/>
      <c r="F18" s="314"/>
      <c r="G18" s="314"/>
      <c r="H18" s="314"/>
      <c r="I18" s="314"/>
      <c r="J18" s="314"/>
      <c r="K18" s="314"/>
      <c r="L18" s="314"/>
      <c r="M18" s="243">
        <v>45705</v>
      </c>
      <c r="N18" s="243">
        <v>45898</v>
      </c>
      <c r="O18" s="246"/>
      <c r="P18" s="247">
        <v>5558.5</v>
      </c>
      <c r="Q18" s="247">
        <v>5558.5</v>
      </c>
      <c r="R18" s="247">
        <v>134</v>
      </c>
      <c r="S18" s="247">
        <v>134</v>
      </c>
      <c r="T18" s="247"/>
      <c r="U18" s="240">
        <v>1</v>
      </c>
      <c r="V18" s="241">
        <v>1</v>
      </c>
      <c r="W18" s="240">
        <v>1</v>
      </c>
      <c r="X18" s="241">
        <v>1</v>
      </c>
      <c r="Y18" s="234" t="str">
        <f t="shared" si="0"/>
        <v>100 / 100</v>
      </c>
      <c r="Z18" s="234">
        <f t="shared" si="1"/>
        <v>0</v>
      </c>
      <c r="AA18" s="222" t="str">
        <f t="shared" si="2"/>
        <v>(A)</v>
      </c>
    </row>
    <row r="19" spans="1:27" s="228" customFormat="1">
      <c r="A19" s="291" t="s">
        <v>1696</v>
      </c>
      <c r="B19" s="246"/>
      <c r="C19" s="246" t="s">
        <v>1583</v>
      </c>
      <c r="D19" s="244"/>
      <c r="E19" s="244"/>
      <c r="F19" s="244"/>
      <c r="G19" s="244"/>
      <c r="H19" s="244"/>
      <c r="I19" s="244"/>
      <c r="J19" s="244"/>
      <c r="K19" s="244"/>
      <c r="L19" s="244"/>
      <c r="M19" s="243">
        <v>45705</v>
      </c>
      <c r="N19" s="243">
        <v>45898</v>
      </c>
      <c r="O19" s="246"/>
      <c r="P19" s="247">
        <v>2238</v>
      </c>
      <c r="Q19" s="247">
        <v>2238</v>
      </c>
      <c r="R19" s="247">
        <v>134</v>
      </c>
      <c r="S19" s="247">
        <v>134</v>
      </c>
      <c r="T19" s="247"/>
      <c r="U19" s="240">
        <v>1</v>
      </c>
      <c r="V19" s="241">
        <v>1</v>
      </c>
      <c r="W19" s="240">
        <v>1</v>
      </c>
      <c r="X19" s="241">
        <v>1</v>
      </c>
      <c r="Y19" s="234" t="str">
        <f t="shared" si="0"/>
        <v>100 / 100</v>
      </c>
      <c r="Z19" s="234">
        <f t="shared" si="1"/>
        <v>0</v>
      </c>
      <c r="AA19" s="222" t="str">
        <f t="shared" si="2"/>
        <v>(A)</v>
      </c>
    </row>
    <row r="20" spans="1:27" s="228" customFormat="1">
      <c r="A20" s="291" t="s">
        <v>1697</v>
      </c>
      <c r="B20" s="246"/>
      <c r="C20" s="246"/>
      <c r="D20" s="244" t="s">
        <v>1424</v>
      </c>
      <c r="E20" s="244"/>
      <c r="F20" s="244"/>
      <c r="G20" s="244"/>
      <c r="H20" s="244"/>
      <c r="I20" s="244"/>
      <c r="J20" s="244"/>
      <c r="K20" s="244"/>
      <c r="L20" s="244"/>
      <c r="M20" s="243">
        <v>45705</v>
      </c>
      <c r="N20" s="243">
        <v>45762</v>
      </c>
      <c r="O20" s="246"/>
      <c r="P20" s="247">
        <v>71</v>
      </c>
      <c r="Q20" s="247">
        <v>71</v>
      </c>
      <c r="R20" s="247">
        <v>41</v>
      </c>
      <c r="S20" s="247">
        <v>41</v>
      </c>
      <c r="T20" s="247"/>
      <c r="U20" s="240">
        <v>1</v>
      </c>
      <c r="V20" s="328">
        <v>1</v>
      </c>
      <c r="W20" s="240">
        <v>1</v>
      </c>
      <c r="X20" s="328">
        <v>1</v>
      </c>
      <c r="Y20" s="234" t="str">
        <f t="shared" si="0"/>
        <v>100 / 100</v>
      </c>
      <c r="Z20" s="234">
        <f t="shared" si="1"/>
        <v>0</v>
      </c>
      <c r="AA20" s="222" t="str">
        <f t="shared" si="2"/>
        <v>(A)</v>
      </c>
    </row>
    <row r="21" spans="1:27" s="228" customFormat="1">
      <c r="A21" s="291" t="s">
        <v>1698</v>
      </c>
      <c r="B21" s="246"/>
      <c r="C21" s="246"/>
      <c r="D21" s="244" t="s">
        <v>1427</v>
      </c>
      <c r="E21" s="244"/>
      <c r="F21" s="244"/>
      <c r="G21" s="244"/>
      <c r="H21" s="244"/>
      <c r="I21" s="244"/>
      <c r="J21" s="244"/>
      <c r="K21" s="244"/>
      <c r="L21" s="244"/>
      <c r="M21" s="243">
        <v>45733</v>
      </c>
      <c r="N21" s="243">
        <v>45775</v>
      </c>
      <c r="O21" s="246"/>
      <c r="P21" s="247">
        <v>681</v>
      </c>
      <c r="Q21" s="247">
        <v>681</v>
      </c>
      <c r="R21" s="247">
        <v>31</v>
      </c>
      <c r="S21" s="247">
        <v>31</v>
      </c>
      <c r="T21" s="247"/>
      <c r="U21" s="240">
        <v>1</v>
      </c>
      <c r="V21" s="328">
        <v>1</v>
      </c>
      <c r="W21" s="240">
        <v>1</v>
      </c>
      <c r="X21" s="328">
        <v>1</v>
      </c>
      <c r="Y21" s="234" t="str">
        <f t="shared" si="0"/>
        <v>100 / 100</v>
      </c>
      <c r="Z21" s="234">
        <f t="shared" si="1"/>
        <v>0</v>
      </c>
      <c r="AA21" s="222" t="str">
        <f t="shared" si="2"/>
        <v>(A)</v>
      </c>
    </row>
    <row r="22" spans="1:27" s="228" customFormat="1">
      <c r="A22" s="291" t="s">
        <v>1779</v>
      </c>
      <c r="B22" s="246"/>
      <c r="C22" s="246"/>
      <c r="D22" s="244" t="s">
        <v>1743</v>
      </c>
      <c r="E22" s="246"/>
      <c r="F22" s="244"/>
      <c r="G22" s="244"/>
      <c r="H22" s="244"/>
      <c r="I22" s="244"/>
      <c r="J22" s="244"/>
      <c r="K22" s="244"/>
      <c r="L22" s="244"/>
      <c r="M22" s="243">
        <v>45733</v>
      </c>
      <c r="N22" s="243">
        <v>45898</v>
      </c>
      <c r="O22" s="246"/>
      <c r="P22" s="247">
        <v>1486</v>
      </c>
      <c r="Q22" s="247">
        <v>1486</v>
      </c>
      <c r="R22" s="247">
        <v>115</v>
      </c>
      <c r="S22" s="247">
        <v>115</v>
      </c>
      <c r="T22" s="247"/>
      <c r="U22" s="240">
        <v>1</v>
      </c>
      <c r="V22" s="328">
        <v>1</v>
      </c>
      <c r="W22" s="240">
        <v>1</v>
      </c>
      <c r="X22" s="328">
        <v>1</v>
      </c>
      <c r="Y22" s="234" t="str">
        <f t="shared" si="0"/>
        <v>100 / 100</v>
      </c>
      <c r="Z22" s="234">
        <f t="shared" si="1"/>
        <v>0</v>
      </c>
      <c r="AA22" s="222" t="str">
        <f t="shared" si="2"/>
        <v>(A)</v>
      </c>
    </row>
    <row r="23" spans="1:27" s="228" customFormat="1">
      <c r="A23" s="291" t="s">
        <v>1699</v>
      </c>
      <c r="B23" s="246"/>
      <c r="C23" s="246" t="s">
        <v>1585</v>
      </c>
      <c r="D23" s="244"/>
      <c r="E23" s="244"/>
      <c r="F23" s="244"/>
      <c r="G23" s="244"/>
      <c r="H23" s="244"/>
      <c r="I23" s="244"/>
      <c r="J23" s="244"/>
      <c r="K23" s="244"/>
      <c r="L23" s="244"/>
      <c r="M23" s="243">
        <v>45705</v>
      </c>
      <c r="N23" s="243">
        <v>45898</v>
      </c>
      <c r="O23" s="246"/>
      <c r="P23" s="247">
        <v>987</v>
      </c>
      <c r="Q23" s="247">
        <v>987</v>
      </c>
      <c r="R23" s="247">
        <v>134</v>
      </c>
      <c r="S23" s="247">
        <v>134</v>
      </c>
      <c r="T23" s="247"/>
      <c r="U23" s="240">
        <v>1</v>
      </c>
      <c r="V23" s="241">
        <v>1</v>
      </c>
      <c r="W23" s="240">
        <v>1</v>
      </c>
      <c r="X23" s="241">
        <v>1</v>
      </c>
      <c r="Y23" s="234" t="str">
        <f t="shared" si="0"/>
        <v>100 / 100</v>
      </c>
      <c r="Z23" s="234">
        <f t="shared" si="1"/>
        <v>0</v>
      </c>
      <c r="AA23" s="222" t="str">
        <f t="shared" si="2"/>
        <v>(A)</v>
      </c>
    </row>
    <row r="24" spans="1:27" s="228" customFormat="1">
      <c r="A24" s="291" t="s">
        <v>1700</v>
      </c>
      <c r="B24" s="246"/>
      <c r="C24" s="246"/>
      <c r="D24" s="244" t="s">
        <v>1424</v>
      </c>
      <c r="E24" s="244"/>
      <c r="F24" s="244"/>
      <c r="G24" s="244"/>
      <c r="H24" s="244"/>
      <c r="I24" s="244"/>
      <c r="J24" s="244"/>
      <c r="K24" s="244"/>
      <c r="L24" s="244"/>
      <c r="M24" s="243">
        <v>45705</v>
      </c>
      <c r="N24" s="243">
        <v>45758</v>
      </c>
      <c r="O24" s="246"/>
      <c r="P24" s="247">
        <v>69</v>
      </c>
      <c r="Q24" s="247">
        <v>69</v>
      </c>
      <c r="R24" s="247">
        <v>39</v>
      </c>
      <c r="S24" s="247">
        <v>39</v>
      </c>
      <c r="T24" s="247"/>
      <c r="U24" s="240">
        <v>1</v>
      </c>
      <c r="V24" s="328">
        <v>1</v>
      </c>
      <c r="W24" s="240">
        <v>1</v>
      </c>
      <c r="X24" s="328">
        <v>1</v>
      </c>
      <c r="Y24" s="234" t="str">
        <f t="shared" si="0"/>
        <v>100 / 100</v>
      </c>
      <c r="Z24" s="234">
        <f t="shared" si="1"/>
        <v>0</v>
      </c>
      <c r="AA24" s="222" t="str">
        <f t="shared" si="2"/>
        <v>(A)</v>
      </c>
    </row>
    <row r="25" spans="1:27" s="228" customFormat="1">
      <c r="A25" s="291" t="s">
        <v>1701</v>
      </c>
      <c r="B25" s="246"/>
      <c r="C25" s="246"/>
      <c r="D25" s="244" t="s">
        <v>1427</v>
      </c>
      <c r="E25" s="244"/>
      <c r="F25" s="244"/>
      <c r="G25" s="244"/>
      <c r="H25" s="244"/>
      <c r="I25" s="244"/>
      <c r="J25" s="244"/>
      <c r="K25" s="244"/>
      <c r="L25" s="244"/>
      <c r="M25" s="243">
        <v>45733</v>
      </c>
      <c r="N25" s="243">
        <v>45775</v>
      </c>
      <c r="O25" s="246"/>
      <c r="P25" s="247">
        <v>246</v>
      </c>
      <c r="Q25" s="247">
        <v>246</v>
      </c>
      <c r="R25" s="247">
        <v>31</v>
      </c>
      <c r="S25" s="247">
        <v>31</v>
      </c>
      <c r="T25" s="247"/>
      <c r="U25" s="240">
        <v>1</v>
      </c>
      <c r="V25" s="241">
        <v>1</v>
      </c>
      <c r="W25" s="240">
        <v>1</v>
      </c>
      <c r="X25" s="241">
        <v>1</v>
      </c>
      <c r="Y25" s="234" t="str">
        <f t="shared" si="0"/>
        <v>100 / 100</v>
      </c>
      <c r="Z25" s="234">
        <f t="shared" si="1"/>
        <v>0</v>
      </c>
      <c r="AA25" s="222" t="str">
        <f t="shared" si="2"/>
        <v>(A)</v>
      </c>
    </row>
    <row r="26" spans="1:27" s="228" customFormat="1">
      <c r="A26" s="291" t="s">
        <v>1780</v>
      </c>
      <c r="B26" s="246"/>
      <c r="C26" s="246"/>
      <c r="D26" s="244" t="s">
        <v>1743</v>
      </c>
      <c r="E26" s="244"/>
      <c r="F26" s="244"/>
      <c r="G26" s="244"/>
      <c r="H26" s="244"/>
      <c r="I26" s="244"/>
      <c r="J26" s="244"/>
      <c r="K26" s="244"/>
      <c r="L26" s="244"/>
      <c r="M26" s="243">
        <v>45747</v>
      </c>
      <c r="N26" s="243">
        <v>45898</v>
      </c>
      <c r="O26" s="246"/>
      <c r="P26" s="247">
        <v>672</v>
      </c>
      <c r="Q26" s="247">
        <v>672</v>
      </c>
      <c r="R26" s="247">
        <v>105</v>
      </c>
      <c r="S26" s="247">
        <v>105</v>
      </c>
      <c r="T26" s="247"/>
      <c r="U26" s="240">
        <v>1</v>
      </c>
      <c r="V26" s="328">
        <v>1</v>
      </c>
      <c r="W26" s="240">
        <v>1</v>
      </c>
      <c r="X26" s="328">
        <v>1</v>
      </c>
      <c r="Y26" s="234" t="str">
        <f t="shared" si="0"/>
        <v>100 / 100</v>
      </c>
      <c r="Z26" s="234">
        <f t="shared" si="1"/>
        <v>0</v>
      </c>
      <c r="AA26" s="222" t="str">
        <f t="shared" si="2"/>
        <v>(A)</v>
      </c>
    </row>
    <row r="27" spans="1:27" s="228" customFormat="1">
      <c r="A27" s="291" t="s">
        <v>1702</v>
      </c>
      <c r="B27" s="246"/>
      <c r="C27" s="246" t="s">
        <v>1586</v>
      </c>
      <c r="D27" s="244"/>
      <c r="E27" s="244"/>
      <c r="F27" s="244"/>
      <c r="G27" s="244"/>
      <c r="H27" s="244"/>
      <c r="I27" s="244"/>
      <c r="J27" s="244"/>
      <c r="K27" s="244"/>
      <c r="L27" s="244"/>
      <c r="M27" s="243">
        <v>45705</v>
      </c>
      <c r="N27" s="243">
        <v>45898</v>
      </c>
      <c r="O27" s="246"/>
      <c r="P27" s="247">
        <v>903</v>
      </c>
      <c r="Q27" s="247">
        <v>903</v>
      </c>
      <c r="R27" s="247">
        <v>134</v>
      </c>
      <c r="S27" s="247">
        <v>134</v>
      </c>
      <c r="T27" s="247"/>
      <c r="U27" s="240">
        <v>1</v>
      </c>
      <c r="V27" s="241">
        <v>1</v>
      </c>
      <c r="W27" s="240">
        <v>1</v>
      </c>
      <c r="X27" s="241">
        <v>1</v>
      </c>
      <c r="Y27" s="234" t="str">
        <f t="shared" si="0"/>
        <v>100 / 100</v>
      </c>
      <c r="Z27" s="234">
        <f t="shared" si="1"/>
        <v>0</v>
      </c>
      <c r="AA27" s="222" t="str">
        <f t="shared" si="2"/>
        <v>(A)</v>
      </c>
    </row>
    <row r="28" spans="1:27" s="228" customFormat="1">
      <c r="A28" s="291" t="s">
        <v>1703</v>
      </c>
      <c r="B28" s="246"/>
      <c r="C28" s="246"/>
      <c r="D28" s="244" t="s">
        <v>1424</v>
      </c>
      <c r="E28" s="314"/>
      <c r="F28" s="327"/>
      <c r="G28" s="314"/>
      <c r="H28" s="314"/>
      <c r="I28" s="314"/>
      <c r="J28" s="314"/>
      <c r="K28" s="314"/>
      <c r="L28" s="314"/>
      <c r="M28" s="319">
        <v>45705</v>
      </c>
      <c r="N28" s="319">
        <v>45762</v>
      </c>
      <c r="O28" s="246"/>
      <c r="P28" s="247">
        <v>71</v>
      </c>
      <c r="Q28" s="247">
        <v>71</v>
      </c>
      <c r="R28" s="247">
        <v>41</v>
      </c>
      <c r="S28" s="247">
        <v>41</v>
      </c>
      <c r="T28" s="247"/>
      <c r="U28" s="240">
        <v>1</v>
      </c>
      <c r="V28" s="328">
        <v>1</v>
      </c>
      <c r="W28" s="240">
        <v>1</v>
      </c>
      <c r="X28" s="328">
        <v>1</v>
      </c>
      <c r="Y28" s="234" t="str">
        <f t="shared" si="0"/>
        <v>100 / 100</v>
      </c>
      <c r="Z28" s="234">
        <f t="shared" si="1"/>
        <v>0</v>
      </c>
      <c r="AA28" s="222" t="str">
        <f t="shared" si="2"/>
        <v>(A)</v>
      </c>
    </row>
    <row r="29" spans="1:27" s="228" customFormat="1">
      <c r="A29" s="291" t="s">
        <v>1704</v>
      </c>
      <c r="B29" s="246"/>
      <c r="C29" s="246"/>
      <c r="D29" s="246" t="s">
        <v>1427</v>
      </c>
      <c r="E29" s="246"/>
      <c r="F29" s="246"/>
      <c r="G29" s="246"/>
      <c r="H29" s="246"/>
      <c r="I29" s="246"/>
      <c r="J29" s="246"/>
      <c r="K29" s="246"/>
      <c r="L29" s="246"/>
      <c r="M29" s="248">
        <v>45733</v>
      </c>
      <c r="N29" s="248">
        <v>45856</v>
      </c>
      <c r="O29" s="246"/>
      <c r="P29" s="247">
        <v>82</v>
      </c>
      <c r="Q29" s="247">
        <v>82</v>
      </c>
      <c r="R29" s="247">
        <v>86</v>
      </c>
      <c r="S29" s="247">
        <v>86</v>
      </c>
      <c r="T29" s="247"/>
      <c r="U29" s="240">
        <v>1</v>
      </c>
      <c r="V29" s="241">
        <v>1</v>
      </c>
      <c r="W29" s="240">
        <v>1</v>
      </c>
      <c r="X29" s="241">
        <v>1</v>
      </c>
      <c r="Y29" s="234" t="str">
        <f t="shared" si="0"/>
        <v>100 / 100</v>
      </c>
      <c r="Z29" s="234">
        <f t="shared" si="1"/>
        <v>0</v>
      </c>
      <c r="AA29" s="222" t="str">
        <f t="shared" si="2"/>
        <v>(A)</v>
      </c>
    </row>
    <row r="30" spans="1:27" s="228" customFormat="1">
      <c r="A30" s="291" t="s">
        <v>1781</v>
      </c>
      <c r="B30" s="246"/>
      <c r="C30" s="246"/>
      <c r="D30" s="246" t="s">
        <v>1743</v>
      </c>
      <c r="E30" s="246"/>
      <c r="F30" s="246"/>
      <c r="G30" s="246"/>
      <c r="H30" s="246"/>
      <c r="I30" s="246"/>
      <c r="J30" s="246"/>
      <c r="K30" s="246"/>
      <c r="L30" s="246"/>
      <c r="M30" s="248">
        <v>45740</v>
      </c>
      <c r="N30" s="248">
        <v>45898</v>
      </c>
      <c r="O30" s="246"/>
      <c r="P30" s="247">
        <v>750</v>
      </c>
      <c r="Q30" s="247">
        <v>750</v>
      </c>
      <c r="R30" s="247">
        <v>110</v>
      </c>
      <c r="S30" s="247">
        <v>110</v>
      </c>
      <c r="T30" s="247"/>
      <c r="U30" s="240">
        <v>1</v>
      </c>
      <c r="V30" s="241">
        <v>1</v>
      </c>
      <c r="W30" s="240">
        <v>1</v>
      </c>
      <c r="X30" s="241">
        <v>1</v>
      </c>
      <c r="Y30" s="234" t="str">
        <f t="shared" si="0"/>
        <v>100 / 100</v>
      </c>
      <c r="Z30" s="234">
        <f t="shared" si="1"/>
        <v>0</v>
      </c>
      <c r="AA30" s="222" t="str">
        <f t="shared" si="2"/>
        <v>(A)</v>
      </c>
    </row>
    <row r="31" spans="1:27" s="228" customFormat="1">
      <c r="A31" s="291" t="s">
        <v>1705</v>
      </c>
      <c r="B31" s="246"/>
      <c r="C31" s="246" t="s">
        <v>1592</v>
      </c>
      <c r="D31" s="244"/>
      <c r="E31" s="244"/>
      <c r="F31" s="244"/>
      <c r="G31" s="244"/>
      <c r="H31" s="244"/>
      <c r="I31" s="244"/>
      <c r="J31" s="244"/>
      <c r="K31" s="244"/>
      <c r="L31" s="244"/>
      <c r="M31" s="243">
        <v>45705</v>
      </c>
      <c r="N31" s="243">
        <v>45898</v>
      </c>
      <c r="O31" s="256"/>
      <c r="P31" s="242">
        <v>1430.5</v>
      </c>
      <c r="Q31" s="242">
        <v>1430.5</v>
      </c>
      <c r="R31" s="242">
        <v>134</v>
      </c>
      <c r="S31" s="242">
        <v>134</v>
      </c>
      <c r="T31" s="242"/>
      <c r="U31" s="239">
        <v>1</v>
      </c>
      <c r="V31" s="241">
        <v>1</v>
      </c>
      <c r="W31" s="239">
        <v>1</v>
      </c>
      <c r="X31" s="241">
        <v>1</v>
      </c>
      <c r="Y31" s="234" t="str">
        <f t="shared" si="0"/>
        <v>100 / 100</v>
      </c>
      <c r="Z31" s="234">
        <f t="shared" si="1"/>
        <v>0</v>
      </c>
      <c r="AA31" s="222" t="str">
        <f t="shared" si="2"/>
        <v>(A)</v>
      </c>
    </row>
    <row r="32" spans="1:27" s="228" customFormat="1">
      <c r="A32" s="291" t="s">
        <v>1706</v>
      </c>
      <c r="B32" s="246"/>
      <c r="C32" s="246"/>
      <c r="D32" s="244" t="s">
        <v>1424</v>
      </c>
      <c r="E32" s="244"/>
      <c r="F32" s="244"/>
      <c r="G32" s="244"/>
      <c r="H32" s="244"/>
      <c r="I32" s="244"/>
      <c r="J32" s="244"/>
      <c r="K32" s="244"/>
      <c r="L32" s="244"/>
      <c r="M32" s="243">
        <v>45705</v>
      </c>
      <c r="N32" s="243">
        <v>45762</v>
      </c>
      <c r="O32" s="314"/>
      <c r="P32" s="242">
        <v>50.5</v>
      </c>
      <c r="Q32" s="242">
        <v>50.5</v>
      </c>
      <c r="R32" s="242">
        <v>41</v>
      </c>
      <c r="S32" s="242">
        <v>41</v>
      </c>
      <c r="T32" s="242"/>
      <c r="U32" s="239">
        <v>1</v>
      </c>
      <c r="V32" s="241">
        <v>1</v>
      </c>
      <c r="W32" s="239">
        <v>1</v>
      </c>
      <c r="X32" s="241">
        <v>1</v>
      </c>
      <c r="Y32" s="234" t="str">
        <f t="shared" si="0"/>
        <v>100 / 100</v>
      </c>
      <c r="Z32" s="234">
        <f t="shared" si="1"/>
        <v>0</v>
      </c>
      <c r="AA32" s="222" t="str">
        <f t="shared" si="2"/>
        <v>(A)</v>
      </c>
    </row>
    <row r="33" spans="1:27" s="228" customFormat="1">
      <c r="A33" s="291" t="s">
        <v>1707</v>
      </c>
      <c r="B33" s="246"/>
      <c r="C33" s="246"/>
      <c r="D33" s="244" t="s">
        <v>1427</v>
      </c>
      <c r="E33" s="244"/>
      <c r="F33" s="244"/>
      <c r="G33" s="244"/>
      <c r="H33" s="244"/>
      <c r="I33" s="244"/>
      <c r="J33" s="244"/>
      <c r="K33" s="244"/>
      <c r="L33" s="244"/>
      <c r="M33" s="243">
        <v>45733</v>
      </c>
      <c r="N33" s="243">
        <v>45856</v>
      </c>
      <c r="O33" s="314"/>
      <c r="P33" s="242">
        <v>354</v>
      </c>
      <c r="Q33" s="242">
        <v>354</v>
      </c>
      <c r="R33" s="242">
        <v>86</v>
      </c>
      <c r="S33" s="242">
        <v>86</v>
      </c>
      <c r="T33" s="242"/>
      <c r="U33" s="239">
        <v>1</v>
      </c>
      <c r="V33" s="241">
        <v>1</v>
      </c>
      <c r="W33" s="239">
        <v>1</v>
      </c>
      <c r="X33" s="241">
        <v>1</v>
      </c>
      <c r="Y33" s="234" t="str">
        <f t="shared" si="0"/>
        <v>100 / 100</v>
      </c>
      <c r="Z33" s="234">
        <f t="shared" si="1"/>
        <v>0</v>
      </c>
      <c r="AA33" s="222" t="str">
        <f t="shared" si="2"/>
        <v>(A)</v>
      </c>
    </row>
    <row r="34" spans="1:27" s="228" customFormat="1">
      <c r="A34" s="291" t="s">
        <v>1782</v>
      </c>
      <c r="B34" s="246"/>
      <c r="C34" s="246"/>
      <c r="D34" s="246" t="s">
        <v>1743</v>
      </c>
      <c r="E34" s="246"/>
      <c r="F34" s="244"/>
      <c r="G34" s="246"/>
      <c r="H34" s="246"/>
      <c r="I34" s="246"/>
      <c r="J34" s="246"/>
      <c r="K34" s="246"/>
      <c r="L34" s="246"/>
      <c r="M34" s="248">
        <v>45740</v>
      </c>
      <c r="N34" s="248">
        <v>45898</v>
      </c>
      <c r="O34" s="246"/>
      <c r="P34" s="247">
        <v>1026</v>
      </c>
      <c r="Q34" s="247">
        <v>1026</v>
      </c>
      <c r="R34" s="247">
        <v>110</v>
      </c>
      <c r="S34" s="247">
        <v>110</v>
      </c>
      <c r="T34" s="247"/>
      <c r="U34" s="240">
        <v>1</v>
      </c>
      <c r="V34" s="328">
        <v>1</v>
      </c>
      <c r="W34" s="240">
        <v>1</v>
      </c>
      <c r="X34" s="328">
        <v>1</v>
      </c>
      <c r="Y34" s="234" t="str">
        <f t="shared" si="0"/>
        <v>100 / 100</v>
      </c>
      <c r="Z34" s="234">
        <f t="shared" si="1"/>
        <v>0</v>
      </c>
      <c r="AA34" s="222" t="str">
        <f t="shared" si="2"/>
        <v>(A)</v>
      </c>
    </row>
    <row r="35" spans="1:27" s="228" customFormat="1">
      <c r="A35" s="291" t="s">
        <v>1466</v>
      </c>
      <c r="B35" s="246" t="s">
        <v>1923</v>
      </c>
      <c r="C35" s="246"/>
      <c r="D35" s="246"/>
      <c r="E35" s="246"/>
      <c r="F35" s="246"/>
      <c r="G35" s="246"/>
      <c r="H35" s="246"/>
      <c r="I35" s="246"/>
      <c r="J35" s="246"/>
      <c r="K35" s="246"/>
      <c r="L35" s="246"/>
      <c r="M35" s="248">
        <v>45824</v>
      </c>
      <c r="N35" s="248">
        <v>45954</v>
      </c>
      <c r="O35" s="246"/>
      <c r="P35" s="247">
        <v>125</v>
      </c>
      <c r="Q35" s="247">
        <v>125</v>
      </c>
      <c r="R35" s="247">
        <v>89</v>
      </c>
      <c r="S35" s="247">
        <v>89</v>
      </c>
      <c r="T35" s="247"/>
      <c r="U35" s="240">
        <v>1</v>
      </c>
      <c r="V35" s="328">
        <v>1</v>
      </c>
      <c r="W35" s="240">
        <v>1</v>
      </c>
      <c r="X35" s="328">
        <v>1</v>
      </c>
      <c r="Y35" s="234" t="str">
        <f t="shared" ref="Y35:Y36" si="3">ROUND(X35*100,2)&amp;" / "&amp;ROUND(W35*100,2)</f>
        <v>100 / 100</v>
      </c>
      <c r="Z35" s="234">
        <f t="shared" ref="Z35:Z36" si="4">W35-X35</f>
        <v>0</v>
      </c>
      <c r="AA35" s="222" t="str">
        <f t="shared" ref="AA35:AA36" si="5">"("&amp;IF(Z35&lt;=3%,"A",IF(Z35&lt;=5%,"B","C"))&amp;")"</f>
        <v>(A)</v>
      </c>
    </row>
    <row r="36" spans="1:27" s="228" customFormat="1">
      <c r="A36" s="291" t="s">
        <v>1467</v>
      </c>
      <c r="B36" s="246" t="s">
        <v>1573</v>
      </c>
      <c r="C36" s="246"/>
      <c r="D36" s="246"/>
      <c r="E36" s="246"/>
      <c r="F36" s="246"/>
      <c r="G36" s="246"/>
      <c r="H36" s="246"/>
      <c r="I36" s="246"/>
      <c r="J36" s="246"/>
      <c r="K36" s="246"/>
      <c r="L36" s="246"/>
      <c r="M36" s="248">
        <v>45870</v>
      </c>
      <c r="N36" s="248">
        <v>46069</v>
      </c>
      <c r="O36" s="246"/>
      <c r="P36" s="247">
        <v>2910.9</v>
      </c>
      <c r="Q36" s="247">
        <v>2805.9</v>
      </c>
      <c r="R36" s="247">
        <v>133</v>
      </c>
      <c r="S36" s="247">
        <v>128</v>
      </c>
      <c r="T36" s="247"/>
      <c r="U36" s="240">
        <v>0.96392868185097391</v>
      </c>
      <c r="V36" s="337">
        <v>0.96564636366759449</v>
      </c>
      <c r="W36" s="240">
        <v>0.96392868185097391</v>
      </c>
      <c r="X36" s="337">
        <v>0.96564636366759449</v>
      </c>
      <c r="Y36" s="234" t="str">
        <f t="shared" si="3"/>
        <v>96.56 / 96.39</v>
      </c>
      <c r="Z36" s="234">
        <f t="shared" si="4"/>
        <v>-1.7176818166205754E-3</v>
      </c>
      <c r="AA36" s="222" t="str">
        <f t="shared" si="5"/>
        <v>(A)</v>
      </c>
    </row>
    <row r="37" spans="1:27" s="228" customFormat="1">
      <c r="A37" s="209"/>
      <c r="B37" s="209"/>
      <c r="C37" s="209"/>
      <c r="D37" s="209"/>
      <c r="E37" s="207"/>
      <c r="F37" s="209"/>
      <c r="G37" s="209"/>
      <c r="H37" s="209"/>
      <c r="I37" s="209"/>
      <c r="J37" s="209"/>
      <c r="K37" s="209"/>
      <c r="L37" s="209"/>
      <c r="M37" s="210"/>
      <c r="N37" s="210"/>
      <c r="O37" s="209"/>
      <c r="P37" s="211"/>
      <c r="Q37" s="211"/>
      <c r="R37" s="211"/>
      <c r="S37" s="211"/>
      <c r="T37" s="211"/>
      <c r="U37" s="204"/>
      <c r="V37" s="238"/>
      <c r="W37" s="204"/>
      <c r="X37" s="238"/>
      <c r="Y37" s="235"/>
      <c r="Z37" s="235"/>
      <c r="AA37" s="237"/>
    </row>
    <row r="38" spans="1:27" s="228" customFormat="1">
      <c r="A38" s="209"/>
      <c r="B38" s="209"/>
      <c r="C38" s="209"/>
      <c r="D38" s="209"/>
      <c r="E38" s="207"/>
      <c r="F38" s="209"/>
      <c r="G38" s="209"/>
      <c r="H38" s="209"/>
      <c r="I38" s="209"/>
      <c r="J38" s="209"/>
      <c r="K38" s="209"/>
      <c r="L38" s="209"/>
      <c r="M38" s="210"/>
      <c r="N38" s="210"/>
      <c r="O38" s="209"/>
      <c r="P38" s="211"/>
      <c r="Q38" s="211"/>
      <c r="R38" s="211"/>
      <c r="S38" s="211"/>
      <c r="T38" s="211"/>
      <c r="U38" s="204"/>
      <c r="V38" s="238"/>
      <c r="W38" s="204"/>
      <c r="X38" s="210"/>
      <c r="Y38" s="235"/>
      <c r="Z38" s="235"/>
      <c r="AA38" s="237"/>
    </row>
    <row r="39" spans="1:27" s="228" customFormat="1">
      <c r="A39" s="209"/>
      <c r="B39" s="209"/>
      <c r="C39" s="209"/>
      <c r="D39" s="209"/>
      <c r="E39" s="207"/>
      <c r="F39" s="209"/>
      <c r="G39" s="209"/>
      <c r="H39" s="209"/>
      <c r="I39" s="209"/>
      <c r="J39" s="209"/>
      <c r="K39" s="209"/>
      <c r="L39" s="209"/>
      <c r="M39" s="210"/>
      <c r="N39" s="210"/>
      <c r="O39" s="209"/>
      <c r="P39" s="211"/>
      <c r="Q39" s="211"/>
      <c r="R39" s="211"/>
      <c r="S39" s="211"/>
      <c r="T39" s="211"/>
      <c r="U39" s="204"/>
      <c r="V39" s="238"/>
      <c r="W39" s="204"/>
      <c r="X39" s="210"/>
      <c r="Y39" s="235"/>
      <c r="Z39" s="235"/>
      <c r="AA39" s="237"/>
    </row>
    <row r="40" spans="1:27" s="228" customFormat="1">
      <c r="A40" s="209"/>
      <c r="B40" s="209"/>
      <c r="C40" s="209"/>
      <c r="D40" s="209"/>
      <c r="E40" s="207"/>
      <c r="F40" s="209"/>
      <c r="G40" s="209"/>
      <c r="H40" s="209"/>
      <c r="I40" s="209"/>
      <c r="J40" s="209"/>
      <c r="K40" s="209"/>
      <c r="L40" s="209"/>
      <c r="M40" s="210"/>
      <c r="N40" s="210"/>
      <c r="O40" s="209"/>
      <c r="P40" s="211"/>
      <c r="Q40" s="211"/>
      <c r="R40" s="211"/>
      <c r="S40" s="211"/>
      <c r="T40" s="211"/>
      <c r="U40" s="204"/>
      <c r="V40" s="238"/>
      <c r="W40" s="204"/>
      <c r="X40" s="210"/>
      <c r="Y40" s="235"/>
      <c r="Z40" s="235"/>
      <c r="AA40" s="237"/>
    </row>
    <row r="41" spans="1:27" s="228" customFormat="1">
      <c r="A41" s="209"/>
      <c r="B41" s="209"/>
      <c r="C41" s="209"/>
      <c r="D41" s="209"/>
      <c r="E41" s="207"/>
      <c r="F41" s="209"/>
      <c r="G41" s="209"/>
      <c r="H41" s="209"/>
      <c r="I41" s="209"/>
      <c r="J41" s="209"/>
      <c r="K41" s="209"/>
      <c r="L41" s="209"/>
      <c r="M41" s="210"/>
      <c r="N41" s="210"/>
      <c r="O41" s="209"/>
      <c r="P41" s="211"/>
      <c r="Q41" s="211"/>
      <c r="R41" s="211"/>
      <c r="S41" s="211"/>
      <c r="T41" s="211"/>
      <c r="U41" s="204"/>
      <c r="V41" s="238"/>
      <c r="W41" s="204"/>
      <c r="X41" s="210"/>
      <c r="Y41" s="235"/>
      <c r="Z41" s="235"/>
      <c r="AA41" s="237"/>
    </row>
    <row r="42" spans="1:27" s="228" customFormat="1">
      <c r="A42" s="209"/>
      <c r="B42" s="209"/>
      <c r="C42" s="209"/>
      <c r="D42" s="209"/>
      <c r="E42" s="207"/>
      <c r="F42" s="209"/>
      <c r="G42" s="209"/>
      <c r="H42" s="209"/>
      <c r="I42" s="209"/>
      <c r="J42" s="209"/>
      <c r="K42" s="209"/>
      <c r="L42" s="209"/>
      <c r="M42" s="210"/>
      <c r="N42" s="210"/>
      <c r="O42" s="209"/>
      <c r="P42" s="211"/>
      <c r="Q42" s="211"/>
      <c r="R42" s="211"/>
      <c r="S42" s="211"/>
      <c r="T42" s="211"/>
      <c r="U42" s="204"/>
      <c r="V42" s="238"/>
      <c r="W42" s="204"/>
      <c r="X42" s="210"/>
      <c r="Y42" s="235"/>
      <c r="Z42" s="235"/>
      <c r="AA42" s="237"/>
    </row>
    <row r="43" spans="1:27" s="228" customFormat="1">
      <c r="A43" s="209"/>
      <c r="B43" s="209"/>
      <c r="C43" s="209"/>
      <c r="D43" s="209"/>
      <c r="E43" s="207"/>
      <c r="F43" s="209"/>
      <c r="G43" s="209"/>
      <c r="H43" s="209"/>
      <c r="I43" s="209"/>
      <c r="J43" s="209"/>
      <c r="K43" s="209"/>
      <c r="L43" s="209"/>
      <c r="M43" s="210"/>
      <c r="N43" s="210"/>
      <c r="O43" s="209"/>
      <c r="P43" s="211"/>
      <c r="Q43" s="211"/>
      <c r="R43" s="211"/>
      <c r="S43" s="211"/>
      <c r="T43" s="211"/>
      <c r="U43" s="204"/>
      <c r="V43" s="238"/>
      <c r="W43" s="204"/>
      <c r="X43" s="210"/>
      <c r="Y43" s="235"/>
      <c r="Z43" s="235"/>
      <c r="AA43" s="237"/>
    </row>
    <row r="44" spans="1:27" s="228" customFormat="1">
      <c r="A44" s="209"/>
      <c r="B44" s="209"/>
      <c r="C44" s="209"/>
      <c r="D44" s="209"/>
      <c r="E44" s="207"/>
      <c r="F44" s="209"/>
      <c r="G44" s="209"/>
      <c r="H44" s="209"/>
      <c r="I44" s="209"/>
      <c r="J44" s="209"/>
      <c r="K44" s="209"/>
      <c r="L44" s="209"/>
      <c r="M44" s="210"/>
      <c r="N44" s="210"/>
      <c r="O44" s="209"/>
      <c r="P44" s="211"/>
      <c r="Q44" s="211"/>
      <c r="R44" s="211"/>
      <c r="S44" s="211"/>
      <c r="T44" s="211"/>
      <c r="U44" s="204"/>
      <c r="V44" s="238"/>
      <c r="W44" s="204">
        <f>W15*($U$10/($U$10+$U$15))+W15*($U$15/($U$10+$U$15))</f>
        <v>1</v>
      </c>
      <c r="X44" s="204">
        <f>X15*($U$10/($U$10+$U$15))+X15*($U$15/($U$10+$U$15))</f>
        <v>1</v>
      </c>
      <c r="Y44" s="235" t="str">
        <f t="shared" ref="Y44" si="6">ROUND(X44*100,2)&amp;" / "&amp;ROUND(W44*100,2)</f>
        <v>100 / 100</v>
      </c>
      <c r="Z44" s="235">
        <f t="shared" ref="Z44" si="7">W44-X44</f>
        <v>0</v>
      </c>
      <c r="AA44" s="237" t="str">
        <f t="shared" ref="AA44" si="8">"("&amp;IF(Z44&lt;=3%,"A",IF(Z44&lt;=5%,"B","C"))&amp;")"</f>
        <v>(A)</v>
      </c>
    </row>
    <row r="45" spans="1:27" s="228" customFormat="1">
      <c r="A45" s="209"/>
      <c r="B45" s="209"/>
      <c r="C45" s="209"/>
      <c r="D45" s="209"/>
      <c r="E45" s="209"/>
      <c r="F45" s="209"/>
      <c r="G45" s="209"/>
      <c r="H45" s="209"/>
      <c r="I45" s="209"/>
      <c r="J45" s="209"/>
      <c r="K45" s="209"/>
      <c r="L45" s="209"/>
      <c r="M45" s="210"/>
      <c r="N45" s="210"/>
      <c r="O45" s="211"/>
      <c r="P45" s="211"/>
      <c r="Q45" s="211"/>
      <c r="R45" s="211"/>
      <c r="S45" s="211"/>
      <c r="T45" s="209"/>
      <c r="U45" s="212"/>
      <c r="V45" s="212"/>
      <c r="W45" s="204"/>
      <c r="X45" s="210"/>
      <c r="Y45" s="235"/>
      <c r="Z45" s="235"/>
      <c r="AA45" s="237"/>
    </row>
    <row r="46" spans="1:27" s="228" customFormat="1">
      <c r="A46" s="209"/>
      <c r="B46" s="209"/>
      <c r="C46" s="209"/>
      <c r="D46" s="209"/>
      <c r="E46" s="209"/>
      <c r="F46" s="209"/>
      <c r="G46" s="209"/>
      <c r="H46" s="209"/>
      <c r="I46" s="209"/>
      <c r="J46" s="209"/>
      <c r="K46" s="209"/>
      <c r="L46" s="209"/>
      <c r="M46" s="210"/>
      <c r="N46" s="210"/>
      <c r="O46" s="211"/>
      <c r="P46" s="211"/>
      <c r="Q46" s="211"/>
      <c r="R46" s="211"/>
      <c r="S46" s="211"/>
      <c r="T46" s="209"/>
      <c r="U46" s="212"/>
      <c r="V46" s="212"/>
      <c r="W46" s="204"/>
      <c r="X46" s="206"/>
      <c r="Y46" s="235"/>
      <c r="Z46" s="235"/>
      <c r="AA46" s="237"/>
    </row>
    <row r="47" spans="1:27" s="228" customFormat="1">
      <c r="A47" s="209"/>
      <c r="B47" s="209"/>
      <c r="C47" s="209"/>
      <c r="D47" s="209"/>
      <c r="E47" s="209"/>
      <c r="F47" s="209"/>
      <c r="G47" s="209"/>
      <c r="H47" s="209"/>
      <c r="I47" s="209"/>
      <c r="J47" s="209"/>
      <c r="K47" s="209"/>
      <c r="L47" s="209"/>
      <c r="M47" s="210"/>
      <c r="N47" s="210"/>
      <c r="O47" s="211"/>
      <c r="P47" s="211"/>
      <c r="Q47" s="211"/>
      <c r="R47" s="211"/>
      <c r="S47" s="211"/>
      <c r="T47" s="209"/>
      <c r="U47" s="212"/>
      <c r="V47" s="212"/>
      <c r="W47" s="204"/>
      <c r="X47" s="206"/>
      <c r="Y47" s="235"/>
      <c r="Z47" s="235"/>
      <c r="AA47" s="237"/>
    </row>
    <row r="48" spans="1:27" s="228" customFormat="1">
      <c r="A48" s="209"/>
      <c r="B48" s="209"/>
      <c r="C48" s="209"/>
      <c r="D48" s="209"/>
      <c r="E48" s="209"/>
      <c r="F48" s="209"/>
      <c r="G48" s="209"/>
      <c r="H48" s="209"/>
      <c r="I48" s="209"/>
      <c r="J48" s="209"/>
      <c r="K48" s="209"/>
      <c r="L48" s="209"/>
      <c r="M48" s="210"/>
      <c r="N48" s="210"/>
      <c r="O48" s="211"/>
      <c r="P48" s="211"/>
      <c r="Q48" s="211"/>
      <c r="R48" s="211"/>
      <c r="S48" s="211"/>
      <c r="T48" s="209"/>
      <c r="U48" s="212"/>
      <c r="V48" s="212"/>
      <c r="W48" s="204"/>
      <c r="X48" s="206"/>
      <c r="Y48" s="235"/>
      <c r="Z48" s="235"/>
      <c r="AA48" s="237"/>
    </row>
    <row r="49" spans="1:27" s="228" customFormat="1">
      <c r="A49" s="207"/>
      <c r="B49" s="207"/>
      <c r="C49" s="207"/>
      <c r="D49" s="207"/>
      <c r="E49" s="207"/>
      <c r="F49" s="207"/>
      <c r="G49" s="207"/>
      <c r="H49" s="207"/>
      <c r="I49" s="207"/>
      <c r="J49" s="207"/>
      <c r="K49" s="207"/>
      <c r="L49" s="229"/>
      <c r="M49" s="229"/>
      <c r="N49" s="230"/>
      <c r="O49" s="230"/>
      <c r="P49" s="230"/>
      <c r="Q49" s="230"/>
      <c r="R49" s="230"/>
      <c r="S49" s="207"/>
      <c r="T49" s="231"/>
      <c r="U49" s="205"/>
      <c r="V49" s="205"/>
      <c r="W49" s="232"/>
      <c r="Y49" s="233"/>
      <c r="Z49" s="233"/>
      <c r="AA49" s="216"/>
    </row>
    <row r="50" spans="1:27" ht="12.75" thickBot="1">
      <c r="A50" s="219" t="s">
        <v>2056</v>
      </c>
      <c r="B50" s="220" t="s">
        <v>2057</v>
      </c>
      <c r="C50" s="215" t="s">
        <v>2014</v>
      </c>
      <c r="D50" s="214" t="s">
        <v>2015</v>
      </c>
      <c r="E50" s="214" t="s">
        <v>2016</v>
      </c>
      <c r="F50" s="214" t="s">
        <v>2054</v>
      </c>
      <c r="G50" s="209"/>
      <c r="H50" s="209"/>
      <c r="I50" s="209"/>
      <c r="J50" s="209"/>
      <c r="K50" s="209"/>
      <c r="L50" s="209"/>
      <c r="M50" s="210"/>
      <c r="N50" s="210"/>
      <c r="O50" s="211"/>
      <c r="P50" s="211"/>
      <c r="Q50" s="211"/>
      <c r="R50" s="211"/>
      <c r="S50" s="211"/>
      <c r="T50" s="209"/>
      <c r="U50" s="212" t="s">
        <v>2014</v>
      </c>
      <c r="V50" s="212"/>
      <c r="W50" s="204">
        <f>AVERAGE(W3,W20,W24,W28,W32)</f>
        <v>1</v>
      </c>
      <c r="X50" s="204">
        <f>AVERAGE(X3,X20,X24,X28,X32)</f>
        <v>1</v>
      </c>
      <c r="Y50" s="235" t="str">
        <f t="shared" ref="Y50:Y52" si="9">ROUND(X50*100,2)&amp;" / "&amp;ROUND(W50*100,2)</f>
        <v>100 / 100</v>
      </c>
      <c r="Z50" s="235">
        <f t="shared" ref="Z50:Z52" si="10">W50-X50</f>
        <v>0</v>
      </c>
      <c r="AA50" s="222" t="str">
        <f t="shared" ref="AA50:AA52" si="11">"("&amp;IF(Z50&lt;=3%,"A",IF(Z50&lt;=5%,"B","C"))&amp;")"</f>
        <v>(A)</v>
      </c>
    </row>
    <row r="51" spans="1:27" ht="15" thickBot="1">
      <c r="A51" s="218" t="s">
        <v>2055</v>
      </c>
      <c r="B51" s="236"/>
      <c r="C51" s="208" t="str">
        <f>AA50&amp;Y50</f>
        <v>(A)100 / 100</v>
      </c>
      <c r="D51" s="208" t="str">
        <f>AA51&amp;Y51</f>
        <v>(A)100 / 100</v>
      </c>
      <c r="E51" s="208" t="str">
        <f>AA52&amp;Y52</f>
        <v>(A)100 / 100</v>
      </c>
      <c r="F51" s="334" t="str">
        <f>AA53&amp;Y53</f>
        <v>(A)94.77 / 95.4</v>
      </c>
      <c r="G51" s="209"/>
      <c r="H51" s="223" t="s">
        <v>2064</v>
      </c>
      <c r="I51" s="224" t="s">
        <v>2065</v>
      </c>
      <c r="J51" s="227" t="s">
        <v>2070</v>
      </c>
      <c r="K51" s="227"/>
      <c r="L51" s="209"/>
      <c r="M51" s="210"/>
      <c r="N51" s="210"/>
      <c r="O51" s="211"/>
      <c r="P51" s="211"/>
      <c r="Q51" s="211"/>
      <c r="R51" s="211"/>
      <c r="S51" s="211"/>
      <c r="T51" s="209"/>
      <c r="U51" s="212" t="s">
        <v>2015</v>
      </c>
      <c r="V51" s="212"/>
      <c r="W51" s="204">
        <f>AVERAGE(W6,W21,W25,W29,W33)</f>
        <v>1</v>
      </c>
      <c r="X51" s="204">
        <f>AVERAGE(X6,X21,X25,X29,X33)</f>
        <v>1</v>
      </c>
      <c r="Y51" s="235" t="str">
        <f t="shared" si="9"/>
        <v>100 / 100</v>
      </c>
      <c r="Z51" s="235">
        <f t="shared" si="10"/>
        <v>0</v>
      </c>
      <c r="AA51" s="222" t="str">
        <f t="shared" si="11"/>
        <v>(A)</v>
      </c>
    </row>
    <row r="52" spans="1:27" ht="15" thickBot="1">
      <c r="A52" s="217" t="s">
        <v>2053</v>
      </c>
      <c r="B52" s="208" t="str">
        <f>F52</f>
        <v>(A)87.76 / 89.8</v>
      </c>
      <c r="C52" s="208"/>
      <c r="D52" s="208"/>
      <c r="E52" s="208"/>
      <c r="F52" s="208" t="str">
        <f>AA1&amp;Y1</f>
        <v>(A)87.76 / 89.8</v>
      </c>
      <c r="G52" s="209"/>
      <c r="H52" s="223" t="s">
        <v>2066</v>
      </c>
      <c r="I52" s="224" t="s">
        <v>2067</v>
      </c>
      <c r="J52" s="226" t="s">
        <v>2070</v>
      </c>
      <c r="K52" s="226"/>
      <c r="L52" s="209"/>
      <c r="M52" s="210"/>
      <c r="N52" s="210"/>
      <c r="O52" s="211"/>
      <c r="P52" s="211"/>
      <c r="Q52" s="211"/>
      <c r="R52" s="211"/>
      <c r="S52" s="211"/>
      <c r="T52" s="209"/>
      <c r="U52" s="212" t="s">
        <v>2016</v>
      </c>
      <c r="V52" s="212"/>
      <c r="W52" s="204">
        <f>AVERAGE(W10,W22,W26,W30,W34,W15)</f>
        <v>1</v>
      </c>
      <c r="X52" s="204">
        <f>AVERAGE(X10,X22,X26,X30,X34,X15)</f>
        <v>1</v>
      </c>
      <c r="Y52" s="235" t="str">
        <f t="shared" si="9"/>
        <v>100 / 100</v>
      </c>
      <c r="Z52" s="235">
        <f t="shared" si="10"/>
        <v>0</v>
      </c>
      <c r="AA52" s="222" t="str">
        <f t="shared" si="11"/>
        <v>(A)</v>
      </c>
    </row>
    <row r="53" spans="1:27" ht="15" thickBot="1">
      <c r="A53" s="217" t="s">
        <v>2052</v>
      </c>
      <c r="B53" s="208" t="str">
        <f>AA2&amp;Y2</f>
        <v>(A)100 / 100</v>
      </c>
      <c r="C53" s="208" t="str">
        <f>AA3&amp;Y3</f>
        <v>(A)100 / 100</v>
      </c>
      <c r="D53" s="208" t="str">
        <f>AA6&amp;Y6</f>
        <v>(A)100 / 100</v>
      </c>
      <c r="E53" s="208" t="str">
        <f>AA44&amp;Y44</f>
        <v>(A)100 / 100</v>
      </c>
      <c r="F53" s="208"/>
      <c r="H53" s="223" t="s">
        <v>2068</v>
      </c>
      <c r="I53" s="224" t="s">
        <v>2069</v>
      </c>
      <c r="J53" s="225" t="s">
        <v>2070</v>
      </c>
      <c r="K53" s="225"/>
      <c r="U53" s="213" t="s">
        <v>2607</v>
      </c>
      <c r="W53" s="204">
        <f>AVERAGE(W1,W35,W36)</f>
        <v>0.95396262184148117</v>
      </c>
      <c r="X53" s="204">
        <f>AVERAGE(X1,X35,X36)</f>
        <v>0.94773246135858591</v>
      </c>
      <c r="Y53" s="235" t="str">
        <f t="shared" ref="Y53" si="12">ROUND(X53*100,2)&amp;" / "&amp;ROUND(W53*100,2)</f>
        <v>94.77 / 95.4</v>
      </c>
      <c r="Z53" s="235">
        <f t="shared" ref="Z53" si="13">W53-X53</f>
        <v>6.2301604828952639E-3</v>
      </c>
      <c r="AA53" s="222" t="str">
        <f t="shared" ref="AA53" si="14">"("&amp;IF(Z53&lt;=3%,"A",IF(Z53&lt;=5%,"B","C"))&amp;")"</f>
        <v>(A)</v>
      </c>
    </row>
    <row r="54" spans="1:27" ht="13.5">
      <c r="A54" s="217" t="s">
        <v>2010</v>
      </c>
      <c r="B54" s="208" t="str">
        <f>AA19&amp;Y19</f>
        <v>(A)100 / 100</v>
      </c>
      <c r="C54" s="208" t="str">
        <f>AA20&amp;Y20</f>
        <v>(A)100 / 100</v>
      </c>
      <c r="D54" s="208" t="str">
        <f>AA21&amp;Y21</f>
        <v>(A)100 / 100</v>
      </c>
      <c r="E54" s="208" t="str">
        <f>AA22&amp;Y22</f>
        <v>(A)100 / 100</v>
      </c>
      <c r="F54" s="208"/>
    </row>
    <row r="55" spans="1:27" ht="13.5">
      <c r="A55" s="217" t="s">
        <v>2011</v>
      </c>
      <c r="B55" s="208" t="str">
        <f>AA23&amp;Y23</f>
        <v>(A)100 / 100</v>
      </c>
      <c r="C55" s="208" t="str">
        <f>AA24&amp;Y24</f>
        <v>(A)100 / 100</v>
      </c>
      <c r="D55" s="208" t="str">
        <f>AA25&amp;Y25</f>
        <v>(A)100 / 100</v>
      </c>
      <c r="E55" s="208" t="str">
        <f>AA26&amp;Y26</f>
        <v>(A)100 / 100</v>
      </c>
      <c r="F55" s="208"/>
      <c r="I55" s="221"/>
    </row>
    <row r="56" spans="1:27" ht="13.5">
      <c r="A56" s="217" t="s">
        <v>2013</v>
      </c>
      <c r="B56" s="208" t="str">
        <f>AA31&amp;Y31</f>
        <v>(A)100 / 100</v>
      </c>
      <c r="C56" s="208" t="str">
        <f>AA32&amp;Y32</f>
        <v>(A)100 / 100</v>
      </c>
      <c r="D56" s="208" t="str">
        <f>AA33&amp;Y33</f>
        <v>(A)100 / 100</v>
      </c>
      <c r="E56" s="208" t="str">
        <f>AA34&amp;Y34</f>
        <v>(A)100 / 100</v>
      </c>
      <c r="F56" s="208"/>
    </row>
    <row r="57" spans="1:27" ht="13.5">
      <c r="A57" s="217" t="s">
        <v>2012</v>
      </c>
      <c r="B57" s="208" t="str">
        <f>AA27&amp;Y27</f>
        <v>(A)100 / 100</v>
      </c>
      <c r="C57" s="208" t="str">
        <f>AA28&amp;Y28</f>
        <v>(A)100 / 100</v>
      </c>
      <c r="D57" s="208" t="str">
        <f>AA29&amp;Y29</f>
        <v>(A)100 / 100</v>
      </c>
      <c r="E57" s="208" t="str">
        <f>AA30&amp;Y30</f>
        <v>(A)100 / 100</v>
      </c>
      <c r="F57" s="208"/>
    </row>
    <row r="58" spans="1:27" ht="13.5">
      <c r="A58" s="217" t="s">
        <v>1969</v>
      </c>
      <c r="B58" s="208" t="str">
        <f t="shared" ref="B58:B59" si="15">F58</f>
        <v>(A)100 / 100</v>
      </c>
      <c r="C58" s="208"/>
      <c r="D58" s="208"/>
      <c r="E58" s="208"/>
      <c r="F58" s="208" t="str">
        <f>AA35&amp;Y35</f>
        <v>(A)100 / 100</v>
      </c>
    </row>
    <row r="59" spans="1:27" ht="13.5">
      <c r="A59" s="217" t="s">
        <v>2063</v>
      </c>
      <c r="B59" s="208" t="str">
        <f t="shared" si="15"/>
        <v>(A)96.56 / 96.39</v>
      </c>
      <c r="C59" s="208"/>
      <c r="D59" s="208"/>
      <c r="E59" s="208"/>
      <c r="F59" s="208" t="str">
        <f>AA36&amp;Y36</f>
        <v>(A)96.56 / 96.39</v>
      </c>
      <c r="G59" s="209"/>
      <c r="H59" s="209"/>
      <c r="I59" s="209"/>
      <c r="J59" s="209"/>
      <c r="K59" s="209"/>
      <c r="L59" s="210"/>
      <c r="M59" s="210"/>
      <c r="N59" s="211"/>
      <c r="O59" s="211"/>
      <c r="P59" s="211"/>
      <c r="Q59" s="211"/>
      <c r="R59" s="211"/>
      <c r="S59" s="209"/>
      <c r="T59" s="212"/>
      <c r="U59" s="204"/>
      <c r="V59" s="204"/>
      <c r="W59" s="206"/>
    </row>
    <row r="60" spans="1:27">
      <c r="A60" s="209"/>
      <c r="B60" s="209"/>
      <c r="C60" s="209"/>
      <c r="D60" s="209"/>
      <c r="E60" s="209"/>
      <c r="F60" s="209"/>
      <c r="G60" s="209"/>
      <c r="H60" s="209"/>
      <c r="I60" s="209"/>
      <c r="J60" s="209"/>
      <c r="K60" s="209"/>
      <c r="L60" s="210"/>
      <c r="M60" s="210"/>
      <c r="N60" s="211"/>
      <c r="O60" s="211"/>
      <c r="P60" s="211"/>
      <c r="Q60" s="211"/>
      <c r="R60" s="211"/>
      <c r="S60" s="209"/>
      <c r="T60" s="212"/>
      <c r="U60" s="204"/>
      <c r="V60" s="204"/>
      <c r="W60" s="206"/>
    </row>
  </sheetData>
  <phoneticPr fontId="16" type="noConversion"/>
  <conditionalFormatting sqref="A60:F60">
    <cfRule type="expression" dxfId="18" priority="64">
      <formula>($B60="G")</formula>
    </cfRule>
  </conditionalFormatting>
  <conditionalFormatting sqref="A49:V49">
    <cfRule type="expression" dxfId="17" priority="63">
      <formula>($B49="G")</formula>
    </cfRule>
  </conditionalFormatting>
  <conditionalFormatting sqref="C50">
    <cfRule type="expression" dxfId="16" priority="62">
      <formula>($A50="G")</formula>
    </cfRule>
  </conditionalFormatting>
  <conditionalFormatting sqref="A50:B51 G51:G52 G50:T50 J51:T52 J53:K53">
    <cfRule type="expression" dxfId="15" priority="65">
      <formula>($C50="G")</formula>
    </cfRule>
  </conditionalFormatting>
  <conditionalFormatting sqref="AA1:AA48">
    <cfRule type="expression" dxfId="14" priority="61">
      <formula>$Z1&gt;3%</formula>
    </cfRule>
  </conditionalFormatting>
  <conditionalFormatting sqref="A45:W48">
    <cfRule type="expression" dxfId="13" priority="60">
      <formula>($B45="G")</formula>
    </cfRule>
  </conditionalFormatting>
  <conditionalFormatting sqref="U50:X52">
    <cfRule type="expression" dxfId="12" priority="59">
      <formula>($C50="G")</formula>
    </cfRule>
  </conditionalFormatting>
  <conditionalFormatting sqref="AA50:AA52">
    <cfRule type="expression" dxfId="11" priority="58">
      <formula>$Z50&gt;3%</formula>
    </cfRule>
  </conditionalFormatting>
  <conditionalFormatting sqref="W38:W44 X44">
    <cfRule type="expression" dxfId="10" priority="57">
      <formula>($B38="G")</formula>
    </cfRule>
  </conditionalFormatting>
  <conditionalFormatting sqref="A37:U44">
    <cfRule type="expression" dxfId="9" priority="56">
      <formula>($B37="G")</formula>
    </cfRule>
  </conditionalFormatting>
  <conditionalFormatting sqref="X38:X43 X45">
    <cfRule type="expression" dxfId="8" priority="55">
      <formula>($B38="G")</formula>
    </cfRule>
  </conditionalFormatting>
  <conditionalFormatting sqref="G59:V60">
    <cfRule type="expression" dxfId="7" priority="66">
      <formula>($B59="G")</formula>
    </cfRule>
  </conditionalFormatting>
  <conditionalFormatting sqref="W53:X53">
    <cfRule type="expression" dxfId="6" priority="48">
      <formula>($C53="G")</formula>
    </cfRule>
  </conditionalFormatting>
  <conditionalFormatting sqref="AA53">
    <cfRule type="expression" dxfId="5" priority="47">
      <formula>$Z53&gt;3%</formula>
    </cfRule>
  </conditionalFormatting>
  <conditionalFormatting sqref="W37">
    <cfRule type="expression" dxfId="4" priority="41">
      <formula>($B37="G")</formula>
    </cfRule>
  </conditionalFormatting>
  <conditionalFormatting sqref="A36:U36 A1:U35">
    <cfRule type="expression" dxfId="3" priority="2">
      <formula>($B1="G")</formula>
    </cfRule>
  </conditionalFormatting>
  <conditionalFormatting sqref="W1:W36">
    <cfRule type="expression" dxfId="2" priority="1">
      <formula>($B1="G")</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14" activePane="bottomLeft" state="frozenSplit"/>
      <selection pane="bottomLeft"/>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2578</v>
      </c>
      <c r="B1" s="2"/>
      <c r="C1" s="2"/>
      <c r="D1" s="2"/>
      <c r="E1" s="2"/>
      <c r="F1" s="2"/>
      <c r="G1" s="2"/>
      <c r="H1" s="2"/>
      <c r="I1" s="2"/>
      <c r="J1" s="2"/>
      <c r="K1" s="2"/>
      <c r="L1" s="389"/>
      <c r="M1" s="390"/>
      <c r="N1" s="390"/>
      <c r="O1" s="3"/>
      <c r="P1" s="3"/>
      <c r="Q1" s="3"/>
    </row>
    <row r="2" spans="1:17" s="7" customFormat="1" ht="12.75">
      <c r="A2" s="5" t="s">
        <v>1399</v>
      </c>
      <c r="B2" s="6"/>
    </row>
    <row r="3" spans="1:17" s="7" customFormat="1" ht="12.75">
      <c r="A3" s="5" t="s">
        <v>1400</v>
      </c>
      <c r="B3" s="6"/>
    </row>
    <row r="4" spans="1:17" s="7" customFormat="1" ht="12.75">
      <c r="A4" s="391"/>
      <c r="B4" s="391"/>
      <c r="C4" s="8"/>
      <c r="D4" s="9"/>
      <c r="E4" s="9"/>
      <c r="F4" s="9"/>
    </row>
    <row r="5" spans="1:17" s="15" customFormat="1" ht="12.75">
      <c r="A5" s="10"/>
      <c r="B5" s="11"/>
      <c r="C5" s="12"/>
      <c r="D5" s="13"/>
      <c r="E5" s="14"/>
      <c r="F5" s="14"/>
      <c r="G5" s="14"/>
    </row>
    <row r="6" spans="1:17" s="15" customFormat="1" ht="12.75">
      <c r="A6" s="16" t="s">
        <v>1401</v>
      </c>
      <c r="B6" s="17">
        <v>9705.9</v>
      </c>
      <c r="C6" s="15" t="s">
        <v>0</v>
      </c>
      <c r="D6" s="388" t="s">
        <v>1402</v>
      </c>
      <c r="E6" s="388"/>
      <c r="F6" s="388"/>
      <c r="G6" s="388"/>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1403</v>
      </c>
      <c r="B9" s="17">
        <v>9705.9</v>
      </c>
      <c r="C9" s="15" t="s">
        <v>0</v>
      </c>
      <c r="D9" s="387" t="s">
        <v>1404</v>
      </c>
      <c r="E9" s="387"/>
      <c r="F9" s="387"/>
      <c r="G9" s="387"/>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2586</v>
      </c>
      <c r="B12" s="17">
        <v>9705.9</v>
      </c>
      <c r="C12" s="15" t="s">
        <v>0</v>
      </c>
      <c r="D12" s="392" t="s">
        <v>2579</v>
      </c>
      <c r="E12" s="387"/>
      <c r="F12" s="387"/>
      <c r="G12" s="387"/>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1405</v>
      </c>
      <c r="B15" s="17"/>
      <c r="C15" s="15" t="s">
        <v>0</v>
      </c>
      <c r="D15" s="387" t="s">
        <v>1406</v>
      </c>
      <c r="E15" s="387"/>
      <c r="F15" s="387"/>
      <c r="G15" s="387"/>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1407</v>
      </c>
      <c r="B18" s="39">
        <v>1</v>
      </c>
      <c r="D18" s="387" t="s">
        <v>1408</v>
      </c>
      <c r="E18" s="387"/>
      <c r="F18" s="387"/>
      <c r="G18" s="387"/>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1409</v>
      </c>
      <c r="B21" s="39">
        <v>1</v>
      </c>
      <c r="D21" s="387" t="s">
        <v>1410</v>
      </c>
      <c r="E21" s="387"/>
      <c r="F21" s="387"/>
      <c r="G21" s="387"/>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1411</v>
      </c>
      <c r="B24" s="49">
        <f>ACTUAL_RATE-PLANNED_RATE</f>
        <v>0</v>
      </c>
      <c r="D24" s="388" t="s">
        <v>1412</v>
      </c>
      <c r="E24" s="388"/>
      <c r="F24" s="388"/>
      <c r="G24" s="388"/>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6"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P25"/>
  <sheetViews>
    <sheetView showGridLines="0" zoomScale="115" zoomScaleNormal="115" workbookViewId="0">
      <pane ySplit="1" topLeftCell="A2" activePane="bottomLeft" state="frozen"/>
      <selection pane="bottomLeft"/>
    </sheetView>
  </sheetViews>
  <sheetFormatPr defaultColWidth="9.125" defaultRowHeight="15"/>
  <cols>
    <col min="1" max="1" width="1.75" style="185" customWidth="1"/>
    <col min="2" max="2" width="9.125" style="185"/>
    <col min="3" max="3" width="9.75" style="185" bestFit="1" customWidth="1"/>
    <col min="4" max="5" width="9.125" style="185"/>
    <col min="6" max="6" width="10.75" style="186" customWidth="1"/>
    <col min="7" max="16384" width="9.125" style="185"/>
  </cols>
  <sheetData>
    <row r="1" spans="2:16" ht="37.15" customHeight="1">
      <c r="B1" s="187" t="s">
        <v>2058</v>
      </c>
    </row>
    <row r="2" spans="2:16">
      <c r="B2" s="185" t="s">
        <v>2059</v>
      </c>
    </row>
    <row r="3" spans="2:16">
      <c r="B3" s="185" t="s">
        <v>2060</v>
      </c>
    </row>
    <row r="4" spans="2:16">
      <c r="B4" s="155">
        <v>20</v>
      </c>
      <c r="C4" s="185" t="s">
        <v>1468</v>
      </c>
    </row>
    <row r="6" spans="2:16" ht="45">
      <c r="B6" s="62" t="s">
        <v>2009</v>
      </c>
      <c r="C6" s="72" t="s">
        <v>1413</v>
      </c>
      <c r="D6" s="72" t="s">
        <v>1414</v>
      </c>
      <c r="E6" s="72" t="s">
        <v>2061</v>
      </c>
      <c r="F6" s="188" t="s">
        <v>2062</v>
      </c>
      <c r="G6" s="393" t="s">
        <v>1469</v>
      </c>
      <c r="H6" s="393"/>
      <c r="I6" s="393"/>
      <c r="J6" s="393"/>
      <c r="K6" s="393"/>
      <c r="L6" s="393"/>
      <c r="M6" s="393"/>
      <c r="N6" s="393"/>
      <c r="O6" s="393"/>
      <c r="P6" s="394"/>
    </row>
    <row r="7" spans="2:16" ht="16.5">
      <c r="B7" s="150" t="s">
        <v>1851</v>
      </c>
      <c r="C7" s="190">
        <v>45740</v>
      </c>
      <c r="D7" s="190">
        <v>45898</v>
      </c>
      <c r="E7" s="191">
        <v>4442.5</v>
      </c>
      <c r="F7" s="191">
        <f>E7/$B$4</f>
        <v>222.125</v>
      </c>
      <c r="G7" s="192" t="str">
        <f t="shared" ref="G7:G24" si="0">REPT("|",IF(E7&gt;0,IF(E7/23&lt;1,1,E7/23)))</f>
        <v>|||||||||||||||||||||||||||||||||||||||||||||||||||||||||||||||||||||||||||||||||||||||||||||||||||||||||||||||||||||||||||||||||||||||||||||||||||||||||||||||||||||||||||||||||||||||||||||||||</v>
      </c>
      <c r="H7" s="151"/>
      <c r="I7" s="151"/>
      <c r="J7" s="151"/>
      <c r="K7" s="151"/>
      <c r="L7" s="151"/>
      <c r="M7" s="151"/>
      <c r="N7" s="151"/>
      <c r="O7" s="151"/>
      <c r="P7" s="151"/>
    </row>
    <row r="8" spans="2:16" ht="16.5">
      <c r="B8" s="152" t="s">
        <v>1720</v>
      </c>
      <c r="C8" s="193">
        <v>45824</v>
      </c>
      <c r="D8" s="193">
        <v>46069</v>
      </c>
      <c r="E8" s="194">
        <v>3140.5000000000005</v>
      </c>
      <c r="F8" s="194">
        <f t="shared" ref="F8:F24" si="1">E8/$B$4</f>
        <v>157.02500000000003</v>
      </c>
      <c r="G8" s="195" t="str">
        <f t="shared" si="0"/>
        <v>||||||||||||||||||||||||||||||||||||||||||||||||||||||||||||||||||||||||||||||||||||||||||||||||||||||||||||||||||||||||||||||||||||||||</v>
      </c>
      <c r="H8" s="153"/>
      <c r="I8" s="153"/>
      <c r="J8" s="153"/>
      <c r="K8" s="153"/>
      <c r="L8" s="153"/>
      <c r="M8" s="153"/>
      <c r="N8" s="153"/>
      <c r="O8" s="153"/>
      <c r="P8" s="153"/>
    </row>
    <row r="9" spans="2:16" ht="16.5">
      <c r="B9" s="152" t="s">
        <v>1975</v>
      </c>
      <c r="C9" s="193">
        <v>45740</v>
      </c>
      <c r="D9" s="193">
        <v>45898</v>
      </c>
      <c r="E9" s="194">
        <v>915</v>
      </c>
      <c r="F9" s="194">
        <f t="shared" si="1"/>
        <v>45.75</v>
      </c>
      <c r="G9" s="195" t="str">
        <f t="shared" si="0"/>
        <v>|||||||||||||||||||||||||||||||||||||||</v>
      </c>
      <c r="H9" s="153"/>
      <c r="I9" s="153"/>
      <c r="J9" s="153"/>
      <c r="K9" s="153"/>
      <c r="L9" s="153"/>
      <c r="M9" s="153"/>
      <c r="N9" s="153"/>
      <c r="O9" s="153"/>
      <c r="P9" s="153"/>
    </row>
    <row r="10" spans="2:16" ht="16.5">
      <c r="B10" s="152" t="s">
        <v>1844</v>
      </c>
      <c r="C10" s="193">
        <v>45705</v>
      </c>
      <c r="D10" s="193">
        <v>45898</v>
      </c>
      <c r="E10" s="194">
        <v>789.5</v>
      </c>
      <c r="F10" s="194">
        <f t="shared" si="1"/>
        <v>39.475000000000001</v>
      </c>
      <c r="G10" s="195" t="str">
        <f t="shared" si="0"/>
        <v>||||||||||||||||||||||||||||||||||</v>
      </c>
      <c r="H10" s="153"/>
      <c r="I10" s="153"/>
      <c r="J10" s="153"/>
      <c r="K10" s="153"/>
      <c r="L10" s="153"/>
      <c r="M10" s="153"/>
      <c r="N10" s="153"/>
      <c r="O10" s="153"/>
      <c r="P10" s="153"/>
    </row>
    <row r="11" spans="2:16" ht="16.5">
      <c r="B11" s="152" t="s">
        <v>1993</v>
      </c>
      <c r="C11" s="193">
        <v>45740</v>
      </c>
      <c r="D11" s="193">
        <v>45898</v>
      </c>
      <c r="E11" s="194">
        <v>530</v>
      </c>
      <c r="F11" s="194">
        <f t="shared" si="1"/>
        <v>26.5</v>
      </c>
      <c r="G11" s="195" t="str">
        <f t="shared" si="0"/>
        <v>|||||||||||||||||||||||</v>
      </c>
      <c r="H11" s="153"/>
      <c r="I11" s="153"/>
      <c r="J11" s="153"/>
      <c r="K11" s="153"/>
      <c r="L11" s="153"/>
      <c r="M11" s="153"/>
      <c r="N11" s="153"/>
      <c r="O11" s="153"/>
      <c r="P11" s="153"/>
    </row>
    <row r="12" spans="2:16" ht="16.5">
      <c r="B12" s="152" t="s">
        <v>1991</v>
      </c>
      <c r="C12" s="193">
        <v>45740</v>
      </c>
      <c r="D12" s="193">
        <v>45898</v>
      </c>
      <c r="E12" s="194">
        <v>530</v>
      </c>
      <c r="F12" s="194">
        <f t="shared" si="1"/>
        <v>26.5</v>
      </c>
      <c r="G12" s="195" t="str">
        <f t="shared" si="0"/>
        <v>|||||||||||||||||||||||</v>
      </c>
      <c r="H12" s="153"/>
      <c r="I12" s="153"/>
      <c r="J12" s="153"/>
      <c r="K12" s="153"/>
      <c r="L12" s="153"/>
      <c r="M12" s="153"/>
      <c r="N12" s="153"/>
      <c r="O12" s="153"/>
      <c r="P12" s="153"/>
    </row>
    <row r="13" spans="2:16" ht="16.5">
      <c r="B13" s="152" t="s">
        <v>1845</v>
      </c>
      <c r="C13" s="193">
        <v>45705</v>
      </c>
      <c r="D13" s="193">
        <v>45897</v>
      </c>
      <c r="E13" s="194">
        <v>446.5</v>
      </c>
      <c r="F13" s="194">
        <f t="shared" si="1"/>
        <v>22.324999999999999</v>
      </c>
      <c r="G13" s="195" t="str">
        <f t="shared" si="0"/>
        <v>|||||||||||||||||||</v>
      </c>
      <c r="H13" s="153"/>
      <c r="I13" s="153"/>
      <c r="J13" s="153"/>
      <c r="K13" s="153"/>
      <c r="L13" s="153"/>
      <c r="M13" s="153"/>
      <c r="N13" s="153"/>
      <c r="O13" s="153"/>
      <c r="P13" s="153"/>
    </row>
    <row r="14" spans="2:16" ht="16.5">
      <c r="B14" s="152" t="s">
        <v>1843</v>
      </c>
      <c r="C14" s="193">
        <v>45705</v>
      </c>
      <c r="D14" s="193">
        <v>45898</v>
      </c>
      <c r="E14" s="194">
        <v>414</v>
      </c>
      <c r="F14" s="194">
        <f t="shared" si="1"/>
        <v>20.7</v>
      </c>
      <c r="G14" s="195" t="str">
        <f t="shared" si="0"/>
        <v>||||||||||||||||||</v>
      </c>
      <c r="H14" s="153"/>
      <c r="I14" s="153"/>
      <c r="J14" s="153"/>
      <c r="K14" s="153"/>
      <c r="L14" s="153"/>
      <c r="M14" s="153"/>
      <c r="N14" s="153"/>
      <c r="O14" s="153"/>
      <c r="P14" s="153"/>
    </row>
    <row r="15" spans="2:16" ht="16.5">
      <c r="B15" s="152" t="s">
        <v>1980</v>
      </c>
      <c r="C15" s="193">
        <v>45705</v>
      </c>
      <c r="D15" s="193">
        <v>45898</v>
      </c>
      <c r="E15" s="194">
        <v>363.5</v>
      </c>
      <c r="F15" s="194">
        <f t="shared" si="1"/>
        <v>18.175000000000001</v>
      </c>
      <c r="G15" s="195" t="str">
        <f t="shared" si="0"/>
        <v>|||||||||||||||</v>
      </c>
      <c r="H15" s="153"/>
      <c r="I15" s="153"/>
      <c r="J15" s="153"/>
      <c r="K15" s="153"/>
      <c r="L15" s="153"/>
      <c r="M15" s="153"/>
      <c r="N15" s="153"/>
      <c r="O15" s="153"/>
      <c r="P15" s="153"/>
    </row>
    <row r="16" spans="2:16" ht="16.5">
      <c r="B16" s="152" t="s">
        <v>1971</v>
      </c>
      <c r="C16" s="193">
        <v>45705</v>
      </c>
      <c r="D16" s="193">
        <v>45856</v>
      </c>
      <c r="E16" s="194">
        <v>312</v>
      </c>
      <c r="F16" s="194">
        <f t="shared" si="1"/>
        <v>15.6</v>
      </c>
      <c r="G16" s="195" t="str">
        <f t="shared" si="0"/>
        <v>|||||||||||||</v>
      </c>
      <c r="H16" s="153"/>
      <c r="I16" s="153"/>
      <c r="J16" s="153"/>
      <c r="K16" s="153"/>
      <c r="L16" s="153"/>
      <c r="M16" s="153"/>
      <c r="N16" s="153"/>
      <c r="O16" s="153"/>
      <c r="P16" s="153"/>
    </row>
    <row r="17" spans="2:16" ht="16.5">
      <c r="B17" s="152" t="s">
        <v>1972</v>
      </c>
      <c r="C17" s="193">
        <v>45726</v>
      </c>
      <c r="D17" s="193">
        <v>45863</v>
      </c>
      <c r="E17" s="194">
        <v>213</v>
      </c>
      <c r="F17" s="194">
        <f t="shared" si="1"/>
        <v>10.65</v>
      </c>
      <c r="G17" s="195" t="str">
        <f t="shared" si="0"/>
        <v>|||||||||</v>
      </c>
      <c r="H17" s="153"/>
      <c r="I17" s="153"/>
      <c r="J17" s="153"/>
      <c r="K17" s="153"/>
      <c r="L17" s="153"/>
      <c r="M17" s="153"/>
      <c r="N17" s="153"/>
      <c r="O17" s="153"/>
      <c r="P17" s="153"/>
    </row>
    <row r="18" spans="2:16" ht="16.5">
      <c r="B18" s="152" t="s">
        <v>1728</v>
      </c>
      <c r="C18" s="193">
        <v>45705</v>
      </c>
      <c r="D18" s="193">
        <v>45793</v>
      </c>
      <c r="E18" s="194">
        <v>72</v>
      </c>
      <c r="F18" s="194">
        <f t="shared" si="1"/>
        <v>3.6</v>
      </c>
      <c r="G18" s="195" t="str">
        <f t="shared" si="0"/>
        <v>|||</v>
      </c>
      <c r="H18" s="153"/>
      <c r="I18" s="153"/>
      <c r="J18" s="153"/>
      <c r="K18" s="153"/>
      <c r="L18" s="153"/>
      <c r="M18" s="153"/>
      <c r="N18" s="153"/>
      <c r="O18" s="153"/>
      <c r="P18" s="153"/>
    </row>
    <row r="19" spans="2:16" ht="16.5">
      <c r="B19" s="152" t="s">
        <v>1415</v>
      </c>
      <c r="C19" s="193">
        <v>45778</v>
      </c>
      <c r="D19" s="193">
        <v>45793</v>
      </c>
      <c r="E19" s="194">
        <v>50</v>
      </c>
      <c r="F19" s="194">
        <f t="shared" si="1"/>
        <v>2.5</v>
      </c>
      <c r="G19" s="195" t="str">
        <f t="shared" si="0"/>
        <v>||</v>
      </c>
      <c r="H19" s="153"/>
      <c r="I19" s="153"/>
      <c r="J19" s="153"/>
      <c r="K19" s="153"/>
      <c r="L19" s="153"/>
      <c r="M19" s="153"/>
      <c r="N19" s="153"/>
      <c r="O19" s="153"/>
      <c r="P19" s="153"/>
    </row>
    <row r="20" spans="2:16" ht="16.5">
      <c r="B20" s="152" t="s">
        <v>1727</v>
      </c>
      <c r="C20" s="193">
        <v>45740</v>
      </c>
      <c r="D20" s="193">
        <v>45807</v>
      </c>
      <c r="E20" s="194">
        <v>48</v>
      </c>
      <c r="F20" s="194">
        <f t="shared" si="1"/>
        <v>2.4</v>
      </c>
      <c r="G20" s="195" t="str">
        <f t="shared" si="0"/>
        <v>||</v>
      </c>
      <c r="H20" s="153"/>
      <c r="I20" s="153"/>
      <c r="J20" s="153"/>
      <c r="K20" s="153"/>
      <c r="L20" s="153"/>
      <c r="M20" s="153"/>
      <c r="N20" s="153"/>
      <c r="O20" s="153"/>
      <c r="P20" s="153"/>
    </row>
    <row r="21" spans="2:16" ht="16.5">
      <c r="B21" s="152" t="s">
        <v>1722</v>
      </c>
      <c r="C21" s="193">
        <v>45831</v>
      </c>
      <c r="D21" s="193">
        <v>45922</v>
      </c>
      <c r="E21" s="194">
        <v>32.5</v>
      </c>
      <c r="F21" s="194">
        <f t="shared" si="1"/>
        <v>1.625</v>
      </c>
      <c r="G21" s="195" t="str">
        <f t="shared" si="0"/>
        <v>|</v>
      </c>
      <c r="H21" s="153"/>
      <c r="I21" s="153"/>
      <c r="J21" s="153"/>
      <c r="K21" s="153"/>
      <c r="L21" s="153"/>
      <c r="M21" s="153"/>
      <c r="N21" s="153"/>
      <c r="O21" s="153"/>
      <c r="P21" s="153"/>
    </row>
    <row r="22" spans="2:16" ht="16.5">
      <c r="B22" s="152" t="s">
        <v>1717</v>
      </c>
      <c r="C22" s="193">
        <v>45705</v>
      </c>
      <c r="D22" s="193">
        <v>46066</v>
      </c>
      <c r="E22" s="194">
        <v>17.59999999999998</v>
      </c>
      <c r="F22" s="194">
        <f t="shared" si="1"/>
        <v>0.87999999999999901</v>
      </c>
      <c r="G22" s="195" t="str">
        <f t="shared" si="0"/>
        <v>|</v>
      </c>
      <c r="H22" s="153"/>
      <c r="I22" s="153"/>
      <c r="J22" s="153"/>
      <c r="K22" s="153"/>
      <c r="L22" s="153"/>
      <c r="M22" s="153"/>
      <c r="N22" s="153"/>
      <c r="O22" s="153"/>
      <c r="P22" s="153"/>
    </row>
    <row r="23" spans="2:16" ht="16.5">
      <c r="B23" s="152" t="s">
        <v>1723</v>
      </c>
      <c r="C23" s="193">
        <v>45866</v>
      </c>
      <c r="D23" s="193">
        <v>45919</v>
      </c>
      <c r="E23" s="194">
        <v>9</v>
      </c>
      <c r="F23" s="194">
        <f t="shared" si="1"/>
        <v>0.45</v>
      </c>
      <c r="G23" s="195" t="str">
        <f t="shared" si="0"/>
        <v>|</v>
      </c>
      <c r="H23" s="153"/>
      <c r="I23" s="153"/>
      <c r="J23" s="153"/>
      <c r="K23" s="153"/>
      <c r="L23" s="153"/>
      <c r="M23" s="153"/>
      <c r="N23" s="153"/>
      <c r="O23" s="153"/>
      <c r="P23" s="153"/>
    </row>
    <row r="24" spans="2:16" ht="16.5">
      <c r="B24" s="152" t="s">
        <v>1719</v>
      </c>
      <c r="C24" s="193">
        <v>45735</v>
      </c>
      <c r="D24" s="193">
        <v>45933</v>
      </c>
      <c r="E24" s="194">
        <v>1.5</v>
      </c>
      <c r="F24" s="194">
        <f t="shared" si="1"/>
        <v>7.4999999999999997E-2</v>
      </c>
      <c r="G24" s="195" t="str">
        <f t="shared" si="0"/>
        <v>|</v>
      </c>
      <c r="H24" s="153"/>
      <c r="I24" s="153"/>
      <c r="J24" s="153"/>
      <c r="K24" s="153"/>
      <c r="L24" s="153"/>
      <c r="M24" s="153"/>
      <c r="N24" s="153"/>
      <c r="O24" s="153"/>
      <c r="P24" s="153"/>
    </row>
    <row r="25" spans="2:16">
      <c r="D25" s="185" t="s">
        <v>1353</v>
      </c>
      <c r="E25" s="189">
        <f>SUM(E7:E24)</f>
        <v>12327.1</v>
      </c>
      <c r="F25" s="189">
        <f>E25/$B$4</f>
        <v>616.35500000000002</v>
      </c>
    </row>
  </sheetData>
  <dataConsolidate/>
  <mergeCells count="1">
    <mergeCell ref="G6:P6"/>
  </mergeCells>
  <phoneticPr fontId="16" type="noConversion"/>
  <pageMargins left="0.7" right="0.7" top="0.75" bottom="0.75" header="0.3" footer="0.3"/>
  <pageSetup paperSize="9" orientation="portrait"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115" zoomScaleNormal="115" workbookViewId="0">
      <pane ySplit="1" topLeftCell="A2" activePane="bottomLeft" state="frozenSplit"/>
      <selection pane="bottomLeft" activeCell="C15" sqref="C15"/>
    </sheetView>
  </sheetViews>
  <sheetFormatPr defaultColWidth="10" defaultRowHeight="15"/>
  <cols>
    <col min="1" max="1" width="31.625" style="63" customWidth="1"/>
    <col min="2" max="2" width="14.5" style="63" customWidth="1"/>
    <col min="3" max="3" width="7.625" style="63" customWidth="1"/>
    <col min="4" max="4" width="21.5" style="63" customWidth="1"/>
    <col min="5" max="5" width="14.125" style="63" customWidth="1"/>
    <col min="6" max="6" width="10" style="63"/>
    <col min="7" max="7" width="24.25" style="63" customWidth="1"/>
    <col min="8" max="8" width="18.375" style="63" bestFit="1" customWidth="1"/>
    <col min="9" max="9" width="11.125" style="63" bestFit="1" customWidth="1"/>
    <col min="10" max="10" width="27.375" style="63" bestFit="1" customWidth="1"/>
    <col min="11" max="19" width="10" style="63"/>
    <col min="20" max="23" width="10" style="63" customWidth="1"/>
    <col min="24" max="26" width="10" style="63"/>
    <col min="27" max="27" width="0" style="63" hidden="1" customWidth="1"/>
    <col min="28" max="16384" width="10" style="63"/>
  </cols>
  <sheetData>
    <row r="1" spans="1:9" ht="36.950000000000003" customHeight="1">
      <c r="A1" s="1" t="s">
        <v>1416</v>
      </c>
      <c r="B1" s="1"/>
      <c r="C1" s="1"/>
      <c r="D1" s="1"/>
      <c r="E1" s="1"/>
      <c r="F1" s="1"/>
      <c r="G1" s="1"/>
      <c r="H1" s="1"/>
    </row>
    <row r="2" spans="1:9" s="64" customFormat="1" ht="78.75" customHeight="1">
      <c r="A2" s="395" t="s">
        <v>1417</v>
      </c>
      <c r="B2" s="395"/>
      <c r="C2" s="395"/>
      <c r="D2" s="395"/>
      <c r="E2" s="395"/>
      <c r="F2" s="395"/>
      <c r="G2" s="395"/>
      <c r="H2" s="395"/>
    </row>
    <row r="3" spans="1:9" s="64" customFormat="1" ht="24.75" customHeight="1">
      <c r="A3" s="396" t="s">
        <v>1418</v>
      </c>
      <c r="B3" s="396"/>
      <c r="D3" s="396" t="s">
        <v>1419</v>
      </c>
      <c r="E3" s="396"/>
      <c r="G3" s="396" t="s">
        <v>1420</v>
      </c>
      <c r="H3" s="396"/>
    </row>
    <row r="4" spans="1:9" s="66" customFormat="1" ht="19.5" customHeight="1">
      <c r="A4" s="65" t="s">
        <v>1421</v>
      </c>
      <c r="B4" s="65" t="s">
        <v>1422</v>
      </c>
      <c r="D4" s="65" t="s">
        <v>1421</v>
      </c>
      <c r="E4" s="65" t="s">
        <v>1422</v>
      </c>
      <c r="G4" s="65" t="s">
        <v>1421</v>
      </c>
      <c r="H4" s="65" t="s">
        <v>1422</v>
      </c>
    </row>
    <row r="5" spans="1:9" s="75" customFormat="1" ht="16.5">
      <c r="A5" s="73" t="s">
        <v>1794</v>
      </c>
      <c r="B5" s="74">
        <v>45719</v>
      </c>
      <c r="C5" s="75" t="str">
        <f t="shared" ref="C5:C68" si="0">IF(B5&gt;0,TEXT(B5,"(aaa)"),"")</f>
        <v>(월)</v>
      </c>
      <c r="D5" s="73"/>
      <c r="E5" s="74"/>
      <c r="F5" s="75" t="str">
        <f t="shared" ref="F5:F68" si="1">IF(E5&gt;0,TEXT(E5,"(aaa)"),"")</f>
        <v/>
      </c>
      <c r="G5" s="73"/>
      <c r="H5" s="74"/>
      <c r="I5" s="75" t="str">
        <f t="shared" ref="I5:I68" si="2">IF(H5&gt;0,TEXT(H5,"(aaa)"),"")</f>
        <v/>
      </c>
    </row>
    <row r="6" spans="1:9" s="75" customFormat="1" ht="16.5">
      <c r="A6" s="73" t="s">
        <v>1795</v>
      </c>
      <c r="B6" s="74">
        <v>45778</v>
      </c>
      <c r="C6" s="75" t="str">
        <f t="shared" si="0"/>
        <v>(목)</v>
      </c>
      <c r="D6" s="73"/>
      <c r="E6" s="74"/>
      <c r="F6" s="75" t="str">
        <f t="shared" si="1"/>
        <v/>
      </c>
      <c r="G6" s="73"/>
      <c r="H6" s="74"/>
      <c r="I6" s="75" t="str">
        <f t="shared" si="2"/>
        <v/>
      </c>
    </row>
    <row r="7" spans="1:9" s="75" customFormat="1" ht="16.5">
      <c r="A7" s="73" t="s">
        <v>1796</v>
      </c>
      <c r="B7" s="74">
        <v>45782</v>
      </c>
      <c r="C7" s="75" t="str">
        <f t="shared" si="0"/>
        <v>(월)</v>
      </c>
      <c r="D7" s="73"/>
      <c r="E7" s="74"/>
      <c r="F7" s="75" t="str">
        <f t="shared" si="1"/>
        <v/>
      </c>
      <c r="G7" s="73"/>
      <c r="H7" s="74"/>
      <c r="I7" s="75" t="str">
        <f t="shared" si="2"/>
        <v/>
      </c>
    </row>
    <row r="8" spans="1:9" s="75" customFormat="1" ht="16.5">
      <c r="A8" s="73" t="s">
        <v>1797</v>
      </c>
      <c r="B8" s="74">
        <v>45782</v>
      </c>
      <c r="C8" s="75" t="str">
        <f t="shared" si="0"/>
        <v>(월)</v>
      </c>
      <c r="D8" s="73"/>
      <c r="E8" s="74"/>
      <c r="F8" s="75" t="str">
        <f t="shared" si="1"/>
        <v/>
      </c>
      <c r="G8" s="73"/>
      <c r="H8" s="74"/>
      <c r="I8" s="75" t="str">
        <f t="shared" si="2"/>
        <v/>
      </c>
    </row>
    <row r="9" spans="1:9" s="75" customFormat="1" ht="16.5">
      <c r="A9" s="73" t="s">
        <v>2298</v>
      </c>
      <c r="B9" s="74">
        <v>45811</v>
      </c>
      <c r="C9" s="75" t="str">
        <f t="shared" si="0"/>
        <v>(화)</v>
      </c>
      <c r="D9" s="73"/>
      <c r="E9" s="74"/>
      <c r="F9" s="75" t="str">
        <f t="shared" si="1"/>
        <v/>
      </c>
      <c r="G9" s="73"/>
      <c r="H9" s="74"/>
      <c r="I9" s="75" t="str">
        <f t="shared" si="2"/>
        <v/>
      </c>
    </row>
    <row r="10" spans="1:9" s="75" customFormat="1" ht="16.5">
      <c r="A10" s="73" t="s">
        <v>1798</v>
      </c>
      <c r="B10" s="74">
        <v>45814</v>
      </c>
      <c r="C10" s="75" t="str">
        <f t="shared" si="0"/>
        <v>(금)</v>
      </c>
      <c r="D10" s="73"/>
      <c r="E10" s="74"/>
      <c r="F10" s="75" t="str">
        <f t="shared" si="1"/>
        <v/>
      </c>
      <c r="G10" s="73"/>
      <c r="H10" s="74"/>
      <c r="I10" s="75" t="str">
        <f t="shared" si="2"/>
        <v/>
      </c>
    </row>
    <row r="11" spans="1:9" s="75" customFormat="1" ht="16.5">
      <c r="A11" s="73" t="s">
        <v>1799</v>
      </c>
      <c r="B11" s="74">
        <v>45884</v>
      </c>
      <c r="C11" s="75" t="str">
        <f t="shared" si="0"/>
        <v>(금)</v>
      </c>
      <c r="D11" s="73"/>
      <c r="E11" s="74"/>
      <c r="F11" s="75" t="str">
        <f t="shared" si="1"/>
        <v/>
      </c>
      <c r="G11" s="73"/>
      <c r="H11" s="74"/>
      <c r="I11" s="75" t="str">
        <f t="shared" si="2"/>
        <v/>
      </c>
    </row>
    <row r="12" spans="1:9" s="75" customFormat="1" ht="16.5">
      <c r="A12" s="73" t="s">
        <v>1800</v>
      </c>
      <c r="B12" s="74">
        <v>45933</v>
      </c>
      <c r="C12" s="75" t="str">
        <f t="shared" si="0"/>
        <v>(금)</v>
      </c>
      <c r="D12" s="73"/>
      <c r="E12" s="74"/>
      <c r="F12" s="75" t="str">
        <f t="shared" si="1"/>
        <v/>
      </c>
      <c r="G12" s="73"/>
      <c r="H12" s="74"/>
      <c r="I12" s="75" t="str">
        <f t="shared" si="2"/>
        <v/>
      </c>
    </row>
    <row r="13" spans="1:9" s="75" customFormat="1" ht="16.5">
      <c r="A13" s="73" t="s">
        <v>1801</v>
      </c>
      <c r="B13" s="74">
        <v>45936</v>
      </c>
      <c r="C13" s="75" t="str">
        <f t="shared" si="0"/>
        <v>(월)</v>
      </c>
      <c r="D13" s="73"/>
      <c r="E13" s="74"/>
      <c r="F13" s="75" t="str">
        <f t="shared" si="1"/>
        <v/>
      </c>
      <c r="G13" s="73"/>
      <c r="H13" s="74"/>
      <c r="I13" s="75" t="str">
        <f t="shared" si="2"/>
        <v/>
      </c>
    </row>
    <row r="14" spans="1:9" s="75" customFormat="1" ht="16.5">
      <c r="A14" s="73" t="s">
        <v>1801</v>
      </c>
      <c r="B14" s="74">
        <v>45937</v>
      </c>
      <c r="C14" s="75" t="str">
        <f t="shared" si="0"/>
        <v>(화)</v>
      </c>
      <c r="D14" s="73"/>
      <c r="E14" s="74"/>
      <c r="F14" s="75" t="str">
        <f t="shared" si="1"/>
        <v/>
      </c>
      <c r="G14" s="73"/>
      <c r="H14" s="74"/>
      <c r="I14" s="75" t="str">
        <f t="shared" si="2"/>
        <v/>
      </c>
    </row>
    <row r="15" spans="1:9" s="75" customFormat="1" ht="16.5">
      <c r="A15" s="73" t="s">
        <v>1802</v>
      </c>
      <c r="B15" s="74">
        <v>45938</v>
      </c>
      <c r="C15" s="75" t="str">
        <f t="shared" si="0"/>
        <v>(수)</v>
      </c>
      <c r="D15" s="73"/>
      <c r="E15" s="74"/>
      <c r="F15" s="75" t="str">
        <f t="shared" si="1"/>
        <v/>
      </c>
      <c r="G15" s="73"/>
      <c r="H15" s="74"/>
      <c r="I15" s="75" t="str">
        <f t="shared" si="2"/>
        <v/>
      </c>
    </row>
    <row r="16" spans="1:9" s="75" customFormat="1" ht="16.5">
      <c r="A16" s="73" t="s">
        <v>1803</v>
      </c>
      <c r="B16" s="74">
        <v>45939</v>
      </c>
      <c r="C16" s="75" t="str">
        <f t="shared" si="0"/>
        <v>(목)</v>
      </c>
      <c r="D16" s="73"/>
      <c r="E16" s="74"/>
      <c r="F16" s="75" t="str">
        <f t="shared" si="1"/>
        <v/>
      </c>
      <c r="G16" s="73"/>
      <c r="H16" s="74"/>
      <c r="I16" s="75" t="str">
        <f t="shared" si="2"/>
        <v/>
      </c>
    </row>
    <row r="17" spans="1:10" s="75" customFormat="1" ht="16.5">
      <c r="A17" s="73" t="s">
        <v>1804</v>
      </c>
      <c r="B17" s="74">
        <v>46016</v>
      </c>
      <c r="C17" s="75" t="str">
        <f t="shared" si="0"/>
        <v>(목)</v>
      </c>
      <c r="D17" s="73"/>
      <c r="E17" s="74"/>
      <c r="F17" s="75" t="str">
        <f t="shared" si="1"/>
        <v/>
      </c>
      <c r="G17" s="73"/>
      <c r="H17" s="74"/>
      <c r="I17" s="75" t="str">
        <f t="shared" si="2"/>
        <v/>
      </c>
    </row>
    <row r="18" spans="1:10" s="75" customFormat="1" ht="16.5">
      <c r="A18" s="73" t="s">
        <v>1805</v>
      </c>
      <c r="B18" s="74">
        <v>46023</v>
      </c>
      <c r="C18" s="75" t="str">
        <f t="shared" si="0"/>
        <v>(목)</v>
      </c>
      <c r="D18" s="73"/>
      <c r="E18" s="74"/>
      <c r="F18" s="75" t="str">
        <f t="shared" si="1"/>
        <v/>
      </c>
      <c r="G18" s="73"/>
      <c r="H18" s="74"/>
      <c r="I18" s="75" t="str">
        <f t="shared" si="2"/>
        <v/>
      </c>
    </row>
    <row r="19" spans="1:10" s="75" customFormat="1" ht="17.25">
      <c r="A19" s="73" t="s">
        <v>1806</v>
      </c>
      <c r="B19" s="74">
        <v>46069</v>
      </c>
      <c r="C19" s="75" t="str">
        <f t="shared" si="0"/>
        <v>(월)</v>
      </c>
      <c r="D19" s="73"/>
      <c r="E19" s="74"/>
      <c r="F19" s="75" t="str">
        <f t="shared" si="1"/>
        <v/>
      </c>
      <c r="G19" s="73"/>
      <c r="H19" s="74"/>
      <c r="I19" s="75" t="str">
        <f t="shared" si="2"/>
        <v/>
      </c>
      <c r="J19" s="76"/>
    </row>
    <row r="20" spans="1:10" s="75" customFormat="1" ht="17.25">
      <c r="A20" s="73" t="s">
        <v>1806</v>
      </c>
      <c r="B20" s="74">
        <v>46070</v>
      </c>
      <c r="C20" s="75" t="str">
        <f t="shared" si="0"/>
        <v>(화)</v>
      </c>
      <c r="D20" s="73"/>
      <c r="E20" s="74"/>
      <c r="F20" s="75" t="str">
        <f t="shared" si="1"/>
        <v/>
      </c>
      <c r="G20" s="73"/>
      <c r="H20" s="74"/>
      <c r="I20" s="75" t="str">
        <f t="shared" si="2"/>
        <v/>
      </c>
      <c r="J20" s="76"/>
    </row>
    <row r="21" spans="1:10" s="75" customFormat="1" ht="16.5">
      <c r="A21" s="73" t="s">
        <v>1806</v>
      </c>
      <c r="B21" s="74">
        <v>46071</v>
      </c>
      <c r="C21" s="75" t="str">
        <f t="shared" si="0"/>
        <v>(수)</v>
      </c>
      <c r="D21" s="73"/>
      <c r="E21" s="74"/>
      <c r="F21" s="75" t="str">
        <f t="shared" si="1"/>
        <v/>
      </c>
      <c r="G21" s="73"/>
      <c r="H21" s="74"/>
      <c r="I21" s="75" t="str">
        <f t="shared" si="2"/>
        <v/>
      </c>
    </row>
    <row r="22" spans="1:10" s="75" customFormat="1" ht="16.5">
      <c r="A22" s="73"/>
      <c r="B22" s="74"/>
      <c r="C22" s="75" t="str">
        <f t="shared" si="0"/>
        <v/>
      </c>
      <c r="D22" s="73"/>
      <c r="E22" s="74"/>
      <c r="F22" s="75" t="str">
        <f t="shared" si="1"/>
        <v/>
      </c>
      <c r="G22" s="73"/>
      <c r="H22" s="74"/>
      <c r="I22" s="75" t="str">
        <f t="shared" si="2"/>
        <v/>
      </c>
    </row>
    <row r="23" spans="1:10" s="75" customFormat="1" ht="16.5">
      <c r="A23" s="73"/>
      <c r="B23" s="74"/>
      <c r="C23" s="75" t="str">
        <f t="shared" si="0"/>
        <v/>
      </c>
      <c r="D23" s="73"/>
      <c r="E23" s="74"/>
      <c r="F23" s="75" t="str">
        <f t="shared" si="1"/>
        <v/>
      </c>
      <c r="G23" s="73"/>
      <c r="H23" s="74"/>
      <c r="I23" s="75" t="str">
        <f t="shared" si="2"/>
        <v/>
      </c>
    </row>
    <row r="24" spans="1:10" s="75" customFormat="1" ht="16.5">
      <c r="A24" s="73"/>
      <c r="B24" s="74"/>
      <c r="C24" s="75" t="str">
        <f t="shared" si="0"/>
        <v/>
      </c>
      <c r="D24" s="73"/>
      <c r="E24" s="74"/>
      <c r="F24" s="75" t="str">
        <f t="shared" si="1"/>
        <v/>
      </c>
      <c r="G24" s="73"/>
      <c r="H24" s="74"/>
      <c r="I24" s="75" t="str">
        <f t="shared" si="2"/>
        <v/>
      </c>
    </row>
    <row r="25" spans="1:10" s="75" customFormat="1" ht="16.5">
      <c r="A25" s="73"/>
      <c r="B25" s="74"/>
      <c r="C25" s="75" t="str">
        <f t="shared" si="0"/>
        <v/>
      </c>
      <c r="D25" s="73"/>
      <c r="E25" s="74"/>
      <c r="F25" s="75" t="str">
        <f t="shared" si="1"/>
        <v/>
      </c>
      <c r="G25" s="73"/>
      <c r="H25" s="74"/>
      <c r="I25" s="75" t="str">
        <f t="shared" si="2"/>
        <v/>
      </c>
    </row>
    <row r="26" spans="1:10" s="75" customFormat="1" ht="16.5">
      <c r="A26" s="73"/>
      <c r="B26" s="74"/>
      <c r="C26" s="75" t="str">
        <f t="shared" si="0"/>
        <v/>
      </c>
      <c r="D26" s="73"/>
      <c r="E26" s="74"/>
      <c r="F26" s="75" t="str">
        <f t="shared" si="1"/>
        <v/>
      </c>
      <c r="G26" s="73"/>
      <c r="H26" s="74"/>
      <c r="I26" s="75" t="str">
        <f t="shared" si="2"/>
        <v/>
      </c>
    </row>
    <row r="27" spans="1:10" s="75" customFormat="1" ht="16.5">
      <c r="A27" s="73"/>
      <c r="B27" s="74"/>
      <c r="C27" s="75" t="str">
        <f t="shared" si="0"/>
        <v/>
      </c>
      <c r="D27" s="73"/>
      <c r="E27" s="74"/>
      <c r="F27" s="75" t="str">
        <f t="shared" si="1"/>
        <v/>
      </c>
      <c r="G27" s="73"/>
      <c r="H27" s="74"/>
      <c r="I27" s="75" t="str">
        <f t="shared" si="2"/>
        <v/>
      </c>
    </row>
    <row r="28" spans="1:10" s="75" customFormat="1" ht="16.5">
      <c r="A28" s="73"/>
      <c r="B28" s="74"/>
      <c r="C28" s="75" t="str">
        <f t="shared" si="0"/>
        <v/>
      </c>
      <c r="D28" s="73"/>
      <c r="E28" s="74"/>
      <c r="F28" s="75" t="str">
        <f t="shared" si="1"/>
        <v/>
      </c>
      <c r="G28" s="73"/>
      <c r="H28" s="74"/>
      <c r="I28" s="75" t="str">
        <f t="shared" si="2"/>
        <v/>
      </c>
    </row>
    <row r="29" spans="1:10" s="75" customFormat="1" ht="16.5">
      <c r="A29" s="73"/>
      <c r="B29" s="74"/>
      <c r="C29" s="75" t="str">
        <f t="shared" si="0"/>
        <v/>
      </c>
      <c r="D29" s="73"/>
      <c r="E29" s="74"/>
      <c r="F29" s="75" t="str">
        <f t="shared" si="1"/>
        <v/>
      </c>
      <c r="G29" s="73"/>
      <c r="H29" s="74"/>
      <c r="I29" s="75" t="str">
        <f t="shared" si="2"/>
        <v/>
      </c>
    </row>
    <row r="30" spans="1:10" s="75" customFormat="1" ht="16.5">
      <c r="A30" s="73"/>
      <c r="B30" s="74"/>
      <c r="C30" s="75" t="str">
        <f t="shared" si="0"/>
        <v/>
      </c>
      <c r="D30" s="73"/>
      <c r="E30" s="74"/>
      <c r="F30" s="75" t="str">
        <f t="shared" si="1"/>
        <v/>
      </c>
      <c r="G30" s="73"/>
      <c r="H30" s="74"/>
      <c r="I30" s="75" t="str">
        <f t="shared" si="2"/>
        <v/>
      </c>
    </row>
    <row r="31" spans="1:10" s="75" customFormat="1" ht="16.5">
      <c r="A31" s="73"/>
      <c r="B31" s="74"/>
      <c r="C31" s="75" t="str">
        <f t="shared" si="0"/>
        <v/>
      </c>
      <c r="D31" s="73"/>
      <c r="E31" s="74"/>
      <c r="F31" s="75" t="str">
        <f t="shared" si="1"/>
        <v/>
      </c>
      <c r="G31" s="73"/>
      <c r="H31" s="74"/>
      <c r="I31" s="75" t="str">
        <f t="shared" si="2"/>
        <v/>
      </c>
    </row>
    <row r="32" spans="1:10" s="75" customFormat="1" ht="16.5">
      <c r="A32" s="73"/>
      <c r="B32" s="74"/>
      <c r="C32" s="75" t="str">
        <f t="shared" si="0"/>
        <v/>
      </c>
      <c r="D32" s="73"/>
      <c r="E32" s="74"/>
      <c r="F32" s="75" t="str">
        <f t="shared" si="1"/>
        <v/>
      </c>
      <c r="G32" s="73"/>
      <c r="H32" s="74"/>
      <c r="I32" s="75" t="str">
        <f t="shared" si="2"/>
        <v/>
      </c>
    </row>
    <row r="33" spans="1:9" s="75" customFormat="1" ht="16.5">
      <c r="A33" s="73"/>
      <c r="B33" s="74"/>
      <c r="C33" s="75" t="str">
        <f t="shared" si="0"/>
        <v/>
      </c>
      <c r="D33" s="73"/>
      <c r="E33" s="74"/>
      <c r="F33" s="75" t="str">
        <f t="shared" si="1"/>
        <v/>
      </c>
      <c r="G33" s="73"/>
      <c r="H33" s="74"/>
      <c r="I33" s="75" t="str">
        <f t="shared" si="2"/>
        <v/>
      </c>
    </row>
    <row r="34" spans="1:9" s="75" customFormat="1" ht="16.5">
      <c r="A34" s="73"/>
      <c r="B34" s="74"/>
      <c r="C34" s="75" t="str">
        <f t="shared" si="0"/>
        <v/>
      </c>
      <c r="D34" s="73"/>
      <c r="E34" s="74"/>
      <c r="F34" s="75" t="str">
        <f t="shared" si="1"/>
        <v/>
      </c>
      <c r="G34" s="73"/>
      <c r="H34" s="74"/>
      <c r="I34" s="75" t="str">
        <f t="shared" si="2"/>
        <v/>
      </c>
    </row>
    <row r="35" spans="1:9" s="75" customFormat="1" ht="16.5">
      <c r="A35" s="73"/>
      <c r="B35" s="74"/>
      <c r="C35" s="75" t="str">
        <f t="shared" si="0"/>
        <v/>
      </c>
      <c r="D35" s="73"/>
      <c r="E35" s="74"/>
      <c r="F35" s="75" t="str">
        <f t="shared" si="1"/>
        <v/>
      </c>
      <c r="G35" s="73"/>
      <c r="H35" s="74"/>
      <c r="I35" s="75" t="str">
        <f t="shared" si="2"/>
        <v/>
      </c>
    </row>
    <row r="36" spans="1:9" s="75" customFormat="1" ht="16.5">
      <c r="A36" s="73"/>
      <c r="B36" s="74"/>
      <c r="C36" s="75" t="str">
        <f t="shared" si="0"/>
        <v/>
      </c>
      <c r="D36" s="73"/>
      <c r="E36" s="74"/>
      <c r="F36" s="75" t="str">
        <f t="shared" si="1"/>
        <v/>
      </c>
      <c r="G36" s="73"/>
      <c r="H36" s="74"/>
      <c r="I36" s="75" t="str">
        <f t="shared" si="2"/>
        <v/>
      </c>
    </row>
    <row r="37" spans="1:9" s="75" customFormat="1" ht="16.5">
      <c r="A37" s="73"/>
      <c r="B37" s="74"/>
      <c r="C37" s="75" t="str">
        <f t="shared" si="0"/>
        <v/>
      </c>
      <c r="D37" s="73"/>
      <c r="E37" s="74"/>
      <c r="F37" s="75" t="str">
        <f t="shared" si="1"/>
        <v/>
      </c>
      <c r="G37" s="73"/>
      <c r="H37" s="74"/>
      <c r="I37" s="75" t="str">
        <f t="shared" si="2"/>
        <v/>
      </c>
    </row>
    <row r="38" spans="1:9" s="75" customFormat="1" ht="16.5">
      <c r="A38" s="73"/>
      <c r="B38" s="74"/>
      <c r="C38" s="75" t="str">
        <f t="shared" si="0"/>
        <v/>
      </c>
      <c r="D38" s="73"/>
      <c r="E38" s="74"/>
      <c r="F38" s="75" t="str">
        <f t="shared" si="1"/>
        <v/>
      </c>
      <c r="G38" s="73"/>
      <c r="H38" s="74"/>
      <c r="I38" s="75" t="str">
        <f t="shared" si="2"/>
        <v/>
      </c>
    </row>
    <row r="39" spans="1:9" s="75" customFormat="1" ht="16.5">
      <c r="A39" s="73"/>
      <c r="B39" s="74"/>
      <c r="C39" s="75" t="str">
        <f t="shared" si="0"/>
        <v/>
      </c>
      <c r="D39" s="73"/>
      <c r="E39" s="74"/>
      <c r="F39" s="75" t="str">
        <f t="shared" si="1"/>
        <v/>
      </c>
      <c r="G39" s="73"/>
      <c r="H39" s="74"/>
      <c r="I39" s="75" t="str">
        <f t="shared" si="2"/>
        <v/>
      </c>
    </row>
    <row r="40" spans="1:9" s="75" customFormat="1" ht="16.5">
      <c r="A40" s="73"/>
      <c r="B40" s="74"/>
      <c r="C40" s="75" t="str">
        <f t="shared" si="0"/>
        <v/>
      </c>
      <c r="D40" s="73"/>
      <c r="E40" s="74"/>
      <c r="F40" s="75" t="str">
        <f t="shared" si="1"/>
        <v/>
      </c>
      <c r="G40" s="73"/>
      <c r="H40" s="74"/>
      <c r="I40" s="75" t="str">
        <f t="shared" si="2"/>
        <v/>
      </c>
    </row>
    <row r="41" spans="1:9" s="75" customFormat="1" ht="16.5">
      <c r="A41" s="73"/>
      <c r="B41" s="74"/>
      <c r="C41" s="75" t="str">
        <f t="shared" si="0"/>
        <v/>
      </c>
      <c r="D41" s="73"/>
      <c r="E41" s="74"/>
      <c r="F41" s="75" t="str">
        <f t="shared" si="1"/>
        <v/>
      </c>
      <c r="G41" s="73"/>
      <c r="H41" s="74"/>
      <c r="I41" s="75" t="str">
        <f t="shared" si="2"/>
        <v/>
      </c>
    </row>
    <row r="42" spans="1:9" s="75" customFormat="1" ht="16.5">
      <c r="A42" s="73"/>
      <c r="B42" s="74"/>
      <c r="C42" s="75" t="str">
        <f t="shared" si="0"/>
        <v/>
      </c>
      <c r="D42" s="73"/>
      <c r="E42" s="74"/>
      <c r="F42" s="75" t="str">
        <f t="shared" si="1"/>
        <v/>
      </c>
      <c r="G42" s="73"/>
      <c r="H42" s="74"/>
      <c r="I42" s="75" t="str">
        <f t="shared" si="2"/>
        <v/>
      </c>
    </row>
    <row r="43" spans="1:9" s="75" customFormat="1" ht="16.5">
      <c r="A43" s="73"/>
      <c r="B43" s="74"/>
      <c r="C43" s="75" t="str">
        <f t="shared" si="0"/>
        <v/>
      </c>
      <c r="D43" s="73"/>
      <c r="E43" s="74"/>
      <c r="F43" s="75" t="str">
        <f t="shared" si="1"/>
        <v/>
      </c>
      <c r="G43" s="73"/>
      <c r="H43" s="74"/>
      <c r="I43" s="75" t="str">
        <f t="shared" si="2"/>
        <v/>
      </c>
    </row>
    <row r="44" spans="1:9" s="75" customFormat="1" ht="16.5">
      <c r="A44" s="73"/>
      <c r="B44" s="74"/>
      <c r="C44" s="75" t="str">
        <f t="shared" si="0"/>
        <v/>
      </c>
      <c r="D44" s="73"/>
      <c r="E44" s="74"/>
      <c r="F44" s="75" t="str">
        <f t="shared" si="1"/>
        <v/>
      </c>
      <c r="G44" s="73"/>
      <c r="H44" s="74"/>
      <c r="I44" s="75" t="str">
        <f t="shared" si="2"/>
        <v/>
      </c>
    </row>
    <row r="45" spans="1:9" s="75" customFormat="1" ht="16.5">
      <c r="A45" s="73"/>
      <c r="B45" s="74"/>
      <c r="C45" s="75" t="str">
        <f t="shared" si="0"/>
        <v/>
      </c>
      <c r="D45" s="73"/>
      <c r="E45" s="74"/>
      <c r="F45" s="75" t="str">
        <f t="shared" si="1"/>
        <v/>
      </c>
      <c r="G45" s="73"/>
      <c r="H45" s="74"/>
      <c r="I45" s="75" t="str">
        <f t="shared" si="2"/>
        <v/>
      </c>
    </row>
    <row r="46" spans="1:9" s="75" customFormat="1" ht="16.5">
      <c r="A46" s="73"/>
      <c r="B46" s="74"/>
      <c r="C46" s="75" t="str">
        <f t="shared" si="0"/>
        <v/>
      </c>
      <c r="D46" s="73"/>
      <c r="E46" s="74"/>
      <c r="F46" s="75" t="str">
        <f t="shared" si="1"/>
        <v/>
      </c>
      <c r="G46" s="73"/>
      <c r="H46" s="74"/>
      <c r="I46" s="75" t="str">
        <f t="shared" si="2"/>
        <v/>
      </c>
    </row>
    <row r="47" spans="1:9" s="75" customFormat="1" ht="16.5">
      <c r="A47" s="73"/>
      <c r="B47" s="74"/>
      <c r="C47" s="75" t="str">
        <f t="shared" si="0"/>
        <v/>
      </c>
      <c r="D47" s="73"/>
      <c r="E47" s="74"/>
      <c r="F47" s="75" t="str">
        <f t="shared" si="1"/>
        <v/>
      </c>
      <c r="G47" s="73"/>
      <c r="H47" s="74"/>
      <c r="I47" s="75" t="str">
        <f t="shared" si="2"/>
        <v/>
      </c>
    </row>
    <row r="48" spans="1:9" s="75" customFormat="1" ht="16.5">
      <c r="A48" s="73"/>
      <c r="B48" s="74"/>
      <c r="C48" s="75" t="str">
        <f t="shared" si="0"/>
        <v/>
      </c>
      <c r="D48" s="73"/>
      <c r="E48" s="74"/>
      <c r="F48" s="75" t="str">
        <f t="shared" si="1"/>
        <v/>
      </c>
      <c r="G48" s="73"/>
      <c r="H48" s="74"/>
      <c r="I48" s="75" t="str">
        <f t="shared" si="2"/>
        <v/>
      </c>
    </row>
    <row r="49" spans="1:9" s="75" customFormat="1" ht="16.5">
      <c r="A49" s="73"/>
      <c r="B49" s="74"/>
      <c r="C49" s="75" t="str">
        <f t="shared" si="0"/>
        <v/>
      </c>
      <c r="D49" s="73"/>
      <c r="E49" s="74"/>
      <c r="F49" s="75" t="str">
        <f t="shared" si="1"/>
        <v/>
      </c>
      <c r="G49" s="73"/>
      <c r="H49" s="74"/>
      <c r="I49" s="75" t="str">
        <f t="shared" si="2"/>
        <v/>
      </c>
    </row>
    <row r="50" spans="1:9" s="75" customFormat="1" ht="16.5">
      <c r="A50" s="73"/>
      <c r="B50" s="74"/>
      <c r="C50" s="75" t="str">
        <f t="shared" si="0"/>
        <v/>
      </c>
      <c r="D50" s="73"/>
      <c r="E50" s="74"/>
      <c r="F50" s="75" t="str">
        <f t="shared" si="1"/>
        <v/>
      </c>
      <c r="G50" s="73"/>
      <c r="H50" s="74"/>
      <c r="I50" s="75" t="str">
        <f t="shared" si="2"/>
        <v/>
      </c>
    </row>
    <row r="51" spans="1:9" s="75" customFormat="1" ht="16.5">
      <c r="A51" s="73"/>
      <c r="B51" s="74"/>
      <c r="C51" s="75" t="str">
        <f t="shared" si="0"/>
        <v/>
      </c>
      <c r="D51" s="73"/>
      <c r="E51" s="74"/>
      <c r="F51" s="75" t="str">
        <f t="shared" si="1"/>
        <v/>
      </c>
      <c r="G51" s="73"/>
      <c r="H51" s="74"/>
      <c r="I51" s="75" t="str">
        <f t="shared" si="2"/>
        <v/>
      </c>
    </row>
    <row r="52" spans="1:9" s="75" customFormat="1" ht="16.5">
      <c r="A52" s="73"/>
      <c r="B52" s="74"/>
      <c r="C52" s="75" t="str">
        <f t="shared" si="0"/>
        <v/>
      </c>
      <c r="D52" s="73"/>
      <c r="E52" s="74"/>
      <c r="F52" s="75" t="str">
        <f t="shared" si="1"/>
        <v/>
      </c>
      <c r="G52" s="73"/>
      <c r="H52" s="74"/>
      <c r="I52" s="75" t="str">
        <f t="shared" si="2"/>
        <v/>
      </c>
    </row>
    <row r="53" spans="1:9" s="75" customFormat="1" ht="16.5">
      <c r="A53" s="73"/>
      <c r="B53" s="74"/>
      <c r="C53" s="75" t="str">
        <f t="shared" si="0"/>
        <v/>
      </c>
      <c r="D53" s="73"/>
      <c r="E53" s="74"/>
      <c r="F53" s="75" t="str">
        <f t="shared" si="1"/>
        <v/>
      </c>
      <c r="G53" s="73"/>
      <c r="H53" s="74"/>
      <c r="I53" s="75" t="str">
        <f t="shared" si="2"/>
        <v/>
      </c>
    </row>
    <row r="54" spans="1:9" s="75" customFormat="1" ht="16.5">
      <c r="A54" s="73"/>
      <c r="B54" s="74"/>
      <c r="C54" s="75" t="str">
        <f t="shared" si="0"/>
        <v/>
      </c>
      <c r="D54" s="73"/>
      <c r="E54" s="74"/>
      <c r="F54" s="75" t="str">
        <f t="shared" si="1"/>
        <v/>
      </c>
      <c r="G54" s="73"/>
      <c r="H54" s="74"/>
      <c r="I54" s="75" t="str">
        <f t="shared" si="2"/>
        <v/>
      </c>
    </row>
    <row r="55" spans="1:9" s="75" customFormat="1" ht="16.5">
      <c r="A55" s="73"/>
      <c r="B55" s="74"/>
      <c r="C55" s="75" t="str">
        <f t="shared" si="0"/>
        <v/>
      </c>
      <c r="D55" s="73"/>
      <c r="E55" s="74"/>
      <c r="F55" s="75" t="str">
        <f t="shared" si="1"/>
        <v/>
      </c>
      <c r="G55" s="73"/>
      <c r="H55" s="74"/>
      <c r="I55" s="75" t="str">
        <f t="shared" si="2"/>
        <v/>
      </c>
    </row>
    <row r="56" spans="1:9" s="75" customFormat="1" ht="16.5">
      <c r="A56" s="73"/>
      <c r="B56" s="74"/>
      <c r="C56" s="75" t="str">
        <f t="shared" si="0"/>
        <v/>
      </c>
      <c r="D56" s="73"/>
      <c r="E56" s="74"/>
      <c r="F56" s="75" t="str">
        <f t="shared" si="1"/>
        <v/>
      </c>
      <c r="G56" s="73"/>
      <c r="H56" s="74"/>
      <c r="I56" s="75" t="str">
        <f t="shared" si="2"/>
        <v/>
      </c>
    </row>
    <row r="57" spans="1:9" s="75" customFormat="1" ht="16.5">
      <c r="A57" s="73"/>
      <c r="B57" s="74"/>
      <c r="C57" s="75" t="str">
        <f t="shared" si="0"/>
        <v/>
      </c>
      <c r="D57" s="73"/>
      <c r="E57" s="74"/>
      <c r="F57" s="75" t="str">
        <f t="shared" si="1"/>
        <v/>
      </c>
      <c r="G57" s="73"/>
      <c r="H57" s="74"/>
      <c r="I57" s="75" t="str">
        <f t="shared" si="2"/>
        <v/>
      </c>
    </row>
    <row r="58" spans="1:9" s="75" customFormat="1" ht="16.5">
      <c r="A58" s="73"/>
      <c r="B58" s="74"/>
      <c r="C58" s="75" t="str">
        <f t="shared" si="0"/>
        <v/>
      </c>
      <c r="D58" s="73"/>
      <c r="E58" s="74"/>
      <c r="F58" s="75" t="str">
        <f t="shared" si="1"/>
        <v/>
      </c>
      <c r="G58" s="73"/>
      <c r="H58" s="74"/>
      <c r="I58" s="75" t="str">
        <f t="shared" si="2"/>
        <v/>
      </c>
    </row>
    <row r="59" spans="1:9" s="75" customFormat="1" ht="16.5">
      <c r="A59" s="73"/>
      <c r="B59" s="74"/>
      <c r="C59" s="75" t="str">
        <f t="shared" si="0"/>
        <v/>
      </c>
      <c r="D59" s="73"/>
      <c r="E59" s="74"/>
      <c r="F59" s="75" t="str">
        <f t="shared" si="1"/>
        <v/>
      </c>
      <c r="G59" s="73"/>
      <c r="H59" s="74"/>
      <c r="I59" s="75" t="str">
        <f t="shared" si="2"/>
        <v/>
      </c>
    </row>
    <row r="60" spans="1:9" s="75" customFormat="1" ht="16.5">
      <c r="A60" s="73"/>
      <c r="B60" s="74"/>
      <c r="C60" s="75" t="str">
        <f t="shared" si="0"/>
        <v/>
      </c>
      <c r="D60" s="73"/>
      <c r="E60" s="74"/>
      <c r="F60" s="75" t="str">
        <f t="shared" si="1"/>
        <v/>
      </c>
      <c r="G60" s="73"/>
      <c r="H60" s="74"/>
      <c r="I60" s="75" t="str">
        <f t="shared" si="2"/>
        <v/>
      </c>
    </row>
    <row r="61" spans="1:9" s="75" customFormat="1" ht="16.5">
      <c r="A61" s="73"/>
      <c r="B61" s="74"/>
      <c r="C61" s="75" t="str">
        <f t="shared" si="0"/>
        <v/>
      </c>
      <c r="D61" s="73"/>
      <c r="E61" s="74"/>
      <c r="F61" s="75" t="str">
        <f t="shared" si="1"/>
        <v/>
      </c>
      <c r="G61" s="73"/>
      <c r="H61" s="74"/>
      <c r="I61" s="75" t="str">
        <f t="shared" si="2"/>
        <v/>
      </c>
    </row>
    <row r="62" spans="1:9" s="75" customFormat="1" ht="16.5">
      <c r="A62" s="73"/>
      <c r="B62" s="74"/>
      <c r="C62" s="75" t="str">
        <f t="shared" si="0"/>
        <v/>
      </c>
      <c r="D62" s="73"/>
      <c r="E62" s="74"/>
      <c r="F62" s="75" t="str">
        <f t="shared" si="1"/>
        <v/>
      </c>
      <c r="G62" s="73"/>
      <c r="H62" s="74"/>
      <c r="I62" s="75" t="str">
        <f t="shared" si="2"/>
        <v/>
      </c>
    </row>
    <row r="63" spans="1:9" s="75" customFormat="1" ht="16.5">
      <c r="A63" s="73"/>
      <c r="B63" s="74"/>
      <c r="C63" s="75" t="str">
        <f t="shared" si="0"/>
        <v/>
      </c>
      <c r="D63" s="73"/>
      <c r="E63" s="74"/>
      <c r="F63" s="75" t="str">
        <f t="shared" si="1"/>
        <v/>
      </c>
      <c r="G63" s="73"/>
      <c r="H63" s="74"/>
      <c r="I63" s="75" t="str">
        <f t="shared" si="2"/>
        <v/>
      </c>
    </row>
    <row r="64" spans="1:9" s="75" customFormat="1" ht="16.5">
      <c r="A64" s="73"/>
      <c r="B64" s="74"/>
      <c r="C64" s="75" t="str">
        <f t="shared" si="0"/>
        <v/>
      </c>
      <c r="D64" s="73"/>
      <c r="E64" s="74"/>
      <c r="F64" s="75" t="str">
        <f t="shared" si="1"/>
        <v/>
      </c>
      <c r="G64" s="73"/>
      <c r="H64" s="74"/>
      <c r="I64" s="75" t="str">
        <f t="shared" si="2"/>
        <v/>
      </c>
    </row>
    <row r="65" spans="1:9" s="75" customFormat="1" ht="16.5">
      <c r="A65" s="73"/>
      <c r="B65" s="74"/>
      <c r="C65" s="75" t="str">
        <f t="shared" si="0"/>
        <v/>
      </c>
      <c r="D65" s="73"/>
      <c r="E65" s="74"/>
      <c r="F65" s="75" t="str">
        <f t="shared" si="1"/>
        <v/>
      </c>
      <c r="G65" s="73"/>
      <c r="H65" s="74"/>
      <c r="I65" s="75" t="str">
        <f t="shared" si="2"/>
        <v/>
      </c>
    </row>
    <row r="66" spans="1:9" s="75" customFormat="1" ht="16.5">
      <c r="A66" s="73"/>
      <c r="B66" s="74"/>
      <c r="C66" s="75" t="str">
        <f t="shared" si="0"/>
        <v/>
      </c>
      <c r="D66" s="73"/>
      <c r="E66" s="74"/>
      <c r="F66" s="75" t="str">
        <f t="shared" si="1"/>
        <v/>
      </c>
      <c r="G66" s="73"/>
      <c r="H66" s="74"/>
      <c r="I66" s="75" t="str">
        <f t="shared" si="2"/>
        <v/>
      </c>
    </row>
    <row r="67" spans="1:9" s="75" customFormat="1" ht="16.5">
      <c r="A67" s="73"/>
      <c r="B67" s="74"/>
      <c r="C67" s="75" t="str">
        <f t="shared" si="0"/>
        <v/>
      </c>
      <c r="D67" s="73"/>
      <c r="E67" s="74"/>
      <c r="F67" s="75" t="str">
        <f t="shared" si="1"/>
        <v/>
      </c>
      <c r="G67" s="73"/>
      <c r="H67" s="74"/>
      <c r="I67" s="75" t="str">
        <f t="shared" si="2"/>
        <v/>
      </c>
    </row>
    <row r="68" spans="1:9" s="75" customFormat="1" ht="16.5">
      <c r="A68" s="73"/>
      <c r="B68" s="74"/>
      <c r="C68" s="75" t="str">
        <f t="shared" si="0"/>
        <v/>
      </c>
      <c r="D68" s="73"/>
      <c r="E68" s="74"/>
      <c r="F68" s="75" t="str">
        <f t="shared" si="1"/>
        <v/>
      </c>
      <c r="G68" s="73"/>
      <c r="H68" s="74"/>
      <c r="I68" s="75" t="str">
        <f t="shared" si="2"/>
        <v/>
      </c>
    </row>
    <row r="69" spans="1:9" s="75" customFormat="1" ht="16.5">
      <c r="A69" s="73"/>
      <c r="B69" s="74"/>
      <c r="C69" s="75" t="str">
        <f t="shared" ref="C69:C132" si="3">IF(B69&gt;0,TEXT(B69,"(aaa)"),"")</f>
        <v/>
      </c>
      <c r="D69" s="73"/>
      <c r="E69" s="74"/>
      <c r="F69" s="75" t="str">
        <f t="shared" ref="F69:F132" si="4">IF(E69&gt;0,TEXT(E69,"(aaa)"),"")</f>
        <v/>
      </c>
      <c r="G69" s="73"/>
      <c r="H69" s="74"/>
      <c r="I69" s="75" t="str">
        <f t="shared" ref="I69:I132" si="5">IF(H69&gt;0,TEXT(H69,"(aaa)"),"")</f>
        <v/>
      </c>
    </row>
    <row r="70" spans="1:9" s="75" customFormat="1" ht="16.5">
      <c r="A70" s="73"/>
      <c r="B70" s="74"/>
      <c r="C70" s="75" t="str">
        <f t="shared" si="3"/>
        <v/>
      </c>
      <c r="D70" s="73"/>
      <c r="E70" s="74"/>
      <c r="F70" s="75" t="str">
        <f t="shared" si="4"/>
        <v/>
      </c>
      <c r="G70" s="73"/>
      <c r="H70" s="74"/>
      <c r="I70" s="75" t="str">
        <f t="shared" si="5"/>
        <v/>
      </c>
    </row>
    <row r="71" spans="1:9" s="75" customFormat="1" ht="16.5">
      <c r="A71" s="73"/>
      <c r="B71" s="74"/>
      <c r="C71" s="75" t="str">
        <f t="shared" si="3"/>
        <v/>
      </c>
      <c r="D71" s="73"/>
      <c r="E71" s="74"/>
      <c r="F71" s="75" t="str">
        <f t="shared" si="4"/>
        <v/>
      </c>
      <c r="G71" s="73"/>
      <c r="H71" s="74"/>
      <c r="I71" s="75" t="str">
        <f t="shared" si="5"/>
        <v/>
      </c>
    </row>
    <row r="72" spans="1:9" s="75" customFormat="1" ht="16.5">
      <c r="A72" s="73"/>
      <c r="B72" s="74"/>
      <c r="C72" s="75" t="str">
        <f t="shared" si="3"/>
        <v/>
      </c>
      <c r="D72" s="73"/>
      <c r="E72" s="74"/>
      <c r="F72" s="75" t="str">
        <f t="shared" si="4"/>
        <v/>
      </c>
      <c r="G72" s="73"/>
      <c r="H72" s="74"/>
      <c r="I72" s="75" t="str">
        <f t="shared" si="5"/>
        <v/>
      </c>
    </row>
    <row r="73" spans="1:9" s="75" customFormat="1" ht="16.5">
      <c r="A73" s="73"/>
      <c r="B73" s="74"/>
      <c r="C73" s="75" t="str">
        <f t="shared" si="3"/>
        <v/>
      </c>
      <c r="D73" s="73"/>
      <c r="E73" s="74"/>
      <c r="F73" s="75" t="str">
        <f t="shared" si="4"/>
        <v/>
      </c>
      <c r="G73" s="73"/>
      <c r="H73" s="74"/>
      <c r="I73" s="75" t="str">
        <f t="shared" si="5"/>
        <v/>
      </c>
    </row>
    <row r="74" spans="1:9" s="75" customFormat="1" ht="16.5">
      <c r="A74" s="73"/>
      <c r="B74" s="74"/>
      <c r="C74" s="75" t="str">
        <f t="shared" si="3"/>
        <v/>
      </c>
      <c r="D74" s="73"/>
      <c r="E74" s="74"/>
      <c r="F74" s="75" t="str">
        <f t="shared" si="4"/>
        <v/>
      </c>
      <c r="G74" s="73"/>
      <c r="H74" s="74"/>
      <c r="I74" s="75" t="str">
        <f t="shared" si="5"/>
        <v/>
      </c>
    </row>
    <row r="75" spans="1:9" s="75" customFormat="1" ht="16.5">
      <c r="A75" s="73"/>
      <c r="B75" s="74"/>
      <c r="C75" s="75" t="str">
        <f t="shared" si="3"/>
        <v/>
      </c>
      <c r="D75" s="73"/>
      <c r="E75" s="74"/>
      <c r="F75" s="75" t="str">
        <f t="shared" si="4"/>
        <v/>
      </c>
      <c r="G75" s="73"/>
      <c r="H75" s="74"/>
      <c r="I75" s="75" t="str">
        <f t="shared" si="5"/>
        <v/>
      </c>
    </row>
    <row r="76" spans="1:9" s="75" customFormat="1" ht="16.5">
      <c r="A76" s="73"/>
      <c r="B76" s="74"/>
      <c r="C76" s="75" t="str">
        <f t="shared" si="3"/>
        <v/>
      </c>
      <c r="D76" s="73"/>
      <c r="E76" s="74"/>
      <c r="F76" s="75" t="str">
        <f t="shared" si="4"/>
        <v/>
      </c>
      <c r="G76" s="73"/>
      <c r="H76" s="74"/>
      <c r="I76" s="75" t="str">
        <f t="shared" si="5"/>
        <v/>
      </c>
    </row>
    <row r="77" spans="1:9" s="75" customFormat="1" ht="16.5">
      <c r="A77" s="73"/>
      <c r="B77" s="74"/>
      <c r="C77" s="75" t="str">
        <f t="shared" si="3"/>
        <v/>
      </c>
      <c r="D77" s="73"/>
      <c r="E77" s="74"/>
      <c r="F77" s="75" t="str">
        <f t="shared" si="4"/>
        <v/>
      </c>
      <c r="G77" s="73"/>
      <c r="H77" s="74"/>
      <c r="I77" s="75" t="str">
        <f t="shared" si="5"/>
        <v/>
      </c>
    </row>
    <row r="78" spans="1:9" s="75" customFormat="1" ht="16.5">
      <c r="A78" s="73"/>
      <c r="B78" s="74"/>
      <c r="C78" s="75" t="str">
        <f t="shared" si="3"/>
        <v/>
      </c>
      <c r="D78" s="73"/>
      <c r="E78" s="74"/>
      <c r="F78" s="75" t="str">
        <f t="shared" si="4"/>
        <v/>
      </c>
      <c r="G78" s="73"/>
      <c r="H78" s="74"/>
      <c r="I78" s="75" t="str">
        <f t="shared" si="5"/>
        <v/>
      </c>
    </row>
    <row r="79" spans="1:9" s="75" customFormat="1" ht="16.5">
      <c r="A79" s="73"/>
      <c r="B79" s="74"/>
      <c r="C79" s="75" t="str">
        <f t="shared" si="3"/>
        <v/>
      </c>
      <c r="D79" s="73"/>
      <c r="E79" s="74"/>
      <c r="F79" s="75" t="str">
        <f t="shared" si="4"/>
        <v/>
      </c>
      <c r="G79" s="73"/>
      <c r="H79" s="74"/>
      <c r="I79" s="75" t="str">
        <f t="shared" si="5"/>
        <v/>
      </c>
    </row>
    <row r="80" spans="1:9" s="75" customFormat="1" ht="16.5">
      <c r="A80" s="73"/>
      <c r="B80" s="74"/>
      <c r="C80" s="75" t="str">
        <f t="shared" si="3"/>
        <v/>
      </c>
      <c r="D80" s="73"/>
      <c r="E80" s="74"/>
      <c r="F80" s="75" t="str">
        <f t="shared" si="4"/>
        <v/>
      </c>
      <c r="G80" s="73"/>
      <c r="H80" s="74"/>
      <c r="I80" s="75" t="str">
        <f t="shared" si="5"/>
        <v/>
      </c>
    </row>
    <row r="81" spans="1:9" s="75" customFormat="1" ht="16.5">
      <c r="A81" s="73"/>
      <c r="B81" s="74"/>
      <c r="C81" s="75" t="str">
        <f t="shared" si="3"/>
        <v/>
      </c>
      <c r="D81" s="73"/>
      <c r="E81" s="74"/>
      <c r="F81" s="75" t="str">
        <f t="shared" si="4"/>
        <v/>
      </c>
      <c r="G81" s="73"/>
      <c r="H81" s="74"/>
      <c r="I81" s="75" t="str">
        <f t="shared" si="5"/>
        <v/>
      </c>
    </row>
    <row r="82" spans="1:9" s="75" customFormat="1" ht="16.5">
      <c r="A82" s="73"/>
      <c r="B82" s="74"/>
      <c r="C82" s="75" t="str">
        <f t="shared" si="3"/>
        <v/>
      </c>
      <c r="D82" s="73"/>
      <c r="E82" s="74"/>
      <c r="F82" s="75" t="str">
        <f t="shared" si="4"/>
        <v/>
      </c>
      <c r="G82" s="73"/>
      <c r="H82" s="74"/>
      <c r="I82" s="75" t="str">
        <f t="shared" si="5"/>
        <v/>
      </c>
    </row>
    <row r="83" spans="1:9" s="75" customFormat="1" ht="16.5">
      <c r="A83" s="73"/>
      <c r="B83" s="74"/>
      <c r="C83" s="75" t="str">
        <f t="shared" si="3"/>
        <v/>
      </c>
      <c r="D83" s="73"/>
      <c r="E83" s="74"/>
      <c r="F83" s="75" t="str">
        <f t="shared" si="4"/>
        <v/>
      </c>
      <c r="G83" s="73"/>
      <c r="H83" s="74"/>
      <c r="I83" s="75" t="str">
        <f t="shared" si="5"/>
        <v/>
      </c>
    </row>
    <row r="84" spans="1:9" s="75" customFormat="1" ht="16.5">
      <c r="A84" s="73"/>
      <c r="B84" s="74"/>
      <c r="C84" s="75" t="str">
        <f t="shared" si="3"/>
        <v/>
      </c>
      <c r="D84" s="73"/>
      <c r="E84" s="74"/>
      <c r="F84" s="75" t="str">
        <f t="shared" si="4"/>
        <v/>
      </c>
      <c r="G84" s="73"/>
      <c r="H84" s="74"/>
      <c r="I84" s="75" t="str">
        <f t="shared" si="5"/>
        <v/>
      </c>
    </row>
    <row r="85" spans="1:9" s="75" customFormat="1" ht="16.5">
      <c r="A85" s="73"/>
      <c r="B85" s="74"/>
      <c r="C85" s="75" t="str">
        <f t="shared" si="3"/>
        <v/>
      </c>
      <c r="D85" s="73"/>
      <c r="E85" s="74"/>
      <c r="F85" s="75" t="str">
        <f t="shared" si="4"/>
        <v/>
      </c>
      <c r="G85" s="73"/>
      <c r="H85" s="74"/>
      <c r="I85" s="75" t="str">
        <f t="shared" si="5"/>
        <v/>
      </c>
    </row>
    <row r="86" spans="1:9" s="75" customFormat="1" ht="16.5">
      <c r="A86" s="73"/>
      <c r="B86" s="74"/>
      <c r="C86" s="75" t="str">
        <f t="shared" si="3"/>
        <v/>
      </c>
      <c r="D86" s="73"/>
      <c r="E86" s="74"/>
      <c r="F86" s="75" t="str">
        <f t="shared" si="4"/>
        <v/>
      </c>
      <c r="G86" s="73"/>
      <c r="H86" s="74"/>
      <c r="I86" s="75" t="str">
        <f t="shared" si="5"/>
        <v/>
      </c>
    </row>
    <row r="87" spans="1:9" s="75" customFormat="1" ht="16.5">
      <c r="A87" s="73"/>
      <c r="B87" s="74"/>
      <c r="C87" s="75" t="str">
        <f t="shared" si="3"/>
        <v/>
      </c>
      <c r="D87" s="73"/>
      <c r="E87" s="74"/>
      <c r="F87" s="75" t="str">
        <f t="shared" si="4"/>
        <v/>
      </c>
      <c r="G87" s="73"/>
      <c r="H87" s="74"/>
      <c r="I87" s="75" t="str">
        <f t="shared" si="5"/>
        <v/>
      </c>
    </row>
    <row r="88" spans="1:9" s="75" customFormat="1" ht="16.5">
      <c r="A88" s="73"/>
      <c r="B88" s="74"/>
      <c r="C88" s="75" t="str">
        <f t="shared" si="3"/>
        <v/>
      </c>
      <c r="D88" s="73"/>
      <c r="E88" s="74"/>
      <c r="F88" s="75" t="str">
        <f t="shared" si="4"/>
        <v/>
      </c>
      <c r="G88" s="73"/>
      <c r="H88" s="74"/>
      <c r="I88" s="75" t="str">
        <f t="shared" si="5"/>
        <v/>
      </c>
    </row>
    <row r="89" spans="1:9" s="75" customFormat="1" ht="16.5">
      <c r="A89" s="73"/>
      <c r="B89" s="74"/>
      <c r="C89" s="75" t="str">
        <f t="shared" si="3"/>
        <v/>
      </c>
      <c r="D89" s="73"/>
      <c r="E89" s="74"/>
      <c r="F89" s="75" t="str">
        <f t="shared" si="4"/>
        <v/>
      </c>
      <c r="G89" s="73"/>
      <c r="H89" s="74"/>
      <c r="I89" s="75" t="str">
        <f t="shared" si="5"/>
        <v/>
      </c>
    </row>
    <row r="90" spans="1:9" s="75" customFormat="1" ht="16.5">
      <c r="A90" s="73"/>
      <c r="B90" s="74"/>
      <c r="C90" s="75" t="str">
        <f t="shared" si="3"/>
        <v/>
      </c>
      <c r="D90" s="73"/>
      <c r="E90" s="74"/>
      <c r="F90" s="75" t="str">
        <f t="shared" si="4"/>
        <v/>
      </c>
      <c r="G90" s="73"/>
      <c r="H90" s="74"/>
      <c r="I90" s="75" t="str">
        <f t="shared" si="5"/>
        <v/>
      </c>
    </row>
    <row r="91" spans="1:9" s="75" customFormat="1" ht="16.5">
      <c r="A91" s="73"/>
      <c r="B91" s="74"/>
      <c r="C91" s="75" t="str">
        <f t="shared" si="3"/>
        <v/>
      </c>
      <c r="D91" s="73"/>
      <c r="E91" s="74"/>
      <c r="F91" s="75" t="str">
        <f t="shared" si="4"/>
        <v/>
      </c>
      <c r="G91" s="73"/>
      <c r="H91" s="74"/>
      <c r="I91" s="75" t="str">
        <f t="shared" si="5"/>
        <v/>
      </c>
    </row>
    <row r="92" spans="1:9" s="75" customFormat="1" ht="16.5">
      <c r="A92" s="73"/>
      <c r="B92" s="74"/>
      <c r="C92" s="75" t="str">
        <f t="shared" si="3"/>
        <v/>
      </c>
      <c r="D92" s="73"/>
      <c r="E92" s="74"/>
      <c r="F92" s="75" t="str">
        <f t="shared" si="4"/>
        <v/>
      </c>
      <c r="G92" s="73"/>
      <c r="H92" s="74"/>
      <c r="I92" s="75" t="str">
        <f t="shared" si="5"/>
        <v/>
      </c>
    </row>
    <row r="93" spans="1:9" s="75" customFormat="1" ht="16.5">
      <c r="A93" s="73"/>
      <c r="B93" s="74"/>
      <c r="C93" s="75" t="str">
        <f t="shared" si="3"/>
        <v/>
      </c>
      <c r="D93" s="73"/>
      <c r="E93" s="74"/>
      <c r="F93" s="75" t="str">
        <f t="shared" si="4"/>
        <v/>
      </c>
      <c r="G93" s="73"/>
      <c r="H93" s="74"/>
      <c r="I93" s="75" t="str">
        <f t="shared" si="5"/>
        <v/>
      </c>
    </row>
    <row r="94" spans="1:9" s="75" customFormat="1" ht="16.5">
      <c r="A94" s="73"/>
      <c r="B94" s="74"/>
      <c r="C94" s="75" t="str">
        <f t="shared" si="3"/>
        <v/>
      </c>
      <c r="D94" s="73"/>
      <c r="E94" s="74"/>
      <c r="F94" s="75" t="str">
        <f t="shared" si="4"/>
        <v/>
      </c>
      <c r="G94" s="73"/>
      <c r="H94" s="74"/>
      <c r="I94" s="75" t="str">
        <f t="shared" si="5"/>
        <v/>
      </c>
    </row>
    <row r="95" spans="1:9" s="75" customFormat="1" ht="16.5">
      <c r="A95" s="73"/>
      <c r="B95" s="74"/>
      <c r="C95" s="75" t="str">
        <f t="shared" si="3"/>
        <v/>
      </c>
      <c r="D95" s="73"/>
      <c r="E95" s="74"/>
      <c r="F95" s="75" t="str">
        <f t="shared" si="4"/>
        <v/>
      </c>
      <c r="G95" s="73"/>
      <c r="H95" s="74"/>
      <c r="I95" s="75" t="str">
        <f t="shared" si="5"/>
        <v/>
      </c>
    </row>
    <row r="96" spans="1:9" s="75" customFormat="1" ht="16.5">
      <c r="A96" s="73"/>
      <c r="B96" s="74"/>
      <c r="C96" s="75" t="str">
        <f t="shared" si="3"/>
        <v/>
      </c>
      <c r="D96" s="73"/>
      <c r="E96" s="74"/>
      <c r="F96" s="75" t="str">
        <f t="shared" si="4"/>
        <v/>
      </c>
      <c r="G96" s="73"/>
      <c r="H96" s="74"/>
      <c r="I96" s="75" t="str">
        <f t="shared" si="5"/>
        <v/>
      </c>
    </row>
    <row r="97" spans="1:9" s="75" customFormat="1" ht="16.5">
      <c r="A97" s="73"/>
      <c r="B97" s="74"/>
      <c r="C97" s="75" t="str">
        <f t="shared" si="3"/>
        <v/>
      </c>
      <c r="D97" s="73"/>
      <c r="E97" s="74"/>
      <c r="F97" s="75" t="str">
        <f t="shared" si="4"/>
        <v/>
      </c>
      <c r="G97" s="73"/>
      <c r="H97" s="74"/>
      <c r="I97" s="75" t="str">
        <f t="shared" si="5"/>
        <v/>
      </c>
    </row>
    <row r="98" spans="1:9" s="75" customFormat="1" ht="16.5">
      <c r="A98" s="73"/>
      <c r="B98" s="74"/>
      <c r="C98" s="75" t="str">
        <f t="shared" si="3"/>
        <v/>
      </c>
      <c r="D98" s="73"/>
      <c r="E98" s="74"/>
      <c r="F98" s="75" t="str">
        <f t="shared" si="4"/>
        <v/>
      </c>
      <c r="G98" s="73"/>
      <c r="H98" s="74"/>
      <c r="I98" s="75" t="str">
        <f t="shared" si="5"/>
        <v/>
      </c>
    </row>
    <row r="99" spans="1:9" s="75" customFormat="1" ht="16.5">
      <c r="A99" s="73"/>
      <c r="B99" s="74"/>
      <c r="C99" s="75" t="str">
        <f t="shared" si="3"/>
        <v/>
      </c>
      <c r="D99" s="73"/>
      <c r="E99" s="74"/>
      <c r="F99" s="75" t="str">
        <f t="shared" si="4"/>
        <v/>
      </c>
      <c r="G99" s="73"/>
      <c r="H99" s="74"/>
      <c r="I99" s="75" t="str">
        <f t="shared" si="5"/>
        <v/>
      </c>
    </row>
    <row r="100" spans="1:9" s="75" customFormat="1" ht="16.5">
      <c r="A100" s="73"/>
      <c r="B100" s="74"/>
      <c r="C100" s="75" t="str">
        <f t="shared" si="3"/>
        <v/>
      </c>
      <c r="D100" s="73"/>
      <c r="E100" s="74"/>
      <c r="F100" s="75" t="str">
        <f t="shared" si="4"/>
        <v/>
      </c>
      <c r="G100" s="73"/>
      <c r="H100" s="74"/>
      <c r="I100" s="75" t="str">
        <f t="shared" si="5"/>
        <v/>
      </c>
    </row>
    <row r="101" spans="1:9" s="75" customFormat="1" ht="16.5">
      <c r="A101" s="73"/>
      <c r="B101" s="74"/>
      <c r="C101" s="75" t="str">
        <f t="shared" si="3"/>
        <v/>
      </c>
      <c r="D101" s="73"/>
      <c r="E101" s="74"/>
      <c r="F101" s="75" t="str">
        <f t="shared" si="4"/>
        <v/>
      </c>
      <c r="G101" s="73"/>
      <c r="H101" s="74"/>
      <c r="I101" s="75" t="str">
        <f t="shared" si="5"/>
        <v/>
      </c>
    </row>
    <row r="102" spans="1:9" s="75" customFormat="1" ht="16.5">
      <c r="A102" s="73"/>
      <c r="B102" s="74"/>
      <c r="C102" s="75" t="str">
        <f t="shared" si="3"/>
        <v/>
      </c>
      <c r="D102" s="73"/>
      <c r="E102" s="74"/>
      <c r="F102" s="75" t="str">
        <f t="shared" si="4"/>
        <v/>
      </c>
      <c r="G102" s="73"/>
      <c r="H102" s="74"/>
      <c r="I102" s="75" t="str">
        <f t="shared" si="5"/>
        <v/>
      </c>
    </row>
    <row r="103" spans="1:9" s="75" customFormat="1" ht="16.5">
      <c r="A103" s="73"/>
      <c r="B103" s="74"/>
      <c r="C103" s="75" t="str">
        <f t="shared" si="3"/>
        <v/>
      </c>
      <c r="D103" s="73"/>
      <c r="E103" s="74"/>
      <c r="F103" s="75" t="str">
        <f t="shared" si="4"/>
        <v/>
      </c>
      <c r="G103" s="73"/>
      <c r="H103" s="74"/>
      <c r="I103" s="75" t="str">
        <f t="shared" si="5"/>
        <v/>
      </c>
    </row>
    <row r="104" spans="1:9" s="75" customFormat="1" ht="16.5">
      <c r="A104" s="73"/>
      <c r="B104" s="74"/>
      <c r="C104" s="75" t="str">
        <f t="shared" si="3"/>
        <v/>
      </c>
      <c r="D104" s="73"/>
      <c r="E104" s="74"/>
      <c r="F104" s="75" t="str">
        <f t="shared" si="4"/>
        <v/>
      </c>
      <c r="G104" s="73"/>
      <c r="H104" s="74"/>
      <c r="I104" s="75" t="str">
        <f t="shared" si="5"/>
        <v/>
      </c>
    </row>
    <row r="105" spans="1:9" s="75" customFormat="1" ht="16.5">
      <c r="A105" s="73"/>
      <c r="B105" s="74"/>
      <c r="C105" s="75" t="str">
        <f t="shared" si="3"/>
        <v/>
      </c>
      <c r="D105" s="73"/>
      <c r="E105" s="74"/>
      <c r="F105" s="75" t="str">
        <f t="shared" si="4"/>
        <v/>
      </c>
      <c r="G105" s="73"/>
      <c r="H105" s="74"/>
      <c r="I105" s="75" t="str">
        <f t="shared" si="5"/>
        <v/>
      </c>
    </row>
    <row r="106" spans="1:9" s="75" customFormat="1" ht="16.5">
      <c r="A106" s="73"/>
      <c r="B106" s="74"/>
      <c r="C106" s="75" t="str">
        <f t="shared" si="3"/>
        <v/>
      </c>
      <c r="D106" s="73"/>
      <c r="E106" s="74"/>
      <c r="F106" s="75" t="str">
        <f t="shared" si="4"/>
        <v/>
      </c>
      <c r="G106" s="73"/>
      <c r="H106" s="74"/>
      <c r="I106" s="75" t="str">
        <f t="shared" si="5"/>
        <v/>
      </c>
    </row>
    <row r="107" spans="1:9" s="75" customFormat="1" ht="16.5">
      <c r="A107" s="73"/>
      <c r="B107" s="74"/>
      <c r="C107" s="75" t="str">
        <f t="shared" si="3"/>
        <v/>
      </c>
      <c r="D107" s="73"/>
      <c r="E107" s="74"/>
      <c r="F107" s="75" t="str">
        <f t="shared" si="4"/>
        <v/>
      </c>
      <c r="G107" s="73"/>
      <c r="H107" s="74"/>
      <c r="I107" s="75" t="str">
        <f t="shared" si="5"/>
        <v/>
      </c>
    </row>
    <row r="108" spans="1:9" s="75" customFormat="1" ht="16.5">
      <c r="A108" s="73"/>
      <c r="B108" s="74"/>
      <c r="C108" s="75" t="str">
        <f t="shared" si="3"/>
        <v/>
      </c>
      <c r="D108" s="73"/>
      <c r="E108" s="74"/>
      <c r="F108" s="75" t="str">
        <f t="shared" si="4"/>
        <v/>
      </c>
      <c r="G108" s="73"/>
      <c r="H108" s="74"/>
      <c r="I108" s="75" t="str">
        <f t="shared" si="5"/>
        <v/>
      </c>
    </row>
    <row r="109" spans="1:9" s="75" customFormat="1" ht="16.5">
      <c r="A109" s="73"/>
      <c r="B109" s="74"/>
      <c r="C109" s="75" t="str">
        <f t="shared" si="3"/>
        <v/>
      </c>
      <c r="D109" s="73"/>
      <c r="E109" s="74"/>
      <c r="F109" s="75" t="str">
        <f t="shared" si="4"/>
        <v/>
      </c>
      <c r="G109" s="73"/>
      <c r="H109" s="74"/>
      <c r="I109" s="75" t="str">
        <f t="shared" si="5"/>
        <v/>
      </c>
    </row>
    <row r="110" spans="1:9" s="75" customFormat="1" ht="16.5">
      <c r="A110" s="73"/>
      <c r="B110" s="74"/>
      <c r="C110" s="75" t="str">
        <f t="shared" si="3"/>
        <v/>
      </c>
      <c r="D110" s="73"/>
      <c r="E110" s="74"/>
      <c r="F110" s="75" t="str">
        <f t="shared" si="4"/>
        <v/>
      </c>
      <c r="G110" s="73"/>
      <c r="H110" s="74"/>
      <c r="I110" s="75" t="str">
        <f t="shared" si="5"/>
        <v/>
      </c>
    </row>
    <row r="111" spans="1:9" s="75" customFormat="1" ht="16.5">
      <c r="A111" s="73"/>
      <c r="B111" s="74"/>
      <c r="C111" s="75" t="str">
        <f t="shared" si="3"/>
        <v/>
      </c>
      <c r="D111" s="73"/>
      <c r="E111" s="74"/>
      <c r="F111" s="75" t="str">
        <f t="shared" si="4"/>
        <v/>
      </c>
      <c r="G111" s="73"/>
      <c r="H111" s="74"/>
      <c r="I111" s="75" t="str">
        <f t="shared" si="5"/>
        <v/>
      </c>
    </row>
    <row r="112" spans="1:9" s="75" customFormat="1" ht="16.5">
      <c r="A112" s="73"/>
      <c r="B112" s="74"/>
      <c r="C112" s="75" t="str">
        <f t="shared" si="3"/>
        <v/>
      </c>
      <c r="D112" s="73"/>
      <c r="E112" s="74"/>
      <c r="F112" s="75" t="str">
        <f t="shared" si="4"/>
        <v/>
      </c>
      <c r="G112" s="73"/>
      <c r="H112" s="74"/>
      <c r="I112" s="75" t="str">
        <f t="shared" si="5"/>
        <v/>
      </c>
    </row>
    <row r="113" spans="1:9" s="75" customFormat="1" ht="16.5">
      <c r="A113" s="73"/>
      <c r="B113" s="74"/>
      <c r="C113" s="75" t="str">
        <f t="shared" si="3"/>
        <v/>
      </c>
      <c r="D113" s="73"/>
      <c r="E113" s="74"/>
      <c r="F113" s="75" t="str">
        <f t="shared" si="4"/>
        <v/>
      </c>
      <c r="G113" s="73"/>
      <c r="H113" s="74"/>
      <c r="I113" s="75" t="str">
        <f t="shared" si="5"/>
        <v/>
      </c>
    </row>
    <row r="114" spans="1:9" s="75" customFormat="1" ht="16.5">
      <c r="A114" s="73"/>
      <c r="B114" s="74"/>
      <c r="C114" s="75" t="str">
        <f t="shared" si="3"/>
        <v/>
      </c>
      <c r="D114" s="73"/>
      <c r="E114" s="74"/>
      <c r="F114" s="75" t="str">
        <f t="shared" si="4"/>
        <v/>
      </c>
      <c r="G114" s="73"/>
      <c r="H114" s="74"/>
      <c r="I114" s="75" t="str">
        <f t="shared" si="5"/>
        <v/>
      </c>
    </row>
    <row r="115" spans="1:9" s="75" customFormat="1" ht="16.5">
      <c r="A115" s="73"/>
      <c r="B115" s="74"/>
      <c r="C115" s="75" t="str">
        <f t="shared" si="3"/>
        <v/>
      </c>
      <c r="D115" s="73"/>
      <c r="E115" s="74"/>
      <c r="F115" s="75" t="str">
        <f t="shared" si="4"/>
        <v/>
      </c>
      <c r="G115" s="73"/>
      <c r="H115" s="74"/>
      <c r="I115" s="75" t="str">
        <f t="shared" si="5"/>
        <v/>
      </c>
    </row>
    <row r="116" spans="1:9" s="75" customFormat="1" ht="16.5">
      <c r="A116" s="73"/>
      <c r="B116" s="74"/>
      <c r="C116" s="75" t="str">
        <f t="shared" si="3"/>
        <v/>
      </c>
      <c r="D116" s="73"/>
      <c r="E116" s="74"/>
      <c r="F116" s="75" t="str">
        <f t="shared" si="4"/>
        <v/>
      </c>
      <c r="G116" s="73"/>
      <c r="H116" s="74"/>
      <c r="I116" s="75" t="str">
        <f t="shared" si="5"/>
        <v/>
      </c>
    </row>
    <row r="117" spans="1:9" s="75" customFormat="1" ht="16.5">
      <c r="A117" s="73"/>
      <c r="B117" s="74"/>
      <c r="C117" s="75" t="str">
        <f t="shared" si="3"/>
        <v/>
      </c>
      <c r="D117" s="73"/>
      <c r="E117" s="74"/>
      <c r="F117" s="75" t="str">
        <f t="shared" si="4"/>
        <v/>
      </c>
      <c r="G117" s="73"/>
      <c r="H117" s="74"/>
      <c r="I117" s="75" t="str">
        <f t="shared" si="5"/>
        <v/>
      </c>
    </row>
    <row r="118" spans="1:9" s="75" customFormat="1" ht="16.5">
      <c r="A118" s="73"/>
      <c r="B118" s="74"/>
      <c r="C118" s="75" t="str">
        <f t="shared" si="3"/>
        <v/>
      </c>
      <c r="D118" s="73"/>
      <c r="E118" s="74"/>
      <c r="F118" s="75" t="str">
        <f t="shared" si="4"/>
        <v/>
      </c>
      <c r="G118" s="73"/>
      <c r="H118" s="74"/>
      <c r="I118" s="75" t="str">
        <f t="shared" si="5"/>
        <v/>
      </c>
    </row>
    <row r="119" spans="1:9" s="75" customFormat="1" ht="16.5">
      <c r="A119" s="73"/>
      <c r="B119" s="74"/>
      <c r="C119" s="75" t="str">
        <f t="shared" si="3"/>
        <v/>
      </c>
      <c r="D119" s="73"/>
      <c r="E119" s="74"/>
      <c r="F119" s="75" t="str">
        <f t="shared" si="4"/>
        <v/>
      </c>
      <c r="G119" s="73"/>
      <c r="H119" s="74"/>
      <c r="I119" s="75" t="str">
        <f t="shared" si="5"/>
        <v/>
      </c>
    </row>
    <row r="120" spans="1:9" s="75" customFormat="1" ht="16.5">
      <c r="A120" s="73"/>
      <c r="B120" s="74"/>
      <c r="C120" s="75" t="str">
        <f t="shared" si="3"/>
        <v/>
      </c>
      <c r="D120" s="73"/>
      <c r="E120" s="74"/>
      <c r="F120" s="75" t="str">
        <f t="shared" si="4"/>
        <v/>
      </c>
      <c r="G120" s="73"/>
      <c r="H120" s="74"/>
      <c r="I120" s="75" t="str">
        <f t="shared" si="5"/>
        <v/>
      </c>
    </row>
    <row r="121" spans="1:9" s="75" customFormat="1" ht="16.5">
      <c r="A121" s="73"/>
      <c r="B121" s="74"/>
      <c r="C121" s="75" t="str">
        <f t="shared" si="3"/>
        <v/>
      </c>
      <c r="D121" s="73"/>
      <c r="E121" s="74"/>
      <c r="F121" s="75" t="str">
        <f t="shared" si="4"/>
        <v/>
      </c>
      <c r="G121" s="73"/>
      <c r="H121" s="74"/>
      <c r="I121" s="75" t="str">
        <f t="shared" si="5"/>
        <v/>
      </c>
    </row>
    <row r="122" spans="1:9" s="75" customFormat="1" ht="16.5">
      <c r="A122" s="73"/>
      <c r="B122" s="74"/>
      <c r="C122" s="75" t="str">
        <f t="shared" si="3"/>
        <v/>
      </c>
      <c r="D122" s="73"/>
      <c r="E122" s="74"/>
      <c r="F122" s="75" t="str">
        <f t="shared" si="4"/>
        <v/>
      </c>
      <c r="G122" s="73"/>
      <c r="H122" s="74"/>
      <c r="I122" s="75" t="str">
        <f t="shared" si="5"/>
        <v/>
      </c>
    </row>
    <row r="123" spans="1:9" s="75" customFormat="1" ht="16.5">
      <c r="A123" s="73"/>
      <c r="B123" s="74"/>
      <c r="C123" s="75" t="str">
        <f t="shared" si="3"/>
        <v/>
      </c>
      <c r="D123" s="73"/>
      <c r="E123" s="74"/>
      <c r="F123" s="75" t="str">
        <f t="shared" si="4"/>
        <v/>
      </c>
      <c r="G123" s="73"/>
      <c r="H123" s="74"/>
      <c r="I123" s="75" t="str">
        <f t="shared" si="5"/>
        <v/>
      </c>
    </row>
    <row r="124" spans="1:9" s="75" customFormat="1" ht="16.5">
      <c r="A124" s="73"/>
      <c r="B124" s="74"/>
      <c r="C124" s="75" t="str">
        <f t="shared" si="3"/>
        <v/>
      </c>
      <c r="D124" s="73"/>
      <c r="E124" s="74"/>
      <c r="F124" s="75" t="str">
        <f t="shared" si="4"/>
        <v/>
      </c>
      <c r="G124" s="73"/>
      <c r="H124" s="74"/>
      <c r="I124" s="75" t="str">
        <f t="shared" si="5"/>
        <v/>
      </c>
    </row>
    <row r="125" spans="1:9" s="75" customFormat="1" ht="16.5">
      <c r="A125" s="73"/>
      <c r="B125" s="74"/>
      <c r="C125" s="75" t="str">
        <f t="shared" si="3"/>
        <v/>
      </c>
      <c r="D125" s="73"/>
      <c r="E125" s="74"/>
      <c r="F125" s="75" t="str">
        <f t="shared" si="4"/>
        <v/>
      </c>
      <c r="G125" s="73"/>
      <c r="H125" s="74"/>
      <c r="I125" s="75" t="str">
        <f t="shared" si="5"/>
        <v/>
      </c>
    </row>
    <row r="126" spans="1:9" s="75" customFormat="1" ht="16.5">
      <c r="A126" s="73"/>
      <c r="B126" s="74"/>
      <c r="C126" s="75" t="str">
        <f t="shared" si="3"/>
        <v/>
      </c>
      <c r="D126" s="73"/>
      <c r="E126" s="74"/>
      <c r="F126" s="75" t="str">
        <f t="shared" si="4"/>
        <v/>
      </c>
      <c r="G126" s="73"/>
      <c r="H126" s="74"/>
      <c r="I126" s="75" t="str">
        <f t="shared" si="5"/>
        <v/>
      </c>
    </row>
    <row r="127" spans="1:9" s="75" customFormat="1" ht="16.5">
      <c r="A127" s="73"/>
      <c r="B127" s="74"/>
      <c r="C127" s="75" t="str">
        <f t="shared" si="3"/>
        <v/>
      </c>
      <c r="D127" s="73"/>
      <c r="E127" s="74"/>
      <c r="F127" s="75" t="str">
        <f t="shared" si="4"/>
        <v/>
      </c>
      <c r="G127" s="73"/>
      <c r="H127" s="74"/>
      <c r="I127" s="75" t="str">
        <f t="shared" si="5"/>
        <v/>
      </c>
    </row>
    <row r="128" spans="1:9" s="75" customFormat="1" ht="16.5">
      <c r="A128" s="73"/>
      <c r="B128" s="74"/>
      <c r="C128" s="75" t="str">
        <f t="shared" si="3"/>
        <v/>
      </c>
      <c r="D128" s="73"/>
      <c r="E128" s="74"/>
      <c r="F128" s="75" t="str">
        <f t="shared" si="4"/>
        <v/>
      </c>
      <c r="G128" s="73"/>
      <c r="H128" s="74"/>
      <c r="I128" s="75" t="str">
        <f t="shared" si="5"/>
        <v/>
      </c>
    </row>
    <row r="129" spans="1:9" s="75" customFormat="1" ht="16.5">
      <c r="A129" s="73"/>
      <c r="B129" s="74"/>
      <c r="C129" s="75" t="str">
        <f t="shared" si="3"/>
        <v/>
      </c>
      <c r="D129" s="73"/>
      <c r="E129" s="74"/>
      <c r="F129" s="75" t="str">
        <f t="shared" si="4"/>
        <v/>
      </c>
      <c r="G129" s="73"/>
      <c r="H129" s="74"/>
      <c r="I129" s="75" t="str">
        <f t="shared" si="5"/>
        <v/>
      </c>
    </row>
    <row r="130" spans="1:9" s="75" customFormat="1" ht="16.5">
      <c r="A130" s="73"/>
      <c r="B130" s="74"/>
      <c r="C130" s="75" t="str">
        <f t="shared" si="3"/>
        <v/>
      </c>
      <c r="D130" s="73"/>
      <c r="E130" s="74"/>
      <c r="F130" s="75" t="str">
        <f t="shared" si="4"/>
        <v/>
      </c>
      <c r="G130" s="73"/>
      <c r="H130" s="74"/>
      <c r="I130" s="75" t="str">
        <f t="shared" si="5"/>
        <v/>
      </c>
    </row>
    <row r="131" spans="1:9" s="75" customFormat="1" ht="16.5">
      <c r="A131" s="73"/>
      <c r="B131" s="74"/>
      <c r="C131" s="75" t="str">
        <f t="shared" si="3"/>
        <v/>
      </c>
      <c r="D131" s="73"/>
      <c r="E131" s="74"/>
      <c r="F131" s="75" t="str">
        <f t="shared" si="4"/>
        <v/>
      </c>
      <c r="G131" s="73"/>
      <c r="H131" s="74"/>
      <c r="I131" s="75" t="str">
        <f t="shared" si="5"/>
        <v/>
      </c>
    </row>
    <row r="132" spans="1:9" s="75" customFormat="1" ht="16.5">
      <c r="A132" s="73"/>
      <c r="B132" s="74"/>
      <c r="C132" s="75" t="str">
        <f t="shared" si="3"/>
        <v/>
      </c>
      <c r="D132" s="73"/>
      <c r="E132" s="74"/>
      <c r="F132" s="75" t="str">
        <f t="shared" si="4"/>
        <v/>
      </c>
      <c r="G132" s="73"/>
      <c r="H132" s="74"/>
      <c r="I132" s="75" t="str">
        <f t="shared" si="5"/>
        <v/>
      </c>
    </row>
    <row r="133" spans="1:9" s="75" customFormat="1" ht="16.5">
      <c r="A133" s="73"/>
      <c r="B133" s="74"/>
      <c r="C133" s="75" t="str">
        <f t="shared" ref="C133:C196" si="6">IF(B133&gt;0,TEXT(B133,"(aaa)"),"")</f>
        <v/>
      </c>
      <c r="D133" s="73"/>
      <c r="E133" s="74"/>
      <c r="F133" s="75" t="str">
        <f t="shared" ref="F133:F196" si="7">IF(E133&gt;0,TEXT(E133,"(aaa)"),"")</f>
        <v/>
      </c>
      <c r="G133" s="73"/>
      <c r="H133" s="74"/>
      <c r="I133" s="75" t="str">
        <f t="shared" ref="I133:I196" si="8">IF(H133&gt;0,TEXT(H133,"(aaa)"),"")</f>
        <v/>
      </c>
    </row>
    <row r="134" spans="1:9" s="75" customFormat="1" ht="16.5">
      <c r="A134" s="73"/>
      <c r="B134" s="74"/>
      <c r="C134" s="75" t="str">
        <f t="shared" si="6"/>
        <v/>
      </c>
      <c r="D134" s="73"/>
      <c r="E134" s="74"/>
      <c r="F134" s="75" t="str">
        <f t="shared" si="7"/>
        <v/>
      </c>
      <c r="G134" s="73"/>
      <c r="H134" s="74"/>
      <c r="I134" s="75" t="str">
        <f t="shared" si="8"/>
        <v/>
      </c>
    </row>
    <row r="135" spans="1:9" s="75" customFormat="1" ht="16.5">
      <c r="A135" s="73"/>
      <c r="B135" s="74"/>
      <c r="C135" s="75" t="str">
        <f t="shared" si="6"/>
        <v/>
      </c>
      <c r="D135" s="73"/>
      <c r="E135" s="74"/>
      <c r="F135" s="75" t="str">
        <f t="shared" si="7"/>
        <v/>
      </c>
      <c r="G135" s="73"/>
      <c r="H135" s="74"/>
      <c r="I135" s="75" t="str">
        <f t="shared" si="8"/>
        <v/>
      </c>
    </row>
    <row r="136" spans="1:9" s="75" customFormat="1" ht="16.5">
      <c r="A136" s="73"/>
      <c r="B136" s="74"/>
      <c r="C136" s="75" t="str">
        <f t="shared" si="6"/>
        <v/>
      </c>
      <c r="D136" s="73"/>
      <c r="E136" s="74"/>
      <c r="F136" s="75" t="str">
        <f t="shared" si="7"/>
        <v/>
      </c>
      <c r="G136" s="73"/>
      <c r="H136" s="74"/>
      <c r="I136" s="75" t="str">
        <f t="shared" si="8"/>
        <v/>
      </c>
    </row>
    <row r="137" spans="1:9" s="75" customFormat="1" ht="16.5">
      <c r="A137" s="73"/>
      <c r="B137" s="74"/>
      <c r="C137" s="75" t="str">
        <f t="shared" si="6"/>
        <v/>
      </c>
      <c r="D137" s="73"/>
      <c r="E137" s="74"/>
      <c r="F137" s="75" t="str">
        <f t="shared" si="7"/>
        <v/>
      </c>
      <c r="G137" s="73"/>
      <c r="H137" s="74"/>
      <c r="I137" s="75" t="str">
        <f t="shared" si="8"/>
        <v/>
      </c>
    </row>
    <row r="138" spans="1:9" s="75" customFormat="1" ht="16.5">
      <c r="A138" s="73"/>
      <c r="B138" s="74"/>
      <c r="C138" s="75" t="str">
        <f t="shared" si="6"/>
        <v/>
      </c>
      <c r="D138" s="73"/>
      <c r="E138" s="74"/>
      <c r="F138" s="75" t="str">
        <f t="shared" si="7"/>
        <v/>
      </c>
      <c r="G138" s="73"/>
      <c r="H138" s="74"/>
      <c r="I138" s="75" t="str">
        <f t="shared" si="8"/>
        <v/>
      </c>
    </row>
    <row r="139" spans="1:9" s="75" customFormat="1" ht="16.5">
      <c r="A139" s="73"/>
      <c r="B139" s="74"/>
      <c r="C139" s="75" t="str">
        <f t="shared" si="6"/>
        <v/>
      </c>
      <c r="D139" s="73"/>
      <c r="E139" s="74"/>
      <c r="F139" s="75" t="str">
        <f t="shared" si="7"/>
        <v/>
      </c>
      <c r="G139" s="73"/>
      <c r="H139" s="74"/>
      <c r="I139" s="75" t="str">
        <f t="shared" si="8"/>
        <v/>
      </c>
    </row>
    <row r="140" spans="1:9" s="75" customFormat="1" ht="16.5">
      <c r="A140" s="73"/>
      <c r="B140" s="74"/>
      <c r="C140" s="75" t="str">
        <f t="shared" si="6"/>
        <v/>
      </c>
      <c r="D140" s="73"/>
      <c r="E140" s="74"/>
      <c r="F140" s="75" t="str">
        <f t="shared" si="7"/>
        <v/>
      </c>
      <c r="G140" s="73"/>
      <c r="H140" s="74"/>
      <c r="I140" s="75" t="str">
        <f t="shared" si="8"/>
        <v/>
      </c>
    </row>
    <row r="141" spans="1:9" s="75" customFormat="1" ht="16.5">
      <c r="A141" s="73"/>
      <c r="B141" s="74"/>
      <c r="C141" s="75" t="str">
        <f t="shared" si="6"/>
        <v/>
      </c>
      <c r="D141" s="73"/>
      <c r="E141" s="74"/>
      <c r="F141" s="75" t="str">
        <f t="shared" si="7"/>
        <v/>
      </c>
      <c r="G141" s="73"/>
      <c r="H141" s="74"/>
      <c r="I141" s="75" t="str">
        <f t="shared" si="8"/>
        <v/>
      </c>
    </row>
    <row r="142" spans="1:9" s="75" customFormat="1" ht="16.5">
      <c r="A142" s="73"/>
      <c r="B142" s="74"/>
      <c r="C142" s="75" t="str">
        <f t="shared" si="6"/>
        <v/>
      </c>
      <c r="D142" s="73"/>
      <c r="E142" s="74"/>
      <c r="F142" s="75" t="str">
        <f t="shared" si="7"/>
        <v/>
      </c>
      <c r="G142" s="73"/>
      <c r="H142" s="74"/>
      <c r="I142" s="75" t="str">
        <f t="shared" si="8"/>
        <v/>
      </c>
    </row>
    <row r="143" spans="1:9" s="75" customFormat="1" ht="16.5">
      <c r="A143" s="73"/>
      <c r="B143" s="74"/>
      <c r="C143" s="75" t="str">
        <f t="shared" si="6"/>
        <v/>
      </c>
      <c r="D143" s="73"/>
      <c r="E143" s="74"/>
      <c r="F143" s="75" t="str">
        <f t="shared" si="7"/>
        <v/>
      </c>
      <c r="G143" s="73"/>
      <c r="H143" s="74"/>
      <c r="I143" s="75" t="str">
        <f t="shared" si="8"/>
        <v/>
      </c>
    </row>
    <row r="144" spans="1:9" s="75" customFormat="1" ht="16.5">
      <c r="A144" s="73"/>
      <c r="B144" s="74"/>
      <c r="C144" s="75" t="str">
        <f t="shared" si="6"/>
        <v/>
      </c>
      <c r="D144" s="73"/>
      <c r="E144" s="74"/>
      <c r="F144" s="75" t="str">
        <f t="shared" si="7"/>
        <v/>
      </c>
      <c r="G144" s="73"/>
      <c r="H144" s="74"/>
      <c r="I144" s="75" t="str">
        <f t="shared" si="8"/>
        <v/>
      </c>
    </row>
    <row r="145" spans="1:9" s="75" customFormat="1" ht="16.5">
      <c r="A145" s="73"/>
      <c r="B145" s="74"/>
      <c r="C145" s="75" t="str">
        <f t="shared" si="6"/>
        <v/>
      </c>
      <c r="D145" s="73"/>
      <c r="E145" s="74"/>
      <c r="F145" s="75" t="str">
        <f t="shared" si="7"/>
        <v/>
      </c>
      <c r="G145" s="73"/>
      <c r="H145" s="74"/>
      <c r="I145" s="75" t="str">
        <f t="shared" si="8"/>
        <v/>
      </c>
    </row>
    <row r="146" spans="1:9" s="75" customFormat="1" ht="16.5">
      <c r="A146" s="73"/>
      <c r="B146" s="74"/>
      <c r="C146" s="75" t="str">
        <f t="shared" si="6"/>
        <v/>
      </c>
      <c r="D146" s="73"/>
      <c r="E146" s="74"/>
      <c r="F146" s="75" t="str">
        <f t="shared" si="7"/>
        <v/>
      </c>
      <c r="G146" s="73"/>
      <c r="H146" s="74"/>
      <c r="I146" s="75" t="str">
        <f t="shared" si="8"/>
        <v/>
      </c>
    </row>
    <row r="147" spans="1:9" s="75" customFormat="1" ht="16.5">
      <c r="A147" s="73"/>
      <c r="B147" s="74"/>
      <c r="C147" s="75" t="str">
        <f t="shared" si="6"/>
        <v/>
      </c>
      <c r="D147" s="73"/>
      <c r="E147" s="74"/>
      <c r="F147" s="75" t="str">
        <f t="shared" si="7"/>
        <v/>
      </c>
      <c r="G147" s="73"/>
      <c r="H147" s="74"/>
      <c r="I147" s="75" t="str">
        <f t="shared" si="8"/>
        <v/>
      </c>
    </row>
    <row r="148" spans="1:9" s="75" customFormat="1" ht="16.5">
      <c r="A148" s="73"/>
      <c r="B148" s="74"/>
      <c r="C148" s="75" t="str">
        <f t="shared" si="6"/>
        <v/>
      </c>
      <c r="D148" s="73"/>
      <c r="E148" s="74"/>
      <c r="F148" s="75" t="str">
        <f t="shared" si="7"/>
        <v/>
      </c>
      <c r="G148" s="73"/>
      <c r="H148" s="74"/>
      <c r="I148" s="75" t="str">
        <f t="shared" si="8"/>
        <v/>
      </c>
    </row>
    <row r="149" spans="1:9" s="75" customFormat="1" ht="16.5">
      <c r="A149" s="73"/>
      <c r="B149" s="74"/>
      <c r="C149" s="75" t="str">
        <f t="shared" si="6"/>
        <v/>
      </c>
      <c r="D149" s="73"/>
      <c r="E149" s="74"/>
      <c r="F149" s="75" t="str">
        <f t="shared" si="7"/>
        <v/>
      </c>
      <c r="G149" s="73"/>
      <c r="H149" s="74"/>
      <c r="I149" s="75" t="str">
        <f t="shared" si="8"/>
        <v/>
      </c>
    </row>
    <row r="150" spans="1:9" s="75" customFormat="1" ht="16.5">
      <c r="A150" s="73"/>
      <c r="B150" s="74"/>
      <c r="C150" s="75" t="str">
        <f t="shared" si="6"/>
        <v/>
      </c>
      <c r="D150" s="73"/>
      <c r="E150" s="74"/>
      <c r="F150" s="75" t="str">
        <f t="shared" si="7"/>
        <v/>
      </c>
      <c r="G150" s="73"/>
      <c r="H150" s="74"/>
      <c r="I150" s="75" t="str">
        <f t="shared" si="8"/>
        <v/>
      </c>
    </row>
    <row r="151" spans="1:9" s="75" customFormat="1" ht="16.5">
      <c r="A151" s="73"/>
      <c r="B151" s="74"/>
      <c r="C151" s="75" t="str">
        <f t="shared" si="6"/>
        <v/>
      </c>
      <c r="D151" s="73"/>
      <c r="E151" s="74"/>
      <c r="F151" s="75" t="str">
        <f t="shared" si="7"/>
        <v/>
      </c>
      <c r="G151" s="73"/>
      <c r="H151" s="74"/>
      <c r="I151" s="75" t="str">
        <f t="shared" si="8"/>
        <v/>
      </c>
    </row>
    <row r="152" spans="1:9" s="75" customFormat="1" ht="16.5">
      <c r="A152" s="73"/>
      <c r="B152" s="74"/>
      <c r="C152" s="75" t="str">
        <f t="shared" si="6"/>
        <v/>
      </c>
      <c r="D152" s="73"/>
      <c r="E152" s="74"/>
      <c r="F152" s="75" t="str">
        <f t="shared" si="7"/>
        <v/>
      </c>
      <c r="G152" s="73"/>
      <c r="H152" s="74"/>
      <c r="I152" s="75" t="str">
        <f t="shared" si="8"/>
        <v/>
      </c>
    </row>
    <row r="153" spans="1:9" s="75" customFormat="1" ht="16.5">
      <c r="A153" s="73"/>
      <c r="B153" s="74"/>
      <c r="C153" s="75" t="str">
        <f t="shared" si="6"/>
        <v/>
      </c>
      <c r="D153" s="73"/>
      <c r="E153" s="74"/>
      <c r="F153" s="75" t="str">
        <f t="shared" si="7"/>
        <v/>
      </c>
      <c r="G153" s="73"/>
      <c r="H153" s="74"/>
      <c r="I153" s="75" t="str">
        <f t="shared" si="8"/>
        <v/>
      </c>
    </row>
    <row r="154" spans="1:9" s="75" customFormat="1" ht="16.5">
      <c r="A154" s="73"/>
      <c r="B154" s="74"/>
      <c r="C154" s="75" t="str">
        <f t="shared" si="6"/>
        <v/>
      </c>
      <c r="D154" s="73"/>
      <c r="E154" s="74"/>
      <c r="F154" s="75" t="str">
        <f t="shared" si="7"/>
        <v/>
      </c>
      <c r="G154" s="73"/>
      <c r="H154" s="74"/>
      <c r="I154" s="75" t="str">
        <f t="shared" si="8"/>
        <v/>
      </c>
    </row>
    <row r="155" spans="1:9" s="75" customFormat="1" ht="16.5">
      <c r="A155" s="73"/>
      <c r="B155" s="74"/>
      <c r="C155" s="75" t="str">
        <f t="shared" si="6"/>
        <v/>
      </c>
      <c r="D155" s="73"/>
      <c r="E155" s="74"/>
      <c r="F155" s="75" t="str">
        <f t="shared" si="7"/>
        <v/>
      </c>
      <c r="G155" s="73"/>
      <c r="H155" s="74"/>
      <c r="I155" s="75" t="str">
        <f t="shared" si="8"/>
        <v/>
      </c>
    </row>
    <row r="156" spans="1:9" s="75" customFormat="1" ht="16.5">
      <c r="A156" s="73"/>
      <c r="B156" s="74"/>
      <c r="C156" s="75" t="str">
        <f t="shared" si="6"/>
        <v/>
      </c>
      <c r="D156" s="73"/>
      <c r="E156" s="74"/>
      <c r="F156" s="75" t="str">
        <f t="shared" si="7"/>
        <v/>
      </c>
      <c r="G156" s="73"/>
      <c r="H156" s="74"/>
      <c r="I156" s="75" t="str">
        <f t="shared" si="8"/>
        <v/>
      </c>
    </row>
    <row r="157" spans="1:9" s="75" customFormat="1" ht="16.5">
      <c r="A157" s="73"/>
      <c r="B157" s="74"/>
      <c r="C157" s="75" t="str">
        <f t="shared" si="6"/>
        <v/>
      </c>
      <c r="D157" s="73"/>
      <c r="E157" s="74"/>
      <c r="F157" s="75" t="str">
        <f t="shared" si="7"/>
        <v/>
      </c>
      <c r="G157" s="73"/>
      <c r="H157" s="74"/>
      <c r="I157" s="75" t="str">
        <f t="shared" si="8"/>
        <v/>
      </c>
    </row>
    <row r="158" spans="1:9" s="75" customFormat="1" ht="16.5">
      <c r="A158" s="73"/>
      <c r="B158" s="74"/>
      <c r="C158" s="75" t="str">
        <f t="shared" si="6"/>
        <v/>
      </c>
      <c r="D158" s="73"/>
      <c r="E158" s="74"/>
      <c r="F158" s="75" t="str">
        <f t="shared" si="7"/>
        <v/>
      </c>
      <c r="G158" s="73"/>
      <c r="H158" s="74"/>
      <c r="I158" s="75" t="str">
        <f t="shared" si="8"/>
        <v/>
      </c>
    </row>
    <row r="159" spans="1:9" s="75" customFormat="1" ht="16.5">
      <c r="A159" s="73"/>
      <c r="B159" s="74"/>
      <c r="C159" s="75" t="str">
        <f t="shared" si="6"/>
        <v/>
      </c>
      <c r="D159" s="73"/>
      <c r="E159" s="74"/>
      <c r="F159" s="75" t="str">
        <f t="shared" si="7"/>
        <v/>
      </c>
      <c r="G159" s="73"/>
      <c r="H159" s="74"/>
      <c r="I159" s="75" t="str">
        <f t="shared" si="8"/>
        <v/>
      </c>
    </row>
    <row r="160" spans="1:9" s="75" customFormat="1" ht="16.5">
      <c r="A160" s="73"/>
      <c r="B160" s="74"/>
      <c r="C160" s="75" t="str">
        <f t="shared" si="6"/>
        <v/>
      </c>
      <c r="D160" s="73"/>
      <c r="E160" s="74"/>
      <c r="F160" s="75" t="str">
        <f t="shared" si="7"/>
        <v/>
      </c>
      <c r="G160" s="73"/>
      <c r="H160" s="74"/>
      <c r="I160" s="75" t="str">
        <f t="shared" si="8"/>
        <v/>
      </c>
    </row>
    <row r="161" spans="1:9" s="75" customFormat="1" ht="16.5">
      <c r="A161" s="73"/>
      <c r="B161" s="74"/>
      <c r="C161" s="75" t="str">
        <f t="shared" si="6"/>
        <v/>
      </c>
      <c r="D161" s="73"/>
      <c r="E161" s="74"/>
      <c r="F161" s="75" t="str">
        <f t="shared" si="7"/>
        <v/>
      </c>
      <c r="G161" s="73"/>
      <c r="H161" s="74"/>
      <c r="I161" s="75" t="str">
        <f t="shared" si="8"/>
        <v/>
      </c>
    </row>
    <row r="162" spans="1:9" s="75" customFormat="1" ht="16.5">
      <c r="A162" s="73"/>
      <c r="B162" s="74"/>
      <c r="C162" s="75" t="str">
        <f t="shared" si="6"/>
        <v/>
      </c>
      <c r="D162" s="73"/>
      <c r="E162" s="74"/>
      <c r="F162" s="75" t="str">
        <f t="shared" si="7"/>
        <v/>
      </c>
      <c r="G162" s="73"/>
      <c r="H162" s="74"/>
      <c r="I162" s="75" t="str">
        <f t="shared" si="8"/>
        <v/>
      </c>
    </row>
    <row r="163" spans="1:9" s="75" customFormat="1" ht="16.5">
      <c r="A163" s="73"/>
      <c r="B163" s="74"/>
      <c r="C163" s="75" t="str">
        <f t="shared" si="6"/>
        <v/>
      </c>
      <c r="D163" s="73"/>
      <c r="E163" s="74"/>
      <c r="F163" s="75" t="str">
        <f t="shared" si="7"/>
        <v/>
      </c>
      <c r="G163" s="73"/>
      <c r="H163" s="74"/>
      <c r="I163" s="75" t="str">
        <f t="shared" si="8"/>
        <v/>
      </c>
    </row>
    <row r="164" spans="1:9" s="75" customFormat="1" ht="16.5">
      <c r="A164" s="73"/>
      <c r="B164" s="74"/>
      <c r="C164" s="75" t="str">
        <f t="shared" si="6"/>
        <v/>
      </c>
      <c r="D164" s="73"/>
      <c r="E164" s="74"/>
      <c r="F164" s="75" t="str">
        <f t="shared" si="7"/>
        <v/>
      </c>
      <c r="G164" s="73"/>
      <c r="H164" s="74"/>
      <c r="I164" s="75" t="str">
        <f t="shared" si="8"/>
        <v/>
      </c>
    </row>
    <row r="165" spans="1:9" s="75" customFormat="1" ht="16.5">
      <c r="A165" s="73"/>
      <c r="B165" s="74"/>
      <c r="C165" s="75" t="str">
        <f t="shared" si="6"/>
        <v/>
      </c>
      <c r="D165" s="73"/>
      <c r="E165" s="74"/>
      <c r="F165" s="75" t="str">
        <f t="shared" si="7"/>
        <v/>
      </c>
      <c r="G165" s="73"/>
      <c r="H165" s="74"/>
      <c r="I165" s="75" t="str">
        <f t="shared" si="8"/>
        <v/>
      </c>
    </row>
    <row r="166" spans="1:9" s="75" customFormat="1" ht="16.5">
      <c r="A166" s="73"/>
      <c r="B166" s="74"/>
      <c r="C166" s="75" t="str">
        <f t="shared" si="6"/>
        <v/>
      </c>
      <c r="D166" s="73"/>
      <c r="E166" s="74"/>
      <c r="F166" s="75" t="str">
        <f t="shared" si="7"/>
        <v/>
      </c>
      <c r="G166" s="73"/>
      <c r="H166" s="74"/>
      <c r="I166" s="75" t="str">
        <f t="shared" si="8"/>
        <v/>
      </c>
    </row>
    <row r="167" spans="1:9" s="75" customFormat="1" ht="16.5">
      <c r="A167" s="73"/>
      <c r="B167" s="74"/>
      <c r="C167" s="75" t="str">
        <f t="shared" si="6"/>
        <v/>
      </c>
      <c r="D167" s="73"/>
      <c r="E167" s="74"/>
      <c r="F167" s="75" t="str">
        <f t="shared" si="7"/>
        <v/>
      </c>
      <c r="G167" s="73"/>
      <c r="H167" s="74"/>
      <c r="I167" s="75" t="str">
        <f t="shared" si="8"/>
        <v/>
      </c>
    </row>
    <row r="168" spans="1:9" s="75" customFormat="1" ht="16.5">
      <c r="A168" s="73"/>
      <c r="B168" s="74"/>
      <c r="C168" s="75" t="str">
        <f t="shared" si="6"/>
        <v/>
      </c>
      <c r="D168" s="73"/>
      <c r="E168" s="74"/>
      <c r="F168" s="75" t="str">
        <f t="shared" si="7"/>
        <v/>
      </c>
      <c r="G168" s="73"/>
      <c r="H168" s="74"/>
      <c r="I168" s="75" t="str">
        <f t="shared" si="8"/>
        <v/>
      </c>
    </row>
    <row r="169" spans="1:9" s="75" customFormat="1" ht="16.5">
      <c r="A169" s="73"/>
      <c r="B169" s="74"/>
      <c r="C169" s="75" t="str">
        <f t="shared" si="6"/>
        <v/>
      </c>
      <c r="D169" s="73"/>
      <c r="E169" s="74"/>
      <c r="F169" s="75" t="str">
        <f t="shared" si="7"/>
        <v/>
      </c>
      <c r="G169" s="73"/>
      <c r="H169" s="74"/>
      <c r="I169" s="75" t="str">
        <f t="shared" si="8"/>
        <v/>
      </c>
    </row>
    <row r="170" spans="1:9" s="75" customFormat="1" ht="16.5">
      <c r="A170" s="73"/>
      <c r="B170" s="74"/>
      <c r="C170" s="75" t="str">
        <f t="shared" si="6"/>
        <v/>
      </c>
      <c r="D170" s="73"/>
      <c r="E170" s="74"/>
      <c r="F170" s="75" t="str">
        <f t="shared" si="7"/>
        <v/>
      </c>
      <c r="G170" s="73"/>
      <c r="H170" s="74"/>
      <c r="I170" s="75" t="str">
        <f t="shared" si="8"/>
        <v/>
      </c>
    </row>
    <row r="171" spans="1:9" s="75" customFormat="1" ht="16.5">
      <c r="A171" s="73"/>
      <c r="B171" s="74"/>
      <c r="C171" s="75" t="str">
        <f t="shared" si="6"/>
        <v/>
      </c>
      <c r="D171" s="73"/>
      <c r="E171" s="74"/>
      <c r="F171" s="75" t="str">
        <f t="shared" si="7"/>
        <v/>
      </c>
      <c r="G171" s="73"/>
      <c r="H171" s="74"/>
      <c r="I171" s="75" t="str">
        <f t="shared" si="8"/>
        <v/>
      </c>
    </row>
    <row r="172" spans="1:9" s="75" customFormat="1" ht="16.5">
      <c r="A172" s="73"/>
      <c r="B172" s="74"/>
      <c r="C172" s="75" t="str">
        <f t="shared" si="6"/>
        <v/>
      </c>
      <c r="D172" s="73"/>
      <c r="E172" s="74"/>
      <c r="F172" s="75" t="str">
        <f t="shared" si="7"/>
        <v/>
      </c>
      <c r="G172" s="73"/>
      <c r="H172" s="74"/>
      <c r="I172" s="75" t="str">
        <f t="shared" si="8"/>
        <v/>
      </c>
    </row>
    <row r="173" spans="1:9" s="75" customFormat="1" ht="16.5">
      <c r="A173" s="73"/>
      <c r="B173" s="74"/>
      <c r="C173" s="75" t="str">
        <f t="shared" si="6"/>
        <v/>
      </c>
      <c r="D173" s="73"/>
      <c r="E173" s="74"/>
      <c r="F173" s="75" t="str">
        <f t="shared" si="7"/>
        <v/>
      </c>
      <c r="G173" s="73"/>
      <c r="H173" s="74"/>
      <c r="I173" s="75" t="str">
        <f t="shared" si="8"/>
        <v/>
      </c>
    </row>
    <row r="174" spans="1:9" s="75" customFormat="1" ht="16.5">
      <c r="A174" s="73"/>
      <c r="B174" s="74"/>
      <c r="C174" s="75" t="str">
        <f t="shared" si="6"/>
        <v/>
      </c>
      <c r="D174" s="73"/>
      <c r="E174" s="74"/>
      <c r="F174" s="75" t="str">
        <f t="shared" si="7"/>
        <v/>
      </c>
      <c r="G174" s="73"/>
      <c r="H174" s="74"/>
      <c r="I174" s="75" t="str">
        <f t="shared" si="8"/>
        <v/>
      </c>
    </row>
    <row r="175" spans="1:9" s="75" customFormat="1" ht="16.5">
      <c r="A175" s="73"/>
      <c r="B175" s="74"/>
      <c r="C175" s="75" t="str">
        <f t="shared" si="6"/>
        <v/>
      </c>
      <c r="D175" s="73"/>
      <c r="E175" s="74"/>
      <c r="F175" s="75" t="str">
        <f t="shared" si="7"/>
        <v/>
      </c>
      <c r="G175" s="73"/>
      <c r="H175" s="74"/>
      <c r="I175" s="75" t="str">
        <f t="shared" si="8"/>
        <v/>
      </c>
    </row>
    <row r="176" spans="1:9" s="75" customFormat="1" ht="16.5">
      <c r="A176" s="73"/>
      <c r="B176" s="74"/>
      <c r="C176" s="75" t="str">
        <f t="shared" si="6"/>
        <v/>
      </c>
      <c r="D176" s="73"/>
      <c r="E176" s="74"/>
      <c r="F176" s="75" t="str">
        <f t="shared" si="7"/>
        <v/>
      </c>
      <c r="G176" s="73"/>
      <c r="H176" s="74"/>
      <c r="I176" s="75" t="str">
        <f t="shared" si="8"/>
        <v/>
      </c>
    </row>
    <row r="177" spans="1:9" s="75" customFormat="1" ht="16.5">
      <c r="A177" s="73"/>
      <c r="B177" s="74"/>
      <c r="C177" s="75" t="str">
        <f t="shared" si="6"/>
        <v/>
      </c>
      <c r="D177" s="73"/>
      <c r="E177" s="74"/>
      <c r="F177" s="75" t="str">
        <f t="shared" si="7"/>
        <v/>
      </c>
      <c r="G177" s="73"/>
      <c r="H177" s="74"/>
      <c r="I177" s="75" t="str">
        <f t="shared" si="8"/>
        <v/>
      </c>
    </row>
    <row r="178" spans="1:9" s="75" customFormat="1" ht="16.5">
      <c r="A178" s="73"/>
      <c r="B178" s="74"/>
      <c r="C178" s="75" t="str">
        <f t="shared" si="6"/>
        <v/>
      </c>
      <c r="D178" s="73"/>
      <c r="E178" s="74"/>
      <c r="F178" s="75" t="str">
        <f t="shared" si="7"/>
        <v/>
      </c>
      <c r="G178" s="73"/>
      <c r="H178" s="74"/>
      <c r="I178" s="75" t="str">
        <f t="shared" si="8"/>
        <v/>
      </c>
    </row>
    <row r="179" spans="1:9" s="75" customFormat="1" ht="16.5">
      <c r="A179" s="73"/>
      <c r="B179" s="74"/>
      <c r="C179" s="75" t="str">
        <f t="shared" si="6"/>
        <v/>
      </c>
      <c r="D179" s="73"/>
      <c r="E179" s="74"/>
      <c r="F179" s="75" t="str">
        <f t="shared" si="7"/>
        <v/>
      </c>
      <c r="G179" s="73"/>
      <c r="H179" s="74"/>
      <c r="I179" s="75" t="str">
        <f t="shared" si="8"/>
        <v/>
      </c>
    </row>
    <row r="180" spans="1:9" s="75" customFormat="1" ht="16.5">
      <c r="A180" s="73"/>
      <c r="B180" s="74"/>
      <c r="C180" s="75" t="str">
        <f t="shared" si="6"/>
        <v/>
      </c>
      <c r="D180" s="73"/>
      <c r="E180" s="74"/>
      <c r="F180" s="75" t="str">
        <f t="shared" si="7"/>
        <v/>
      </c>
      <c r="G180" s="73"/>
      <c r="H180" s="74"/>
      <c r="I180" s="75" t="str">
        <f t="shared" si="8"/>
        <v/>
      </c>
    </row>
    <row r="181" spans="1:9" s="75" customFormat="1" ht="16.5">
      <c r="A181" s="73"/>
      <c r="B181" s="74"/>
      <c r="C181" s="75" t="str">
        <f t="shared" si="6"/>
        <v/>
      </c>
      <c r="D181" s="73"/>
      <c r="E181" s="74"/>
      <c r="F181" s="75" t="str">
        <f t="shared" si="7"/>
        <v/>
      </c>
      <c r="G181" s="73"/>
      <c r="H181" s="74"/>
      <c r="I181" s="75" t="str">
        <f t="shared" si="8"/>
        <v/>
      </c>
    </row>
    <row r="182" spans="1:9" s="75" customFormat="1" ht="16.5">
      <c r="A182" s="73"/>
      <c r="B182" s="74"/>
      <c r="C182" s="75" t="str">
        <f t="shared" si="6"/>
        <v/>
      </c>
      <c r="D182" s="73"/>
      <c r="E182" s="74"/>
      <c r="F182" s="75" t="str">
        <f t="shared" si="7"/>
        <v/>
      </c>
      <c r="G182" s="73"/>
      <c r="H182" s="74"/>
      <c r="I182" s="75" t="str">
        <f t="shared" si="8"/>
        <v/>
      </c>
    </row>
    <row r="183" spans="1:9" s="75" customFormat="1" ht="16.5">
      <c r="A183" s="73"/>
      <c r="B183" s="74"/>
      <c r="C183" s="75" t="str">
        <f t="shared" si="6"/>
        <v/>
      </c>
      <c r="D183" s="73"/>
      <c r="E183" s="74"/>
      <c r="F183" s="75" t="str">
        <f t="shared" si="7"/>
        <v/>
      </c>
      <c r="G183" s="73"/>
      <c r="H183" s="74"/>
      <c r="I183" s="75" t="str">
        <f t="shared" si="8"/>
        <v/>
      </c>
    </row>
    <row r="184" spans="1:9" s="75" customFormat="1" ht="16.5">
      <c r="A184" s="73"/>
      <c r="B184" s="74"/>
      <c r="C184" s="75" t="str">
        <f t="shared" si="6"/>
        <v/>
      </c>
      <c r="D184" s="73"/>
      <c r="E184" s="74"/>
      <c r="F184" s="75" t="str">
        <f t="shared" si="7"/>
        <v/>
      </c>
      <c r="G184" s="73"/>
      <c r="H184" s="74"/>
      <c r="I184" s="75" t="str">
        <f t="shared" si="8"/>
        <v/>
      </c>
    </row>
    <row r="185" spans="1:9" s="75" customFormat="1" ht="16.5">
      <c r="A185" s="73"/>
      <c r="B185" s="74"/>
      <c r="C185" s="75" t="str">
        <f t="shared" si="6"/>
        <v/>
      </c>
      <c r="D185" s="73"/>
      <c r="E185" s="74"/>
      <c r="F185" s="75" t="str">
        <f t="shared" si="7"/>
        <v/>
      </c>
      <c r="G185" s="73"/>
      <c r="H185" s="74"/>
      <c r="I185" s="75" t="str">
        <f t="shared" si="8"/>
        <v/>
      </c>
    </row>
    <row r="186" spans="1:9" s="75" customFormat="1" ht="16.5">
      <c r="A186" s="73"/>
      <c r="B186" s="74"/>
      <c r="C186" s="75" t="str">
        <f t="shared" si="6"/>
        <v/>
      </c>
      <c r="D186" s="73"/>
      <c r="E186" s="74"/>
      <c r="F186" s="75" t="str">
        <f t="shared" si="7"/>
        <v/>
      </c>
      <c r="G186" s="73"/>
      <c r="H186" s="74"/>
      <c r="I186" s="75" t="str">
        <f t="shared" si="8"/>
        <v/>
      </c>
    </row>
    <row r="187" spans="1:9" s="75" customFormat="1" ht="16.5">
      <c r="A187" s="73"/>
      <c r="B187" s="74"/>
      <c r="C187" s="75" t="str">
        <f t="shared" si="6"/>
        <v/>
      </c>
      <c r="D187" s="73"/>
      <c r="E187" s="74"/>
      <c r="F187" s="75" t="str">
        <f t="shared" si="7"/>
        <v/>
      </c>
      <c r="G187" s="73"/>
      <c r="H187" s="74"/>
      <c r="I187" s="75" t="str">
        <f t="shared" si="8"/>
        <v/>
      </c>
    </row>
    <row r="188" spans="1:9" s="75" customFormat="1" ht="16.5">
      <c r="A188" s="73"/>
      <c r="B188" s="74"/>
      <c r="C188" s="75" t="str">
        <f t="shared" si="6"/>
        <v/>
      </c>
      <c r="D188" s="73"/>
      <c r="E188" s="74"/>
      <c r="F188" s="75" t="str">
        <f t="shared" si="7"/>
        <v/>
      </c>
      <c r="G188" s="73"/>
      <c r="H188" s="74"/>
      <c r="I188" s="75" t="str">
        <f t="shared" si="8"/>
        <v/>
      </c>
    </row>
    <row r="189" spans="1:9" s="75" customFormat="1" ht="16.5">
      <c r="A189" s="73"/>
      <c r="B189" s="74"/>
      <c r="C189" s="75" t="str">
        <f t="shared" si="6"/>
        <v/>
      </c>
      <c r="D189" s="73"/>
      <c r="E189" s="74"/>
      <c r="F189" s="75" t="str">
        <f t="shared" si="7"/>
        <v/>
      </c>
      <c r="G189" s="73"/>
      <c r="H189" s="74"/>
      <c r="I189" s="75" t="str">
        <f t="shared" si="8"/>
        <v/>
      </c>
    </row>
    <row r="190" spans="1:9" s="75" customFormat="1" ht="16.5">
      <c r="A190" s="73"/>
      <c r="B190" s="74"/>
      <c r="C190" s="75" t="str">
        <f t="shared" si="6"/>
        <v/>
      </c>
      <c r="D190" s="73"/>
      <c r="E190" s="74"/>
      <c r="F190" s="75" t="str">
        <f t="shared" si="7"/>
        <v/>
      </c>
      <c r="G190" s="73"/>
      <c r="H190" s="74"/>
      <c r="I190" s="75" t="str">
        <f t="shared" si="8"/>
        <v/>
      </c>
    </row>
    <row r="191" spans="1:9" s="75" customFormat="1" ht="16.5">
      <c r="A191" s="73"/>
      <c r="B191" s="74"/>
      <c r="C191" s="75" t="str">
        <f t="shared" si="6"/>
        <v/>
      </c>
      <c r="D191" s="73"/>
      <c r="E191" s="74"/>
      <c r="F191" s="75" t="str">
        <f t="shared" si="7"/>
        <v/>
      </c>
      <c r="G191" s="73"/>
      <c r="H191" s="74"/>
      <c r="I191" s="75" t="str">
        <f t="shared" si="8"/>
        <v/>
      </c>
    </row>
    <row r="192" spans="1:9" s="75" customFormat="1" ht="16.5">
      <c r="A192" s="73"/>
      <c r="B192" s="74"/>
      <c r="C192" s="75" t="str">
        <f t="shared" si="6"/>
        <v/>
      </c>
      <c r="D192" s="73"/>
      <c r="E192" s="74"/>
      <c r="F192" s="75" t="str">
        <f t="shared" si="7"/>
        <v/>
      </c>
      <c r="G192" s="73"/>
      <c r="H192" s="74"/>
      <c r="I192" s="75" t="str">
        <f t="shared" si="8"/>
        <v/>
      </c>
    </row>
    <row r="193" spans="1:9" s="75" customFormat="1" ht="16.5">
      <c r="A193" s="73"/>
      <c r="B193" s="74"/>
      <c r="C193" s="75" t="str">
        <f t="shared" si="6"/>
        <v/>
      </c>
      <c r="D193" s="73"/>
      <c r="E193" s="74"/>
      <c r="F193" s="75" t="str">
        <f t="shared" si="7"/>
        <v/>
      </c>
      <c r="G193" s="73"/>
      <c r="H193" s="74"/>
      <c r="I193" s="75" t="str">
        <f t="shared" si="8"/>
        <v/>
      </c>
    </row>
    <row r="194" spans="1:9" s="75" customFormat="1" ht="16.5">
      <c r="A194" s="73"/>
      <c r="B194" s="74"/>
      <c r="C194" s="75" t="str">
        <f t="shared" si="6"/>
        <v/>
      </c>
      <c r="D194" s="73"/>
      <c r="E194" s="74"/>
      <c r="F194" s="75" t="str">
        <f t="shared" si="7"/>
        <v/>
      </c>
      <c r="G194" s="73"/>
      <c r="H194" s="74"/>
      <c r="I194" s="75" t="str">
        <f t="shared" si="8"/>
        <v/>
      </c>
    </row>
    <row r="195" spans="1:9" s="75" customFormat="1" ht="16.5">
      <c r="A195" s="73"/>
      <c r="B195" s="74"/>
      <c r="C195" s="75" t="str">
        <f t="shared" si="6"/>
        <v/>
      </c>
      <c r="D195" s="73"/>
      <c r="E195" s="74"/>
      <c r="F195" s="75" t="str">
        <f t="shared" si="7"/>
        <v/>
      </c>
      <c r="G195" s="73"/>
      <c r="H195" s="74"/>
      <c r="I195" s="75" t="str">
        <f t="shared" si="8"/>
        <v/>
      </c>
    </row>
    <row r="196" spans="1:9" s="75" customFormat="1" ht="16.5">
      <c r="A196" s="73"/>
      <c r="B196" s="74"/>
      <c r="C196" s="75" t="str">
        <f t="shared" si="6"/>
        <v/>
      </c>
      <c r="D196" s="73"/>
      <c r="E196" s="74"/>
      <c r="F196" s="75" t="str">
        <f t="shared" si="7"/>
        <v/>
      </c>
      <c r="G196" s="73"/>
      <c r="H196" s="74"/>
      <c r="I196" s="75" t="str">
        <f t="shared" si="8"/>
        <v/>
      </c>
    </row>
    <row r="197" spans="1:9" s="75" customFormat="1" ht="16.5">
      <c r="A197" s="73"/>
      <c r="B197" s="74"/>
      <c r="C197" s="75" t="str">
        <f t="shared" ref="C197:C260" si="9">IF(B197&gt;0,TEXT(B197,"(aaa)"),"")</f>
        <v/>
      </c>
      <c r="D197" s="73"/>
      <c r="E197" s="74"/>
      <c r="F197" s="75" t="str">
        <f t="shared" ref="F197:F260" si="10">IF(E197&gt;0,TEXT(E197,"(aaa)"),"")</f>
        <v/>
      </c>
      <c r="G197" s="73"/>
      <c r="H197" s="74"/>
      <c r="I197" s="75" t="str">
        <f t="shared" ref="I197:I260" si="11">IF(H197&gt;0,TEXT(H197,"(aaa)"),"")</f>
        <v/>
      </c>
    </row>
    <row r="198" spans="1:9" s="75" customFormat="1" ht="16.5">
      <c r="A198" s="73"/>
      <c r="B198" s="74"/>
      <c r="C198" s="75" t="str">
        <f t="shared" si="9"/>
        <v/>
      </c>
      <c r="D198" s="73"/>
      <c r="E198" s="74"/>
      <c r="F198" s="75" t="str">
        <f t="shared" si="10"/>
        <v/>
      </c>
      <c r="G198" s="73"/>
      <c r="H198" s="74"/>
      <c r="I198" s="75" t="str">
        <f t="shared" si="11"/>
        <v/>
      </c>
    </row>
    <row r="199" spans="1:9" s="75" customFormat="1" ht="16.5">
      <c r="A199" s="73"/>
      <c r="B199" s="74"/>
      <c r="C199" s="75" t="str">
        <f t="shared" si="9"/>
        <v/>
      </c>
      <c r="D199" s="73"/>
      <c r="E199" s="74"/>
      <c r="F199" s="75" t="str">
        <f t="shared" si="10"/>
        <v/>
      </c>
      <c r="G199" s="73"/>
      <c r="H199" s="74"/>
      <c r="I199" s="75" t="str">
        <f t="shared" si="11"/>
        <v/>
      </c>
    </row>
    <row r="200" spans="1:9" s="75" customFormat="1" ht="16.5">
      <c r="A200" s="73"/>
      <c r="B200" s="74"/>
      <c r="C200" s="75" t="str">
        <f t="shared" si="9"/>
        <v/>
      </c>
      <c r="D200" s="73"/>
      <c r="E200" s="74"/>
      <c r="F200" s="75" t="str">
        <f t="shared" si="10"/>
        <v/>
      </c>
      <c r="G200" s="73"/>
      <c r="H200" s="74"/>
      <c r="I200" s="75" t="str">
        <f t="shared" si="11"/>
        <v/>
      </c>
    </row>
    <row r="201" spans="1:9" s="75" customFormat="1" ht="16.5">
      <c r="A201" s="73"/>
      <c r="B201" s="74"/>
      <c r="C201" s="75" t="str">
        <f t="shared" si="9"/>
        <v/>
      </c>
      <c r="D201" s="73"/>
      <c r="E201" s="74"/>
      <c r="F201" s="75" t="str">
        <f t="shared" si="10"/>
        <v/>
      </c>
      <c r="G201" s="73"/>
      <c r="H201" s="74"/>
      <c r="I201" s="75" t="str">
        <f t="shared" si="11"/>
        <v/>
      </c>
    </row>
    <row r="202" spans="1:9" s="75" customFormat="1" ht="16.5">
      <c r="A202" s="73"/>
      <c r="B202" s="74"/>
      <c r="C202" s="75" t="str">
        <f t="shared" si="9"/>
        <v/>
      </c>
      <c r="D202" s="73"/>
      <c r="E202" s="74"/>
      <c r="F202" s="75" t="str">
        <f t="shared" si="10"/>
        <v/>
      </c>
      <c r="G202" s="73"/>
      <c r="H202" s="74"/>
      <c r="I202" s="75" t="str">
        <f t="shared" si="11"/>
        <v/>
      </c>
    </row>
    <row r="203" spans="1:9" s="75" customFormat="1" ht="16.5">
      <c r="A203" s="73"/>
      <c r="B203" s="74"/>
      <c r="C203" s="75" t="str">
        <f t="shared" si="9"/>
        <v/>
      </c>
      <c r="D203" s="73"/>
      <c r="E203" s="74"/>
      <c r="F203" s="75" t="str">
        <f t="shared" si="10"/>
        <v/>
      </c>
      <c r="G203" s="73"/>
      <c r="H203" s="74"/>
      <c r="I203" s="75" t="str">
        <f t="shared" si="11"/>
        <v/>
      </c>
    </row>
    <row r="204" spans="1:9" s="75" customFormat="1" ht="16.5">
      <c r="A204" s="73"/>
      <c r="B204" s="74"/>
      <c r="C204" s="75" t="str">
        <f t="shared" si="9"/>
        <v/>
      </c>
      <c r="D204" s="73"/>
      <c r="E204" s="74"/>
      <c r="F204" s="75" t="str">
        <f t="shared" si="10"/>
        <v/>
      </c>
      <c r="G204" s="73"/>
      <c r="H204" s="74"/>
      <c r="I204" s="75" t="str">
        <f t="shared" si="11"/>
        <v/>
      </c>
    </row>
    <row r="205" spans="1:9" s="75" customFormat="1" ht="16.5">
      <c r="A205" s="73"/>
      <c r="B205" s="74"/>
      <c r="C205" s="75" t="str">
        <f t="shared" si="9"/>
        <v/>
      </c>
      <c r="D205" s="73"/>
      <c r="E205" s="74"/>
      <c r="F205" s="75" t="str">
        <f t="shared" si="10"/>
        <v/>
      </c>
      <c r="G205" s="73"/>
      <c r="H205" s="74"/>
      <c r="I205" s="75" t="str">
        <f t="shared" si="11"/>
        <v/>
      </c>
    </row>
    <row r="206" spans="1:9" s="75" customFormat="1" ht="16.5">
      <c r="A206" s="73"/>
      <c r="B206" s="74"/>
      <c r="C206" s="75" t="str">
        <f t="shared" si="9"/>
        <v/>
      </c>
      <c r="D206" s="73"/>
      <c r="E206" s="74"/>
      <c r="F206" s="75" t="str">
        <f t="shared" si="10"/>
        <v/>
      </c>
      <c r="G206" s="73"/>
      <c r="H206" s="74"/>
      <c r="I206" s="75" t="str">
        <f t="shared" si="11"/>
        <v/>
      </c>
    </row>
    <row r="207" spans="1:9" s="75" customFormat="1" ht="16.5">
      <c r="A207" s="73"/>
      <c r="B207" s="74"/>
      <c r="C207" s="75" t="str">
        <f t="shared" si="9"/>
        <v/>
      </c>
      <c r="D207" s="73"/>
      <c r="E207" s="74"/>
      <c r="F207" s="75" t="str">
        <f t="shared" si="10"/>
        <v/>
      </c>
      <c r="G207" s="73"/>
      <c r="H207" s="74"/>
      <c r="I207" s="75" t="str">
        <f t="shared" si="11"/>
        <v/>
      </c>
    </row>
    <row r="208" spans="1:9" s="75" customFormat="1" ht="16.5">
      <c r="A208" s="73"/>
      <c r="B208" s="74"/>
      <c r="C208" s="75" t="str">
        <f t="shared" si="9"/>
        <v/>
      </c>
      <c r="D208" s="73"/>
      <c r="E208" s="74"/>
      <c r="F208" s="75" t="str">
        <f t="shared" si="10"/>
        <v/>
      </c>
      <c r="G208" s="73"/>
      <c r="H208" s="74"/>
      <c r="I208" s="75" t="str">
        <f t="shared" si="11"/>
        <v/>
      </c>
    </row>
    <row r="209" spans="1:9" s="75" customFormat="1" ht="16.5">
      <c r="A209" s="73"/>
      <c r="B209" s="74"/>
      <c r="C209" s="75" t="str">
        <f t="shared" si="9"/>
        <v/>
      </c>
      <c r="D209" s="73"/>
      <c r="E209" s="74"/>
      <c r="F209" s="75" t="str">
        <f t="shared" si="10"/>
        <v/>
      </c>
      <c r="G209" s="73"/>
      <c r="H209" s="74"/>
      <c r="I209" s="75" t="str">
        <f t="shared" si="11"/>
        <v/>
      </c>
    </row>
    <row r="210" spans="1:9" s="75" customFormat="1" ht="16.5">
      <c r="A210" s="73"/>
      <c r="B210" s="74"/>
      <c r="C210" s="75" t="str">
        <f t="shared" si="9"/>
        <v/>
      </c>
      <c r="D210" s="73"/>
      <c r="E210" s="74"/>
      <c r="F210" s="75" t="str">
        <f t="shared" si="10"/>
        <v/>
      </c>
      <c r="G210" s="73"/>
      <c r="H210" s="74"/>
      <c r="I210" s="75" t="str">
        <f t="shared" si="11"/>
        <v/>
      </c>
    </row>
    <row r="211" spans="1:9" s="75" customFormat="1" ht="16.5">
      <c r="A211" s="73"/>
      <c r="B211" s="74"/>
      <c r="C211" s="75" t="str">
        <f t="shared" si="9"/>
        <v/>
      </c>
      <c r="D211" s="73"/>
      <c r="E211" s="74"/>
      <c r="F211" s="75" t="str">
        <f t="shared" si="10"/>
        <v/>
      </c>
      <c r="G211" s="73"/>
      <c r="H211" s="74"/>
      <c r="I211" s="75" t="str">
        <f t="shared" si="11"/>
        <v/>
      </c>
    </row>
    <row r="212" spans="1:9" s="75" customFormat="1" ht="16.5">
      <c r="A212" s="73"/>
      <c r="B212" s="74"/>
      <c r="C212" s="75" t="str">
        <f t="shared" si="9"/>
        <v/>
      </c>
      <c r="D212" s="73"/>
      <c r="E212" s="74"/>
      <c r="F212" s="75" t="str">
        <f t="shared" si="10"/>
        <v/>
      </c>
      <c r="G212" s="73"/>
      <c r="H212" s="74"/>
      <c r="I212" s="75" t="str">
        <f t="shared" si="11"/>
        <v/>
      </c>
    </row>
    <row r="213" spans="1:9" s="75" customFormat="1" ht="16.5">
      <c r="A213" s="73"/>
      <c r="B213" s="74"/>
      <c r="C213" s="75" t="str">
        <f t="shared" si="9"/>
        <v/>
      </c>
      <c r="D213" s="73"/>
      <c r="E213" s="74"/>
      <c r="F213" s="75" t="str">
        <f t="shared" si="10"/>
        <v/>
      </c>
      <c r="G213" s="73"/>
      <c r="H213" s="74"/>
      <c r="I213" s="75" t="str">
        <f t="shared" si="11"/>
        <v/>
      </c>
    </row>
    <row r="214" spans="1:9" s="75" customFormat="1" ht="16.5">
      <c r="A214" s="73"/>
      <c r="B214" s="74"/>
      <c r="C214" s="75" t="str">
        <f t="shared" si="9"/>
        <v/>
      </c>
      <c r="D214" s="73"/>
      <c r="E214" s="74"/>
      <c r="F214" s="75" t="str">
        <f t="shared" si="10"/>
        <v/>
      </c>
      <c r="G214" s="73"/>
      <c r="H214" s="74"/>
      <c r="I214" s="75" t="str">
        <f t="shared" si="11"/>
        <v/>
      </c>
    </row>
    <row r="215" spans="1:9" s="75" customFormat="1" ht="16.5">
      <c r="A215" s="73"/>
      <c r="B215" s="74"/>
      <c r="C215" s="75" t="str">
        <f t="shared" si="9"/>
        <v/>
      </c>
      <c r="D215" s="73"/>
      <c r="E215" s="74"/>
      <c r="F215" s="75" t="str">
        <f t="shared" si="10"/>
        <v/>
      </c>
      <c r="G215" s="73"/>
      <c r="H215" s="74"/>
      <c r="I215" s="75" t="str">
        <f t="shared" si="11"/>
        <v/>
      </c>
    </row>
    <row r="216" spans="1:9" s="75" customFormat="1" ht="16.5">
      <c r="A216" s="73"/>
      <c r="B216" s="74"/>
      <c r="C216" s="75" t="str">
        <f t="shared" si="9"/>
        <v/>
      </c>
      <c r="D216" s="73"/>
      <c r="E216" s="74"/>
      <c r="F216" s="75" t="str">
        <f t="shared" si="10"/>
        <v/>
      </c>
      <c r="G216" s="73"/>
      <c r="H216" s="74"/>
      <c r="I216" s="75" t="str">
        <f t="shared" si="11"/>
        <v/>
      </c>
    </row>
    <row r="217" spans="1:9" s="75" customFormat="1" ht="16.5">
      <c r="A217" s="73"/>
      <c r="B217" s="74"/>
      <c r="C217" s="75" t="str">
        <f t="shared" si="9"/>
        <v/>
      </c>
      <c r="D217" s="73"/>
      <c r="E217" s="74"/>
      <c r="F217" s="75" t="str">
        <f t="shared" si="10"/>
        <v/>
      </c>
      <c r="G217" s="73"/>
      <c r="H217" s="74"/>
      <c r="I217" s="75" t="str">
        <f t="shared" si="11"/>
        <v/>
      </c>
    </row>
    <row r="218" spans="1:9" s="75" customFormat="1" ht="16.5">
      <c r="A218" s="73"/>
      <c r="B218" s="74"/>
      <c r="C218" s="75" t="str">
        <f t="shared" si="9"/>
        <v/>
      </c>
      <c r="D218" s="73"/>
      <c r="E218" s="74"/>
      <c r="F218" s="75" t="str">
        <f t="shared" si="10"/>
        <v/>
      </c>
      <c r="G218" s="73"/>
      <c r="H218" s="74"/>
      <c r="I218" s="75" t="str">
        <f t="shared" si="11"/>
        <v/>
      </c>
    </row>
    <row r="219" spans="1:9" s="75" customFormat="1" ht="16.5">
      <c r="A219" s="73"/>
      <c r="B219" s="74"/>
      <c r="C219" s="75" t="str">
        <f t="shared" si="9"/>
        <v/>
      </c>
      <c r="D219" s="73"/>
      <c r="E219" s="74"/>
      <c r="F219" s="75" t="str">
        <f t="shared" si="10"/>
        <v/>
      </c>
      <c r="G219" s="73"/>
      <c r="H219" s="74"/>
      <c r="I219" s="75" t="str">
        <f t="shared" si="11"/>
        <v/>
      </c>
    </row>
    <row r="220" spans="1:9" s="75" customFormat="1" ht="16.5">
      <c r="A220" s="73"/>
      <c r="B220" s="74"/>
      <c r="C220" s="75" t="str">
        <f t="shared" si="9"/>
        <v/>
      </c>
      <c r="D220" s="73"/>
      <c r="E220" s="74"/>
      <c r="F220" s="75" t="str">
        <f t="shared" si="10"/>
        <v/>
      </c>
      <c r="G220" s="73"/>
      <c r="H220" s="74"/>
      <c r="I220" s="75" t="str">
        <f t="shared" si="11"/>
        <v/>
      </c>
    </row>
    <row r="221" spans="1:9" s="75" customFormat="1" ht="16.5">
      <c r="A221" s="73"/>
      <c r="B221" s="74"/>
      <c r="C221" s="75" t="str">
        <f t="shared" si="9"/>
        <v/>
      </c>
      <c r="D221" s="73"/>
      <c r="E221" s="74"/>
      <c r="F221" s="75" t="str">
        <f t="shared" si="10"/>
        <v/>
      </c>
      <c r="G221" s="73"/>
      <c r="H221" s="74"/>
      <c r="I221" s="75" t="str">
        <f t="shared" si="11"/>
        <v/>
      </c>
    </row>
    <row r="222" spans="1:9" s="75" customFormat="1" ht="16.5">
      <c r="A222" s="73"/>
      <c r="B222" s="74"/>
      <c r="C222" s="75" t="str">
        <f t="shared" si="9"/>
        <v/>
      </c>
      <c r="D222" s="73"/>
      <c r="E222" s="74"/>
      <c r="F222" s="75" t="str">
        <f t="shared" si="10"/>
        <v/>
      </c>
      <c r="G222" s="73"/>
      <c r="H222" s="74"/>
      <c r="I222" s="75" t="str">
        <f t="shared" si="11"/>
        <v/>
      </c>
    </row>
    <row r="223" spans="1:9" s="75" customFormat="1" ht="16.5">
      <c r="A223" s="73"/>
      <c r="B223" s="74"/>
      <c r="C223" s="75" t="str">
        <f t="shared" si="9"/>
        <v/>
      </c>
      <c r="D223" s="73"/>
      <c r="E223" s="74"/>
      <c r="F223" s="75" t="str">
        <f t="shared" si="10"/>
        <v/>
      </c>
      <c r="G223" s="73"/>
      <c r="H223" s="74"/>
      <c r="I223" s="75" t="str">
        <f t="shared" si="11"/>
        <v/>
      </c>
    </row>
    <row r="224" spans="1:9" s="75" customFormat="1" ht="16.5">
      <c r="A224" s="73"/>
      <c r="B224" s="74"/>
      <c r="C224" s="75" t="str">
        <f t="shared" si="9"/>
        <v/>
      </c>
      <c r="D224" s="73"/>
      <c r="E224" s="74"/>
      <c r="F224" s="75" t="str">
        <f t="shared" si="10"/>
        <v/>
      </c>
      <c r="G224" s="73"/>
      <c r="H224" s="74"/>
      <c r="I224" s="75" t="str">
        <f t="shared" si="11"/>
        <v/>
      </c>
    </row>
    <row r="225" spans="1:9" s="75" customFormat="1" ht="16.5">
      <c r="A225" s="73"/>
      <c r="B225" s="74"/>
      <c r="C225" s="75" t="str">
        <f t="shared" si="9"/>
        <v/>
      </c>
      <c r="D225" s="73"/>
      <c r="E225" s="74"/>
      <c r="F225" s="75" t="str">
        <f t="shared" si="10"/>
        <v/>
      </c>
      <c r="G225" s="73"/>
      <c r="H225" s="74"/>
      <c r="I225" s="75" t="str">
        <f t="shared" si="11"/>
        <v/>
      </c>
    </row>
    <row r="226" spans="1:9" s="75" customFormat="1" ht="16.5">
      <c r="A226" s="73"/>
      <c r="B226" s="74"/>
      <c r="C226" s="75" t="str">
        <f t="shared" si="9"/>
        <v/>
      </c>
      <c r="D226" s="73"/>
      <c r="E226" s="74"/>
      <c r="F226" s="75" t="str">
        <f t="shared" si="10"/>
        <v/>
      </c>
      <c r="G226" s="73"/>
      <c r="H226" s="74"/>
      <c r="I226" s="75" t="str">
        <f t="shared" si="11"/>
        <v/>
      </c>
    </row>
    <row r="227" spans="1:9" s="75" customFormat="1" ht="16.5">
      <c r="A227" s="73"/>
      <c r="B227" s="74"/>
      <c r="C227" s="75" t="str">
        <f t="shared" si="9"/>
        <v/>
      </c>
      <c r="D227" s="73"/>
      <c r="E227" s="74"/>
      <c r="F227" s="75" t="str">
        <f t="shared" si="10"/>
        <v/>
      </c>
      <c r="G227" s="73"/>
      <c r="H227" s="74"/>
      <c r="I227" s="75" t="str">
        <f t="shared" si="11"/>
        <v/>
      </c>
    </row>
    <row r="228" spans="1:9" s="75" customFormat="1" ht="16.5">
      <c r="A228" s="73"/>
      <c r="B228" s="74"/>
      <c r="C228" s="75" t="str">
        <f t="shared" si="9"/>
        <v/>
      </c>
      <c r="D228" s="73"/>
      <c r="E228" s="74"/>
      <c r="F228" s="75" t="str">
        <f t="shared" si="10"/>
        <v/>
      </c>
      <c r="G228" s="73"/>
      <c r="H228" s="74"/>
      <c r="I228" s="75" t="str">
        <f t="shared" si="11"/>
        <v/>
      </c>
    </row>
    <row r="229" spans="1:9" s="75" customFormat="1" ht="16.5">
      <c r="A229" s="73"/>
      <c r="B229" s="74"/>
      <c r="C229" s="75" t="str">
        <f t="shared" si="9"/>
        <v/>
      </c>
      <c r="D229" s="73"/>
      <c r="E229" s="74"/>
      <c r="F229" s="75" t="str">
        <f t="shared" si="10"/>
        <v/>
      </c>
      <c r="G229" s="73"/>
      <c r="H229" s="74"/>
      <c r="I229" s="75" t="str">
        <f t="shared" si="11"/>
        <v/>
      </c>
    </row>
    <row r="230" spans="1:9" s="75" customFormat="1" ht="16.5">
      <c r="A230" s="73"/>
      <c r="B230" s="74"/>
      <c r="C230" s="75" t="str">
        <f t="shared" si="9"/>
        <v/>
      </c>
      <c r="D230" s="73"/>
      <c r="E230" s="74"/>
      <c r="F230" s="75" t="str">
        <f t="shared" si="10"/>
        <v/>
      </c>
      <c r="G230" s="73"/>
      <c r="H230" s="74"/>
      <c r="I230" s="75" t="str">
        <f t="shared" si="11"/>
        <v/>
      </c>
    </row>
    <row r="231" spans="1:9" s="75" customFormat="1" ht="16.5">
      <c r="A231" s="73"/>
      <c r="B231" s="74"/>
      <c r="C231" s="75" t="str">
        <f t="shared" si="9"/>
        <v/>
      </c>
      <c r="D231" s="73"/>
      <c r="E231" s="74"/>
      <c r="F231" s="75" t="str">
        <f t="shared" si="10"/>
        <v/>
      </c>
      <c r="G231" s="73"/>
      <c r="H231" s="74"/>
      <c r="I231" s="75" t="str">
        <f t="shared" si="11"/>
        <v/>
      </c>
    </row>
    <row r="232" spans="1:9" s="75" customFormat="1" ht="16.5">
      <c r="A232" s="73"/>
      <c r="B232" s="74"/>
      <c r="C232" s="75" t="str">
        <f t="shared" si="9"/>
        <v/>
      </c>
      <c r="D232" s="73"/>
      <c r="E232" s="74"/>
      <c r="F232" s="75" t="str">
        <f t="shared" si="10"/>
        <v/>
      </c>
      <c r="G232" s="73"/>
      <c r="H232" s="74"/>
      <c r="I232" s="75" t="str">
        <f t="shared" si="11"/>
        <v/>
      </c>
    </row>
    <row r="233" spans="1:9" s="75" customFormat="1" ht="16.5">
      <c r="A233" s="73"/>
      <c r="B233" s="74"/>
      <c r="C233" s="75" t="str">
        <f t="shared" si="9"/>
        <v/>
      </c>
      <c r="D233" s="73"/>
      <c r="E233" s="74"/>
      <c r="F233" s="75" t="str">
        <f t="shared" si="10"/>
        <v/>
      </c>
      <c r="G233" s="73"/>
      <c r="H233" s="74"/>
      <c r="I233" s="75" t="str">
        <f t="shared" si="11"/>
        <v/>
      </c>
    </row>
    <row r="234" spans="1:9" s="75" customFormat="1" ht="16.5">
      <c r="A234" s="73"/>
      <c r="B234" s="74"/>
      <c r="C234" s="75" t="str">
        <f t="shared" si="9"/>
        <v/>
      </c>
      <c r="D234" s="73"/>
      <c r="E234" s="74"/>
      <c r="F234" s="75" t="str">
        <f t="shared" si="10"/>
        <v/>
      </c>
      <c r="G234" s="73"/>
      <c r="H234" s="74"/>
      <c r="I234" s="75" t="str">
        <f t="shared" si="11"/>
        <v/>
      </c>
    </row>
    <row r="235" spans="1:9" s="75" customFormat="1" ht="16.5">
      <c r="A235" s="73"/>
      <c r="B235" s="74"/>
      <c r="C235" s="75" t="str">
        <f t="shared" si="9"/>
        <v/>
      </c>
      <c r="D235" s="73"/>
      <c r="E235" s="74"/>
      <c r="F235" s="75" t="str">
        <f t="shared" si="10"/>
        <v/>
      </c>
      <c r="G235" s="73"/>
      <c r="H235" s="74"/>
      <c r="I235" s="75" t="str">
        <f t="shared" si="11"/>
        <v/>
      </c>
    </row>
    <row r="236" spans="1:9" s="75" customFormat="1" ht="16.5">
      <c r="A236" s="73"/>
      <c r="B236" s="74"/>
      <c r="C236" s="75" t="str">
        <f t="shared" si="9"/>
        <v/>
      </c>
      <c r="D236" s="73"/>
      <c r="E236" s="74"/>
      <c r="F236" s="75" t="str">
        <f t="shared" si="10"/>
        <v/>
      </c>
      <c r="G236" s="73"/>
      <c r="H236" s="74"/>
      <c r="I236" s="75" t="str">
        <f t="shared" si="11"/>
        <v/>
      </c>
    </row>
    <row r="237" spans="1:9" s="75" customFormat="1" ht="16.5">
      <c r="A237" s="73"/>
      <c r="B237" s="74"/>
      <c r="C237" s="75" t="str">
        <f t="shared" si="9"/>
        <v/>
      </c>
      <c r="D237" s="73"/>
      <c r="E237" s="74"/>
      <c r="F237" s="75" t="str">
        <f t="shared" si="10"/>
        <v/>
      </c>
      <c r="G237" s="73"/>
      <c r="H237" s="74"/>
      <c r="I237" s="75" t="str">
        <f t="shared" si="11"/>
        <v/>
      </c>
    </row>
    <row r="238" spans="1:9" s="75" customFormat="1" ht="16.5">
      <c r="A238" s="73"/>
      <c r="B238" s="74"/>
      <c r="C238" s="75" t="str">
        <f t="shared" si="9"/>
        <v/>
      </c>
      <c r="D238" s="73"/>
      <c r="E238" s="74"/>
      <c r="F238" s="75" t="str">
        <f t="shared" si="10"/>
        <v/>
      </c>
      <c r="G238" s="73"/>
      <c r="H238" s="74"/>
      <c r="I238" s="75" t="str">
        <f t="shared" si="11"/>
        <v/>
      </c>
    </row>
    <row r="239" spans="1:9" s="75" customFormat="1" ht="16.5">
      <c r="A239" s="73"/>
      <c r="B239" s="74"/>
      <c r="C239" s="75" t="str">
        <f t="shared" si="9"/>
        <v/>
      </c>
      <c r="D239" s="73"/>
      <c r="E239" s="74"/>
      <c r="F239" s="75" t="str">
        <f t="shared" si="10"/>
        <v/>
      </c>
      <c r="G239" s="73"/>
      <c r="H239" s="74"/>
      <c r="I239" s="75" t="str">
        <f t="shared" si="11"/>
        <v/>
      </c>
    </row>
    <row r="240" spans="1:9" s="75" customFormat="1" ht="16.5">
      <c r="A240" s="73"/>
      <c r="B240" s="74"/>
      <c r="C240" s="75" t="str">
        <f t="shared" si="9"/>
        <v/>
      </c>
      <c r="D240" s="73"/>
      <c r="E240" s="74"/>
      <c r="F240" s="75" t="str">
        <f t="shared" si="10"/>
        <v/>
      </c>
      <c r="G240" s="73"/>
      <c r="H240" s="74"/>
      <c r="I240" s="75" t="str">
        <f t="shared" si="11"/>
        <v/>
      </c>
    </row>
    <row r="241" spans="1:9" s="75" customFormat="1" ht="16.5">
      <c r="A241" s="73"/>
      <c r="B241" s="74"/>
      <c r="C241" s="75" t="str">
        <f t="shared" si="9"/>
        <v/>
      </c>
      <c r="D241" s="73"/>
      <c r="E241" s="74"/>
      <c r="F241" s="75" t="str">
        <f t="shared" si="10"/>
        <v/>
      </c>
      <c r="G241" s="73"/>
      <c r="H241" s="74"/>
      <c r="I241" s="75" t="str">
        <f t="shared" si="11"/>
        <v/>
      </c>
    </row>
    <row r="242" spans="1:9" s="75" customFormat="1" ht="16.5">
      <c r="A242" s="73"/>
      <c r="B242" s="74"/>
      <c r="C242" s="75" t="str">
        <f t="shared" si="9"/>
        <v/>
      </c>
      <c r="D242" s="73"/>
      <c r="E242" s="74"/>
      <c r="F242" s="75" t="str">
        <f t="shared" si="10"/>
        <v/>
      </c>
      <c r="G242" s="73"/>
      <c r="H242" s="74"/>
      <c r="I242" s="75" t="str">
        <f t="shared" si="11"/>
        <v/>
      </c>
    </row>
    <row r="243" spans="1:9" s="75" customFormat="1" ht="16.5">
      <c r="A243" s="73"/>
      <c r="B243" s="74"/>
      <c r="C243" s="75" t="str">
        <f t="shared" si="9"/>
        <v/>
      </c>
      <c r="D243" s="73"/>
      <c r="E243" s="74"/>
      <c r="F243" s="75" t="str">
        <f t="shared" si="10"/>
        <v/>
      </c>
      <c r="G243" s="73"/>
      <c r="H243" s="74"/>
      <c r="I243" s="75" t="str">
        <f t="shared" si="11"/>
        <v/>
      </c>
    </row>
    <row r="244" spans="1:9" s="75" customFormat="1" ht="16.5">
      <c r="A244" s="73"/>
      <c r="B244" s="74"/>
      <c r="C244" s="75" t="str">
        <f t="shared" si="9"/>
        <v/>
      </c>
      <c r="D244" s="73"/>
      <c r="E244" s="74"/>
      <c r="F244" s="75" t="str">
        <f t="shared" si="10"/>
        <v/>
      </c>
      <c r="G244" s="73"/>
      <c r="H244" s="74"/>
      <c r="I244" s="75" t="str">
        <f t="shared" si="11"/>
        <v/>
      </c>
    </row>
    <row r="245" spans="1:9" s="75" customFormat="1" ht="16.5">
      <c r="A245" s="73"/>
      <c r="B245" s="74"/>
      <c r="C245" s="75" t="str">
        <f t="shared" si="9"/>
        <v/>
      </c>
      <c r="D245" s="73"/>
      <c r="E245" s="74"/>
      <c r="F245" s="75" t="str">
        <f t="shared" si="10"/>
        <v/>
      </c>
      <c r="G245" s="73"/>
      <c r="H245" s="74"/>
      <c r="I245" s="75" t="str">
        <f t="shared" si="11"/>
        <v/>
      </c>
    </row>
    <row r="246" spans="1:9" s="75" customFormat="1" ht="16.5">
      <c r="A246" s="73"/>
      <c r="B246" s="74"/>
      <c r="C246" s="75" t="str">
        <f t="shared" si="9"/>
        <v/>
      </c>
      <c r="D246" s="73"/>
      <c r="E246" s="74"/>
      <c r="F246" s="75" t="str">
        <f t="shared" si="10"/>
        <v/>
      </c>
      <c r="G246" s="73"/>
      <c r="H246" s="74"/>
      <c r="I246" s="75" t="str">
        <f t="shared" si="11"/>
        <v/>
      </c>
    </row>
    <row r="247" spans="1:9" s="75" customFormat="1" ht="16.5">
      <c r="A247" s="73"/>
      <c r="B247" s="74"/>
      <c r="C247" s="75" t="str">
        <f t="shared" si="9"/>
        <v/>
      </c>
      <c r="D247" s="73"/>
      <c r="E247" s="74"/>
      <c r="F247" s="75" t="str">
        <f t="shared" si="10"/>
        <v/>
      </c>
      <c r="G247" s="73"/>
      <c r="H247" s="74"/>
      <c r="I247" s="75" t="str">
        <f t="shared" si="11"/>
        <v/>
      </c>
    </row>
    <row r="248" spans="1:9" s="75" customFormat="1" ht="16.5">
      <c r="A248" s="73"/>
      <c r="B248" s="74"/>
      <c r="C248" s="75" t="str">
        <f t="shared" si="9"/>
        <v/>
      </c>
      <c r="D248" s="73"/>
      <c r="E248" s="74"/>
      <c r="F248" s="75" t="str">
        <f t="shared" si="10"/>
        <v/>
      </c>
      <c r="G248" s="73"/>
      <c r="H248" s="74"/>
      <c r="I248" s="75" t="str">
        <f t="shared" si="11"/>
        <v/>
      </c>
    </row>
    <row r="249" spans="1:9" s="75" customFormat="1" ht="16.5">
      <c r="A249" s="73"/>
      <c r="B249" s="74"/>
      <c r="C249" s="75" t="str">
        <f t="shared" si="9"/>
        <v/>
      </c>
      <c r="D249" s="73"/>
      <c r="E249" s="74"/>
      <c r="F249" s="75" t="str">
        <f t="shared" si="10"/>
        <v/>
      </c>
      <c r="G249" s="73"/>
      <c r="H249" s="74"/>
      <c r="I249" s="75" t="str">
        <f t="shared" si="11"/>
        <v/>
      </c>
    </row>
    <row r="250" spans="1:9" s="75" customFormat="1" ht="16.5">
      <c r="A250" s="73"/>
      <c r="B250" s="74"/>
      <c r="C250" s="75" t="str">
        <f t="shared" si="9"/>
        <v/>
      </c>
      <c r="D250" s="73"/>
      <c r="E250" s="74"/>
      <c r="F250" s="75" t="str">
        <f t="shared" si="10"/>
        <v/>
      </c>
      <c r="G250" s="73"/>
      <c r="H250" s="74"/>
      <c r="I250" s="75" t="str">
        <f t="shared" si="11"/>
        <v/>
      </c>
    </row>
    <row r="251" spans="1:9" s="75" customFormat="1" ht="16.5">
      <c r="A251" s="73"/>
      <c r="B251" s="74"/>
      <c r="C251" s="75" t="str">
        <f t="shared" si="9"/>
        <v/>
      </c>
      <c r="D251" s="73"/>
      <c r="E251" s="74"/>
      <c r="F251" s="75" t="str">
        <f t="shared" si="10"/>
        <v/>
      </c>
      <c r="G251" s="73"/>
      <c r="H251" s="74"/>
      <c r="I251" s="75" t="str">
        <f t="shared" si="11"/>
        <v/>
      </c>
    </row>
    <row r="252" spans="1:9" s="75" customFormat="1" ht="16.5">
      <c r="A252" s="73"/>
      <c r="B252" s="74"/>
      <c r="C252" s="75" t="str">
        <f t="shared" si="9"/>
        <v/>
      </c>
      <c r="D252" s="73"/>
      <c r="E252" s="74"/>
      <c r="F252" s="75" t="str">
        <f t="shared" si="10"/>
        <v/>
      </c>
      <c r="G252" s="73"/>
      <c r="H252" s="74"/>
      <c r="I252" s="75" t="str">
        <f t="shared" si="11"/>
        <v/>
      </c>
    </row>
    <row r="253" spans="1:9" s="75" customFormat="1" ht="16.5">
      <c r="A253" s="73"/>
      <c r="B253" s="74"/>
      <c r="C253" s="75" t="str">
        <f t="shared" si="9"/>
        <v/>
      </c>
      <c r="D253" s="73"/>
      <c r="E253" s="74"/>
      <c r="F253" s="75" t="str">
        <f t="shared" si="10"/>
        <v/>
      </c>
      <c r="G253" s="73"/>
      <c r="H253" s="74"/>
      <c r="I253" s="75" t="str">
        <f t="shared" si="11"/>
        <v/>
      </c>
    </row>
    <row r="254" spans="1:9" s="75" customFormat="1" ht="16.5">
      <c r="A254" s="73"/>
      <c r="B254" s="74"/>
      <c r="C254" s="75" t="str">
        <f t="shared" si="9"/>
        <v/>
      </c>
      <c r="D254" s="73"/>
      <c r="E254" s="74"/>
      <c r="F254" s="75" t="str">
        <f t="shared" si="10"/>
        <v/>
      </c>
      <c r="G254" s="73"/>
      <c r="H254" s="74"/>
      <c r="I254" s="75" t="str">
        <f t="shared" si="11"/>
        <v/>
      </c>
    </row>
    <row r="255" spans="1:9" s="75" customFormat="1" ht="16.5">
      <c r="A255" s="73"/>
      <c r="B255" s="74"/>
      <c r="C255" s="75" t="str">
        <f t="shared" si="9"/>
        <v/>
      </c>
      <c r="D255" s="73"/>
      <c r="E255" s="74"/>
      <c r="F255" s="75" t="str">
        <f t="shared" si="10"/>
        <v/>
      </c>
      <c r="G255" s="73"/>
      <c r="H255" s="74"/>
      <c r="I255" s="75" t="str">
        <f t="shared" si="11"/>
        <v/>
      </c>
    </row>
    <row r="256" spans="1:9" s="75" customFormat="1" ht="16.5">
      <c r="A256" s="73"/>
      <c r="B256" s="74"/>
      <c r="C256" s="75" t="str">
        <f t="shared" si="9"/>
        <v/>
      </c>
      <c r="D256" s="73"/>
      <c r="E256" s="74"/>
      <c r="F256" s="75" t="str">
        <f t="shared" si="10"/>
        <v/>
      </c>
      <c r="G256" s="73"/>
      <c r="H256" s="74"/>
      <c r="I256" s="75" t="str">
        <f t="shared" si="11"/>
        <v/>
      </c>
    </row>
    <row r="257" spans="1:9" s="75" customFormat="1" ht="16.5">
      <c r="A257" s="73"/>
      <c r="B257" s="74"/>
      <c r="C257" s="75" t="str">
        <f t="shared" si="9"/>
        <v/>
      </c>
      <c r="D257" s="73"/>
      <c r="E257" s="74"/>
      <c r="F257" s="75" t="str">
        <f t="shared" si="10"/>
        <v/>
      </c>
      <c r="G257" s="73"/>
      <c r="H257" s="74"/>
      <c r="I257" s="75" t="str">
        <f t="shared" si="11"/>
        <v/>
      </c>
    </row>
    <row r="258" spans="1:9" s="75" customFormat="1" ht="16.5">
      <c r="A258" s="73"/>
      <c r="B258" s="74"/>
      <c r="C258" s="75" t="str">
        <f t="shared" si="9"/>
        <v/>
      </c>
      <c r="D258" s="73"/>
      <c r="E258" s="74"/>
      <c r="F258" s="75" t="str">
        <f t="shared" si="10"/>
        <v/>
      </c>
      <c r="G258" s="73"/>
      <c r="H258" s="74"/>
      <c r="I258" s="75" t="str">
        <f t="shared" si="11"/>
        <v/>
      </c>
    </row>
    <row r="259" spans="1:9" s="75" customFormat="1" ht="16.5">
      <c r="A259" s="73"/>
      <c r="B259" s="74"/>
      <c r="C259" s="75" t="str">
        <f t="shared" si="9"/>
        <v/>
      </c>
      <c r="D259" s="73"/>
      <c r="E259" s="74"/>
      <c r="F259" s="75" t="str">
        <f t="shared" si="10"/>
        <v/>
      </c>
      <c r="G259" s="73"/>
      <c r="H259" s="74"/>
      <c r="I259" s="75" t="str">
        <f t="shared" si="11"/>
        <v/>
      </c>
    </row>
    <row r="260" spans="1:9" s="75" customFormat="1" ht="16.5">
      <c r="A260" s="73"/>
      <c r="B260" s="74"/>
      <c r="C260" s="75" t="str">
        <f t="shared" si="9"/>
        <v/>
      </c>
      <c r="D260" s="73"/>
      <c r="E260" s="74"/>
      <c r="F260" s="75" t="str">
        <f t="shared" si="10"/>
        <v/>
      </c>
      <c r="G260" s="73"/>
      <c r="H260" s="74"/>
      <c r="I260" s="75" t="str">
        <f t="shared" si="11"/>
        <v/>
      </c>
    </row>
    <row r="261" spans="1:9" s="75" customFormat="1" ht="16.5">
      <c r="A261" s="73"/>
      <c r="B261" s="74"/>
      <c r="C261" s="75" t="str">
        <f t="shared" ref="C261:C304" si="12">IF(B261&gt;0,TEXT(B261,"(aaa)"),"")</f>
        <v/>
      </c>
      <c r="D261" s="73"/>
      <c r="E261" s="74"/>
      <c r="F261" s="75" t="str">
        <f t="shared" ref="F261:F304" si="13">IF(E261&gt;0,TEXT(E261,"(aaa)"),"")</f>
        <v/>
      </c>
      <c r="G261" s="73"/>
      <c r="H261" s="74"/>
      <c r="I261" s="75" t="str">
        <f t="shared" ref="I261:I304" si="14">IF(H261&gt;0,TEXT(H261,"(aaa)"),"")</f>
        <v/>
      </c>
    </row>
    <row r="262" spans="1:9" s="75" customFormat="1" ht="16.5">
      <c r="A262" s="73"/>
      <c r="B262" s="74"/>
      <c r="C262" s="75" t="str">
        <f t="shared" si="12"/>
        <v/>
      </c>
      <c r="D262" s="73"/>
      <c r="E262" s="74"/>
      <c r="F262" s="75" t="str">
        <f t="shared" si="13"/>
        <v/>
      </c>
      <c r="G262" s="73"/>
      <c r="H262" s="74"/>
      <c r="I262" s="75" t="str">
        <f t="shared" si="14"/>
        <v/>
      </c>
    </row>
    <row r="263" spans="1:9" s="75" customFormat="1" ht="16.5">
      <c r="A263" s="73"/>
      <c r="B263" s="74"/>
      <c r="C263" s="75" t="str">
        <f t="shared" si="12"/>
        <v/>
      </c>
      <c r="D263" s="73"/>
      <c r="E263" s="74"/>
      <c r="F263" s="75" t="str">
        <f t="shared" si="13"/>
        <v/>
      </c>
      <c r="G263" s="73"/>
      <c r="H263" s="74"/>
      <c r="I263" s="75" t="str">
        <f t="shared" si="14"/>
        <v/>
      </c>
    </row>
    <row r="264" spans="1:9" s="75" customFormat="1" ht="16.5">
      <c r="A264" s="73"/>
      <c r="B264" s="74"/>
      <c r="C264" s="75" t="str">
        <f t="shared" si="12"/>
        <v/>
      </c>
      <c r="D264" s="73"/>
      <c r="E264" s="74"/>
      <c r="F264" s="75" t="str">
        <f t="shared" si="13"/>
        <v/>
      </c>
      <c r="G264" s="73"/>
      <c r="H264" s="74"/>
      <c r="I264" s="75" t="str">
        <f t="shared" si="14"/>
        <v/>
      </c>
    </row>
    <row r="265" spans="1:9" s="75" customFormat="1" ht="16.5">
      <c r="A265" s="73"/>
      <c r="B265" s="74"/>
      <c r="C265" s="75" t="str">
        <f t="shared" si="12"/>
        <v/>
      </c>
      <c r="D265" s="73"/>
      <c r="E265" s="74"/>
      <c r="F265" s="75" t="str">
        <f t="shared" si="13"/>
        <v/>
      </c>
      <c r="G265" s="73"/>
      <c r="H265" s="74"/>
      <c r="I265" s="75" t="str">
        <f t="shared" si="14"/>
        <v/>
      </c>
    </row>
    <row r="266" spans="1:9" s="75" customFormat="1" ht="16.5">
      <c r="A266" s="73"/>
      <c r="B266" s="74"/>
      <c r="C266" s="75" t="str">
        <f t="shared" si="12"/>
        <v/>
      </c>
      <c r="D266" s="73"/>
      <c r="E266" s="74"/>
      <c r="F266" s="75" t="str">
        <f t="shared" si="13"/>
        <v/>
      </c>
      <c r="G266" s="73"/>
      <c r="H266" s="74"/>
      <c r="I266" s="75" t="str">
        <f t="shared" si="14"/>
        <v/>
      </c>
    </row>
    <row r="267" spans="1:9" s="75" customFormat="1" ht="16.5">
      <c r="A267" s="73"/>
      <c r="B267" s="74"/>
      <c r="C267" s="75" t="str">
        <f t="shared" si="12"/>
        <v/>
      </c>
      <c r="D267" s="73"/>
      <c r="E267" s="74"/>
      <c r="F267" s="75" t="str">
        <f t="shared" si="13"/>
        <v/>
      </c>
      <c r="G267" s="73"/>
      <c r="H267" s="74"/>
      <c r="I267" s="75" t="str">
        <f t="shared" si="14"/>
        <v/>
      </c>
    </row>
    <row r="268" spans="1:9" s="75" customFormat="1" ht="16.5">
      <c r="A268" s="73"/>
      <c r="B268" s="74"/>
      <c r="C268" s="75" t="str">
        <f t="shared" si="12"/>
        <v/>
      </c>
      <c r="D268" s="73"/>
      <c r="E268" s="74"/>
      <c r="F268" s="75" t="str">
        <f t="shared" si="13"/>
        <v/>
      </c>
      <c r="G268" s="73"/>
      <c r="H268" s="74"/>
      <c r="I268" s="75" t="str">
        <f t="shared" si="14"/>
        <v/>
      </c>
    </row>
    <row r="269" spans="1:9" s="75" customFormat="1" ht="16.5">
      <c r="A269" s="73"/>
      <c r="B269" s="74"/>
      <c r="C269" s="75" t="str">
        <f t="shared" si="12"/>
        <v/>
      </c>
      <c r="D269" s="73"/>
      <c r="E269" s="74"/>
      <c r="F269" s="75" t="str">
        <f t="shared" si="13"/>
        <v/>
      </c>
      <c r="G269" s="73"/>
      <c r="H269" s="74"/>
      <c r="I269" s="75" t="str">
        <f t="shared" si="14"/>
        <v/>
      </c>
    </row>
    <row r="270" spans="1:9" s="75" customFormat="1" ht="16.5">
      <c r="A270" s="73"/>
      <c r="B270" s="74"/>
      <c r="C270" s="75" t="str">
        <f t="shared" si="12"/>
        <v/>
      </c>
      <c r="D270" s="73"/>
      <c r="E270" s="74"/>
      <c r="F270" s="75" t="str">
        <f t="shared" si="13"/>
        <v/>
      </c>
      <c r="G270" s="73"/>
      <c r="H270" s="74"/>
      <c r="I270" s="75" t="str">
        <f t="shared" si="14"/>
        <v/>
      </c>
    </row>
    <row r="271" spans="1:9" s="75" customFormat="1" ht="16.5">
      <c r="A271" s="73"/>
      <c r="B271" s="74"/>
      <c r="C271" s="75" t="str">
        <f t="shared" si="12"/>
        <v/>
      </c>
      <c r="D271" s="73"/>
      <c r="E271" s="74"/>
      <c r="F271" s="75" t="str">
        <f t="shared" si="13"/>
        <v/>
      </c>
      <c r="G271" s="73"/>
      <c r="H271" s="74"/>
      <c r="I271" s="75" t="str">
        <f t="shared" si="14"/>
        <v/>
      </c>
    </row>
    <row r="272" spans="1:9" s="75" customFormat="1" ht="16.5">
      <c r="A272" s="73"/>
      <c r="B272" s="74"/>
      <c r="C272" s="75" t="str">
        <f t="shared" si="12"/>
        <v/>
      </c>
      <c r="D272" s="73"/>
      <c r="E272" s="74"/>
      <c r="F272" s="75" t="str">
        <f t="shared" si="13"/>
        <v/>
      </c>
      <c r="G272" s="73"/>
      <c r="H272" s="74"/>
      <c r="I272" s="75" t="str">
        <f t="shared" si="14"/>
        <v/>
      </c>
    </row>
    <row r="273" spans="1:9" s="75" customFormat="1" ht="16.5">
      <c r="A273" s="73"/>
      <c r="B273" s="74"/>
      <c r="C273" s="75" t="str">
        <f t="shared" si="12"/>
        <v/>
      </c>
      <c r="D273" s="73"/>
      <c r="E273" s="74"/>
      <c r="F273" s="75" t="str">
        <f t="shared" si="13"/>
        <v/>
      </c>
      <c r="G273" s="73"/>
      <c r="H273" s="74"/>
      <c r="I273" s="75" t="str">
        <f t="shared" si="14"/>
        <v/>
      </c>
    </row>
    <row r="274" spans="1:9" s="75" customFormat="1" ht="16.5">
      <c r="A274" s="73"/>
      <c r="B274" s="74"/>
      <c r="C274" s="75" t="str">
        <f t="shared" si="12"/>
        <v/>
      </c>
      <c r="D274" s="73"/>
      <c r="E274" s="74"/>
      <c r="F274" s="75" t="str">
        <f t="shared" si="13"/>
        <v/>
      </c>
      <c r="G274" s="73"/>
      <c r="H274" s="74"/>
      <c r="I274" s="75" t="str">
        <f t="shared" si="14"/>
        <v/>
      </c>
    </row>
    <row r="275" spans="1:9" s="75" customFormat="1" ht="16.5">
      <c r="A275" s="73"/>
      <c r="B275" s="74"/>
      <c r="C275" s="75" t="str">
        <f t="shared" si="12"/>
        <v/>
      </c>
      <c r="D275" s="73"/>
      <c r="E275" s="74"/>
      <c r="F275" s="75" t="str">
        <f t="shared" si="13"/>
        <v/>
      </c>
      <c r="G275" s="73"/>
      <c r="H275" s="74"/>
      <c r="I275" s="75" t="str">
        <f t="shared" si="14"/>
        <v/>
      </c>
    </row>
    <row r="276" spans="1:9" s="75" customFormat="1" ht="16.5">
      <c r="A276" s="73"/>
      <c r="B276" s="74"/>
      <c r="C276" s="75" t="str">
        <f t="shared" si="12"/>
        <v/>
      </c>
      <c r="D276" s="73"/>
      <c r="E276" s="74"/>
      <c r="F276" s="75" t="str">
        <f t="shared" si="13"/>
        <v/>
      </c>
      <c r="G276" s="73"/>
      <c r="H276" s="74"/>
      <c r="I276" s="75" t="str">
        <f t="shared" si="14"/>
        <v/>
      </c>
    </row>
    <row r="277" spans="1:9" s="75" customFormat="1" ht="16.5">
      <c r="A277" s="73"/>
      <c r="B277" s="74"/>
      <c r="C277" s="75" t="str">
        <f t="shared" si="12"/>
        <v/>
      </c>
      <c r="D277" s="73"/>
      <c r="E277" s="74"/>
      <c r="F277" s="75" t="str">
        <f t="shared" si="13"/>
        <v/>
      </c>
      <c r="G277" s="73"/>
      <c r="H277" s="74"/>
      <c r="I277" s="75" t="str">
        <f t="shared" si="14"/>
        <v/>
      </c>
    </row>
    <row r="278" spans="1:9" s="75" customFormat="1" ht="16.5">
      <c r="A278" s="73"/>
      <c r="B278" s="74"/>
      <c r="C278" s="75" t="str">
        <f t="shared" si="12"/>
        <v/>
      </c>
      <c r="D278" s="73"/>
      <c r="E278" s="74"/>
      <c r="F278" s="75" t="str">
        <f t="shared" si="13"/>
        <v/>
      </c>
      <c r="G278" s="73"/>
      <c r="H278" s="74"/>
      <c r="I278" s="75" t="str">
        <f t="shared" si="14"/>
        <v/>
      </c>
    </row>
    <row r="279" spans="1:9" s="75" customFormat="1" ht="16.5">
      <c r="A279" s="73"/>
      <c r="B279" s="74"/>
      <c r="C279" s="75" t="str">
        <f t="shared" si="12"/>
        <v/>
      </c>
      <c r="D279" s="73"/>
      <c r="E279" s="74"/>
      <c r="F279" s="75" t="str">
        <f t="shared" si="13"/>
        <v/>
      </c>
      <c r="G279" s="73"/>
      <c r="H279" s="74"/>
      <c r="I279" s="75" t="str">
        <f t="shared" si="14"/>
        <v/>
      </c>
    </row>
    <row r="280" spans="1:9" s="75" customFormat="1" ht="16.5">
      <c r="A280" s="73"/>
      <c r="B280" s="74"/>
      <c r="C280" s="75" t="str">
        <f t="shared" si="12"/>
        <v/>
      </c>
      <c r="D280" s="73"/>
      <c r="E280" s="74"/>
      <c r="F280" s="75" t="str">
        <f t="shared" si="13"/>
        <v/>
      </c>
      <c r="G280" s="73"/>
      <c r="H280" s="74"/>
      <c r="I280" s="75" t="str">
        <f t="shared" si="14"/>
        <v/>
      </c>
    </row>
    <row r="281" spans="1:9" s="75" customFormat="1" ht="16.5">
      <c r="A281" s="73"/>
      <c r="B281" s="74"/>
      <c r="C281" s="75" t="str">
        <f t="shared" si="12"/>
        <v/>
      </c>
      <c r="D281" s="73"/>
      <c r="E281" s="74"/>
      <c r="F281" s="75" t="str">
        <f t="shared" si="13"/>
        <v/>
      </c>
      <c r="G281" s="73"/>
      <c r="H281" s="74"/>
      <c r="I281" s="75" t="str">
        <f t="shared" si="14"/>
        <v/>
      </c>
    </row>
    <row r="282" spans="1:9" s="75" customFormat="1" ht="16.5">
      <c r="A282" s="73"/>
      <c r="B282" s="74"/>
      <c r="C282" s="75" t="str">
        <f t="shared" si="12"/>
        <v/>
      </c>
      <c r="D282" s="73"/>
      <c r="E282" s="74"/>
      <c r="F282" s="75" t="str">
        <f t="shared" si="13"/>
        <v/>
      </c>
      <c r="G282" s="73"/>
      <c r="H282" s="74"/>
      <c r="I282" s="75" t="str">
        <f t="shared" si="14"/>
        <v/>
      </c>
    </row>
    <row r="283" spans="1:9" s="75" customFormat="1" ht="16.5">
      <c r="A283" s="73"/>
      <c r="B283" s="74"/>
      <c r="C283" s="75" t="str">
        <f t="shared" si="12"/>
        <v/>
      </c>
      <c r="D283" s="73"/>
      <c r="E283" s="74"/>
      <c r="F283" s="75" t="str">
        <f t="shared" si="13"/>
        <v/>
      </c>
      <c r="G283" s="73"/>
      <c r="H283" s="74"/>
      <c r="I283" s="75" t="str">
        <f t="shared" si="14"/>
        <v/>
      </c>
    </row>
    <row r="284" spans="1:9" s="75" customFormat="1" ht="16.5">
      <c r="A284" s="73"/>
      <c r="B284" s="74"/>
      <c r="C284" s="75" t="str">
        <f t="shared" si="12"/>
        <v/>
      </c>
      <c r="D284" s="73"/>
      <c r="E284" s="74"/>
      <c r="F284" s="75" t="str">
        <f t="shared" si="13"/>
        <v/>
      </c>
      <c r="G284" s="73"/>
      <c r="H284" s="74"/>
      <c r="I284" s="75" t="str">
        <f t="shared" si="14"/>
        <v/>
      </c>
    </row>
    <row r="285" spans="1:9" s="75" customFormat="1" ht="16.5">
      <c r="A285" s="73"/>
      <c r="B285" s="74"/>
      <c r="C285" s="75" t="str">
        <f t="shared" si="12"/>
        <v/>
      </c>
      <c r="D285" s="73"/>
      <c r="E285" s="74"/>
      <c r="F285" s="75" t="str">
        <f t="shared" si="13"/>
        <v/>
      </c>
      <c r="G285" s="73"/>
      <c r="H285" s="74"/>
      <c r="I285" s="75" t="str">
        <f t="shared" si="14"/>
        <v/>
      </c>
    </row>
    <row r="286" spans="1:9" s="75" customFormat="1" ht="16.5">
      <c r="A286" s="73"/>
      <c r="B286" s="74"/>
      <c r="C286" s="75" t="str">
        <f t="shared" si="12"/>
        <v/>
      </c>
      <c r="D286" s="73"/>
      <c r="E286" s="74"/>
      <c r="F286" s="75" t="str">
        <f t="shared" si="13"/>
        <v/>
      </c>
      <c r="G286" s="73"/>
      <c r="H286" s="74"/>
      <c r="I286" s="75" t="str">
        <f t="shared" si="14"/>
        <v/>
      </c>
    </row>
    <row r="287" spans="1:9" s="75" customFormat="1" ht="16.5">
      <c r="A287" s="73"/>
      <c r="B287" s="74"/>
      <c r="C287" s="75" t="str">
        <f t="shared" si="12"/>
        <v/>
      </c>
      <c r="D287" s="73"/>
      <c r="E287" s="74"/>
      <c r="F287" s="75" t="str">
        <f t="shared" si="13"/>
        <v/>
      </c>
      <c r="G287" s="73"/>
      <c r="H287" s="74"/>
      <c r="I287" s="75" t="str">
        <f t="shared" si="14"/>
        <v/>
      </c>
    </row>
    <row r="288" spans="1:9" s="75" customFormat="1" ht="16.5">
      <c r="A288" s="73"/>
      <c r="B288" s="74"/>
      <c r="C288" s="75" t="str">
        <f t="shared" si="12"/>
        <v/>
      </c>
      <c r="D288" s="73"/>
      <c r="E288" s="74"/>
      <c r="F288" s="75" t="str">
        <f t="shared" si="13"/>
        <v/>
      </c>
      <c r="G288" s="73"/>
      <c r="H288" s="74"/>
      <c r="I288" s="75" t="str">
        <f t="shared" si="14"/>
        <v/>
      </c>
    </row>
    <row r="289" spans="1:9" s="75" customFormat="1" ht="16.5">
      <c r="A289" s="73"/>
      <c r="B289" s="74"/>
      <c r="C289" s="75" t="str">
        <f t="shared" si="12"/>
        <v/>
      </c>
      <c r="D289" s="73"/>
      <c r="E289" s="74"/>
      <c r="F289" s="75" t="str">
        <f t="shared" si="13"/>
        <v/>
      </c>
      <c r="G289" s="73"/>
      <c r="H289" s="74"/>
      <c r="I289" s="75" t="str">
        <f t="shared" si="14"/>
        <v/>
      </c>
    </row>
    <row r="290" spans="1:9" s="75" customFormat="1" ht="16.5">
      <c r="A290" s="73"/>
      <c r="B290" s="74"/>
      <c r="C290" s="75" t="str">
        <f t="shared" si="12"/>
        <v/>
      </c>
      <c r="D290" s="73"/>
      <c r="E290" s="74"/>
      <c r="F290" s="75" t="str">
        <f t="shared" si="13"/>
        <v/>
      </c>
      <c r="G290" s="73"/>
      <c r="H290" s="74"/>
      <c r="I290" s="75" t="str">
        <f t="shared" si="14"/>
        <v/>
      </c>
    </row>
    <row r="291" spans="1:9" s="75" customFormat="1" ht="16.5">
      <c r="A291" s="73"/>
      <c r="B291" s="74"/>
      <c r="C291" s="75" t="str">
        <f t="shared" si="12"/>
        <v/>
      </c>
      <c r="D291" s="73"/>
      <c r="E291" s="74"/>
      <c r="F291" s="75" t="str">
        <f t="shared" si="13"/>
        <v/>
      </c>
      <c r="G291" s="73"/>
      <c r="H291" s="74"/>
      <c r="I291" s="75" t="str">
        <f t="shared" si="14"/>
        <v/>
      </c>
    </row>
    <row r="292" spans="1:9" s="75" customFormat="1" ht="16.5">
      <c r="A292" s="73"/>
      <c r="B292" s="74"/>
      <c r="C292" s="75" t="str">
        <f t="shared" si="12"/>
        <v/>
      </c>
      <c r="D292" s="73"/>
      <c r="E292" s="74"/>
      <c r="F292" s="75" t="str">
        <f t="shared" si="13"/>
        <v/>
      </c>
      <c r="G292" s="73"/>
      <c r="H292" s="74"/>
      <c r="I292" s="75" t="str">
        <f t="shared" si="14"/>
        <v/>
      </c>
    </row>
    <row r="293" spans="1:9" s="75" customFormat="1" ht="16.5">
      <c r="A293" s="73"/>
      <c r="B293" s="74"/>
      <c r="C293" s="75" t="str">
        <f t="shared" si="12"/>
        <v/>
      </c>
      <c r="D293" s="73"/>
      <c r="E293" s="74"/>
      <c r="F293" s="75" t="str">
        <f t="shared" si="13"/>
        <v/>
      </c>
      <c r="G293" s="73"/>
      <c r="H293" s="74"/>
      <c r="I293" s="75" t="str">
        <f t="shared" si="14"/>
        <v/>
      </c>
    </row>
    <row r="294" spans="1:9" s="75" customFormat="1" ht="16.5">
      <c r="A294" s="73"/>
      <c r="B294" s="74"/>
      <c r="C294" s="75" t="str">
        <f t="shared" si="12"/>
        <v/>
      </c>
      <c r="D294" s="73"/>
      <c r="E294" s="74"/>
      <c r="F294" s="75" t="str">
        <f t="shared" si="13"/>
        <v/>
      </c>
      <c r="G294" s="73"/>
      <c r="H294" s="74"/>
      <c r="I294" s="75" t="str">
        <f t="shared" si="14"/>
        <v/>
      </c>
    </row>
    <row r="295" spans="1:9" s="75" customFormat="1" ht="16.5">
      <c r="A295" s="73"/>
      <c r="B295" s="74"/>
      <c r="C295" s="75" t="str">
        <f t="shared" si="12"/>
        <v/>
      </c>
      <c r="D295" s="73"/>
      <c r="E295" s="74"/>
      <c r="F295" s="75" t="str">
        <f t="shared" si="13"/>
        <v/>
      </c>
      <c r="G295" s="73"/>
      <c r="H295" s="74"/>
      <c r="I295" s="75" t="str">
        <f t="shared" si="14"/>
        <v/>
      </c>
    </row>
    <row r="296" spans="1:9" s="75" customFormat="1" ht="16.5">
      <c r="A296" s="73"/>
      <c r="B296" s="74"/>
      <c r="C296" s="75" t="str">
        <f t="shared" si="12"/>
        <v/>
      </c>
      <c r="D296" s="73"/>
      <c r="E296" s="74"/>
      <c r="F296" s="75" t="str">
        <f t="shared" si="13"/>
        <v/>
      </c>
      <c r="G296" s="73"/>
      <c r="H296" s="74"/>
      <c r="I296" s="75" t="str">
        <f t="shared" si="14"/>
        <v/>
      </c>
    </row>
    <row r="297" spans="1:9" s="75" customFormat="1" ht="16.5">
      <c r="A297" s="73"/>
      <c r="B297" s="74"/>
      <c r="C297" s="75" t="str">
        <f t="shared" si="12"/>
        <v/>
      </c>
      <c r="D297" s="73"/>
      <c r="E297" s="74"/>
      <c r="F297" s="75" t="str">
        <f t="shared" si="13"/>
        <v/>
      </c>
      <c r="G297" s="73"/>
      <c r="H297" s="74"/>
      <c r="I297" s="75" t="str">
        <f t="shared" si="14"/>
        <v/>
      </c>
    </row>
    <row r="298" spans="1:9" s="75" customFormat="1" ht="16.5">
      <c r="A298" s="73"/>
      <c r="B298" s="74"/>
      <c r="C298" s="75" t="str">
        <f t="shared" si="12"/>
        <v/>
      </c>
      <c r="D298" s="73"/>
      <c r="E298" s="74"/>
      <c r="F298" s="75" t="str">
        <f t="shared" si="13"/>
        <v/>
      </c>
      <c r="G298" s="73"/>
      <c r="H298" s="74"/>
      <c r="I298" s="75" t="str">
        <f t="shared" si="14"/>
        <v/>
      </c>
    </row>
    <row r="299" spans="1:9" s="75" customFormat="1" ht="16.5">
      <c r="A299" s="73"/>
      <c r="B299" s="74"/>
      <c r="C299" s="75" t="str">
        <f t="shared" si="12"/>
        <v/>
      </c>
      <c r="D299" s="73"/>
      <c r="E299" s="74"/>
      <c r="F299" s="75" t="str">
        <f t="shared" si="13"/>
        <v/>
      </c>
      <c r="G299" s="73"/>
      <c r="H299" s="74"/>
      <c r="I299" s="75" t="str">
        <f t="shared" si="14"/>
        <v/>
      </c>
    </row>
    <row r="300" spans="1:9" s="75" customFormat="1" ht="16.5">
      <c r="A300" s="73"/>
      <c r="B300" s="74"/>
      <c r="C300" s="75" t="str">
        <f t="shared" si="12"/>
        <v/>
      </c>
      <c r="D300" s="73"/>
      <c r="E300" s="74"/>
      <c r="F300" s="75" t="str">
        <f t="shared" si="13"/>
        <v/>
      </c>
      <c r="G300" s="73"/>
      <c r="H300" s="74"/>
      <c r="I300" s="75" t="str">
        <f t="shared" si="14"/>
        <v/>
      </c>
    </row>
    <row r="301" spans="1:9" s="75" customFormat="1" ht="16.5">
      <c r="A301" s="73"/>
      <c r="B301" s="74"/>
      <c r="C301" s="75" t="str">
        <f t="shared" si="12"/>
        <v/>
      </c>
      <c r="D301" s="73"/>
      <c r="E301" s="74"/>
      <c r="F301" s="75" t="str">
        <f t="shared" si="13"/>
        <v/>
      </c>
      <c r="G301" s="73"/>
      <c r="H301" s="74"/>
      <c r="I301" s="75" t="str">
        <f t="shared" si="14"/>
        <v/>
      </c>
    </row>
    <row r="302" spans="1:9" s="75" customFormat="1" ht="16.5">
      <c r="A302" s="73"/>
      <c r="B302" s="77"/>
      <c r="C302" s="75" t="str">
        <f t="shared" si="12"/>
        <v/>
      </c>
      <c r="D302" s="73"/>
      <c r="E302" s="77"/>
      <c r="F302" s="75" t="str">
        <f t="shared" si="13"/>
        <v/>
      </c>
      <c r="G302" s="73"/>
      <c r="H302" s="77"/>
      <c r="I302" s="75" t="str">
        <f t="shared" si="14"/>
        <v/>
      </c>
    </row>
    <row r="303" spans="1:9" s="75" customFormat="1" ht="16.5">
      <c r="A303" s="73"/>
      <c r="B303" s="77"/>
      <c r="C303" s="75" t="str">
        <f t="shared" si="12"/>
        <v/>
      </c>
      <c r="D303" s="73"/>
      <c r="E303" s="77"/>
      <c r="F303" s="75" t="str">
        <f t="shared" si="13"/>
        <v/>
      </c>
      <c r="G303" s="73"/>
      <c r="H303" s="77"/>
      <c r="I303" s="75" t="str">
        <f t="shared" si="14"/>
        <v/>
      </c>
    </row>
    <row r="304" spans="1:9" s="75" customFormat="1" ht="16.5">
      <c r="A304" s="73"/>
      <c r="B304" s="77"/>
      <c r="C304" s="75" t="str">
        <f t="shared" si="12"/>
        <v/>
      </c>
      <c r="D304" s="73"/>
      <c r="E304" s="77"/>
      <c r="F304" s="75" t="str">
        <f t="shared" si="13"/>
        <v/>
      </c>
      <c r="G304" s="73"/>
      <c r="H304" s="77"/>
      <c r="I304" s="75" t="str">
        <f t="shared" si="14"/>
        <v/>
      </c>
    </row>
    <row r="305" spans="1:7" s="75" customFormat="1" ht="16.5">
      <c r="A305" s="75" t="s">
        <v>1423</v>
      </c>
      <c r="D305" s="75" t="s">
        <v>1423</v>
      </c>
      <c r="G305" s="75" t="s">
        <v>1423</v>
      </c>
    </row>
  </sheetData>
  <mergeCells count="4">
    <mergeCell ref="A2:H2"/>
    <mergeCell ref="A3:B3"/>
    <mergeCell ref="D3:E3"/>
    <mergeCell ref="G3:H3"/>
  </mergeCells>
  <phoneticPr fontId="16" type="noConversion"/>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600"/>
  <sheetViews>
    <sheetView zoomScaleNormal="100" workbookViewId="0">
      <pane ySplit="1" topLeftCell="A2" activePane="bottomLeft" state="frozen"/>
      <selection pane="bottomLeft" activeCell="D15" sqref="D15"/>
    </sheetView>
  </sheetViews>
  <sheetFormatPr defaultColWidth="73.375" defaultRowHeight="12"/>
  <cols>
    <col min="1" max="1" width="7.625" style="130" bestFit="1" customWidth="1"/>
    <col min="2" max="2" width="8.375" style="131" bestFit="1" customWidth="1"/>
    <col min="3" max="3" width="15.75" style="132" customWidth="1"/>
    <col min="4" max="4" width="47.125" style="133" customWidth="1"/>
    <col min="5" max="5" width="56.125" style="133" customWidth="1"/>
    <col min="6" max="6" width="57.375" style="130" customWidth="1"/>
    <col min="7" max="26" width="73.375" style="130"/>
    <col min="27" max="27" width="73.375" style="130" hidden="1" customWidth="1"/>
    <col min="28" max="29" width="73.375" style="130"/>
    <col min="30" max="30" width="0" style="130" hidden="1" customWidth="1"/>
    <col min="31" max="16384" width="73.375" style="130"/>
  </cols>
  <sheetData>
    <row r="1" spans="1:6" s="128" customFormat="1">
      <c r="A1" s="128" t="s">
        <v>423</v>
      </c>
      <c r="B1" s="128" t="s">
        <v>424</v>
      </c>
      <c r="C1" s="129" t="s">
        <v>425</v>
      </c>
      <c r="D1" s="129" t="s">
        <v>18</v>
      </c>
      <c r="E1" s="129" t="s">
        <v>19</v>
      </c>
      <c r="F1" s="128" t="s">
        <v>621</v>
      </c>
    </row>
    <row r="2" spans="1:6" ht="84">
      <c r="A2" s="130" t="s">
        <v>2501</v>
      </c>
      <c r="B2" s="131">
        <v>1</v>
      </c>
      <c r="C2" s="132" t="s">
        <v>495</v>
      </c>
      <c r="D2" s="133" t="s">
        <v>426</v>
      </c>
      <c r="E2" s="133" t="s">
        <v>796</v>
      </c>
      <c r="F2" s="133" t="s">
        <v>796</v>
      </c>
    </row>
    <row r="3" spans="1:6" ht="96">
      <c r="A3" s="134">
        <v>650</v>
      </c>
      <c r="B3" s="131">
        <v>2</v>
      </c>
      <c r="C3" s="132" t="s">
        <v>495</v>
      </c>
      <c r="D3" s="133" t="s">
        <v>419</v>
      </c>
      <c r="E3" s="133" t="s">
        <v>797</v>
      </c>
      <c r="F3" s="133" t="s">
        <v>797</v>
      </c>
    </row>
    <row r="4" spans="1:6" ht="60">
      <c r="B4" s="131">
        <v>3</v>
      </c>
      <c r="C4" s="132" t="s">
        <v>495</v>
      </c>
      <c r="D4" s="133" t="s">
        <v>427</v>
      </c>
      <c r="E4" s="133" t="s">
        <v>798</v>
      </c>
      <c r="F4" s="133" t="s">
        <v>798</v>
      </c>
    </row>
    <row r="5" spans="1:6" ht="60">
      <c r="B5" s="131">
        <v>4</v>
      </c>
      <c r="C5" s="132" t="s">
        <v>495</v>
      </c>
      <c r="D5" s="133" t="s">
        <v>428</v>
      </c>
      <c r="E5" s="133" t="s">
        <v>799</v>
      </c>
      <c r="F5" s="133" t="s">
        <v>799</v>
      </c>
    </row>
    <row r="6" spans="1:6" ht="60">
      <c r="B6" s="131">
        <v>5</v>
      </c>
      <c r="C6" s="132" t="s">
        <v>495</v>
      </c>
      <c r="D6" s="133" t="s">
        <v>429</v>
      </c>
      <c r="E6" s="133" t="s">
        <v>800</v>
      </c>
      <c r="F6" s="133" t="s">
        <v>800</v>
      </c>
    </row>
    <row r="7" spans="1:6" ht="48">
      <c r="B7" s="131">
        <v>6</v>
      </c>
      <c r="C7" s="132" t="s">
        <v>495</v>
      </c>
      <c r="D7" s="133" t="s">
        <v>430</v>
      </c>
      <c r="E7" s="133" t="s">
        <v>801</v>
      </c>
      <c r="F7" s="133" t="s">
        <v>801</v>
      </c>
    </row>
    <row r="8" spans="1:6">
      <c r="B8" s="131">
        <v>7</v>
      </c>
      <c r="C8" s="132" t="s">
        <v>495</v>
      </c>
      <c r="D8" s="133" t="s">
        <v>421</v>
      </c>
      <c r="E8" s="133" t="s">
        <v>802</v>
      </c>
      <c r="F8" s="133" t="s">
        <v>802</v>
      </c>
    </row>
    <row r="9" spans="1:6" ht="48">
      <c r="B9" s="131">
        <v>8</v>
      </c>
      <c r="C9" s="132" t="s">
        <v>586</v>
      </c>
      <c r="D9" s="133" t="s">
        <v>583</v>
      </c>
      <c r="E9" s="149" t="s">
        <v>1346</v>
      </c>
      <c r="F9" s="149" t="s">
        <v>1346</v>
      </c>
    </row>
    <row r="10" spans="1:6" ht="48">
      <c r="B10" s="131">
        <v>9</v>
      </c>
      <c r="C10" s="132" t="s">
        <v>586</v>
      </c>
      <c r="D10" s="133" t="s">
        <v>575</v>
      </c>
      <c r="E10" s="133" t="s">
        <v>803</v>
      </c>
      <c r="F10" s="133" t="s">
        <v>803</v>
      </c>
    </row>
    <row r="11" spans="1:6" ht="60">
      <c r="B11" s="131">
        <v>10</v>
      </c>
      <c r="C11" s="132" t="s">
        <v>586</v>
      </c>
      <c r="D11" s="133" t="s">
        <v>584</v>
      </c>
      <c r="E11" s="133" t="s">
        <v>804</v>
      </c>
      <c r="F11" s="133" t="s">
        <v>804</v>
      </c>
    </row>
    <row r="12" spans="1:6" ht="48">
      <c r="B12" s="131">
        <v>11</v>
      </c>
      <c r="C12" s="132" t="s">
        <v>586</v>
      </c>
      <c r="D12" s="133" t="s">
        <v>578</v>
      </c>
      <c r="E12" s="133" t="s">
        <v>805</v>
      </c>
      <c r="F12" s="133" t="s">
        <v>805</v>
      </c>
    </row>
    <row r="13" spans="1:6" ht="84">
      <c r="B13" s="131">
        <v>12</v>
      </c>
      <c r="C13" s="132" t="s">
        <v>586</v>
      </c>
      <c r="D13" s="133" t="s">
        <v>579</v>
      </c>
      <c r="E13" s="133" t="s">
        <v>806</v>
      </c>
      <c r="F13" s="133" t="s">
        <v>806</v>
      </c>
    </row>
    <row r="14" spans="1:6" ht="48">
      <c r="B14" s="131">
        <v>13</v>
      </c>
      <c r="C14" s="132" t="s">
        <v>495</v>
      </c>
      <c r="D14" s="133" t="s">
        <v>731</v>
      </c>
      <c r="E14" s="133" t="s">
        <v>807</v>
      </c>
      <c r="F14" s="133" t="s">
        <v>807</v>
      </c>
    </row>
    <row r="15" spans="1:6" ht="36">
      <c r="B15" s="131">
        <v>14</v>
      </c>
      <c r="C15" s="132" t="s">
        <v>495</v>
      </c>
      <c r="D15" s="133" t="s">
        <v>732</v>
      </c>
      <c r="E15" s="133" t="s">
        <v>808</v>
      </c>
      <c r="F15" s="133" t="s">
        <v>808</v>
      </c>
    </row>
    <row r="16" spans="1:6">
      <c r="B16" s="131">
        <v>15</v>
      </c>
      <c r="C16" s="132" t="s">
        <v>495</v>
      </c>
      <c r="D16" s="133" t="s">
        <v>733</v>
      </c>
      <c r="E16" s="133" t="s">
        <v>809</v>
      </c>
      <c r="F16" s="133" t="s">
        <v>809</v>
      </c>
    </row>
    <row r="17" spans="1:6">
      <c r="B17" s="131">
        <v>101</v>
      </c>
      <c r="D17" s="133" t="s">
        <v>20</v>
      </c>
      <c r="E17" s="133" t="s">
        <v>810</v>
      </c>
      <c r="F17" s="133" t="s">
        <v>810</v>
      </c>
    </row>
    <row r="18" spans="1:6">
      <c r="B18" s="131">
        <v>102</v>
      </c>
      <c r="D18" s="133" t="s">
        <v>21</v>
      </c>
      <c r="E18" s="133" t="s">
        <v>811</v>
      </c>
      <c r="F18" s="133" t="s">
        <v>811</v>
      </c>
    </row>
    <row r="19" spans="1:6">
      <c r="B19" s="131">
        <v>103</v>
      </c>
      <c r="D19" s="133" t="s">
        <v>22</v>
      </c>
      <c r="E19" s="133" t="s">
        <v>812</v>
      </c>
      <c r="F19" s="133" t="s">
        <v>812</v>
      </c>
    </row>
    <row r="20" spans="1:6">
      <c r="B20" s="131">
        <v>104</v>
      </c>
      <c r="D20" s="133" t="s">
        <v>23</v>
      </c>
      <c r="E20" s="133" t="s">
        <v>813</v>
      </c>
      <c r="F20" s="133" t="s">
        <v>813</v>
      </c>
    </row>
    <row r="21" spans="1:6">
      <c r="B21" s="131">
        <v>105</v>
      </c>
      <c r="D21" s="133" t="s">
        <v>24</v>
      </c>
      <c r="E21" s="133" t="s">
        <v>814</v>
      </c>
      <c r="F21" s="133" t="s">
        <v>814</v>
      </c>
    </row>
    <row r="22" spans="1:6">
      <c r="B22" s="131">
        <v>106</v>
      </c>
      <c r="D22" s="133" t="s">
        <v>343</v>
      </c>
      <c r="E22" s="133" t="s">
        <v>815</v>
      </c>
      <c r="F22" s="133" t="s">
        <v>815</v>
      </c>
    </row>
    <row r="23" spans="1:6" ht="36">
      <c r="B23" s="131">
        <v>107</v>
      </c>
      <c r="D23" s="133" t="s">
        <v>344</v>
      </c>
      <c r="E23" s="133" t="s">
        <v>816</v>
      </c>
      <c r="F23" s="133" t="s">
        <v>816</v>
      </c>
    </row>
    <row r="24" spans="1:6" ht="36">
      <c r="B24" s="131">
        <v>108</v>
      </c>
      <c r="D24" s="133" t="s">
        <v>345</v>
      </c>
      <c r="E24" s="133" t="s">
        <v>817</v>
      </c>
      <c r="F24" s="133" t="s">
        <v>817</v>
      </c>
    </row>
    <row r="25" spans="1:6">
      <c r="B25" s="131">
        <v>109</v>
      </c>
      <c r="D25" s="133" t="s">
        <v>25</v>
      </c>
      <c r="E25" s="133" t="s">
        <v>818</v>
      </c>
      <c r="F25" s="133" t="s">
        <v>818</v>
      </c>
    </row>
    <row r="26" spans="1:6">
      <c r="B26" s="131">
        <v>110</v>
      </c>
      <c r="D26" s="133" t="s">
        <v>26</v>
      </c>
      <c r="E26" s="133" t="s">
        <v>819</v>
      </c>
      <c r="F26" s="133" t="s">
        <v>819</v>
      </c>
    </row>
    <row r="27" spans="1:6">
      <c r="B27" s="131">
        <v>111</v>
      </c>
      <c r="D27" s="133" t="s">
        <v>27</v>
      </c>
      <c r="E27" s="133" t="s">
        <v>820</v>
      </c>
      <c r="F27" s="133" t="s">
        <v>820</v>
      </c>
    </row>
    <row r="28" spans="1:6">
      <c r="A28" s="135"/>
      <c r="B28" s="131">
        <v>112</v>
      </c>
      <c r="C28" s="136" t="s">
        <v>414</v>
      </c>
      <c r="D28" s="134" t="s">
        <v>431</v>
      </c>
      <c r="E28" s="134" t="s">
        <v>821</v>
      </c>
      <c r="F28" s="134" t="s">
        <v>821</v>
      </c>
    </row>
    <row r="29" spans="1:6">
      <c r="B29" s="131">
        <v>113</v>
      </c>
      <c r="D29" s="133" t="s">
        <v>28</v>
      </c>
      <c r="E29" s="133" t="s">
        <v>821</v>
      </c>
      <c r="F29" s="133" t="s">
        <v>821</v>
      </c>
    </row>
    <row r="30" spans="1:6">
      <c r="B30" s="131">
        <v>114</v>
      </c>
      <c r="C30" s="132" t="s">
        <v>544</v>
      </c>
      <c r="D30" s="133" t="s">
        <v>549</v>
      </c>
      <c r="E30" s="133" t="s">
        <v>822</v>
      </c>
      <c r="F30" s="133" t="s">
        <v>822</v>
      </c>
    </row>
    <row r="31" spans="1:6">
      <c r="B31" s="131">
        <v>115</v>
      </c>
      <c r="D31" s="133" t="s">
        <v>604</v>
      </c>
      <c r="E31" s="133" t="s">
        <v>823</v>
      </c>
      <c r="F31" s="133" t="s">
        <v>823</v>
      </c>
    </row>
    <row r="32" spans="1:6">
      <c r="B32" s="131">
        <v>116</v>
      </c>
      <c r="D32" s="133" t="s">
        <v>29</v>
      </c>
      <c r="E32" s="133" t="s">
        <v>824</v>
      </c>
      <c r="F32" s="133" t="s">
        <v>824</v>
      </c>
    </row>
    <row r="33" spans="2:6">
      <c r="B33" s="131">
        <v>117</v>
      </c>
      <c r="D33" s="133" t="s">
        <v>30</v>
      </c>
      <c r="E33" s="133" t="s">
        <v>825</v>
      </c>
      <c r="F33" s="133" t="s">
        <v>825</v>
      </c>
    </row>
    <row r="34" spans="2:6" ht="24">
      <c r="B34" s="131">
        <v>118</v>
      </c>
      <c r="D34" s="133" t="s">
        <v>346</v>
      </c>
      <c r="E34" s="133" t="s">
        <v>826</v>
      </c>
      <c r="F34" s="133" t="s">
        <v>826</v>
      </c>
    </row>
    <row r="35" spans="2:6">
      <c r="B35" s="131">
        <v>119</v>
      </c>
      <c r="D35" s="133" t="s">
        <v>515</v>
      </c>
      <c r="E35" s="133" t="s">
        <v>827</v>
      </c>
      <c r="F35" s="133" t="s">
        <v>827</v>
      </c>
    </row>
    <row r="36" spans="2:6">
      <c r="B36" s="131">
        <v>120</v>
      </c>
      <c r="D36" s="133" t="s">
        <v>501</v>
      </c>
      <c r="E36" s="133" t="s">
        <v>828</v>
      </c>
      <c r="F36" s="133" t="s">
        <v>828</v>
      </c>
    </row>
    <row r="37" spans="2:6" ht="24">
      <c r="B37" s="131">
        <v>121</v>
      </c>
      <c r="D37" s="133" t="s">
        <v>31</v>
      </c>
      <c r="E37" s="133" t="s">
        <v>829</v>
      </c>
      <c r="F37" s="133" t="s">
        <v>829</v>
      </c>
    </row>
    <row r="38" spans="2:6">
      <c r="B38" s="131">
        <v>122</v>
      </c>
      <c r="D38" s="133" t="s">
        <v>32</v>
      </c>
      <c r="E38" s="133" t="s">
        <v>830</v>
      </c>
      <c r="F38" s="133" t="s">
        <v>830</v>
      </c>
    </row>
    <row r="39" spans="2:6">
      <c r="B39" s="131">
        <v>123</v>
      </c>
      <c r="D39" s="133" t="s">
        <v>341</v>
      </c>
      <c r="E39" s="133" t="s">
        <v>831</v>
      </c>
      <c r="F39" s="133" t="s">
        <v>831</v>
      </c>
    </row>
    <row r="40" spans="2:6">
      <c r="B40" s="131">
        <v>124</v>
      </c>
      <c r="D40" s="133" t="s">
        <v>33</v>
      </c>
      <c r="E40" s="133" t="s">
        <v>832</v>
      </c>
      <c r="F40" s="133" t="s">
        <v>832</v>
      </c>
    </row>
    <row r="41" spans="2:6" ht="24">
      <c r="B41" s="131">
        <v>125</v>
      </c>
      <c r="D41" s="133" t="s">
        <v>517</v>
      </c>
      <c r="E41" s="133" t="s">
        <v>833</v>
      </c>
      <c r="F41" s="133" t="s">
        <v>833</v>
      </c>
    </row>
    <row r="42" spans="2:6" ht="24">
      <c r="B42" s="131">
        <v>126</v>
      </c>
      <c r="D42" s="133" t="s">
        <v>516</v>
      </c>
      <c r="E42" s="133" t="s">
        <v>834</v>
      </c>
      <c r="F42" s="133" t="s">
        <v>834</v>
      </c>
    </row>
    <row r="43" spans="2:6" ht="24">
      <c r="B43" s="131">
        <v>127</v>
      </c>
      <c r="D43" s="133" t="s">
        <v>34</v>
      </c>
      <c r="E43" s="133" t="s">
        <v>835</v>
      </c>
      <c r="F43" s="133" t="s">
        <v>835</v>
      </c>
    </row>
    <row r="44" spans="2:6" ht="24">
      <c r="B44" s="131">
        <v>128</v>
      </c>
      <c r="D44" s="133" t="s">
        <v>35</v>
      </c>
      <c r="E44" s="133" t="s">
        <v>836</v>
      </c>
      <c r="F44" s="133" t="s">
        <v>836</v>
      </c>
    </row>
    <row r="45" spans="2:6" ht="24">
      <c r="B45" s="131">
        <v>129</v>
      </c>
      <c r="D45" s="133" t="s">
        <v>342</v>
      </c>
      <c r="E45" s="133" t="s">
        <v>837</v>
      </c>
      <c r="F45" s="133" t="s">
        <v>837</v>
      </c>
    </row>
    <row r="46" spans="2:6">
      <c r="B46" s="131">
        <v>130</v>
      </c>
      <c r="D46" s="133" t="s">
        <v>36</v>
      </c>
      <c r="E46" s="133" t="s">
        <v>838</v>
      </c>
      <c r="F46" s="133" t="s">
        <v>838</v>
      </c>
    </row>
    <row r="47" spans="2:6">
      <c r="B47" s="131">
        <v>131</v>
      </c>
      <c r="D47" s="133" t="s">
        <v>347</v>
      </c>
      <c r="E47" s="133" t="s">
        <v>839</v>
      </c>
      <c r="F47" s="133" t="s">
        <v>839</v>
      </c>
    </row>
    <row r="48" spans="2:6">
      <c r="B48" s="131">
        <v>132</v>
      </c>
      <c r="D48" s="133" t="s">
        <v>37</v>
      </c>
      <c r="E48" s="133" t="s">
        <v>840</v>
      </c>
      <c r="F48" s="133" t="s">
        <v>840</v>
      </c>
    </row>
    <row r="49" spans="2:6">
      <c r="B49" s="131">
        <v>133</v>
      </c>
      <c r="D49" s="133" t="s">
        <v>630</v>
      </c>
      <c r="E49" s="133" t="s">
        <v>841</v>
      </c>
      <c r="F49" s="133" t="s">
        <v>841</v>
      </c>
    </row>
    <row r="50" spans="2:6">
      <c r="B50" s="131">
        <v>134</v>
      </c>
      <c r="D50" s="133" t="s">
        <v>629</v>
      </c>
      <c r="E50" s="133" t="s">
        <v>842</v>
      </c>
      <c r="F50" s="133" t="s">
        <v>842</v>
      </c>
    </row>
    <row r="51" spans="2:6">
      <c r="B51" s="131">
        <v>135</v>
      </c>
      <c r="D51" s="134" t="s">
        <v>628</v>
      </c>
      <c r="E51" s="137">
        <v>43435</v>
      </c>
      <c r="F51" s="137">
        <v>43435</v>
      </c>
    </row>
    <row r="52" spans="2:6">
      <c r="B52" s="131">
        <v>136</v>
      </c>
      <c r="D52" s="134" t="s">
        <v>348</v>
      </c>
      <c r="E52" s="137">
        <v>43465</v>
      </c>
      <c r="F52" s="137">
        <v>43465</v>
      </c>
    </row>
    <row r="53" spans="2:6">
      <c r="B53" s="131">
        <v>137</v>
      </c>
      <c r="D53" s="133" t="s">
        <v>38</v>
      </c>
      <c r="E53" s="133" t="s">
        <v>38</v>
      </c>
      <c r="F53" s="133" t="s">
        <v>38</v>
      </c>
    </row>
    <row r="54" spans="2:6">
      <c r="B54" s="131">
        <v>138</v>
      </c>
      <c r="D54" s="133" t="s">
        <v>39</v>
      </c>
      <c r="E54" s="133" t="s">
        <v>843</v>
      </c>
      <c r="F54" s="133" t="s">
        <v>843</v>
      </c>
    </row>
    <row r="55" spans="2:6">
      <c r="B55" s="131">
        <v>139</v>
      </c>
      <c r="C55" s="132" t="s">
        <v>432</v>
      </c>
      <c r="D55" s="133" t="s">
        <v>433</v>
      </c>
      <c r="E55" s="133" t="s">
        <v>844</v>
      </c>
      <c r="F55" s="133" t="s">
        <v>844</v>
      </c>
    </row>
    <row r="56" spans="2:6" ht="24">
      <c r="B56" s="131">
        <v>140</v>
      </c>
      <c r="D56" s="133" t="s">
        <v>40</v>
      </c>
      <c r="E56" s="133" t="s">
        <v>845</v>
      </c>
      <c r="F56" s="133" t="s">
        <v>845</v>
      </c>
    </row>
    <row r="57" spans="2:6" ht="24">
      <c r="B57" s="131">
        <v>141</v>
      </c>
      <c r="D57" s="133" t="s">
        <v>41</v>
      </c>
      <c r="E57" s="133" t="s">
        <v>846</v>
      </c>
      <c r="F57" s="133" t="s">
        <v>846</v>
      </c>
    </row>
    <row r="58" spans="2:6">
      <c r="B58" s="131">
        <v>142</v>
      </c>
      <c r="D58" s="133" t="s">
        <v>497</v>
      </c>
      <c r="E58" s="133" t="s">
        <v>847</v>
      </c>
      <c r="F58" s="133" t="s">
        <v>847</v>
      </c>
    </row>
    <row r="59" spans="2:6">
      <c r="B59" s="131">
        <v>143</v>
      </c>
      <c r="C59" s="132" t="s">
        <v>467</v>
      </c>
      <c r="D59" s="130" t="s">
        <v>349</v>
      </c>
      <c r="E59" s="138" t="s">
        <v>848</v>
      </c>
      <c r="F59" s="138" t="s">
        <v>848</v>
      </c>
    </row>
    <row r="60" spans="2:6">
      <c r="B60" s="131">
        <v>144</v>
      </c>
      <c r="D60" s="133" t="s">
        <v>42</v>
      </c>
      <c r="E60" s="133" t="s">
        <v>849</v>
      </c>
      <c r="F60" s="133" t="s">
        <v>849</v>
      </c>
    </row>
    <row r="61" spans="2:6" ht="24">
      <c r="B61" s="131">
        <v>145</v>
      </c>
      <c r="D61" s="133" t="s">
        <v>43</v>
      </c>
      <c r="E61" s="133" t="s">
        <v>850</v>
      </c>
      <c r="F61" s="133" t="s">
        <v>850</v>
      </c>
    </row>
    <row r="62" spans="2:6">
      <c r="B62" s="131">
        <v>146</v>
      </c>
      <c r="D62" s="133" t="s">
        <v>44</v>
      </c>
      <c r="E62" s="133" t="s">
        <v>851</v>
      </c>
      <c r="F62" s="133" t="s">
        <v>851</v>
      </c>
    </row>
    <row r="63" spans="2:6" ht="24">
      <c r="B63" s="131">
        <v>147</v>
      </c>
      <c r="D63" s="133" t="s">
        <v>45</v>
      </c>
      <c r="E63" s="133" t="s">
        <v>852</v>
      </c>
      <c r="F63" s="133" t="s">
        <v>852</v>
      </c>
    </row>
    <row r="64" spans="2:6">
      <c r="B64" s="131">
        <v>148</v>
      </c>
      <c r="D64" s="133" t="s">
        <v>498</v>
      </c>
      <c r="E64" s="133" t="s">
        <v>853</v>
      </c>
      <c r="F64" s="133" t="s">
        <v>853</v>
      </c>
    </row>
    <row r="65" spans="1:6">
      <c r="B65" s="131">
        <v>149</v>
      </c>
      <c r="D65" s="133" t="s">
        <v>499</v>
      </c>
      <c r="E65" s="133" t="s">
        <v>854</v>
      </c>
      <c r="F65" s="133" t="s">
        <v>854</v>
      </c>
    </row>
    <row r="66" spans="1:6">
      <c r="B66" s="131">
        <v>150</v>
      </c>
      <c r="D66" s="133" t="s">
        <v>46</v>
      </c>
      <c r="E66" s="133" t="s">
        <v>855</v>
      </c>
      <c r="F66" s="133" t="s">
        <v>855</v>
      </c>
    </row>
    <row r="67" spans="1:6">
      <c r="B67" s="131">
        <v>151</v>
      </c>
      <c r="C67" s="132" t="s">
        <v>467</v>
      </c>
      <c r="D67" s="130" t="s">
        <v>350</v>
      </c>
      <c r="E67" s="138" t="s">
        <v>856</v>
      </c>
      <c r="F67" s="138" t="s">
        <v>856</v>
      </c>
    </row>
    <row r="68" spans="1:6">
      <c r="B68" s="131">
        <v>152</v>
      </c>
      <c r="D68" s="133" t="s">
        <v>47</v>
      </c>
      <c r="E68" s="133" t="s">
        <v>857</v>
      </c>
      <c r="F68" s="133" t="s">
        <v>857</v>
      </c>
    </row>
    <row r="69" spans="1:6">
      <c r="B69" s="131">
        <v>153</v>
      </c>
      <c r="D69" s="133" t="s">
        <v>48</v>
      </c>
      <c r="E69" s="133" t="s">
        <v>858</v>
      </c>
      <c r="F69" s="133" t="s">
        <v>858</v>
      </c>
    </row>
    <row r="70" spans="1:6">
      <c r="B70" s="131">
        <v>154</v>
      </c>
      <c r="D70" s="133" t="s">
        <v>49</v>
      </c>
      <c r="E70" s="133" t="s">
        <v>859</v>
      </c>
      <c r="F70" s="133" t="s">
        <v>859</v>
      </c>
    </row>
    <row r="71" spans="1:6" ht="24">
      <c r="B71" s="131">
        <v>155</v>
      </c>
      <c r="D71" s="133" t="s">
        <v>50</v>
      </c>
      <c r="E71" s="133" t="s">
        <v>860</v>
      </c>
      <c r="F71" s="133" t="s">
        <v>860</v>
      </c>
    </row>
    <row r="72" spans="1:6">
      <c r="B72" s="131">
        <v>156</v>
      </c>
      <c r="C72" s="132" t="s">
        <v>467</v>
      </c>
      <c r="D72" s="130" t="s">
        <v>465</v>
      </c>
      <c r="E72" s="138" t="s">
        <v>861</v>
      </c>
      <c r="F72" s="138" t="s">
        <v>861</v>
      </c>
    </row>
    <row r="73" spans="1:6">
      <c r="B73" s="131">
        <v>157</v>
      </c>
      <c r="C73" s="132" t="s">
        <v>467</v>
      </c>
      <c r="D73" s="130" t="s">
        <v>464</v>
      </c>
      <c r="E73" s="138" t="s">
        <v>862</v>
      </c>
      <c r="F73" s="138" t="s">
        <v>862</v>
      </c>
    </row>
    <row r="74" spans="1:6">
      <c r="B74" s="131">
        <v>158</v>
      </c>
      <c r="D74" s="133" t="s">
        <v>351</v>
      </c>
      <c r="E74" s="133" t="s">
        <v>863</v>
      </c>
      <c r="F74" s="133" t="s">
        <v>863</v>
      </c>
    </row>
    <row r="75" spans="1:6">
      <c r="A75" s="139"/>
      <c r="B75" s="131">
        <v>159</v>
      </c>
      <c r="C75" s="136" t="s">
        <v>414</v>
      </c>
      <c r="D75" s="134" t="s">
        <v>434</v>
      </c>
      <c r="E75" s="134" t="s">
        <v>864</v>
      </c>
      <c r="F75" s="134" t="s">
        <v>864</v>
      </c>
    </row>
    <row r="76" spans="1:6">
      <c r="B76" s="131">
        <v>160</v>
      </c>
      <c r="D76" s="133" t="s">
        <v>51</v>
      </c>
      <c r="E76" s="134" t="s">
        <v>865</v>
      </c>
      <c r="F76" s="134" t="s">
        <v>865</v>
      </c>
    </row>
    <row r="77" spans="1:6">
      <c r="B77" s="131">
        <v>161</v>
      </c>
      <c r="D77" s="133" t="s">
        <v>52</v>
      </c>
      <c r="E77" s="134" t="s">
        <v>866</v>
      </c>
      <c r="F77" s="134" t="s">
        <v>866</v>
      </c>
    </row>
    <row r="78" spans="1:6">
      <c r="B78" s="131">
        <v>162</v>
      </c>
      <c r="D78" s="133" t="s">
        <v>511</v>
      </c>
      <c r="E78" s="133" t="s">
        <v>867</v>
      </c>
      <c r="F78" s="133" t="s">
        <v>867</v>
      </c>
    </row>
    <row r="79" spans="1:6">
      <c r="B79" s="131">
        <v>163</v>
      </c>
      <c r="D79" s="133" t="s">
        <v>509</v>
      </c>
      <c r="E79" s="133" t="s">
        <v>868</v>
      </c>
      <c r="F79" s="133" t="s">
        <v>868</v>
      </c>
    </row>
    <row r="80" spans="1:6">
      <c r="B80" s="131">
        <v>164</v>
      </c>
      <c r="D80" s="133" t="s">
        <v>508</v>
      </c>
      <c r="E80" s="133" t="s">
        <v>869</v>
      </c>
      <c r="F80" s="133" t="s">
        <v>869</v>
      </c>
    </row>
    <row r="81" spans="1:6">
      <c r="A81" s="139"/>
      <c r="B81" s="131">
        <v>165</v>
      </c>
      <c r="C81" s="136" t="s">
        <v>414</v>
      </c>
      <c r="D81" s="134" t="s">
        <v>435</v>
      </c>
      <c r="E81" s="134" t="s">
        <v>870</v>
      </c>
      <c r="F81" s="134" t="s">
        <v>870</v>
      </c>
    </row>
    <row r="82" spans="1:6">
      <c r="A82" s="139"/>
      <c r="B82" s="131">
        <v>166</v>
      </c>
      <c r="C82" s="136" t="s">
        <v>414</v>
      </c>
      <c r="D82" s="134" t="s">
        <v>436</v>
      </c>
      <c r="E82" s="134" t="s">
        <v>871</v>
      </c>
      <c r="F82" s="134" t="s">
        <v>871</v>
      </c>
    </row>
    <row r="83" spans="1:6">
      <c r="A83" s="139"/>
      <c r="B83" s="131">
        <v>167</v>
      </c>
      <c r="C83" s="136" t="s">
        <v>414</v>
      </c>
      <c r="D83" s="134" t="s">
        <v>437</v>
      </c>
      <c r="E83" s="134" t="s">
        <v>872</v>
      </c>
      <c r="F83" s="134" t="s">
        <v>872</v>
      </c>
    </row>
    <row r="84" spans="1:6">
      <c r="A84" s="139"/>
      <c r="B84" s="131">
        <v>168</v>
      </c>
      <c r="C84" s="136" t="s">
        <v>414</v>
      </c>
      <c r="D84" s="134" t="s">
        <v>422</v>
      </c>
      <c r="E84" s="134" t="s">
        <v>873</v>
      </c>
      <c r="F84" s="134" t="s">
        <v>873</v>
      </c>
    </row>
    <row r="85" spans="1:6">
      <c r="B85" s="131">
        <v>169</v>
      </c>
      <c r="D85" s="133" t="s">
        <v>53</v>
      </c>
      <c r="E85" s="133" t="s">
        <v>874</v>
      </c>
      <c r="F85" s="133" t="s">
        <v>874</v>
      </c>
    </row>
    <row r="86" spans="1:6">
      <c r="B86" s="131">
        <v>170</v>
      </c>
      <c r="D86" s="133" t="s">
        <v>54</v>
      </c>
      <c r="E86" s="133" t="s">
        <v>875</v>
      </c>
      <c r="F86" s="133" t="s">
        <v>875</v>
      </c>
    </row>
    <row r="87" spans="1:6">
      <c r="B87" s="131">
        <v>171</v>
      </c>
      <c r="D87" s="133" t="s">
        <v>438</v>
      </c>
      <c r="E87" s="133" t="s">
        <v>876</v>
      </c>
      <c r="F87" s="133" t="s">
        <v>876</v>
      </c>
    </row>
    <row r="88" spans="1:6">
      <c r="B88" s="131">
        <v>172</v>
      </c>
      <c r="D88" s="133" t="s">
        <v>55</v>
      </c>
      <c r="E88" s="133" t="s">
        <v>877</v>
      </c>
      <c r="F88" s="133" t="s">
        <v>877</v>
      </c>
    </row>
    <row r="89" spans="1:6">
      <c r="B89" s="131">
        <v>173</v>
      </c>
      <c r="D89" s="133" t="s">
        <v>56</v>
      </c>
      <c r="E89" s="133" t="s">
        <v>878</v>
      </c>
      <c r="F89" s="133" t="s">
        <v>878</v>
      </c>
    </row>
    <row r="90" spans="1:6">
      <c r="B90" s="131">
        <v>174</v>
      </c>
      <c r="D90" s="133" t="s">
        <v>57</v>
      </c>
      <c r="E90" s="133" t="s">
        <v>879</v>
      </c>
      <c r="F90" s="133" t="s">
        <v>879</v>
      </c>
    </row>
    <row r="91" spans="1:6">
      <c r="B91" s="131">
        <v>175</v>
      </c>
      <c r="D91" s="133" t="s">
        <v>58</v>
      </c>
      <c r="E91" s="133" t="s">
        <v>880</v>
      </c>
      <c r="F91" s="133" t="s">
        <v>880</v>
      </c>
    </row>
    <row r="92" spans="1:6" ht="24">
      <c r="B92" s="131">
        <v>176</v>
      </c>
      <c r="D92" s="133" t="s">
        <v>59</v>
      </c>
      <c r="E92" s="133" t="s">
        <v>881</v>
      </c>
      <c r="F92" s="133" t="s">
        <v>881</v>
      </c>
    </row>
    <row r="93" spans="1:6">
      <c r="B93" s="131">
        <v>177</v>
      </c>
      <c r="D93" s="133" t="s">
        <v>60</v>
      </c>
      <c r="E93" s="133" t="s">
        <v>882</v>
      </c>
      <c r="F93" s="133" t="s">
        <v>882</v>
      </c>
    </row>
    <row r="94" spans="1:6">
      <c r="B94" s="131">
        <v>178</v>
      </c>
      <c r="D94" s="133" t="s">
        <v>61</v>
      </c>
      <c r="E94" s="133" t="s">
        <v>883</v>
      </c>
      <c r="F94" s="133" t="s">
        <v>883</v>
      </c>
    </row>
    <row r="95" spans="1:6">
      <c r="B95" s="131">
        <v>179</v>
      </c>
      <c r="D95" s="133" t="s">
        <v>62</v>
      </c>
      <c r="E95" s="133" t="s">
        <v>884</v>
      </c>
      <c r="F95" s="133" t="s">
        <v>884</v>
      </c>
    </row>
    <row r="96" spans="1:6">
      <c r="B96" s="131">
        <v>180</v>
      </c>
      <c r="D96" s="133" t="s">
        <v>352</v>
      </c>
      <c r="E96" s="133" t="s">
        <v>885</v>
      </c>
      <c r="F96" s="133" t="s">
        <v>885</v>
      </c>
    </row>
    <row r="97" spans="2:6">
      <c r="B97" s="131">
        <v>181</v>
      </c>
      <c r="C97" s="132" t="s">
        <v>544</v>
      </c>
      <c r="D97" s="133" t="s">
        <v>565</v>
      </c>
      <c r="E97" s="133" t="s">
        <v>886</v>
      </c>
      <c r="F97" s="133" t="s">
        <v>886</v>
      </c>
    </row>
    <row r="98" spans="2:6" ht="36">
      <c r="B98" s="131">
        <v>182</v>
      </c>
      <c r="C98" s="132" t="s">
        <v>544</v>
      </c>
      <c r="D98" s="133" t="s">
        <v>585</v>
      </c>
      <c r="E98" s="133" t="s">
        <v>887</v>
      </c>
      <c r="F98" s="133" t="s">
        <v>887</v>
      </c>
    </row>
    <row r="99" spans="2:6">
      <c r="B99" s="131">
        <v>183</v>
      </c>
      <c r="D99" s="133" t="s">
        <v>63</v>
      </c>
      <c r="E99" s="133" t="s">
        <v>888</v>
      </c>
      <c r="F99" s="133" t="s">
        <v>888</v>
      </c>
    </row>
    <row r="100" spans="2:6">
      <c r="B100" s="131">
        <v>184</v>
      </c>
      <c r="D100" s="133" t="s">
        <v>618</v>
      </c>
      <c r="E100" s="133" t="s">
        <v>889</v>
      </c>
      <c r="F100" s="133" t="s">
        <v>889</v>
      </c>
    </row>
    <row r="101" spans="2:6">
      <c r="B101" s="131">
        <v>185</v>
      </c>
      <c r="D101" s="133" t="s">
        <v>64</v>
      </c>
      <c r="E101" s="133" t="s">
        <v>890</v>
      </c>
      <c r="F101" s="133" t="s">
        <v>890</v>
      </c>
    </row>
    <row r="102" spans="2:6" ht="24">
      <c r="B102" s="131">
        <v>186</v>
      </c>
      <c r="D102" s="133" t="s">
        <v>65</v>
      </c>
      <c r="E102" s="133" t="s">
        <v>891</v>
      </c>
      <c r="F102" s="133" t="s">
        <v>891</v>
      </c>
    </row>
    <row r="103" spans="2:6" ht="24">
      <c r="B103" s="131">
        <v>187</v>
      </c>
      <c r="D103" s="133" t="s">
        <v>66</v>
      </c>
      <c r="E103" s="133" t="s">
        <v>892</v>
      </c>
      <c r="F103" s="133" t="s">
        <v>892</v>
      </c>
    </row>
    <row r="104" spans="2:6" ht="24">
      <c r="B104" s="131">
        <v>188</v>
      </c>
      <c r="D104" s="133" t="s">
        <v>67</v>
      </c>
      <c r="E104" s="133" t="s">
        <v>893</v>
      </c>
      <c r="F104" s="133" t="s">
        <v>893</v>
      </c>
    </row>
    <row r="105" spans="2:6">
      <c r="B105" s="131">
        <v>189</v>
      </c>
      <c r="D105" s="133" t="s">
        <v>68</v>
      </c>
      <c r="E105" s="133" t="s">
        <v>894</v>
      </c>
      <c r="F105" s="133" t="s">
        <v>894</v>
      </c>
    </row>
    <row r="106" spans="2:6">
      <c r="B106" s="131">
        <v>190</v>
      </c>
      <c r="C106" s="132" t="s">
        <v>544</v>
      </c>
      <c r="D106" s="133" t="s">
        <v>563</v>
      </c>
      <c r="E106" s="133" t="s">
        <v>895</v>
      </c>
      <c r="F106" s="133" t="s">
        <v>895</v>
      </c>
    </row>
    <row r="107" spans="2:6">
      <c r="B107" s="131">
        <v>191</v>
      </c>
      <c r="D107" s="133" t="s">
        <v>591</v>
      </c>
      <c r="E107" s="133" t="s">
        <v>896</v>
      </c>
      <c r="F107" s="133" t="s">
        <v>896</v>
      </c>
    </row>
    <row r="108" spans="2:6">
      <c r="B108" s="131">
        <v>192</v>
      </c>
      <c r="D108" s="133" t="s">
        <v>456</v>
      </c>
      <c r="E108" s="133" t="s">
        <v>897</v>
      </c>
      <c r="F108" s="133" t="s">
        <v>897</v>
      </c>
    </row>
    <row r="109" spans="2:6">
      <c r="B109" s="131">
        <v>193</v>
      </c>
      <c r="D109" s="133" t="s">
        <v>457</v>
      </c>
      <c r="E109" s="133" t="s">
        <v>898</v>
      </c>
      <c r="F109" s="133" t="s">
        <v>898</v>
      </c>
    </row>
    <row r="110" spans="2:6">
      <c r="B110" s="131">
        <v>194</v>
      </c>
      <c r="D110" s="133" t="s">
        <v>69</v>
      </c>
      <c r="E110" s="133" t="s">
        <v>899</v>
      </c>
      <c r="F110" s="133" t="s">
        <v>899</v>
      </c>
    </row>
    <row r="111" spans="2:6">
      <c r="B111" s="131">
        <v>195</v>
      </c>
      <c r="D111" s="133" t="s">
        <v>70</v>
      </c>
      <c r="E111" s="133" t="s">
        <v>900</v>
      </c>
      <c r="F111" s="133" t="s">
        <v>900</v>
      </c>
    </row>
    <row r="112" spans="2:6">
      <c r="B112" s="131">
        <v>196</v>
      </c>
      <c r="D112" s="133" t="s">
        <v>353</v>
      </c>
      <c r="E112" s="133" t="s">
        <v>901</v>
      </c>
      <c r="F112" s="133" t="s">
        <v>901</v>
      </c>
    </row>
    <row r="113" spans="2:6" ht="24">
      <c r="B113" s="131">
        <v>197</v>
      </c>
      <c r="D113" s="133" t="s">
        <v>354</v>
      </c>
      <c r="E113" s="133" t="s">
        <v>902</v>
      </c>
      <c r="F113" s="133" t="s">
        <v>902</v>
      </c>
    </row>
    <row r="114" spans="2:6" ht="24">
      <c r="B114" s="131">
        <v>198</v>
      </c>
      <c r="D114" s="133" t="s">
        <v>71</v>
      </c>
      <c r="E114" s="133" t="s">
        <v>903</v>
      </c>
      <c r="F114" s="133" t="s">
        <v>903</v>
      </c>
    </row>
    <row r="115" spans="2:6">
      <c r="B115" s="131">
        <v>199</v>
      </c>
      <c r="D115" s="133" t="s">
        <v>620</v>
      </c>
      <c r="E115" s="133" t="s">
        <v>904</v>
      </c>
      <c r="F115" s="133" t="s">
        <v>904</v>
      </c>
    </row>
    <row r="116" spans="2:6">
      <c r="B116" s="131">
        <v>200</v>
      </c>
      <c r="D116" s="133" t="s">
        <v>72</v>
      </c>
      <c r="E116" s="133" t="s">
        <v>73</v>
      </c>
      <c r="F116" s="133" t="s">
        <v>73</v>
      </c>
    </row>
    <row r="117" spans="2:6">
      <c r="B117" s="131">
        <v>201</v>
      </c>
      <c r="D117" s="133" t="s">
        <v>614</v>
      </c>
      <c r="E117" s="133" t="s">
        <v>905</v>
      </c>
      <c r="F117" s="133" t="s">
        <v>905</v>
      </c>
    </row>
    <row r="118" spans="2:6">
      <c r="B118" s="131">
        <v>202</v>
      </c>
      <c r="D118" s="133" t="s">
        <v>355</v>
      </c>
      <c r="E118" s="133" t="s">
        <v>906</v>
      </c>
      <c r="F118" s="133" t="s">
        <v>906</v>
      </c>
    </row>
    <row r="119" spans="2:6">
      <c r="B119" s="131">
        <v>203</v>
      </c>
      <c r="D119" s="133" t="s">
        <v>356</v>
      </c>
      <c r="E119" s="133" t="s">
        <v>907</v>
      </c>
      <c r="F119" s="133" t="s">
        <v>907</v>
      </c>
    </row>
    <row r="120" spans="2:6">
      <c r="B120" s="131">
        <v>204</v>
      </c>
      <c r="D120" s="133" t="s">
        <v>357</v>
      </c>
      <c r="E120" s="133" t="s">
        <v>908</v>
      </c>
      <c r="F120" s="133" t="s">
        <v>908</v>
      </c>
    </row>
    <row r="121" spans="2:6">
      <c r="B121" s="131">
        <v>205</v>
      </c>
      <c r="D121" s="133" t="s">
        <v>605</v>
      </c>
      <c r="E121" s="133" t="s">
        <v>909</v>
      </c>
      <c r="F121" s="133" t="s">
        <v>909</v>
      </c>
    </row>
    <row r="122" spans="2:6">
      <c r="B122" s="131">
        <v>206</v>
      </c>
      <c r="D122" s="133" t="s">
        <v>598</v>
      </c>
      <c r="E122" s="133" t="s">
        <v>910</v>
      </c>
      <c r="F122" s="133" t="s">
        <v>910</v>
      </c>
    </row>
    <row r="123" spans="2:6">
      <c r="B123" s="131">
        <v>207</v>
      </c>
      <c r="D123" s="133" t="s">
        <v>74</v>
      </c>
      <c r="E123" s="133" t="s">
        <v>911</v>
      </c>
      <c r="F123" s="133" t="s">
        <v>911</v>
      </c>
    </row>
    <row r="124" spans="2:6" ht="24">
      <c r="B124" s="131">
        <v>208</v>
      </c>
      <c r="D124" s="133" t="s">
        <v>75</v>
      </c>
      <c r="E124" s="133" t="s">
        <v>912</v>
      </c>
      <c r="F124" s="133" t="s">
        <v>912</v>
      </c>
    </row>
    <row r="125" spans="2:6" ht="24">
      <c r="B125" s="131">
        <v>209</v>
      </c>
      <c r="D125" s="133" t="s">
        <v>76</v>
      </c>
      <c r="E125" s="133" t="s">
        <v>913</v>
      </c>
      <c r="F125" s="133" t="s">
        <v>913</v>
      </c>
    </row>
    <row r="126" spans="2:6">
      <c r="B126" s="131">
        <v>210</v>
      </c>
      <c r="D126" s="133" t="s">
        <v>458</v>
      </c>
      <c r="E126" s="133" t="s">
        <v>914</v>
      </c>
      <c r="F126" s="133" t="s">
        <v>914</v>
      </c>
    </row>
    <row r="127" spans="2:6">
      <c r="B127" s="131">
        <v>211</v>
      </c>
      <c r="D127" s="133" t="s">
        <v>77</v>
      </c>
      <c r="E127" s="133" t="s">
        <v>77</v>
      </c>
      <c r="F127" s="133" t="s">
        <v>77</v>
      </c>
    </row>
    <row r="128" spans="2:6">
      <c r="B128" s="131">
        <v>212</v>
      </c>
      <c r="D128" s="133" t="s">
        <v>78</v>
      </c>
      <c r="E128" s="133" t="s">
        <v>915</v>
      </c>
      <c r="F128" s="133" t="s">
        <v>915</v>
      </c>
    </row>
    <row r="129" spans="2:6">
      <c r="B129" s="131">
        <v>213</v>
      </c>
      <c r="D129" s="133" t="s">
        <v>79</v>
      </c>
      <c r="E129" s="133" t="s">
        <v>916</v>
      </c>
      <c r="F129" s="133" t="s">
        <v>916</v>
      </c>
    </row>
    <row r="130" spans="2:6">
      <c r="B130" s="131">
        <v>214</v>
      </c>
      <c r="D130" s="133" t="s">
        <v>80</v>
      </c>
      <c r="E130" s="133" t="s">
        <v>917</v>
      </c>
      <c r="F130" s="133" t="s">
        <v>917</v>
      </c>
    </row>
    <row r="131" spans="2:6">
      <c r="B131" s="131">
        <v>215</v>
      </c>
      <c r="D131" s="133" t="s">
        <v>358</v>
      </c>
      <c r="E131" s="133" t="s">
        <v>918</v>
      </c>
      <c r="F131" s="133" t="s">
        <v>918</v>
      </c>
    </row>
    <row r="132" spans="2:6">
      <c r="B132" s="131">
        <v>216</v>
      </c>
      <c r="D132" s="133" t="s">
        <v>81</v>
      </c>
      <c r="E132" s="133" t="s">
        <v>919</v>
      </c>
      <c r="F132" s="133" t="s">
        <v>919</v>
      </c>
    </row>
    <row r="133" spans="2:6">
      <c r="B133" s="131">
        <v>217</v>
      </c>
      <c r="D133" s="133" t="s">
        <v>359</v>
      </c>
      <c r="E133" s="133" t="s">
        <v>920</v>
      </c>
      <c r="F133" s="133" t="s">
        <v>920</v>
      </c>
    </row>
    <row r="134" spans="2:6">
      <c r="B134" s="131">
        <v>218</v>
      </c>
      <c r="D134" s="133" t="s">
        <v>82</v>
      </c>
      <c r="E134" s="133" t="s">
        <v>921</v>
      </c>
      <c r="F134" s="133" t="s">
        <v>921</v>
      </c>
    </row>
    <row r="135" spans="2:6">
      <c r="B135" s="131">
        <v>219</v>
      </c>
      <c r="D135" s="133" t="s">
        <v>83</v>
      </c>
      <c r="E135" s="133" t="s">
        <v>922</v>
      </c>
      <c r="F135" s="133" t="s">
        <v>922</v>
      </c>
    </row>
    <row r="136" spans="2:6">
      <c r="B136" s="131">
        <v>220</v>
      </c>
      <c r="D136" s="133" t="s">
        <v>84</v>
      </c>
      <c r="E136" s="133" t="s">
        <v>923</v>
      </c>
      <c r="F136" s="133" t="s">
        <v>923</v>
      </c>
    </row>
    <row r="137" spans="2:6">
      <c r="B137" s="131">
        <v>221</v>
      </c>
      <c r="D137" s="133" t="s">
        <v>360</v>
      </c>
      <c r="E137" s="133" t="s">
        <v>924</v>
      </c>
      <c r="F137" s="133" t="s">
        <v>924</v>
      </c>
    </row>
    <row r="138" spans="2:6">
      <c r="B138" s="131">
        <v>222</v>
      </c>
      <c r="D138" s="133" t="s">
        <v>85</v>
      </c>
      <c r="E138" s="133" t="s">
        <v>925</v>
      </c>
      <c r="F138" s="133" t="s">
        <v>925</v>
      </c>
    </row>
    <row r="139" spans="2:6">
      <c r="B139" s="131">
        <v>223</v>
      </c>
      <c r="D139" s="133" t="s">
        <v>86</v>
      </c>
      <c r="E139" s="133" t="s">
        <v>926</v>
      </c>
      <c r="F139" s="133" t="s">
        <v>926</v>
      </c>
    </row>
    <row r="140" spans="2:6">
      <c r="B140" s="131">
        <v>224</v>
      </c>
      <c r="C140" s="132" t="s">
        <v>467</v>
      </c>
      <c r="D140" s="133" t="s">
        <v>476</v>
      </c>
      <c r="E140" s="133" t="s">
        <v>927</v>
      </c>
      <c r="F140" s="133" t="s">
        <v>927</v>
      </c>
    </row>
    <row r="141" spans="2:6">
      <c r="B141" s="131">
        <v>225</v>
      </c>
      <c r="D141" s="133" t="s">
        <v>87</v>
      </c>
      <c r="E141" s="133" t="s">
        <v>928</v>
      </c>
      <c r="F141" s="133" t="s">
        <v>928</v>
      </c>
    </row>
    <row r="142" spans="2:6">
      <c r="B142" s="131">
        <v>226</v>
      </c>
      <c r="D142" s="133" t="s">
        <v>587</v>
      </c>
      <c r="E142" s="133" t="s">
        <v>929</v>
      </c>
      <c r="F142" s="133" t="s">
        <v>929</v>
      </c>
    </row>
    <row r="143" spans="2:6">
      <c r="B143" s="131">
        <v>227</v>
      </c>
      <c r="D143" s="133" t="s">
        <v>361</v>
      </c>
      <c r="E143" s="133" t="s">
        <v>930</v>
      </c>
      <c r="F143" s="133" t="s">
        <v>930</v>
      </c>
    </row>
    <row r="144" spans="2:6">
      <c r="B144" s="131">
        <v>228</v>
      </c>
      <c r="D144" s="133" t="s">
        <v>362</v>
      </c>
      <c r="E144" s="133" t="s">
        <v>931</v>
      </c>
      <c r="F144" s="133" t="s">
        <v>931</v>
      </c>
    </row>
    <row r="145" spans="2:6">
      <c r="B145" s="131">
        <v>229</v>
      </c>
      <c r="D145" s="133" t="s">
        <v>541</v>
      </c>
      <c r="E145" s="133" t="s">
        <v>932</v>
      </c>
      <c r="F145" s="133" t="s">
        <v>932</v>
      </c>
    </row>
    <row r="146" spans="2:6">
      <c r="B146" s="131">
        <v>230</v>
      </c>
      <c r="D146" s="133" t="s">
        <v>540</v>
      </c>
      <c r="E146" s="133" t="s">
        <v>933</v>
      </c>
      <c r="F146" s="133" t="s">
        <v>933</v>
      </c>
    </row>
    <row r="147" spans="2:6">
      <c r="B147" s="131">
        <v>231</v>
      </c>
      <c r="D147" s="133" t="s">
        <v>363</v>
      </c>
      <c r="E147" s="133" t="s">
        <v>934</v>
      </c>
      <c r="F147" s="133" t="s">
        <v>934</v>
      </c>
    </row>
    <row r="148" spans="2:6">
      <c r="B148" s="131">
        <v>232</v>
      </c>
      <c r="D148" s="133" t="s">
        <v>602</v>
      </c>
      <c r="E148" s="133" t="s">
        <v>935</v>
      </c>
      <c r="F148" s="133" t="s">
        <v>935</v>
      </c>
    </row>
    <row r="149" spans="2:6">
      <c r="B149" s="131">
        <v>233</v>
      </c>
      <c r="D149" s="133" t="s">
        <v>364</v>
      </c>
      <c r="E149" s="133" t="s">
        <v>936</v>
      </c>
      <c r="F149" s="133" t="s">
        <v>936</v>
      </c>
    </row>
    <row r="150" spans="2:6">
      <c r="B150" s="131">
        <v>234</v>
      </c>
      <c r="D150" s="133" t="s">
        <v>365</v>
      </c>
      <c r="E150" s="133" t="s">
        <v>937</v>
      </c>
      <c r="F150" s="133" t="s">
        <v>937</v>
      </c>
    </row>
    <row r="151" spans="2:6">
      <c r="B151" s="131">
        <v>235</v>
      </c>
      <c r="D151" s="133" t="s">
        <v>88</v>
      </c>
      <c r="E151" s="133" t="s">
        <v>938</v>
      </c>
      <c r="F151" s="133" t="s">
        <v>938</v>
      </c>
    </row>
    <row r="152" spans="2:6">
      <c r="B152" s="131">
        <v>236</v>
      </c>
      <c r="D152" s="133" t="s">
        <v>366</v>
      </c>
      <c r="E152" s="133" t="s">
        <v>939</v>
      </c>
      <c r="F152" s="133" t="s">
        <v>939</v>
      </c>
    </row>
    <row r="153" spans="2:6">
      <c r="B153" s="131">
        <v>237</v>
      </c>
      <c r="D153" s="133" t="s">
        <v>599</v>
      </c>
      <c r="E153" s="133" t="s">
        <v>940</v>
      </c>
      <c r="F153" s="133" t="s">
        <v>940</v>
      </c>
    </row>
    <row r="154" spans="2:6">
      <c r="B154" s="131">
        <v>238</v>
      </c>
      <c r="D154" s="133" t="s">
        <v>89</v>
      </c>
      <c r="E154" s="133" t="s">
        <v>941</v>
      </c>
      <c r="F154" s="133" t="s">
        <v>941</v>
      </c>
    </row>
    <row r="155" spans="2:6">
      <c r="B155" s="131">
        <v>239</v>
      </c>
      <c r="D155" s="133" t="s">
        <v>90</v>
      </c>
      <c r="E155" s="133" t="s">
        <v>942</v>
      </c>
      <c r="F155" s="133" t="s">
        <v>942</v>
      </c>
    </row>
    <row r="156" spans="2:6">
      <c r="B156" s="131">
        <v>240</v>
      </c>
      <c r="D156" s="133" t="s">
        <v>91</v>
      </c>
      <c r="E156" s="133" t="s">
        <v>943</v>
      </c>
      <c r="F156" s="133" t="s">
        <v>943</v>
      </c>
    </row>
    <row r="157" spans="2:6">
      <c r="B157" s="131">
        <v>241</v>
      </c>
      <c r="D157" s="133" t="s">
        <v>367</v>
      </c>
      <c r="E157" s="133" t="s">
        <v>944</v>
      </c>
      <c r="F157" s="133" t="s">
        <v>944</v>
      </c>
    </row>
    <row r="158" spans="2:6">
      <c r="B158" s="131">
        <v>242</v>
      </c>
      <c r="D158" s="133" t="s">
        <v>368</v>
      </c>
      <c r="E158" s="133" t="s">
        <v>945</v>
      </c>
      <c r="F158" s="133" t="s">
        <v>945</v>
      </c>
    </row>
    <row r="159" spans="2:6">
      <c r="B159" s="131">
        <v>243</v>
      </c>
      <c r="D159" s="133" t="s">
        <v>588</v>
      </c>
      <c r="E159" s="133" t="s">
        <v>946</v>
      </c>
      <c r="F159" s="133" t="s">
        <v>946</v>
      </c>
    </row>
    <row r="160" spans="2:6">
      <c r="B160" s="131">
        <v>244</v>
      </c>
      <c r="D160" s="133" t="s">
        <v>644</v>
      </c>
      <c r="E160" s="133" t="s">
        <v>947</v>
      </c>
      <c r="F160" s="133" t="s">
        <v>947</v>
      </c>
    </row>
    <row r="161" spans="2:6">
      <c r="B161" s="131">
        <v>245</v>
      </c>
      <c r="D161" s="133" t="s">
        <v>645</v>
      </c>
      <c r="E161" s="133" t="s">
        <v>948</v>
      </c>
      <c r="F161" s="133" t="s">
        <v>948</v>
      </c>
    </row>
    <row r="162" spans="2:6">
      <c r="B162" s="131">
        <v>246</v>
      </c>
      <c r="D162" s="133" t="s">
        <v>369</v>
      </c>
      <c r="E162" s="133" t="s">
        <v>949</v>
      </c>
      <c r="F162" s="133" t="s">
        <v>949</v>
      </c>
    </row>
    <row r="163" spans="2:6">
      <c r="B163" s="131">
        <v>247</v>
      </c>
      <c r="D163" s="133" t="s">
        <v>590</v>
      </c>
      <c r="E163" s="133" t="s">
        <v>950</v>
      </c>
      <c r="F163" s="133" t="s">
        <v>950</v>
      </c>
    </row>
    <row r="164" spans="2:6">
      <c r="B164" s="131">
        <v>248</v>
      </c>
      <c r="D164" s="133" t="s">
        <v>370</v>
      </c>
      <c r="E164" s="133" t="s">
        <v>951</v>
      </c>
      <c r="F164" s="133" t="s">
        <v>951</v>
      </c>
    </row>
    <row r="165" spans="2:6">
      <c r="B165" s="131">
        <v>249</v>
      </c>
      <c r="D165" s="133" t="s">
        <v>371</v>
      </c>
      <c r="E165" s="133" t="s">
        <v>952</v>
      </c>
      <c r="F165" s="133" t="s">
        <v>952</v>
      </c>
    </row>
    <row r="166" spans="2:6">
      <c r="B166" s="131">
        <v>250</v>
      </c>
      <c r="D166" s="133" t="s">
        <v>92</v>
      </c>
      <c r="E166" s="133" t="s">
        <v>953</v>
      </c>
      <c r="F166" s="133" t="s">
        <v>953</v>
      </c>
    </row>
    <row r="167" spans="2:6">
      <c r="B167" s="131">
        <v>251</v>
      </c>
      <c r="D167" s="133" t="s">
        <v>93</v>
      </c>
      <c r="E167" s="133" t="s">
        <v>954</v>
      </c>
      <c r="F167" s="133" t="s">
        <v>954</v>
      </c>
    </row>
    <row r="168" spans="2:6">
      <c r="B168" s="131">
        <v>252</v>
      </c>
      <c r="D168" s="133" t="s">
        <v>589</v>
      </c>
      <c r="E168" s="133" t="s">
        <v>955</v>
      </c>
      <c r="F168" s="133" t="s">
        <v>955</v>
      </c>
    </row>
    <row r="169" spans="2:6">
      <c r="B169" s="131">
        <v>253</v>
      </c>
      <c r="D169" s="133" t="s">
        <v>654</v>
      </c>
      <c r="E169" s="133" t="s">
        <v>956</v>
      </c>
      <c r="F169" s="133" t="s">
        <v>956</v>
      </c>
    </row>
    <row r="170" spans="2:6">
      <c r="B170" s="131">
        <v>254</v>
      </c>
      <c r="D170" s="133" t="s">
        <v>94</v>
      </c>
      <c r="E170" s="133" t="s">
        <v>957</v>
      </c>
      <c r="F170" s="133" t="s">
        <v>957</v>
      </c>
    </row>
    <row r="171" spans="2:6">
      <c r="B171" s="131">
        <v>255</v>
      </c>
      <c r="C171" s="132" t="s">
        <v>467</v>
      </c>
      <c r="D171" s="133" t="s">
        <v>473</v>
      </c>
      <c r="E171" s="133" t="s">
        <v>958</v>
      </c>
      <c r="F171" s="133" t="s">
        <v>958</v>
      </c>
    </row>
    <row r="172" spans="2:6">
      <c r="B172" s="131">
        <v>256</v>
      </c>
      <c r="D172" s="133" t="s">
        <v>95</v>
      </c>
      <c r="E172" s="133" t="s">
        <v>959</v>
      </c>
      <c r="F172" s="133" t="s">
        <v>959</v>
      </c>
    </row>
    <row r="173" spans="2:6">
      <c r="B173" s="131">
        <v>257</v>
      </c>
      <c r="D173" s="133" t="s">
        <v>372</v>
      </c>
      <c r="E173" s="133" t="s">
        <v>960</v>
      </c>
      <c r="F173" s="133" t="s">
        <v>960</v>
      </c>
    </row>
    <row r="174" spans="2:6">
      <c r="B174" s="131">
        <v>258</v>
      </c>
      <c r="D174" s="133" t="s">
        <v>373</v>
      </c>
      <c r="E174" s="133" t="s">
        <v>961</v>
      </c>
      <c r="F174" s="133" t="s">
        <v>961</v>
      </c>
    </row>
    <row r="175" spans="2:6">
      <c r="B175" s="131">
        <v>259</v>
      </c>
      <c r="D175" s="133" t="s">
        <v>374</v>
      </c>
      <c r="E175" s="133" t="s">
        <v>962</v>
      </c>
      <c r="F175" s="133" t="s">
        <v>962</v>
      </c>
    </row>
    <row r="176" spans="2:6">
      <c r="B176" s="131">
        <v>260</v>
      </c>
      <c r="D176" s="133" t="s">
        <v>519</v>
      </c>
      <c r="E176" s="133" t="s">
        <v>963</v>
      </c>
      <c r="F176" s="133" t="s">
        <v>963</v>
      </c>
    </row>
    <row r="177" spans="2:6">
      <c r="B177" s="131">
        <v>261</v>
      </c>
      <c r="D177" s="133" t="s">
        <v>521</v>
      </c>
      <c r="E177" s="133" t="s">
        <v>964</v>
      </c>
      <c r="F177" s="133" t="s">
        <v>964</v>
      </c>
    </row>
    <row r="178" spans="2:6" ht="24">
      <c r="B178" s="131">
        <v>262</v>
      </c>
      <c r="D178" s="133" t="s">
        <v>522</v>
      </c>
      <c r="E178" s="133" t="s">
        <v>965</v>
      </c>
      <c r="F178" s="133" t="s">
        <v>965</v>
      </c>
    </row>
    <row r="179" spans="2:6" ht="24">
      <c r="B179" s="131">
        <v>263</v>
      </c>
      <c r="D179" s="133" t="s">
        <v>543</v>
      </c>
      <c r="E179" s="133" t="s">
        <v>966</v>
      </c>
      <c r="F179" s="133" t="s">
        <v>966</v>
      </c>
    </row>
    <row r="180" spans="2:6">
      <c r="B180" s="131">
        <v>264</v>
      </c>
      <c r="D180" s="133" t="s">
        <v>520</v>
      </c>
      <c r="E180" s="133" t="s">
        <v>967</v>
      </c>
      <c r="F180" s="133" t="s">
        <v>967</v>
      </c>
    </row>
    <row r="181" spans="2:6">
      <c r="B181" s="131">
        <v>265</v>
      </c>
      <c r="D181" s="133" t="s">
        <v>524</v>
      </c>
      <c r="E181" s="133" t="s">
        <v>968</v>
      </c>
      <c r="F181" s="133" t="s">
        <v>968</v>
      </c>
    </row>
    <row r="182" spans="2:6">
      <c r="B182" s="131">
        <v>266</v>
      </c>
      <c r="D182" s="133" t="s">
        <v>518</v>
      </c>
      <c r="E182" s="133" t="s">
        <v>969</v>
      </c>
      <c r="F182" s="133" t="s">
        <v>969</v>
      </c>
    </row>
    <row r="183" spans="2:6">
      <c r="B183" s="131">
        <v>267</v>
      </c>
      <c r="D183" s="133" t="s">
        <v>96</v>
      </c>
      <c r="E183" s="133" t="s">
        <v>970</v>
      </c>
      <c r="F183" s="133" t="s">
        <v>970</v>
      </c>
    </row>
    <row r="184" spans="2:6">
      <c r="B184" s="131">
        <v>268</v>
      </c>
      <c r="D184" s="133" t="s">
        <v>609</v>
      </c>
      <c r="E184" s="133" t="s">
        <v>971</v>
      </c>
      <c r="F184" s="133" t="s">
        <v>971</v>
      </c>
    </row>
    <row r="185" spans="2:6">
      <c r="B185" s="131">
        <v>269</v>
      </c>
      <c r="D185" s="133" t="s">
        <v>97</v>
      </c>
      <c r="E185" s="133" t="s">
        <v>972</v>
      </c>
      <c r="F185" s="133" t="s">
        <v>972</v>
      </c>
    </row>
    <row r="186" spans="2:6">
      <c r="B186" s="131">
        <v>270</v>
      </c>
      <c r="D186" s="133" t="s">
        <v>375</v>
      </c>
      <c r="E186" s="133" t="s">
        <v>973</v>
      </c>
      <c r="F186" s="133" t="s">
        <v>973</v>
      </c>
    </row>
    <row r="187" spans="2:6" ht="24">
      <c r="B187" s="131">
        <v>271</v>
      </c>
      <c r="D187" s="133" t="s">
        <v>98</v>
      </c>
      <c r="E187" s="133" t="s">
        <v>974</v>
      </c>
      <c r="F187" s="133" t="s">
        <v>974</v>
      </c>
    </row>
    <row r="188" spans="2:6" ht="36">
      <c r="B188" s="131">
        <v>272</v>
      </c>
      <c r="D188" s="133" t="s">
        <v>99</v>
      </c>
      <c r="E188" s="133" t="s">
        <v>975</v>
      </c>
      <c r="F188" s="133" t="s">
        <v>975</v>
      </c>
    </row>
    <row r="189" spans="2:6">
      <c r="B189" s="131">
        <v>273</v>
      </c>
      <c r="D189" s="133" t="s">
        <v>100</v>
      </c>
      <c r="E189" s="133" t="s">
        <v>976</v>
      </c>
      <c r="F189" s="133" t="s">
        <v>976</v>
      </c>
    </row>
    <row r="190" spans="2:6">
      <c r="B190" s="131">
        <v>274</v>
      </c>
      <c r="D190" s="133" t="s">
        <v>101</v>
      </c>
      <c r="E190" s="133" t="s">
        <v>977</v>
      </c>
      <c r="F190" s="133" t="s">
        <v>977</v>
      </c>
    </row>
    <row r="191" spans="2:6">
      <c r="B191" s="131">
        <v>275</v>
      </c>
      <c r="D191" s="133" t="s">
        <v>102</v>
      </c>
      <c r="E191" s="133" t="s">
        <v>978</v>
      </c>
      <c r="F191" s="133" t="s">
        <v>978</v>
      </c>
    </row>
    <row r="192" spans="2:6">
      <c r="B192" s="131">
        <v>276</v>
      </c>
      <c r="D192" s="133" t="s">
        <v>103</v>
      </c>
      <c r="E192" s="133" t="s">
        <v>979</v>
      </c>
      <c r="F192" s="133" t="s">
        <v>979</v>
      </c>
    </row>
    <row r="193" spans="2:6">
      <c r="B193" s="131">
        <v>277</v>
      </c>
      <c r="D193" s="133" t="s">
        <v>104</v>
      </c>
      <c r="E193" s="133" t="s">
        <v>980</v>
      </c>
      <c r="F193" s="133" t="s">
        <v>980</v>
      </c>
    </row>
    <row r="194" spans="2:6">
      <c r="B194" s="131">
        <v>278</v>
      </c>
      <c r="D194" s="133" t="s">
        <v>105</v>
      </c>
      <c r="E194" s="133" t="s">
        <v>981</v>
      </c>
      <c r="F194" s="133" t="s">
        <v>981</v>
      </c>
    </row>
    <row r="195" spans="2:6">
      <c r="B195" s="131">
        <v>279</v>
      </c>
      <c r="D195" s="133" t="s">
        <v>106</v>
      </c>
      <c r="E195" s="133" t="s">
        <v>982</v>
      </c>
      <c r="F195" s="133" t="s">
        <v>982</v>
      </c>
    </row>
    <row r="196" spans="2:6">
      <c r="B196" s="131">
        <v>280</v>
      </c>
      <c r="D196" s="133" t="s">
        <v>107</v>
      </c>
      <c r="E196" s="133" t="s">
        <v>983</v>
      </c>
      <c r="F196" s="133" t="s">
        <v>983</v>
      </c>
    </row>
    <row r="197" spans="2:6">
      <c r="B197" s="131">
        <v>281</v>
      </c>
      <c r="D197" s="133" t="s">
        <v>108</v>
      </c>
      <c r="E197" s="133" t="s">
        <v>984</v>
      </c>
      <c r="F197" s="133" t="s">
        <v>984</v>
      </c>
    </row>
    <row r="198" spans="2:6">
      <c r="B198" s="131">
        <v>282</v>
      </c>
      <c r="D198" s="133" t="s">
        <v>109</v>
      </c>
      <c r="E198" s="133" t="s">
        <v>985</v>
      </c>
      <c r="F198" s="133" t="s">
        <v>985</v>
      </c>
    </row>
    <row r="199" spans="2:6">
      <c r="B199" s="131">
        <v>283</v>
      </c>
      <c r="D199" s="133" t="s">
        <v>110</v>
      </c>
      <c r="E199" s="133" t="s">
        <v>986</v>
      </c>
      <c r="F199" s="133" t="s">
        <v>986</v>
      </c>
    </row>
    <row r="200" spans="2:6" ht="24">
      <c r="B200" s="131">
        <v>284</v>
      </c>
      <c r="D200" s="133" t="s">
        <v>111</v>
      </c>
      <c r="E200" s="133" t="s">
        <v>987</v>
      </c>
      <c r="F200" s="133" t="s">
        <v>987</v>
      </c>
    </row>
    <row r="201" spans="2:6">
      <c r="B201" s="131">
        <v>285</v>
      </c>
      <c r="D201" s="133" t="s">
        <v>376</v>
      </c>
      <c r="E201" s="133" t="s">
        <v>988</v>
      </c>
      <c r="F201" s="133" t="s">
        <v>988</v>
      </c>
    </row>
    <row r="202" spans="2:6">
      <c r="B202" s="131">
        <v>286</v>
      </c>
      <c r="D202" s="133" t="s">
        <v>112</v>
      </c>
      <c r="E202" s="133" t="s">
        <v>989</v>
      </c>
      <c r="F202" s="133" t="s">
        <v>989</v>
      </c>
    </row>
    <row r="203" spans="2:6">
      <c r="B203" s="131">
        <v>287</v>
      </c>
      <c r="D203" s="133" t="s">
        <v>113</v>
      </c>
      <c r="E203" s="133" t="s">
        <v>990</v>
      </c>
      <c r="F203" s="133" t="s">
        <v>990</v>
      </c>
    </row>
    <row r="204" spans="2:6">
      <c r="B204" s="131">
        <v>288</v>
      </c>
      <c r="D204" s="133" t="s">
        <v>114</v>
      </c>
      <c r="E204" s="133" t="s">
        <v>991</v>
      </c>
      <c r="F204" s="133" t="s">
        <v>991</v>
      </c>
    </row>
    <row r="205" spans="2:6">
      <c r="B205" s="131">
        <v>289</v>
      </c>
      <c r="D205" s="133" t="s">
        <v>377</v>
      </c>
      <c r="E205" s="133" t="s">
        <v>992</v>
      </c>
      <c r="F205" s="133" t="s">
        <v>992</v>
      </c>
    </row>
    <row r="206" spans="2:6">
      <c r="B206" s="131">
        <v>290</v>
      </c>
      <c r="D206" s="133" t="s">
        <v>378</v>
      </c>
      <c r="E206" s="133" t="s">
        <v>993</v>
      </c>
      <c r="F206" s="133" t="s">
        <v>993</v>
      </c>
    </row>
    <row r="207" spans="2:6">
      <c r="B207" s="131">
        <v>291</v>
      </c>
      <c r="D207" s="133" t="s">
        <v>593</v>
      </c>
      <c r="E207" s="133" t="s">
        <v>994</v>
      </c>
      <c r="F207" s="133" t="s">
        <v>994</v>
      </c>
    </row>
    <row r="208" spans="2:6">
      <c r="B208" s="131">
        <v>292</v>
      </c>
      <c r="D208" s="133" t="s">
        <v>622</v>
      </c>
      <c r="E208" s="133" t="s">
        <v>995</v>
      </c>
      <c r="F208" s="133" t="s">
        <v>995</v>
      </c>
    </row>
    <row r="209" spans="2:6">
      <c r="B209" s="131">
        <v>293</v>
      </c>
      <c r="D209" s="133" t="s">
        <v>594</v>
      </c>
      <c r="E209" s="133" t="s">
        <v>996</v>
      </c>
      <c r="F209" s="133" t="s">
        <v>996</v>
      </c>
    </row>
    <row r="210" spans="2:6">
      <c r="B210" s="131">
        <v>294</v>
      </c>
      <c r="D210" s="133" t="s">
        <v>592</v>
      </c>
      <c r="E210" s="133" t="s">
        <v>997</v>
      </c>
      <c r="F210" s="133" t="s">
        <v>997</v>
      </c>
    </row>
    <row r="211" spans="2:6">
      <c r="B211" s="131">
        <v>295</v>
      </c>
      <c r="D211" s="133" t="s">
        <v>379</v>
      </c>
      <c r="E211" s="133" t="s">
        <v>998</v>
      </c>
      <c r="F211" s="133" t="s">
        <v>998</v>
      </c>
    </row>
    <row r="212" spans="2:6">
      <c r="B212" s="131">
        <v>296</v>
      </c>
      <c r="D212" s="133" t="s">
        <v>454</v>
      </c>
      <c r="E212" s="133" t="s">
        <v>999</v>
      </c>
      <c r="F212" s="133" t="s">
        <v>999</v>
      </c>
    </row>
    <row r="213" spans="2:6">
      <c r="B213" s="131">
        <v>297</v>
      </c>
      <c r="D213" s="133" t="s">
        <v>115</v>
      </c>
      <c r="E213" s="133" t="s">
        <v>1000</v>
      </c>
      <c r="F213" s="133" t="s">
        <v>1000</v>
      </c>
    </row>
    <row r="214" spans="2:6">
      <c r="B214" s="131">
        <v>298</v>
      </c>
      <c r="C214" s="132" t="s">
        <v>544</v>
      </c>
      <c r="D214" s="133" t="s">
        <v>580</v>
      </c>
      <c r="E214" s="133" t="s">
        <v>1001</v>
      </c>
      <c r="F214" s="133" t="s">
        <v>1001</v>
      </c>
    </row>
    <row r="215" spans="2:6">
      <c r="B215" s="131">
        <v>299</v>
      </c>
      <c r="D215" s="133" t="s">
        <v>601</v>
      </c>
      <c r="E215" s="133" t="s">
        <v>1002</v>
      </c>
      <c r="F215" s="133" t="s">
        <v>1002</v>
      </c>
    </row>
    <row r="216" spans="2:6">
      <c r="B216" s="131">
        <v>300</v>
      </c>
      <c r="D216" s="133" t="s">
        <v>448</v>
      </c>
      <c r="E216" s="133" t="s">
        <v>1003</v>
      </c>
      <c r="F216" s="133" t="s">
        <v>1003</v>
      </c>
    </row>
    <row r="217" spans="2:6">
      <c r="B217" s="131">
        <v>301</v>
      </c>
      <c r="D217" s="133" t="s">
        <v>488</v>
      </c>
      <c r="E217" s="133" t="s">
        <v>1004</v>
      </c>
      <c r="F217" s="133" t="s">
        <v>1004</v>
      </c>
    </row>
    <row r="218" spans="2:6">
      <c r="B218" s="131">
        <v>302</v>
      </c>
      <c r="C218" s="132" t="s">
        <v>544</v>
      </c>
      <c r="D218" s="138" t="s">
        <v>635</v>
      </c>
      <c r="E218" s="138" t="s">
        <v>1005</v>
      </c>
      <c r="F218" s="138" t="s">
        <v>1005</v>
      </c>
    </row>
    <row r="219" spans="2:6">
      <c r="B219" s="131">
        <v>303</v>
      </c>
      <c r="C219" s="132" t="s">
        <v>544</v>
      </c>
      <c r="D219" s="138" t="s">
        <v>552</v>
      </c>
      <c r="E219" s="138" t="s">
        <v>1006</v>
      </c>
      <c r="F219" s="138" t="s">
        <v>1006</v>
      </c>
    </row>
    <row r="220" spans="2:6">
      <c r="B220" s="131">
        <v>304</v>
      </c>
      <c r="C220" s="132" t="s">
        <v>544</v>
      </c>
      <c r="D220" s="138" t="s">
        <v>637</v>
      </c>
      <c r="E220" s="138" t="s">
        <v>1007</v>
      </c>
      <c r="F220" s="138" t="s">
        <v>1007</v>
      </c>
    </row>
    <row r="221" spans="2:6">
      <c r="B221" s="131">
        <v>305</v>
      </c>
      <c r="C221" s="132" t="s">
        <v>544</v>
      </c>
      <c r="D221" s="138" t="s">
        <v>794</v>
      </c>
      <c r="E221" s="138" t="s">
        <v>795</v>
      </c>
      <c r="F221" s="138" t="s">
        <v>795</v>
      </c>
    </row>
    <row r="222" spans="2:6">
      <c r="B222" s="131">
        <v>306</v>
      </c>
      <c r="C222" s="132" t="s">
        <v>544</v>
      </c>
      <c r="D222" s="138" t="s">
        <v>779</v>
      </c>
      <c r="E222" s="138" t="s">
        <v>636</v>
      </c>
      <c r="F222" s="138" t="s">
        <v>636</v>
      </c>
    </row>
    <row r="223" spans="2:6">
      <c r="B223" s="131">
        <v>307</v>
      </c>
      <c r="C223" s="132" t="s">
        <v>544</v>
      </c>
      <c r="D223" s="138" t="s">
        <v>781</v>
      </c>
      <c r="E223" s="138" t="s">
        <v>631</v>
      </c>
      <c r="F223" s="138" t="s">
        <v>631</v>
      </c>
    </row>
    <row r="224" spans="2:6">
      <c r="B224" s="131">
        <v>308</v>
      </c>
      <c r="C224" s="132" t="s">
        <v>544</v>
      </c>
      <c r="D224" s="138" t="s">
        <v>782</v>
      </c>
      <c r="E224" s="138" t="s">
        <v>632</v>
      </c>
      <c r="F224" s="138" t="s">
        <v>632</v>
      </c>
    </row>
    <row r="225" spans="2:6">
      <c r="B225" s="131">
        <v>309</v>
      </c>
      <c r="C225" s="132" t="s">
        <v>544</v>
      </c>
      <c r="D225" s="138" t="s">
        <v>783</v>
      </c>
      <c r="E225" s="138" t="s">
        <v>633</v>
      </c>
      <c r="F225" s="138" t="s">
        <v>633</v>
      </c>
    </row>
    <row r="226" spans="2:6">
      <c r="B226" s="131">
        <v>310</v>
      </c>
      <c r="C226" s="132" t="s">
        <v>544</v>
      </c>
      <c r="D226" s="138" t="s">
        <v>784</v>
      </c>
      <c r="E226" s="138" t="s">
        <v>634</v>
      </c>
      <c r="F226" s="138" t="s">
        <v>634</v>
      </c>
    </row>
    <row r="227" spans="2:6">
      <c r="B227" s="131">
        <v>311</v>
      </c>
      <c r="C227" s="132" t="s">
        <v>544</v>
      </c>
      <c r="D227" s="138" t="s">
        <v>785</v>
      </c>
      <c r="E227" s="138" t="s">
        <v>638</v>
      </c>
      <c r="F227" s="138" t="s">
        <v>638</v>
      </c>
    </row>
    <row r="228" spans="2:6">
      <c r="B228" s="131">
        <v>312</v>
      </c>
      <c r="C228" s="132" t="s">
        <v>544</v>
      </c>
      <c r="D228" s="138" t="s">
        <v>786</v>
      </c>
      <c r="E228" s="138" t="s">
        <v>639</v>
      </c>
      <c r="F228" s="138" t="s">
        <v>639</v>
      </c>
    </row>
    <row r="229" spans="2:6">
      <c r="B229" s="131">
        <v>313</v>
      </c>
      <c r="C229" s="132" t="s">
        <v>544</v>
      </c>
      <c r="D229" s="138" t="s">
        <v>787</v>
      </c>
      <c r="E229" s="138" t="s">
        <v>640</v>
      </c>
      <c r="F229" s="138" t="s">
        <v>640</v>
      </c>
    </row>
    <row r="230" spans="2:6">
      <c r="B230" s="131">
        <v>314</v>
      </c>
      <c r="C230" s="132" t="s">
        <v>544</v>
      </c>
      <c r="D230" s="138" t="s">
        <v>788</v>
      </c>
      <c r="E230" s="138" t="s">
        <v>641</v>
      </c>
      <c r="F230" s="138" t="s">
        <v>641</v>
      </c>
    </row>
    <row r="231" spans="2:6">
      <c r="B231" s="131">
        <v>315</v>
      </c>
      <c r="C231" s="132" t="s">
        <v>544</v>
      </c>
      <c r="D231" s="138" t="s">
        <v>789</v>
      </c>
      <c r="E231" s="133" t="s">
        <v>545</v>
      </c>
      <c r="F231" s="133" t="s">
        <v>545</v>
      </c>
    </row>
    <row r="232" spans="2:6">
      <c r="B232" s="131">
        <v>316</v>
      </c>
      <c r="C232" s="132" t="s">
        <v>544</v>
      </c>
      <c r="D232" s="138" t="s">
        <v>790</v>
      </c>
      <c r="E232" s="133" t="s">
        <v>546</v>
      </c>
      <c r="F232" s="133" t="s">
        <v>546</v>
      </c>
    </row>
    <row r="233" spans="2:6">
      <c r="B233" s="131">
        <v>317</v>
      </c>
      <c r="C233" s="132" t="s">
        <v>544</v>
      </c>
      <c r="D233" s="138" t="s">
        <v>791</v>
      </c>
      <c r="E233" s="133" t="s">
        <v>547</v>
      </c>
      <c r="F233" s="133" t="s">
        <v>547</v>
      </c>
    </row>
    <row r="234" spans="2:6">
      <c r="B234" s="131">
        <v>318</v>
      </c>
      <c r="C234" s="132" t="s">
        <v>544</v>
      </c>
      <c r="D234" s="138" t="s">
        <v>792</v>
      </c>
      <c r="E234" s="133" t="s">
        <v>548</v>
      </c>
      <c r="F234" s="133" t="s">
        <v>548</v>
      </c>
    </row>
    <row r="235" spans="2:6">
      <c r="B235" s="131">
        <v>319</v>
      </c>
      <c r="C235" s="132" t="s">
        <v>544</v>
      </c>
      <c r="D235" s="138" t="s">
        <v>793</v>
      </c>
      <c r="E235" s="138" t="s">
        <v>582</v>
      </c>
      <c r="F235" s="138" t="s">
        <v>582</v>
      </c>
    </row>
    <row r="236" spans="2:6">
      <c r="B236" s="131">
        <v>320</v>
      </c>
      <c r="C236" s="132" t="s">
        <v>544</v>
      </c>
      <c r="D236" s="138" t="s">
        <v>1347</v>
      </c>
      <c r="E236" s="138" t="s">
        <v>1349</v>
      </c>
      <c r="F236" s="138" t="s">
        <v>1349</v>
      </c>
    </row>
    <row r="237" spans="2:6">
      <c r="B237" s="131">
        <v>321</v>
      </c>
      <c r="C237" s="132" t="s">
        <v>544</v>
      </c>
      <c r="D237" s="138" t="s">
        <v>1348</v>
      </c>
      <c r="E237" s="138" t="s">
        <v>1350</v>
      </c>
      <c r="F237" s="138" t="s">
        <v>1350</v>
      </c>
    </row>
    <row r="238" spans="2:6">
      <c r="B238" s="131">
        <v>322</v>
      </c>
      <c r="C238" s="132" t="s">
        <v>544</v>
      </c>
      <c r="D238" s="138"/>
      <c r="E238" s="138"/>
      <c r="F238" s="138"/>
    </row>
    <row r="239" spans="2:6" ht="24">
      <c r="B239" s="131">
        <v>323</v>
      </c>
      <c r="D239" s="133" t="s">
        <v>116</v>
      </c>
      <c r="E239" s="133" t="s">
        <v>1008</v>
      </c>
      <c r="F239" s="133" t="s">
        <v>1008</v>
      </c>
    </row>
    <row r="240" spans="2:6" ht="24">
      <c r="B240" s="131">
        <v>324</v>
      </c>
      <c r="D240" s="133" t="s">
        <v>117</v>
      </c>
      <c r="E240" s="133" t="s">
        <v>1009</v>
      </c>
      <c r="F240" s="133" t="s">
        <v>1009</v>
      </c>
    </row>
    <row r="241" spans="2:6" ht="24">
      <c r="B241" s="131">
        <v>325</v>
      </c>
      <c r="D241" s="133" t="s">
        <v>118</v>
      </c>
      <c r="E241" s="133" t="s">
        <v>1010</v>
      </c>
      <c r="F241" s="133" t="s">
        <v>1010</v>
      </c>
    </row>
    <row r="242" spans="2:6" ht="24">
      <c r="B242" s="131">
        <v>326</v>
      </c>
      <c r="C242" s="132" t="s">
        <v>544</v>
      </c>
      <c r="D242" s="133" t="s">
        <v>581</v>
      </c>
      <c r="E242" s="133" t="s">
        <v>1011</v>
      </c>
      <c r="F242" s="133" t="s">
        <v>1011</v>
      </c>
    </row>
    <row r="243" spans="2:6">
      <c r="B243" s="131">
        <v>327</v>
      </c>
      <c r="D243" s="133" t="s">
        <v>119</v>
      </c>
      <c r="E243" s="133" t="s">
        <v>1012</v>
      </c>
      <c r="F243" s="133" t="s">
        <v>1012</v>
      </c>
    </row>
    <row r="244" spans="2:6">
      <c r="B244" s="131">
        <v>328</v>
      </c>
      <c r="C244" s="132" t="s">
        <v>467</v>
      </c>
      <c r="D244" s="133" t="s">
        <v>477</v>
      </c>
      <c r="E244" s="133" t="s">
        <v>1013</v>
      </c>
      <c r="F244" s="133" t="s">
        <v>1013</v>
      </c>
    </row>
    <row r="245" spans="2:6">
      <c r="B245" s="131">
        <v>329</v>
      </c>
      <c r="D245" s="133" t="s">
        <v>120</v>
      </c>
      <c r="E245" s="133" t="s">
        <v>1014</v>
      </c>
      <c r="F245" s="133" t="s">
        <v>1014</v>
      </c>
    </row>
    <row r="246" spans="2:6">
      <c r="B246" s="131">
        <v>330</v>
      </c>
      <c r="D246" s="133" t="s">
        <v>121</v>
      </c>
      <c r="E246" s="133" t="s">
        <v>1015</v>
      </c>
      <c r="F246" s="133" t="s">
        <v>1015</v>
      </c>
    </row>
    <row r="247" spans="2:6">
      <c r="B247" s="131">
        <v>331</v>
      </c>
      <c r="D247" s="133" t="s">
        <v>122</v>
      </c>
      <c r="E247" s="133" t="s">
        <v>1016</v>
      </c>
      <c r="F247" s="133" t="s">
        <v>1016</v>
      </c>
    </row>
    <row r="248" spans="2:6">
      <c r="B248" s="131">
        <v>332</v>
      </c>
      <c r="C248" s="132" t="s">
        <v>467</v>
      </c>
      <c r="D248" s="130" t="s">
        <v>469</v>
      </c>
      <c r="E248" s="138" t="s">
        <v>1017</v>
      </c>
      <c r="F248" s="138" t="s">
        <v>1017</v>
      </c>
    </row>
    <row r="249" spans="2:6">
      <c r="B249" s="131">
        <v>333</v>
      </c>
      <c r="C249" s="132" t="s">
        <v>467</v>
      </c>
      <c r="D249" s="130" t="s">
        <v>470</v>
      </c>
      <c r="E249" s="138" t="s">
        <v>1018</v>
      </c>
      <c r="F249" s="138" t="s">
        <v>1018</v>
      </c>
    </row>
    <row r="250" spans="2:6">
      <c r="B250" s="131">
        <v>334</v>
      </c>
      <c r="D250" s="133" t="s">
        <v>123</v>
      </c>
      <c r="E250" s="133" t="s">
        <v>1019</v>
      </c>
      <c r="F250" s="133" t="s">
        <v>1019</v>
      </c>
    </row>
    <row r="251" spans="2:6">
      <c r="B251" s="131">
        <v>335</v>
      </c>
      <c r="C251" s="132" t="s">
        <v>467</v>
      </c>
      <c r="D251" s="133" t="s">
        <v>475</v>
      </c>
      <c r="E251" s="133" t="s">
        <v>1020</v>
      </c>
      <c r="F251" s="133" t="s">
        <v>1020</v>
      </c>
    </row>
    <row r="252" spans="2:6">
      <c r="B252" s="131">
        <v>336</v>
      </c>
      <c r="C252" s="132" t="s">
        <v>467</v>
      </c>
      <c r="D252" s="130" t="s">
        <v>478</v>
      </c>
      <c r="E252" s="138" t="s">
        <v>1021</v>
      </c>
      <c r="F252" s="138" t="s">
        <v>1021</v>
      </c>
    </row>
    <row r="253" spans="2:6" ht="24">
      <c r="B253" s="131">
        <v>337</v>
      </c>
      <c r="D253" s="133" t="s">
        <v>124</v>
      </c>
      <c r="E253" s="133" t="s">
        <v>1022</v>
      </c>
      <c r="F253" s="133" t="s">
        <v>1022</v>
      </c>
    </row>
    <row r="254" spans="2:6" ht="24">
      <c r="B254" s="131">
        <v>338</v>
      </c>
      <c r="D254" s="133" t="s">
        <v>125</v>
      </c>
      <c r="E254" s="133" t="s">
        <v>1023</v>
      </c>
      <c r="F254" s="133" t="s">
        <v>1023</v>
      </c>
    </row>
    <row r="255" spans="2:6">
      <c r="B255" s="131">
        <v>339</v>
      </c>
      <c r="D255" s="133" t="s">
        <v>126</v>
      </c>
      <c r="E255" s="133" t="s">
        <v>1024</v>
      </c>
      <c r="F255" s="133" t="s">
        <v>1024</v>
      </c>
    </row>
    <row r="256" spans="2:6">
      <c r="B256" s="131">
        <v>340</v>
      </c>
      <c r="D256" s="133" t="s">
        <v>127</v>
      </c>
      <c r="E256" s="133" t="s">
        <v>1025</v>
      </c>
      <c r="F256" s="133" t="s">
        <v>1025</v>
      </c>
    </row>
    <row r="257" spans="2:6">
      <c r="B257" s="131">
        <v>341</v>
      </c>
      <c r="D257" s="133" t="s">
        <v>128</v>
      </c>
      <c r="E257" s="133" t="s">
        <v>1026</v>
      </c>
      <c r="F257" s="133" t="s">
        <v>1026</v>
      </c>
    </row>
    <row r="258" spans="2:6">
      <c r="B258" s="131">
        <v>342</v>
      </c>
      <c r="D258" s="133" t="s">
        <v>129</v>
      </c>
      <c r="E258" s="133" t="s">
        <v>1027</v>
      </c>
      <c r="F258" s="133" t="s">
        <v>1027</v>
      </c>
    </row>
    <row r="259" spans="2:6">
      <c r="B259" s="131">
        <v>343</v>
      </c>
      <c r="C259" s="132" t="s">
        <v>544</v>
      </c>
      <c r="D259" s="133" t="s">
        <v>566</v>
      </c>
      <c r="E259" s="133" t="s">
        <v>1028</v>
      </c>
      <c r="F259" s="133" t="s">
        <v>1028</v>
      </c>
    </row>
    <row r="260" spans="2:6">
      <c r="B260" s="131">
        <v>344</v>
      </c>
      <c r="C260" s="132" t="s">
        <v>544</v>
      </c>
      <c r="D260" s="133" t="s">
        <v>568</v>
      </c>
      <c r="E260" s="133" t="s">
        <v>1029</v>
      </c>
      <c r="F260" s="133" t="s">
        <v>1029</v>
      </c>
    </row>
    <row r="261" spans="2:6">
      <c r="B261" s="131">
        <v>345</v>
      </c>
      <c r="D261" s="133" t="s">
        <v>130</v>
      </c>
      <c r="E261" s="133" t="s">
        <v>1030</v>
      </c>
      <c r="F261" s="133" t="s">
        <v>1030</v>
      </c>
    </row>
    <row r="262" spans="2:6" ht="24">
      <c r="B262" s="131">
        <v>346</v>
      </c>
      <c r="C262" s="132" t="s">
        <v>544</v>
      </c>
      <c r="D262" s="133" t="s">
        <v>576</v>
      </c>
      <c r="E262" s="133" t="s">
        <v>1031</v>
      </c>
      <c r="F262" s="133" t="s">
        <v>1031</v>
      </c>
    </row>
    <row r="263" spans="2:6">
      <c r="B263" s="131">
        <v>347</v>
      </c>
      <c r="D263" s="133" t="s">
        <v>380</v>
      </c>
      <c r="E263" s="133" t="s">
        <v>1032</v>
      </c>
      <c r="F263" s="133" t="s">
        <v>1032</v>
      </c>
    </row>
    <row r="264" spans="2:6">
      <c r="B264" s="131">
        <v>348</v>
      </c>
      <c r="D264" s="133" t="s">
        <v>131</v>
      </c>
      <c r="E264" s="133" t="s">
        <v>1033</v>
      </c>
      <c r="F264" s="133" t="s">
        <v>1033</v>
      </c>
    </row>
    <row r="265" spans="2:6">
      <c r="B265" s="131">
        <v>349</v>
      </c>
      <c r="D265" s="133" t="s">
        <v>381</v>
      </c>
      <c r="E265" s="133" t="s">
        <v>1034</v>
      </c>
      <c r="F265" s="133" t="s">
        <v>1034</v>
      </c>
    </row>
    <row r="266" spans="2:6">
      <c r="B266" s="131">
        <v>350</v>
      </c>
      <c r="C266" s="132" t="s">
        <v>544</v>
      </c>
      <c r="D266" s="133" t="s">
        <v>567</v>
      </c>
      <c r="E266" s="133" t="s">
        <v>1035</v>
      </c>
      <c r="F266" s="133" t="s">
        <v>1035</v>
      </c>
    </row>
    <row r="267" spans="2:6">
      <c r="B267" s="131">
        <v>351</v>
      </c>
      <c r="C267" s="132" t="s">
        <v>467</v>
      </c>
      <c r="D267" s="130" t="s">
        <v>468</v>
      </c>
      <c r="E267" s="138" t="s">
        <v>1036</v>
      </c>
      <c r="F267" s="138" t="s">
        <v>1036</v>
      </c>
    </row>
    <row r="268" spans="2:6" ht="24">
      <c r="B268" s="131">
        <v>352</v>
      </c>
      <c r="C268" s="132" t="s">
        <v>544</v>
      </c>
      <c r="D268" s="133" t="s">
        <v>559</v>
      </c>
      <c r="E268" s="133" t="s">
        <v>1037</v>
      </c>
      <c r="F268" s="133" t="s">
        <v>1037</v>
      </c>
    </row>
    <row r="269" spans="2:6" ht="24">
      <c r="B269" s="131">
        <v>353</v>
      </c>
      <c r="D269" s="133" t="s">
        <v>132</v>
      </c>
      <c r="F269" s="133"/>
    </row>
    <row r="270" spans="2:6">
      <c r="B270" s="131">
        <v>354</v>
      </c>
      <c r="D270" s="133" t="s">
        <v>133</v>
      </c>
      <c r="E270" s="133" t="s">
        <v>1038</v>
      </c>
      <c r="F270" s="133" t="s">
        <v>1038</v>
      </c>
    </row>
    <row r="271" spans="2:6">
      <c r="B271" s="131">
        <v>355</v>
      </c>
      <c r="D271" s="133" t="s">
        <v>134</v>
      </c>
      <c r="E271" s="133" t="s">
        <v>1039</v>
      </c>
      <c r="F271" s="133" t="s">
        <v>1039</v>
      </c>
    </row>
    <row r="272" spans="2:6">
      <c r="B272" s="131">
        <v>356</v>
      </c>
      <c r="D272" s="133" t="s">
        <v>135</v>
      </c>
      <c r="E272" s="133" t="s">
        <v>1040</v>
      </c>
      <c r="F272" s="133" t="s">
        <v>1040</v>
      </c>
    </row>
    <row r="273" spans="2:6">
      <c r="B273" s="131">
        <v>357</v>
      </c>
      <c r="C273" s="132" t="s">
        <v>544</v>
      </c>
      <c r="D273" s="133" t="s">
        <v>562</v>
      </c>
      <c r="E273" s="133" t="s">
        <v>1041</v>
      </c>
      <c r="F273" s="133" t="s">
        <v>1041</v>
      </c>
    </row>
    <row r="274" spans="2:6">
      <c r="B274" s="131">
        <v>358</v>
      </c>
      <c r="D274" s="133" t="s">
        <v>136</v>
      </c>
      <c r="E274" s="133" t="s">
        <v>1042</v>
      </c>
      <c r="F274" s="133" t="s">
        <v>1042</v>
      </c>
    </row>
    <row r="275" spans="2:6">
      <c r="B275" s="131">
        <v>359</v>
      </c>
      <c r="D275" s="133" t="s">
        <v>382</v>
      </c>
      <c r="E275" s="133" t="s">
        <v>1043</v>
      </c>
      <c r="F275" s="133" t="s">
        <v>1043</v>
      </c>
    </row>
    <row r="276" spans="2:6">
      <c r="B276" s="131">
        <v>360</v>
      </c>
      <c r="D276" s="133" t="s">
        <v>137</v>
      </c>
      <c r="E276" s="133" t="s">
        <v>1044</v>
      </c>
      <c r="F276" s="133" t="s">
        <v>1044</v>
      </c>
    </row>
    <row r="277" spans="2:6" ht="24">
      <c r="B277" s="131">
        <v>361</v>
      </c>
      <c r="C277" s="132" t="s">
        <v>544</v>
      </c>
      <c r="D277" s="133" t="s">
        <v>558</v>
      </c>
      <c r="E277" s="133" t="s">
        <v>1045</v>
      </c>
      <c r="F277" s="133" t="s">
        <v>1045</v>
      </c>
    </row>
    <row r="278" spans="2:6" ht="36">
      <c r="B278" s="131">
        <v>362</v>
      </c>
      <c r="C278" s="132" t="s">
        <v>544</v>
      </c>
      <c r="D278" s="133" t="s">
        <v>573</v>
      </c>
      <c r="E278" s="133" t="s">
        <v>1046</v>
      </c>
      <c r="F278" s="133" t="s">
        <v>1046</v>
      </c>
    </row>
    <row r="279" spans="2:6">
      <c r="B279" s="131">
        <v>363</v>
      </c>
      <c r="D279" s="133" t="s">
        <v>138</v>
      </c>
      <c r="E279" s="133" t="s">
        <v>1047</v>
      </c>
      <c r="F279" s="133" t="s">
        <v>1047</v>
      </c>
    </row>
    <row r="280" spans="2:6">
      <c r="B280" s="131">
        <v>364</v>
      </c>
      <c r="D280" s="133" t="s">
        <v>1</v>
      </c>
      <c r="E280" s="133" t="s">
        <v>1</v>
      </c>
      <c r="F280" s="133" t="s">
        <v>1</v>
      </c>
    </row>
    <row r="281" spans="2:6">
      <c r="B281" s="131">
        <v>365</v>
      </c>
      <c r="D281" s="133" t="s">
        <v>2</v>
      </c>
      <c r="E281" s="133" t="s">
        <v>2</v>
      </c>
      <c r="F281" s="133" t="s">
        <v>2</v>
      </c>
    </row>
    <row r="282" spans="2:6">
      <c r="B282" s="131">
        <v>366</v>
      </c>
      <c r="D282" s="133" t="s">
        <v>455</v>
      </c>
      <c r="E282" s="133" t="s">
        <v>1048</v>
      </c>
      <c r="F282" s="133" t="s">
        <v>1048</v>
      </c>
    </row>
    <row r="283" spans="2:6">
      <c r="B283" s="131">
        <v>367</v>
      </c>
      <c r="D283" s="133" t="s">
        <v>139</v>
      </c>
      <c r="E283" s="133" t="s">
        <v>140</v>
      </c>
      <c r="F283" s="133" t="s">
        <v>140</v>
      </c>
    </row>
    <row r="284" spans="2:6">
      <c r="B284" s="131">
        <v>368</v>
      </c>
      <c r="D284" s="133" t="s">
        <v>610</v>
      </c>
      <c r="E284" s="133" t="s">
        <v>1049</v>
      </c>
      <c r="F284" s="133" t="s">
        <v>1049</v>
      </c>
    </row>
    <row r="285" spans="2:6">
      <c r="B285" s="131">
        <v>369</v>
      </c>
      <c r="D285" s="133" t="s">
        <v>141</v>
      </c>
      <c r="E285" s="133" t="s">
        <v>439</v>
      </c>
      <c r="F285" s="133" t="s">
        <v>439</v>
      </c>
    </row>
    <row r="286" spans="2:6">
      <c r="B286" s="131">
        <v>370</v>
      </c>
      <c r="D286" s="133" t="s">
        <v>142</v>
      </c>
      <c r="E286" s="133" t="s">
        <v>1050</v>
      </c>
      <c r="F286" s="133" t="s">
        <v>1050</v>
      </c>
    </row>
    <row r="287" spans="2:6">
      <c r="B287" s="131">
        <v>371</v>
      </c>
      <c r="D287" s="133" t="s">
        <v>143</v>
      </c>
      <c r="E287" s="133" t="s">
        <v>1051</v>
      </c>
      <c r="F287" s="133" t="s">
        <v>1051</v>
      </c>
    </row>
    <row r="288" spans="2:6">
      <c r="B288" s="131">
        <v>372</v>
      </c>
      <c r="D288" s="133" t="s">
        <v>383</v>
      </c>
      <c r="E288" s="133" t="s">
        <v>1052</v>
      </c>
      <c r="F288" s="133" t="s">
        <v>1052</v>
      </c>
    </row>
    <row r="289" spans="2:6">
      <c r="B289" s="131">
        <v>373</v>
      </c>
      <c r="D289" s="133" t="s">
        <v>384</v>
      </c>
      <c r="E289" s="133" t="s">
        <v>1053</v>
      </c>
      <c r="F289" s="133" t="s">
        <v>1053</v>
      </c>
    </row>
    <row r="290" spans="2:6">
      <c r="B290" s="131">
        <v>374</v>
      </c>
      <c r="D290" s="133" t="s">
        <v>385</v>
      </c>
      <c r="E290" s="133" t="s">
        <v>1052</v>
      </c>
      <c r="F290" s="133" t="s">
        <v>1052</v>
      </c>
    </row>
    <row r="291" spans="2:6">
      <c r="B291" s="131">
        <v>375</v>
      </c>
      <c r="C291" s="132" t="s">
        <v>544</v>
      </c>
      <c r="D291" s="133" t="s">
        <v>550</v>
      </c>
      <c r="E291" s="133" t="s">
        <v>1054</v>
      </c>
      <c r="F291" s="133" t="s">
        <v>1054</v>
      </c>
    </row>
    <row r="292" spans="2:6">
      <c r="B292" s="131">
        <v>376</v>
      </c>
      <c r="D292" s="133" t="s">
        <v>144</v>
      </c>
      <c r="E292" s="133" t="s">
        <v>1055</v>
      </c>
      <c r="F292" s="133" t="s">
        <v>1055</v>
      </c>
    </row>
    <row r="293" spans="2:6">
      <c r="B293" s="131">
        <v>377</v>
      </c>
      <c r="D293" s="133" t="s">
        <v>386</v>
      </c>
      <c r="E293" s="133" t="s">
        <v>1056</v>
      </c>
      <c r="F293" s="133" t="s">
        <v>1056</v>
      </c>
    </row>
    <row r="294" spans="2:6">
      <c r="B294" s="131">
        <v>378</v>
      </c>
      <c r="D294" s="133" t="s">
        <v>145</v>
      </c>
      <c r="E294" s="133" t="s">
        <v>1057</v>
      </c>
      <c r="F294" s="133" t="s">
        <v>1057</v>
      </c>
    </row>
    <row r="295" spans="2:6">
      <c r="B295" s="131">
        <v>379</v>
      </c>
      <c r="C295" s="132" t="s">
        <v>467</v>
      </c>
      <c r="D295" s="130" t="s">
        <v>479</v>
      </c>
      <c r="E295" s="138" t="s">
        <v>1058</v>
      </c>
      <c r="F295" s="138" t="s">
        <v>1058</v>
      </c>
    </row>
    <row r="296" spans="2:6">
      <c r="B296" s="131">
        <v>380</v>
      </c>
      <c r="D296" s="133" t="s">
        <v>415</v>
      </c>
      <c r="E296" s="133" t="s">
        <v>1059</v>
      </c>
      <c r="F296" s="133" t="s">
        <v>1059</v>
      </c>
    </row>
    <row r="297" spans="2:6">
      <c r="B297" s="131">
        <v>381</v>
      </c>
      <c r="D297" s="133" t="s">
        <v>416</v>
      </c>
      <c r="E297" s="133" t="s">
        <v>1060</v>
      </c>
      <c r="F297" s="133" t="s">
        <v>1060</v>
      </c>
    </row>
    <row r="298" spans="2:6">
      <c r="B298" s="131">
        <v>382</v>
      </c>
      <c r="C298" s="132" t="s">
        <v>485</v>
      </c>
      <c r="D298" s="133" t="s">
        <v>486</v>
      </c>
      <c r="E298" s="133" t="s">
        <v>1061</v>
      </c>
      <c r="F298" s="133" t="s">
        <v>1061</v>
      </c>
    </row>
    <row r="299" spans="2:6">
      <c r="B299" s="131">
        <v>383</v>
      </c>
      <c r="D299" s="133" t="s">
        <v>146</v>
      </c>
      <c r="E299" s="133" t="s">
        <v>1062</v>
      </c>
      <c r="F299" s="133" t="s">
        <v>1062</v>
      </c>
    </row>
    <row r="300" spans="2:6">
      <c r="B300" s="131">
        <v>384</v>
      </c>
      <c r="D300" s="133" t="s">
        <v>387</v>
      </c>
      <c r="E300" s="133" t="s">
        <v>1063</v>
      </c>
      <c r="F300" s="133" t="s">
        <v>1063</v>
      </c>
    </row>
    <row r="301" spans="2:6">
      <c r="B301" s="131">
        <v>385</v>
      </c>
      <c r="D301" s="133" t="s">
        <v>147</v>
      </c>
      <c r="E301" s="133" t="s">
        <v>1064</v>
      </c>
      <c r="F301" s="133" t="s">
        <v>1064</v>
      </c>
    </row>
    <row r="302" spans="2:6">
      <c r="B302" s="131">
        <v>386</v>
      </c>
      <c r="D302" s="133" t="s">
        <v>148</v>
      </c>
      <c r="E302" s="133" t="s">
        <v>1065</v>
      </c>
      <c r="F302" s="133" t="s">
        <v>1065</v>
      </c>
    </row>
    <row r="303" spans="2:6">
      <c r="B303" s="131">
        <v>387</v>
      </c>
      <c r="D303" s="133" t="s">
        <v>149</v>
      </c>
      <c r="E303" s="133" t="s">
        <v>1066</v>
      </c>
      <c r="F303" s="133" t="s">
        <v>1066</v>
      </c>
    </row>
    <row r="304" spans="2:6">
      <c r="B304" s="131">
        <v>388</v>
      </c>
      <c r="D304" s="133" t="s">
        <v>474</v>
      </c>
      <c r="E304" s="133" t="s">
        <v>1067</v>
      </c>
      <c r="F304" s="133" t="s">
        <v>1067</v>
      </c>
    </row>
    <row r="305" spans="2:6" ht="24">
      <c r="B305" s="131">
        <v>389</v>
      </c>
      <c r="D305" s="133" t="s">
        <v>150</v>
      </c>
      <c r="E305" s="133" t="s">
        <v>1068</v>
      </c>
      <c r="F305" s="133" t="s">
        <v>1068</v>
      </c>
    </row>
    <row r="306" spans="2:6">
      <c r="B306" s="131">
        <v>390</v>
      </c>
      <c r="D306" s="133" t="s">
        <v>619</v>
      </c>
      <c r="E306" s="133" t="s">
        <v>1069</v>
      </c>
      <c r="F306" s="133" t="s">
        <v>1069</v>
      </c>
    </row>
    <row r="307" spans="2:6" ht="24">
      <c r="B307" s="131">
        <v>391</v>
      </c>
      <c r="D307" s="133" t="s">
        <v>417</v>
      </c>
      <c r="E307" s="133" t="s">
        <v>1070</v>
      </c>
      <c r="F307" s="133" t="s">
        <v>1070</v>
      </c>
    </row>
    <row r="308" spans="2:6">
      <c r="B308" s="131">
        <v>392</v>
      </c>
      <c r="D308" s="133" t="s">
        <v>418</v>
      </c>
      <c r="E308" s="133" t="s">
        <v>1071</v>
      </c>
      <c r="F308" s="133" t="s">
        <v>1071</v>
      </c>
    </row>
    <row r="309" spans="2:6">
      <c r="B309" s="131">
        <v>393</v>
      </c>
      <c r="D309" s="133" t="s">
        <v>388</v>
      </c>
      <c r="E309" s="133" t="s">
        <v>1072</v>
      </c>
      <c r="F309" s="133" t="s">
        <v>1072</v>
      </c>
    </row>
    <row r="310" spans="2:6">
      <c r="B310" s="131">
        <v>394</v>
      </c>
      <c r="D310" s="133" t="s">
        <v>151</v>
      </c>
      <c r="E310" s="133" t="s">
        <v>1073</v>
      </c>
      <c r="F310" s="133" t="s">
        <v>1073</v>
      </c>
    </row>
    <row r="311" spans="2:6">
      <c r="B311" s="131">
        <v>395</v>
      </c>
      <c r="D311" s="133" t="s">
        <v>389</v>
      </c>
      <c r="E311" s="133" t="s">
        <v>1074</v>
      </c>
      <c r="F311" s="133" t="s">
        <v>1074</v>
      </c>
    </row>
    <row r="312" spans="2:6">
      <c r="B312" s="131">
        <v>396</v>
      </c>
      <c r="D312" s="133" t="s">
        <v>390</v>
      </c>
      <c r="E312" s="133" t="s">
        <v>1075</v>
      </c>
      <c r="F312" s="133" t="s">
        <v>1075</v>
      </c>
    </row>
    <row r="313" spans="2:6">
      <c r="B313" s="131">
        <v>397</v>
      </c>
      <c r="D313" s="133" t="s">
        <v>152</v>
      </c>
      <c r="E313" s="133" t="s">
        <v>1076</v>
      </c>
      <c r="F313" s="133" t="s">
        <v>1076</v>
      </c>
    </row>
    <row r="314" spans="2:6">
      <c r="B314" s="131">
        <v>398</v>
      </c>
      <c r="D314" s="133" t="s">
        <v>153</v>
      </c>
      <c r="E314" s="133" t="s">
        <v>1077</v>
      </c>
      <c r="F314" s="133" t="s">
        <v>1077</v>
      </c>
    </row>
    <row r="315" spans="2:6">
      <c r="B315" s="131">
        <v>399</v>
      </c>
      <c r="D315" s="133" t="s">
        <v>391</v>
      </c>
      <c r="E315" s="133" t="s">
        <v>1078</v>
      </c>
      <c r="F315" s="133" t="s">
        <v>1078</v>
      </c>
    </row>
    <row r="316" spans="2:6">
      <c r="B316" s="131">
        <v>400</v>
      </c>
      <c r="D316" s="133" t="s">
        <v>154</v>
      </c>
      <c r="E316" s="133" t="s">
        <v>1079</v>
      </c>
      <c r="F316" s="133" t="s">
        <v>1079</v>
      </c>
    </row>
    <row r="317" spans="2:6">
      <c r="B317" s="131">
        <v>401</v>
      </c>
      <c r="C317" s="132" t="s">
        <v>432</v>
      </c>
      <c r="D317" s="133" t="s">
        <v>440</v>
      </c>
      <c r="E317" s="133" t="s">
        <v>1080</v>
      </c>
      <c r="F317" s="133" t="s">
        <v>1080</v>
      </c>
    </row>
    <row r="318" spans="2:6">
      <c r="B318" s="131">
        <v>402</v>
      </c>
      <c r="C318" s="132" t="s">
        <v>467</v>
      </c>
      <c r="D318" s="130" t="s">
        <v>466</v>
      </c>
      <c r="E318" s="138" t="s">
        <v>1081</v>
      </c>
      <c r="F318" s="138" t="s">
        <v>1081</v>
      </c>
    </row>
    <row r="319" spans="2:6">
      <c r="B319" s="131">
        <v>403</v>
      </c>
      <c r="D319" s="133" t="s">
        <v>155</v>
      </c>
      <c r="E319" s="133" t="s">
        <v>1082</v>
      </c>
      <c r="F319" s="133" t="s">
        <v>1082</v>
      </c>
    </row>
    <row r="320" spans="2:6">
      <c r="B320" s="131">
        <v>404</v>
      </c>
      <c r="D320" s="133" t="s">
        <v>156</v>
      </c>
      <c r="E320" s="133" t="s">
        <v>1083</v>
      </c>
      <c r="F320" s="133" t="s">
        <v>1083</v>
      </c>
    </row>
    <row r="321" spans="1:6">
      <c r="B321" s="131">
        <v>405</v>
      </c>
      <c r="D321" s="133" t="s">
        <v>157</v>
      </c>
      <c r="E321" s="133" t="s">
        <v>1084</v>
      </c>
      <c r="F321" s="133" t="s">
        <v>1084</v>
      </c>
    </row>
    <row r="322" spans="1:6">
      <c r="B322" s="131">
        <v>406</v>
      </c>
      <c r="D322" s="133" t="s">
        <v>158</v>
      </c>
      <c r="E322" s="133" t="s">
        <v>1085</v>
      </c>
      <c r="F322" s="133" t="s">
        <v>1085</v>
      </c>
    </row>
    <row r="323" spans="1:6">
      <c r="B323" s="131">
        <v>407</v>
      </c>
      <c r="C323" s="132" t="s">
        <v>467</v>
      </c>
      <c r="D323" s="130" t="s">
        <v>463</v>
      </c>
      <c r="E323" s="138" t="s">
        <v>1086</v>
      </c>
      <c r="F323" s="138" t="s">
        <v>1086</v>
      </c>
    </row>
    <row r="324" spans="1:6">
      <c r="B324" s="131">
        <v>408</v>
      </c>
      <c r="D324" s="133" t="s">
        <v>159</v>
      </c>
      <c r="E324" s="133" t="s">
        <v>1087</v>
      </c>
      <c r="F324" s="133" t="s">
        <v>1087</v>
      </c>
    </row>
    <row r="325" spans="1:6">
      <c r="B325" s="131">
        <v>409</v>
      </c>
      <c r="C325" s="132" t="s">
        <v>467</v>
      </c>
      <c r="D325" s="133" t="s">
        <v>461</v>
      </c>
      <c r="E325" s="138" t="s">
        <v>1088</v>
      </c>
      <c r="F325" s="138" t="s">
        <v>1088</v>
      </c>
    </row>
    <row r="326" spans="1:6">
      <c r="B326" s="131">
        <v>410</v>
      </c>
      <c r="D326" s="133" t="s">
        <v>160</v>
      </c>
      <c r="E326" s="133" t="s">
        <v>1089</v>
      </c>
      <c r="F326" s="133" t="s">
        <v>1089</v>
      </c>
    </row>
    <row r="327" spans="1:6" ht="36">
      <c r="B327" s="131">
        <v>411</v>
      </c>
      <c r="D327" s="133" t="s">
        <v>161</v>
      </c>
      <c r="E327" s="133" t="s">
        <v>1090</v>
      </c>
      <c r="F327" s="133" t="s">
        <v>1090</v>
      </c>
    </row>
    <row r="328" spans="1:6">
      <c r="B328" s="131">
        <v>412</v>
      </c>
      <c r="D328" s="133" t="s">
        <v>162</v>
      </c>
      <c r="E328" s="133" t="s">
        <v>1091</v>
      </c>
      <c r="F328" s="133" t="s">
        <v>1091</v>
      </c>
    </row>
    <row r="329" spans="1:6">
      <c r="B329" s="131">
        <v>413</v>
      </c>
      <c r="D329" s="133" t="s">
        <v>507</v>
      </c>
      <c r="E329" s="133" t="s">
        <v>1092</v>
      </c>
      <c r="F329" s="133" t="s">
        <v>1092</v>
      </c>
    </row>
    <row r="330" spans="1:6" ht="24">
      <c r="B330" s="131">
        <v>414</v>
      </c>
      <c r="D330" s="133" t="s">
        <v>163</v>
      </c>
      <c r="E330" s="133" t="s">
        <v>1093</v>
      </c>
      <c r="F330" s="133" t="s">
        <v>1093</v>
      </c>
    </row>
    <row r="331" spans="1:6">
      <c r="B331" s="131">
        <v>415</v>
      </c>
      <c r="D331" s="133" t="s">
        <v>510</v>
      </c>
      <c r="E331" s="133" t="s">
        <v>1094</v>
      </c>
      <c r="F331" s="133" t="s">
        <v>1094</v>
      </c>
    </row>
    <row r="332" spans="1:6">
      <c r="B332" s="131">
        <v>416</v>
      </c>
      <c r="D332" s="133" t="s">
        <v>506</v>
      </c>
      <c r="E332" s="133" t="s">
        <v>1095</v>
      </c>
      <c r="F332" s="133" t="s">
        <v>1095</v>
      </c>
    </row>
    <row r="333" spans="1:6">
      <c r="A333" s="135"/>
      <c r="B333" s="131">
        <v>417</v>
      </c>
      <c r="C333" s="136" t="s">
        <v>414</v>
      </c>
      <c r="D333" s="134" t="s">
        <v>441</v>
      </c>
      <c r="E333" s="134" t="s">
        <v>1096</v>
      </c>
      <c r="F333" s="134" t="s">
        <v>1096</v>
      </c>
    </row>
    <row r="334" spans="1:6">
      <c r="A334" s="135"/>
      <c r="B334" s="131">
        <v>418</v>
      </c>
      <c r="C334" s="136" t="s">
        <v>414</v>
      </c>
      <c r="D334" s="134" t="s">
        <v>442</v>
      </c>
      <c r="E334" s="134" t="s">
        <v>1097</v>
      </c>
      <c r="F334" s="134" t="s">
        <v>1097</v>
      </c>
    </row>
    <row r="335" spans="1:6">
      <c r="A335" s="135"/>
      <c r="B335" s="131">
        <v>419</v>
      </c>
      <c r="C335" s="136" t="s">
        <v>414</v>
      </c>
      <c r="D335" s="134" t="s">
        <v>443</v>
      </c>
      <c r="E335" s="134" t="s">
        <v>1098</v>
      </c>
      <c r="F335" s="134" t="s">
        <v>1098</v>
      </c>
    </row>
    <row r="336" spans="1:6">
      <c r="B336" s="131">
        <v>420</v>
      </c>
      <c r="D336" s="133" t="s">
        <v>164</v>
      </c>
      <c r="E336" s="133" t="s">
        <v>1096</v>
      </c>
      <c r="F336" s="133" t="s">
        <v>1096</v>
      </c>
    </row>
    <row r="337" spans="2:6">
      <c r="B337" s="131">
        <v>421</v>
      </c>
      <c r="D337" s="133" t="s">
        <v>165</v>
      </c>
      <c r="E337" s="134" t="s">
        <v>1099</v>
      </c>
      <c r="F337" s="134" t="s">
        <v>1099</v>
      </c>
    </row>
    <row r="338" spans="2:6">
      <c r="B338" s="131">
        <v>422</v>
      </c>
      <c r="D338" s="133" t="s">
        <v>166</v>
      </c>
      <c r="E338" s="133" t="s">
        <v>1100</v>
      </c>
      <c r="F338" s="133" t="s">
        <v>1100</v>
      </c>
    </row>
    <row r="339" spans="2:6">
      <c r="B339" s="131">
        <v>423</v>
      </c>
      <c r="D339" s="133" t="s">
        <v>167</v>
      </c>
      <c r="E339" s="133" t="s">
        <v>1101</v>
      </c>
      <c r="F339" s="133" t="s">
        <v>1101</v>
      </c>
    </row>
    <row r="340" spans="2:6">
      <c r="B340" s="131">
        <v>424</v>
      </c>
      <c r="D340" s="133" t="s">
        <v>168</v>
      </c>
      <c r="E340" s="133" t="s">
        <v>1102</v>
      </c>
      <c r="F340" s="133" t="s">
        <v>1102</v>
      </c>
    </row>
    <row r="341" spans="2:6">
      <c r="B341" s="131">
        <v>425</v>
      </c>
      <c r="D341" s="133" t="s">
        <v>169</v>
      </c>
      <c r="E341" s="133" t="s">
        <v>1103</v>
      </c>
      <c r="F341" s="133" t="s">
        <v>1103</v>
      </c>
    </row>
    <row r="342" spans="2:6">
      <c r="B342" s="131">
        <v>426</v>
      </c>
      <c r="D342" s="133" t="s">
        <v>170</v>
      </c>
      <c r="E342" s="133" t="s">
        <v>1104</v>
      </c>
      <c r="F342" s="133" t="s">
        <v>1104</v>
      </c>
    </row>
    <row r="343" spans="2:6">
      <c r="B343" s="131">
        <v>427</v>
      </c>
      <c r="D343" s="133" t="s">
        <v>171</v>
      </c>
      <c r="E343" s="133" t="s">
        <v>1105</v>
      </c>
      <c r="F343" s="133" t="s">
        <v>1105</v>
      </c>
    </row>
    <row r="344" spans="2:6">
      <c r="B344" s="131">
        <v>428</v>
      </c>
      <c r="D344" s="133" t="s">
        <v>172</v>
      </c>
      <c r="E344" s="133" t="s">
        <v>1106</v>
      </c>
      <c r="F344" s="133" t="s">
        <v>1106</v>
      </c>
    </row>
    <row r="345" spans="2:6">
      <c r="B345" s="131">
        <v>429</v>
      </c>
      <c r="D345" s="133" t="s">
        <v>173</v>
      </c>
      <c r="E345" s="133" t="s">
        <v>1107</v>
      </c>
      <c r="F345" s="133" t="s">
        <v>1107</v>
      </c>
    </row>
    <row r="346" spans="2:6">
      <c r="B346" s="131">
        <v>430</v>
      </c>
      <c r="D346" s="133" t="s">
        <v>174</v>
      </c>
      <c r="E346" s="133" t="s">
        <v>1108</v>
      </c>
      <c r="F346" s="133" t="s">
        <v>1108</v>
      </c>
    </row>
    <row r="347" spans="2:6">
      <c r="B347" s="131">
        <v>431</v>
      </c>
      <c r="D347" s="133" t="s">
        <v>175</v>
      </c>
      <c r="E347" s="133" t="s">
        <v>1109</v>
      </c>
      <c r="F347" s="133" t="s">
        <v>1109</v>
      </c>
    </row>
    <row r="348" spans="2:6">
      <c r="B348" s="131">
        <v>432</v>
      </c>
      <c r="D348" s="133" t="s">
        <v>176</v>
      </c>
      <c r="E348" s="133" t="s">
        <v>1110</v>
      </c>
      <c r="F348" s="133" t="s">
        <v>1110</v>
      </c>
    </row>
    <row r="349" spans="2:6">
      <c r="B349" s="131">
        <v>433</v>
      </c>
      <c r="D349" s="133" t="s">
        <v>177</v>
      </c>
      <c r="E349" s="133" t="s">
        <v>1111</v>
      </c>
      <c r="F349" s="133" t="s">
        <v>1111</v>
      </c>
    </row>
    <row r="350" spans="2:6">
      <c r="B350" s="131">
        <v>434</v>
      </c>
      <c r="D350" s="133" t="s">
        <v>513</v>
      </c>
      <c r="E350" s="133" t="s">
        <v>1112</v>
      </c>
      <c r="F350" s="133" t="s">
        <v>1112</v>
      </c>
    </row>
    <row r="351" spans="2:6">
      <c r="B351" s="131">
        <v>435</v>
      </c>
      <c r="D351" s="133" t="s">
        <v>512</v>
      </c>
      <c r="E351" s="133" t="s">
        <v>1113</v>
      </c>
      <c r="F351" s="133" t="s">
        <v>1113</v>
      </c>
    </row>
    <row r="352" spans="2:6">
      <c r="B352" s="131">
        <v>436</v>
      </c>
      <c r="D352" s="133" t="s">
        <v>178</v>
      </c>
      <c r="E352" s="133" t="s">
        <v>1114</v>
      </c>
      <c r="F352" s="133" t="s">
        <v>1114</v>
      </c>
    </row>
    <row r="353" spans="2:6">
      <c r="B353" s="131">
        <v>437</v>
      </c>
      <c r="D353" s="133" t="s">
        <v>179</v>
      </c>
      <c r="E353" s="133" t="s">
        <v>1115</v>
      </c>
      <c r="F353" s="133" t="s">
        <v>1115</v>
      </c>
    </row>
    <row r="354" spans="2:6">
      <c r="B354" s="131">
        <v>438</v>
      </c>
      <c r="D354" s="133" t="s">
        <v>180</v>
      </c>
      <c r="E354" s="133" t="s">
        <v>1116</v>
      </c>
      <c r="F354" s="133" t="s">
        <v>1116</v>
      </c>
    </row>
    <row r="355" spans="2:6">
      <c r="B355" s="131">
        <v>439</v>
      </c>
      <c r="D355" s="133" t="s">
        <v>181</v>
      </c>
      <c r="E355" s="133" t="s">
        <v>1117</v>
      </c>
      <c r="F355" s="133" t="s">
        <v>1117</v>
      </c>
    </row>
    <row r="356" spans="2:6">
      <c r="B356" s="131">
        <v>440</v>
      </c>
      <c r="D356" s="133" t="s">
        <v>182</v>
      </c>
      <c r="E356" s="133" t="s">
        <v>1118</v>
      </c>
      <c r="F356" s="133" t="s">
        <v>1118</v>
      </c>
    </row>
    <row r="357" spans="2:6">
      <c r="B357" s="131">
        <v>441</v>
      </c>
      <c r="D357" s="133" t="s">
        <v>183</v>
      </c>
      <c r="E357" s="133" t="s">
        <v>1119</v>
      </c>
      <c r="F357" s="133" t="s">
        <v>1119</v>
      </c>
    </row>
    <row r="358" spans="2:6">
      <c r="B358" s="131">
        <v>442</v>
      </c>
      <c r="D358" s="133" t="s">
        <v>514</v>
      </c>
      <c r="E358" s="133" t="s">
        <v>1120</v>
      </c>
      <c r="F358" s="133" t="s">
        <v>1120</v>
      </c>
    </row>
    <row r="359" spans="2:6">
      <c r="B359" s="131">
        <v>443</v>
      </c>
      <c r="D359" s="133" t="s">
        <v>500</v>
      </c>
      <c r="E359" s="133" t="s">
        <v>1121</v>
      </c>
      <c r="F359" s="133" t="s">
        <v>1121</v>
      </c>
    </row>
    <row r="360" spans="2:6">
      <c r="B360" s="131">
        <v>444</v>
      </c>
      <c r="D360" s="133" t="s">
        <v>392</v>
      </c>
      <c r="E360" s="133" t="s">
        <v>392</v>
      </c>
      <c r="F360" s="133" t="s">
        <v>392</v>
      </c>
    </row>
    <row r="361" spans="2:6" ht="24">
      <c r="B361" s="131">
        <v>445</v>
      </c>
      <c r="C361" s="132" t="s">
        <v>544</v>
      </c>
      <c r="D361" s="133" t="s">
        <v>572</v>
      </c>
      <c r="E361" s="133" t="s">
        <v>1122</v>
      </c>
      <c r="F361" s="133" t="s">
        <v>1122</v>
      </c>
    </row>
    <row r="362" spans="2:6">
      <c r="B362" s="131">
        <v>446</v>
      </c>
      <c r="D362" s="133" t="s">
        <v>600</v>
      </c>
      <c r="E362" s="133" t="s">
        <v>1123</v>
      </c>
      <c r="F362" s="133" t="s">
        <v>1123</v>
      </c>
    </row>
    <row r="363" spans="2:6">
      <c r="B363" s="131">
        <v>447</v>
      </c>
      <c r="C363" s="132" t="s">
        <v>467</v>
      </c>
      <c r="D363" s="133" t="s">
        <v>472</v>
      </c>
      <c r="E363" s="133" t="s">
        <v>1124</v>
      </c>
      <c r="F363" s="133" t="s">
        <v>1124</v>
      </c>
    </row>
    <row r="364" spans="2:6">
      <c r="B364" s="131">
        <v>448</v>
      </c>
      <c r="D364" s="133" t="s">
        <v>184</v>
      </c>
      <c r="E364" s="133" t="s">
        <v>1125</v>
      </c>
      <c r="F364" s="133" t="s">
        <v>1125</v>
      </c>
    </row>
    <row r="365" spans="2:6" ht="24">
      <c r="B365" s="131">
        <v>449</v>
      </c>
      <c r="D365" s="133" t="s">
        <v>185</v>
      </c>
      <c r="E365" s="133" t="s">
        <v>1126</v>
      </c>
      <c r="F365" s="133" t="s">
        <v>1126</v>
      </c>
    </row>
    <row r="366" spans="2:6">
      <c r="B366" s="131">
        <v>450</v>
      </c>
      <c r="D366" s="133" t="s">
        <v>186</v>
      </c>
      <c r="E366" s="133" t="s">
        <v>1127</v>
      </c>
      <c r="F366" s="133" t="s">
        <v>1127</v>
      </c>
    </row>
    <row r="367" spans="2:6">
      <c r="B367" s="131">
        <v>451</v>
      </c>
      <c r="D367" s="133" t="s">
        <v>606</v>
      </c>
      <c r="E367" s="133" t="s">
        <v>1128</v>
      </c>
      <c r="F367" s="133" t="s">
        <v>1128</v>
      </c>
    </row>
    <row r="368" spans="2:6" ht="24">
      <c r="B368" s="131">
        <v>452</v>
      </c>
      <c r="D368" s="133" t="s">
        <v>187</v>
      </c>
      <c r="E368" s="133" t="s">
        <v>1129</v>
      </c>
      <c r="F368" s="133" t="s">
        <v>1129</v>
      </c>
    </row>
    <row r="369" spans="2:6">
      <c r="B369" s="131">
        <v>453</v>
      </c>
      <c r="D369" s="134" t="s">
        <v>444</v>
      </c>
      <c r="E369" s="133" t="s">
        <v>908</v>
      </c>
      <c r="F369" s="133" t="s">
        <v>908</v>
      </c>
    </row>
    <row r="370" spans="2:6">
      <c r="B370" s="131">
        <v>454</v>
      </c>
      <c r="D370" s="133" t="s">
        <v>393</v>
      </c>
      <c r="E370" s="133" t="s">
        <v>1130</v>
      </c>
      <c r="F370" s="133" t="s">
        <v>1130</v>
      </c>
    </row>
    <row r="371" spans="2:6">
      <c r="B371" s="131">
        <v>455</v>
      </c>
      <c r="D371" s="133" t="s">
        <v>188</v>
      </c>
      <c r="E371" s="133" t="s">
        <v>1131</v>
      </c>
      <c r="F371" s="133" t="s">
        <v>1131</v>
      </c>
    </row>
    <row r="372" spans="2:6">
      <c r="B372" s="131">
        <v>456</v>
      </c>
      <c r="D372" s="133" t="s">
        <v>394</v>
      </c>
      <c r="E372" s="133" t="s">
        <v>1132</v>
      </c>
      <c r="F372" s="133" t="s">
        <v>1132</v>
      </c>
    </row>
    <row r="373" spans="2:6">
      <c r="B373" s="131">
        <v>457</v>
      </c>
      <c r="D373" s="133" t="s">
        <v>189</v>
      </c>
      <c r="E373" s="133" t="s">
        <v>1133</v>
      </c>
      <c r="F373" s="133" t="s">
        <v>1133</v>
      </c>
    </row>
    <row r="374" spans="2:6">
      <c r="B374" s="131">
        <v>458</v>
      </c>
      <c r="D374" s="133" t="s">
        <v>190</v>
      </c>
      <c r="E374" s="133" t="s">
        <v>1134</v>
      </c>
      <c r="F374" s="133" t="s">
        <v>1134</v>
      </c>
    </row>
    <row r="375" spans="2:6">
      <c r="B375" s="131">
        <v>459</v>
      </c>
      <c r="C375" s="132" t="s">
        <v>544</v>
      </c>
      <c r="D375" s="133" t="s">
        <v>564</v>
      </c>
      <c r="E375" s="133" t="s">
        <v>1135</v>
      </c>
      <c r="F375" s="133" t="s">
        <v>1135</v>
      </c>
    </row>
    <row r="376" spans="2:6">
      <c r="B376" s="131">
        <v>460</v>
      </c>
      <c r="D376" s="133" t="s">
        <v>191</v>
      </c>
      <c r="E376" s="133" t="s">
        <v>1135</v>
      </c>
      <c r="F376" s="133" t="s">
        <v>1135</v>
      </c>
    </row>
    <row r="377" spans="2:6">
      <c r="B377" s="131">
        <v>461</v>
      </c>
      <c r="D377" s="133" t="s">
        <v>192</v>
      </c>
      <c r="E377" s="133" t="s">
        <v>1136</v>
      </c>
      <c r="F377" s="133" t="s">
        <v>1136</v>
      </c>
    </row>
    <row r="378" spans="2:6">
      <c r="B378" s="131">
        <v>462</v>
      </c>
      <c r="D378" s="133" t="s">
        <v>623</v>
      </c>
      <c r="E378" s="133" t="s">
        <v>1137</v>
      </c>
      <c r="F378" s="133" t="s">
        <v>1137</v>
      </c>
    </row>
    <row r="379" spans="2:6">
      <c r="B379" s="131">
        <v>463</v>
      </c>
      <c r="D379" s="133" t="s">
        <v>193</v>
      </c>
      <c r="E379" s="133" t="s">
        <v>1138</v>
      </c>
      <c r="F379" s="133" t="s">
        <v>1138</v>
      </c>
    </row>
    <row r="380" spans="2:6">
      <c r="B380" s="131">
        <v>464</v>
      </c>
      <c r="D380" s="133" t="s">
        <v>194</v>
      </c>
      <c r="F380" s="133"/>
    </row>
    <row r="381" spans="2:6">
      <c r="B381" s="131">
        <v>465</v>
      </c>
      <c r="D381" s="133" t="s">
        <v>395</v>
      </c>
      <c r="E381" s="133" t="s">
        <v>1139</v>
      </c>
      <c r="F381" s="133" t="s">
        <v>1139</v>
      </c>
    </row>
    <row r="382" spans="2:6" ht="24">
      <c r="B382" s="131">
        <v>466</v>
      </c>
      <c r="D382" s="133" t="s">
        <v>615</v>
      </c>
      <c r="E382" s="133" t="s">
        <v>1140</v>
      </c>
      <c r="F382" s="133" t="s">
        <v>1140</v>
      </c>
    </row>
    <row r="383" spans="2:6" ht="24">
      <c r="B383" s="131">
        <v>467</v>
      </c>
      <c r="D383" s="133" t="s">
        <v>195</v>
      </c>
      <c r="E383" s="133" t="s">
        <v>1141</v>
      </c>
      <c r="F383" s="133" t="s">
        <v>1141</v>
      </c>
    </row>
    <row r="384" spans="2:6">
      <c r="B384" s="131">
        <v>468</v>
      </c>
      <c r="D384" s="133" t="s">
        <v>196</v>
      </c>
      <c r="E384" s="133" t="s">
        <v>1142</v>
      </c>
      <c r="F384" s="133" t="s">
        <v>1142</v>
      </c>
    </row>
    <row r="385" spans="2:6">
      <c r="B385" s="131">
        <v>469</v>
      </c>
      <c r="D385" s="133" t="s">
        <v>197</v>
      </c>
      <c r="E385" s="133" t="s">
        <v>1143</v>
      </c>
      <c r="F385" s="133" t="s">
        <v>1143</v>
      </c>
    </row>
    <row r="386" spans="2:6">
      <c r="B386" s="131">
        <v>470</v>
      </c>
      <c r="C386" s="132" t="s">
        <v>544</v>
      </c>
      <c r="D386" s="133" t="s">
        <v>557</v>
      </c>
      <c r="E386" s="133" t="s">
        <v>1144</v>
      </c>
      <c r="F386" s="133" t="s">
        <v>1144</v>
      </c>
    </row>
    <row r="387" spans="2:6">
      <c r="B387" s="131">
        <v>471</v>
      </c>
      <c r="C387" s="132" t="s">
        <v>544</v>
      </c>
      <c r="D387" s="133" t="s">
        <v>561</v>
      </c>
      <c r="E387" s="133" t="s">
        <v>1145</v>
      </c>
      <c r="F387" s="133" t="s">
        <v>1145</v>
      </c>
    </row>
    <row r="388" spans="2:6">
      <c r="B388" s="131">
        <v>472</v>
      </c>
      <c r="D388" s="133" t="s">
        <v>198</v>
      </c>
      <c r="E388" s="133" t="s">
        <v>1146</v>
      </c>
      <c r="F388" s="133" t="s">
        <v>1146</v>
      </c>
    </row>
    <row r="389" spans="2:6">
      <c r="B389" s="131">
        <v>473</v>
      </c>
      <c r="C389" s="132" t="s">
        <v>544</v>
      </c>
      <c r="D389" s="133" t="s">
        <v>553</v>
      </c>
      <c r="E389" s="133" t="s">
        <v>1147</v>
      </c>
      <c r="F389" s="133" t="s">
        <v>1147</v>
      </c>
    </row>
    <row r="390" spans="2:6" ht="24">
      <c r="B390" s="131">
        <v>474</v>
      </c>
      <c r="C390" s="132" t="s">
        <v>544</v>
      </c>
      <c r="D390" s="133" t="s">
        <v>555</v>
      </c>
      <c r="E390" s="133" t="s">
        <v>1148</v>
      </c>
      <c r="F390" s="133" t="s">
        <v>1148</v>
      </c>
    </row>
    <row r="391" spans="2:6">
      <c r="B391" s="131">
        <v>475</v>
      </c>
      <c r="C391" s="132" t="s">
        <v>544</v>
      </c>
      <c r="D391" s="133" t="s">
        <v>556</v>
      </c>
      <c r="E391" s="133" t="s">
        <v>1149</v>
      </c>
      <c r="F391" s="133" t="s">
        <v>1149</v>
      </c>
    </row>
    <row r="392" spans="2:6">
      <c r="B392" s="131">
        <v>476</v>
      </c>
      <c r="D392" s="133" t="s">
        <v>199</v>
      </c>
      <c r="E392" s="133" t="s">
        <v>1150</v>
      </c>
      <c r="F392" s="133" t="s">
        <v>1150</v>
      </c>
    </row>
    <row r="393" spans="2:6">
      <c r="B393" s="131">
        <v>477</v>
      </c>
      <c r="D393" s="133" t="s">
        <v>200</v>
      </c>
      <c r="E393" s="133" t="s">
        <v>1151</v>
      </c>
      <c r="F393" s="133" t="s">
        <v>1151</v>
      </c>
    </row>
    <row r="394" spans="2:6" ht="36">
      <c r="B394" s="131">
        <v>478</v>
      </c>
      <c r="C394" s="132" t="s">
        <v>544</v>
      </c>
      <c r="D394" s="133" t="s">
        <v>574</v>
      </c>
      <c r="E394" s="133" t="s">
        <v>1152</v>
      </c>
      <c r="F394" s="133" t="s">
        <v>1152</v>
      </c>
    </row>
    <row r="395" spans="2:6">
      <c r="B395" s="131">
        <v>479</v>
      </c>
      <c r="D395" s="133" t="s">
        <v>201</v>
      </c>
      <c r="E395" s="133" t="s">
        <v>1153</v>
      </c>
      <c r="F395" s="133" t="s">
        <v>1153</v>
      </c>
    </row>
    <row r="396" spans="2:6">
      <c r="B396" s="131">
        <v>480</v>
      </c>
      <c r="D396" s="133" t="s">
        <v>627</v>
      </c>
      <c r="E396" s="133" t="s">
        <v>1154</v>
      </c>
      <c r="F396" s="133" t="s">
        <v>1154</v>
      </c>
    </row>
    <row r="397" spans="2:6">
      <c r="B397" s="131">
        <v>481</v>
      </c>
      <c r="D397" s="133" t="s">
        <v>202</v>
      </c>
      <c r="E397" s="133" t="s">
        <v>1155</v>
      </c>
      <c r="F397" s="133" t="s">
        <v>1155</v>
      </c>
    </row>
    <row r="398" spans="2:6">
      <c r="B398" s="131">
        <v>482</v>
      </c>
      <c r="D398" s="133" t="s">
        <v>203</v>
      </c>
      <c r="E398" s="133" t="s">
        <v>1156</v>
      </c>
      <c r="F398" s="133" t="s">
        <v>1156</v>
      </c>
    </row>
    <row r="399" spans="2:6">
      <c r="B399" s="131">
        <v>483</v>
      </c>
      <c r="D399" s="133" t="s">
        <v>204</v>
      </c>
      <c r="E399" s="133" t="s">
        <v>1157</v>
      </c>
      <c r="F399" s="133" t="s">
        <v>1157</v>
      </c>
    </row>
    <row r="400" spans="2:6">
      <c r="B400" s="131">
        <v>484</v>
      </c>
      <c r="D400" s="133" t="s">
        <v>205</v>
      </c>
      <c r="E400" s="133" t="s">
        <v>1158</v>
      </c>
      <c r="F400" s="133" t="s">
        <v>1158</v>
      </c>
    </row>
    <row r="401" spans="2:6" ht="24">
      <c r="B401" s="131">
        <v>485</v>
      </c>
      <c r="D401" s="133" t="s">
        <v>206</v>
      </c>
      <c r="E401" s="133" t="s">
        <v>1159</v>
      </c>
      <c r="F401" s="133" t="s">
        <v>1159</v>
      </c>
    </row>
    <row r="402" spans="2:6">
      <c r="B402" s="131">
        <v>486</v>
      </c>
      <c r="D402" s="133" t="s">
        <v>626</v>
      </c>
      <c r="E402" s="133" t="s">
        <v>1160</v>
      </c>
      <c r="F402" s="133" t="s">
        <v>1160</v>
      </c>
    </row>
    <row r="403" spans="2:6">
      <c r="B403" s="131">
        <v>487</v>
      </c>
      <c r="D403" s="133" t="s">
        <v>624</v>
      </c>
      <c r="E403" s="133" t="s">
        <v>1161</v>
      </c>
      <c r="F403" s="133" t="s">
        <v>1161</v>
      </c>
    </row>
    <row r="404" spans="2:6">
      <c r="B404" s="131">
        <v>488</v>
      </c>
      <c r="D404" s="133" t="s">
        <v>625</v>
      </c>
      <c r="E404" s="133" t="s">
        <v>1162</v>
      </c>
      <c r="F404" s="133" t="s">
        <v>1162</v>
      </c>
    </row>
    <row r="405" spans="2:6">
      <c r="B405" s="131">
        <v>489</v>
      </c>
      <c r="D405" s="133" t="s">
        <v>207</v>
      </c>
      <c r="E405" s="133" t="s">
        <v>1163</v>
      </c>
      <c r="F405" s="133" t="s">
        <v>1163</v>
      </c>
    </row>
    <row r="406" spans="2:6">
      <c r="B406" s="131">
        <v>490</v>
      </c>
      <c r="C406" s="132" t="s">
        <v>467</v>
      </c>
      <c r="D406" s="133" t="s">
        <v>471</v>
      </c>
      <c r="E406" s="133" t="s">
        <v>1164</v>
      </c>
      <c r="F406" s="133" t="s">
        <v>1164</v>
      </c>
    </row>
    <row r="407" spans="2:6">
      <c r="B407" s="131">
        <v>491</v>
      </c>
      <c r="D407" s="133" t="s">
        <v>208</v>
      </c>
      <c r="E407" s="133" t="s">
        <v>1165</v>
      </c>
      <c r="F407" s="133" t="s">
        <v>1165</v>
      </c>
    </row>
    <row r="408" spans="2:6">
      <c r="B408" s="131">
        <v>492</v>
      </c>
      <c r="C408" s="132" t="s">
        <v>485</v>
      </c>
      <c r="D408" s="133" t="s">
        <v>483</v>
      </c>
      <c r="E408" s="133" t="s">
        <v>1166</v>
      </c>
      <c r="F408" s="133" t="s">
        <v>1166</v>
      </c>
    </row>
    <row r="409" spans="2:6">
      <c r="B409" s="131">
        <v>493</v>
      </c>
      <c r="C409" s="132" t="s">
        <v>485</v>
      </c>
      <c r="D409" s="133" t="s">
        <v>482</v>
      </c>
      <c r="E409" s="133" t="s">
        <v>1167</v>
      </c>
      <c r="F409" s="133" t="s">
        <v>1167</v>
      </c>
    </row>
    <row r="410" spans="2:6">
      <c r="B410" s="131">
        <v>494</v>
      </c>
      <c r="D410" s="133" t="s">
        <v>209</v>
      </c>
      <c r="E410" s="133" t="s">
        <v>1168</v>
      </c>
      <c r="F410" s="133" t="s">
        <v>1168</v>
      </c>
    </row>
    <row r="411" spans="2:6">
      <c r="B411" s="131">
        <v>495</v>
      </c>
      <c r="D411" s="133" t="s">
        <v>210</v>
      </c>
      <c r="E411" s="133" t="s">
        <v>1169</v>
      </c>
      <c r="F411" s="133" t="s">
        <v>1169</v>
      </c>
    </row>
    <row r="412" spans="2:6">
      <c r="B412" s="131">
        <v>496</v>
      </c>
      <c r="C412" s="132" t="s">
        <v>544</v>
      </c>
      <c r="D412" s="133" t="s">
        <v>653</v>
      </c>
      <c r="E412" s="133" t="s">
        <v>1170</v>
      </c>
      <c r="F412" s="133" t="s">
        <v>1170</v>
      </c>
    </row>
    <row r="413" spans="2:6">
      <c r="B413" s="131">
        <v>497</v>
      </c>
      <c r="D413" s="133" t="s">
        <v>211</v>
      </c>
      <c r="E413" s="133" t="s">
        <v>1171</v>
      </c>
      <c r="F413" s="133" t="s">
        <v>1171</v>
      </c>
    </row>
    <row r="414" spans="2:6" ht="36">
      <c r="B414" s="131">
        <v>498</v>
      </c>
      <c r="D414" s="133" t="s">
        <v>212</v>
      </c>
      <c r="E414" s="133" t="s">
        <v>1172</v>
      </c>
      <c r="F414" s="133" t="s">
        <v>1172</v>
      </c>
    </row>
    <row r="415" spans="2:6">
      <c r="B415" s="131">
        <v>499</v>
      </c>
      <c r="D415" s="133" t="s">
        <v>213</v>
      </c>
      <c r="E415" s="133" t="s">
        <v>1173</v>
      </c>
      <c r="F415" s="133" t="s">
        <v>1173</v>
      </c>
    </row>
    <row r="416" spans="2:6" ht="24">
      <c r="B416" s="131">
        <v>500</v>
      </c>
      <c r="D416" s="133" t="s">
        <v>214</v>
      </c>
      <c r="E416" s="133" t="s">
        <v>1174</v>
      </c>
      <c r="F416" s="133" t="s">
        <v>1174</v>
      </c>
    </row>
    <row r="417" spans="2:6" ht="24">
      <c r="B417" s="131">
        <v>501</v>
      </c>
      <c r="D417" s="133" t="s">
        <v>215</v>
      </c>
      <c r="E417" s="133" t="s">
        <v>1175</v>
      </c>
      <c r="F417" s="133" t="s">
        <v>1175</v>
      </c>
    </row>
    <row r="418" spans="2:6" ht="24">
      <c r="B418" s="131">
        <v>502</v>
      </c>
      <c r="D418" s="133" t="s">
        <v>216</v>
      </c>
      <c r="E418" s="133" t="s">
        <v>1176</v>
      </c>
      <c r="F418" s="133" t="s">
        <v>1176</v>
      </c>
    </row>
    <row r="419" spans="2:6" ht="24">
      <c r="B419" s="131">
        <v>503</v>
      </c>
      <c r="D419" s="133" t="s">
        <v>217</v>
      </c>
      <c r="E419" s="133" t="s">
        <v>1177</v>
      </c>
      <c r="F419" s="133" t="s">
        <v>1177</v>
      </c>
    </row>
    <row r="420" spans="2:6" ht="24">
      <c r="B420" s="131">
        <v>504</v>
      </c>
      <c r="D420" s="133" t="s">
        <v>218</v>
      </c>
      <c r="E420" s="133" t="s">
        <v>1178</v>
      </c>
      <c r="F420" s="133" t="s">
        <v>1178</v>
      </c>
    </row>
    <row r="421" spans="2:6" ht="24">
      <c r="B421" s="131">
        <v>505</v>
      </c>
      <c r="D421" s="133" t="s">
        <v>219</v>
      </c>
      <c r="E421" s="133" t="s">
        <v>1179</v>
      </c>
      <c r="F421" s="133" t="s">
        <v>1179</v>
      </c>
    </row>
    <row r="422" spans="2:6" ht="24">
      <c r="B422" s="131">
        <v>506</v>
      </c>
      <c r="D422" s="133" t="s">
        <v>220</v>
      </c>
      <c r="E422" s="133" t="s">
        <v>1180</v>
      </c>
      <c r="F422" s="133" t="s">
        <v>1180</v>
      </c>
    </row>
    <row r="423" spans="2:6" ht="24">
      <c r="B423" s="131">
        <v>507</v>
      </c>
      <c r="D423" s="133" t="s">
        <v>221</v>
      </c>
      <c r="E423" s="133" t="s">
        <v>1181</v>
      </c>
      <c r="F423" s="133" t="s">
        <v>1181</v>
      </c>
    </row>
    <row r="424" spans="2:6" ht="24">
      <c r="B424" s="131">
        <v>508</v>
      </c>
      <c r="D424" s="133" t="s">
        <v>222</v>
      </c>
      <c r="E424" s="133" t="s">
        <v>1182</v>
      </c>
      <c r="F424" s="133" t="s">
        <v>1182</v>
      </c>
    </row>
    <row r="425" spans="2:6" ht="24">
      <c r="B425" s="131">
        <v>509</v>
      </c>
      <c r="D425" s="133" t="s">
        <v>223</v>
      </c>
      <c r="E425" s="133" t="s">
        <v>1183</v>
      </c>
      <c r="F425" s="133" t="s">
        <v>1183</v>
      </c>
    </row>
    <row r="426" spans="2:6" ht="24">
      <c r="B426" s="131">
        <v>510</v>
      </c>
      <c r="D426" s="133" t="s">
        <v>224</v>
      </c>
      <c r="E426" s="133" t="s">
        <v>1184</v>
      </c>
      <c r="F426" s="133" t="s">
        <v>1184</v>
      </c>
    </row>
    <row r="427" spans="2:6" ht="24">
      <c r="B427" s="131">
        <v>511</v>
      </c>
      <c r="D427" s="133" t="s">
        <v>225</v>
      </c>
      <c r="E427" s="133" t="s">
        <v>1185</v>
      </c>
      <c r="F427" s="133" t="s">
        <v>1185</v>
      </c>
    </row>
    <row r="428" spans="2:6" ht="24">
      <c r="B428" s="131">
        <v>512</v>
      </c>
      <c r="D428" s="133" t="s">
        <v>226</v>
      </c>
      <c r="E428" s="133" t="s">
        <v>1186</v>
      </c>
      <c r="F428" s="133" t="s">
        <v>1186</v>
      </c>
    </row>
    <row r="429" spans="2:6" ht="24">
      <c r="B429" s="131">
        <v>513</v>
      </c>
      <c r="D429" s="133" t="s">
        <v>227</v>
      </c>
      <c r="E429" s="133" t="s">
        <v>1187</v>
      </c>
      <c r="F429" s="133" t="s">
        <v>1187</v>
      </c>
    </row>
    <row r="430" spans="2:6" ht="24">
      <c r="B430" s="131">
        <v>514</v>
      </c>
      <c r="D430" s="133" t="s">
        <v>228</v>
      </c>
      <c r="E430" s="133" t="s">
        <v>1188</v>
      </c>
      <c r="F430" s="133" t="s">
        <v>1188</v>
      </c>
    </row>
    <row r="431" spans="2:6" ht="24">
      <c r="B431" s="131">
        <v>515</v>
      </c>
      <c r="D431" s="133" t="s">
        <v>229</v>
      </c>
      <c r="E431" s="133" t="s">
        <v>1189</v>
      </c>
      <c r="F431" s="133" t="s">
        <v>1189</v>
      </c>
    </row>
    <row r="432" spans="2:6" ht="24">
      <c r="B432" s="131">
        <v>516</v>
      </c>
      <c r="D432" s="133" t="s">
        <v>230</v>
      </c>
      <c r="E432" s="133" t="s">
        <v>1190</v>
      </c>
      <c r="F432" s="133" t="s">
        <v>1190</v>
      </c>
    </row>
    <row r="433" spans="1:27" ht="24">
      <c r="B433" s="131">
        <v>517</v>
      </c>
      <c r="D433" s="133" t="s">
        <v>231</v>
      </c>
      <c r="E433" s="133" t="s">
        <v>1191</v>
      </c>
      <c r="F433" s="133" t="s">
        <v>1191</v>
      </c>
    </row>
    <row r="434" spans="1:27" ht="24">
      <c r="B434" s="131">
        <v>518</v>
      </c>
      <c r="D434" s="133" t="s">
        <v>232</v>
      </c>
      <c r="E434" s="133" t="s">
        <v>1192</v>
      </c>
      <c r="F434" s="133" t="s">
        <v>1192</v>
      </c>
    </row>
    <row r="435" spans="1:27" ht="24">
      <c r="B435" s="131">
        <v>519</v>
      </c>
      <c r="D435" s="133" t="s">
        <v>233</v>
      </c>
      <c r="E435" s="133" t="s">
        <v>1193</v>
      </c>
      <c r="F435" s="133" t="s">
        <v>1193</v>
      </c>
    </row>
    <row r="436" spans="1:27" ht="24">
      <c r="B436" s="131">
        <v>520</v>
      </c>
      <c r="D436" s="133" t="s">
        <v>234</v>
      </c>
      <c r="E436" s="133" t="s">
        <v>1194</v>
      </c>
      <c r="F436" s="133" t="s">
        <v>1194</v>
      </c>
    </row>
    <row r="437" spans="1:27" ht="24">
      <c r="B437" s="131">
        <v>521</v>
      </c>
      <c r="D437" s="133" t="s">
        <v>396</v>
      </c>
      <c r="E437" s="133" t="s">
        <v>1195</v>
      </c>
      <c r="F437" s="133" t="s">
        <v>1195</v>
      </c>
    </row>
    <row r="438" spans="1:27" ht="24">
      <c r="B438" s="131">
        <v>522</v>
      </c>
      <c r="D438" s="133" t="s">
        <v>397</v>
      </c>
      <c r="E438" s="133" t="s">
        <v>1195</v>
      </c>
      <c r="F438" s="133" t="s">
        <v>1195</v>
      </c>
    </row>
    <row r="439" spans="1:27" ht="24">
      <c r="B439" s="131">
        <v>523</v>
      </c>
      <c r="D439" s="133" t="s">
        <v>235</v>
      </c>
      <c r="E439" s="133" t="s">
        <v>1196</v>
      </c>
      <c r="F439" s="133" t="s">
        <v>1196</v>
      </c>
    </row>
    <row r="440" spans="1:27" ht="24">
      <c r="B440" s="131">
        <v>524</v>
      </c>
      <c r="D440" s="133" t="s">
        <v>236</v>
      </c>
      <c r="E440" s="133" t="s">
        <v>1197</v>
      </c>
      <c r="F440" s="133" t="s">
        <v>1197</v>
      </c>
    </row>
    <row r="441" spans="1:27" ht="24">
      <c r="B441" s="131">
        <v>525</v>
      </c>
      <c r="D441" s="133" t="s">
        <v>237</v>
      </c>
      <c r="E441" s="133" t="s">
        <v>1198</v>
      </c>
      <c r="F441" s="133" t="s">
        <v>1198</v>
      </c>
    </row>
    <row r="442" spans="1:27" ht="24">
      <c r="B442" s="131">
        <v>526</v>
      </c>
      <c r="D442" s="133" t="s">
        <v>238</v>
      </c>
      <c r="E442" s="133" t="s">
        <v>1199</v>
      </c>
      <c r="F442" s="133" t="s">
        <v>1199</v>
      </c>
    </row>
    <row r="443" spans="1:27" ht="24">
      <c r="B443" s="131">
        <v>527</v>
      </c>
      <c r="D443" s="133" t="s">
        <v>398</v>
      </c>
      <c r="E443" s="133" t="s">
        <v>1200</v>
      </c>
      <c r="F443" s="133" t="s">
        <v>1200</v>
      </c>
    </row>
    <row r="444" spans="1:27" s="134" customFormat="1" ht="24">
      <c r="A444" s="130"/>
      <c r="B444" s="131">
        <v>528</v>
      </c>
      <c r="C444" s="132"/>
      <c r="D444" s="133" t="s">
        <v>399</v>
      </c>
      <c r="E444" s="133" t="s">
        <v>1201</v>
      </c>
      <c r="F444" s="133" t="s">
        <v>1201</v>
      </c>
      <c r="G444" s="130"/>
      <c r="H444" s="130"/>
      <c r="I444" s="130"/>
      <c r="J444" s="130"/>
      <c r="K444" s="130"/>
      <c r="L444" s="130"/>
      <c r="M444" s="130"/>
      <c r="N444" s="130"/>
      <c r="O444" s="130"/>
      <c r="P444" s="130"/>
      <c r="Q444" s="130"/>
      <c r="R444" s="130"/>
      <c r="S444" s="130"/>
      <c r="T444" s="130"/>
      <c r="U444" s="130"/>
      <c r="V444" s="130"/>
      <c r="W444" s="130"/>
      <c r="X444" s="130"/>
      <c r="Y444" s="130"/>
      <c r="Z444" s="130"/>
      <c r="AA444" s="130"/>
    </row>
    <row r="445" spans="1:27" s="134" customFormat="1">
      <c r="A445" s="130"/>
      <c r="B445" s="131">
        <v>529</v>
      </c>
      <c r="C445" s="132"/>
      <c r="D445" s="133" t="s">
        <v>239</v>
      </c>
      <c r="E445" s="133" t="s">
        <v>1202</v>
      </c>
      <c r="F445" s="133" t="s">
        <v>1202</v>
      </c>
      <c r="G445" s="130"/>
      <c r="H445" s="130"/>
      <c r="I445" s="130"/>
      <c r="J445" s="130"/>
      <c r="K445" s="130"/>
      <c r="L445" s="130"/>
      <c r="M445" s="130"/>
      <c r="N445" s="130"/>
      <c r="O445" s="130"/>
      <c r="P445" s="130"/>
      <c r="Q445" s="130"/>
      <c r="R445" s="130"/>
      <c r="S445" s="130"/>
      <c r="T445" s="130"/>
      <c r="U445" s="130"/>
      <c r="V445" s="130"/>
      <c r="W445" s="130"/>
      <c r="X445" s="130"/>
      <c r="Y445" s="130"/>
      <c r="Z445" s="130"/>
      <c r="AA445" s="130"/>
    </row>
    <row r="446" spans="1:27" s="135" customFormat="1" ht="36">
      <c r="A446" s="130"/>
      <c r="B446" s="131">
        <v>530</v>
      </c>
      <c r="C446" s="132"/>
      <c r="D446" s="133" t="s">
        <v>240</v>
      </c>
      <c r="E446" s="133" t="s">
        <v>1203</v>
      </c>
      <c r="F446" s="133" t="s">
        <v>1203</v>
      </c>
      <c r="G446" s="130"/>
      <c r="H446" s="130"/>
      <c r="I446" s="130"/>
      <c r="J446" s="130"/>
      <c r="K446" s="130"/>
      <c r="L446" s="130"/>
      <c r="M446" s="130"/>
      <c r="N446" s="130"/>
      <c r="O446" s="130"/>
      <c r="P446" s="130"/>
      <c r="Q446" s="130"/>
      <c r="R446" s="130"/>
      <c r="S446" s="130"/>
      <c r="T446" s="130"/>
      <c r="U446" s="130"/>
      <c r="V446" s="130"/>
      <c r="W446" s="130"/>
      <c r="X446" s="130"/>
      <c r="Y446" s="130"/>
      <c r="Z446" s="130"/>
      <c r="AA446" s="130"/>
    </row>
    <row r="447" spans="1:27" s="135" customFormat="1">
      <c r="A447" s="130"/>
      <c r="B447" s="131">
        <v>531</v>
      </c>
      <c r="C447" s="132"/>
      <c r="D447" s="133" t="s">
        <v>241</v>
      </c>
      <c r="E447" s="133" t="s">
        <v>1204</v>
      </c>
      <c r="F447" s="133" t="s">
        <v>1204</v>
      </c>
      <c r="G447" s="130"/>
      <c r="H447" s="130"/>
      <c r="I447" s="130"/>
      <c r="J447" s="130"/>
      <c r="K447" s="130"/>
      <c r="L447" s="130"/>
      <c r="M447" s="130"/>
      <c r="N447" s="130"/>
      <c r="O447" s="130"/>
      <c r="P447" s="130"/>
      <c r="Q447" s="130"/>
      <c r="R447" s="130"/>
      <c r="S447" s="130"/>
      <c r="T447" s="130"/>
      <c r="U447" s="130"/>
      <c r="V447" s="130"/>
      <c r="W447" s="130"/>
      <c r="X447" s="130"/>
      <c r="Y447" s="130"/>
      <c r="Z447" s="130"/>
      <c r="AA447" s="130"/>
    </row>
    <row r="448" spans="1:27" s="135" customFormat="1" ht="36">
      <c r="A448" s="130"/>
      <c r="B448" s="131">
        <v>532</v>
      </c>
      <c r="C448" s="132"/>
      <c r="D448" s="133" t="s">
        <v>242</v>
      </c>
      <c r="E448" s="133" t="s">
        <v>1205</v>
      </c>
      <c r="F448" s="133" t="s">
        <v>1205</v>
      </c>
      <c r="G448" s="130"/>
      <c r="H448" s="130"/>
      <c r="I448" s="130"/>
      <c r="J448" s="130"/>
      <c r="K448" s="130"/>
      <c r="L448" s="130"/>
      <c r="M448" s="130"/>
      <c r="N448" s="130"/>
      <c r="O448" s="130"/>
      <c r="P448" s="130"/>
      <c r="Q448" s="130"/>
      <c r="R448" s="130"/>
      <c r="S448" s="130"/>
      <c r="T448" s="130"/>
      <c r="U448" s="130"/>
      <c r="V448" s="130"/>
      <c r="W448" s="130"/>
      <c r="X448" s="130"/>
      <c r="Y448" s="130"/>
      <c r="Z448" s="130"/>
      <c r="AA448" s="130"/>
    </row>
    <row r="449" spans="1:27" s="135" customFormat="1" ht="24">
      <c r="A449" s="130"/>
      <c r="B449" s="131">
        <v>533</v>
      </c>
      <c r="C449" s="132"/>
      <c r="D449" s="133" t="s">
        <v>243</v>
      </c>
      <c r="E449" s="133" t="s">
        <v>1206</v>
      </c>
      <c r="F449" s="133" t="s">
        <v>1206</v>
      </c>
      <c r="G449" s="130"/>
      <c r="H449" s="130"/>
      <c r="I449" s="130"/>
      <c r="J449" s="130"/>
      <c r="K449" s="130"/>
      <c r="L449" s="130"/>
      <c r="M449" s="130"/>
      <c r="N449" s="130"/>
      <c r="O449" s="130"/>
      <c r="P449" s="130"/>
      <c r="Q449" s="130"/>
      <c r="R449" s="130"/>
      <c r="S449" s="130"/>
      <c r="T449" s="130"/>
      <c r="U449" s="130"/>
      <c r="V449" s="130"/>
      <c r="W449" s="130"/>
      <c r="X449" s="130"/>
      <c r="Y449" s="130"/>
      <c r="Z449" s="130"/>
      <c r="AA449" s="130"/>
    </row>
    <row r="450" spans="1:27" s="135" customFormat="1" ht="24">
      <c r="A450" s="130"/>
      <c r="B450" s="131">
        <v>534</v>
      </c>
      <c r="C450" s="132"/>
      <c r="D450" s="133" t="s">
        <v>244</v>
      </c>
      <c r="E450" s="133" t="s">
        <v>1207</v>
      </c>
      <c r="F450" s="133" t="s">
        <v>1207</v>
      </c>
      <c r="G450" s="130"/>
      <c r="H450" s="130"/>
      <c r="I450" s="130"/>
      <c r="J450" s="130"/>
      <c r="K450" s="130"/>
      <c r="L450" s="130"/>
      <c r="M450" s="130"/>
      <c r="N450" s="130"/>
      <c r="O450" s="130"/>
      <c r="P450" s="130"/>
      <c r="Q450" s="130"/>
      <c r="R450" s="130"/>
      <c r="S450" s="130"/>
      <c r="T450" s="130"/>
      <c r="U450" s="130"/>
      <c r="V450" s="130"/>
      <c r="W450" s="130"/>
      <c r="X450" s="130"/>
      <c r="Y450" s="130"/>
      <c r="Z450" s="130"/>
      <c r="AA450" s="130"/>
    </row>
    <row r="451" spans="1:27" s="135" customFormat="1" ht="24">
      <c r="A451" s="130"/>
      <c r="B451" s="131">
        <v>535</v>
      </c>
      <c r="C451" s="132"/>
      <c r="D451" s="133" t="s">
        <v>245</v>
      </c>
      <c r="E451" s="133" t="s">
        <v>1208</v>
      </c>
      <c r="F451" s="133" t="s">
        <v>1208</v>
      </c>
      <c r="G451" s="130"/>
      <c r="H451" s="130"/>
      <c r="I451" s="130"/>
      <c r="J451" s="130"/>
      <c r="K451" s="130"/>
      <c r="L451" s="130"/>
      <c r="M451" s="130"/>
      <c r="N451" s="130"/>
      <c r="O451" s="130"/>
      <c r="P451" s="130"/>
      <c r="Q451" s="130"/>
      <c r="R451" s="130"/>
      <c r="S451" s="130"/>
      <c r="T451" s="130"/>
      <c r="U451" s="130"/>
      <c r="V451" s="130"/>
      <c r="W451" s="130"/>
      <c r="X451" s="130"/>
      <c r="Y451" s="130"/>
      <c r="Z451" s="130"/>
      <c r="AA451" s="130"/>
    </row>
    <row r="452" spans="1:27" s="135" customFormat="1" ht="24">
      <c r="A452" s="130"/>
      <c r="B452" s="131">
        <v>536</v>
      </c>
      <c r="C452" s="132"/>
      <c r="D452" s="133" t="s">
        <v>246</v>
      </c>
      <c r="E452" s="133" t="s">
        <v>1209</v>
      </c>
      <c r="F452" s="133" t="s">
        <v>1209</v>
      </c>
      <c r="G452" s="130"/>
      <c r="H452" s="130"/>
      <c r="I452" s="130"/>
      <c r="J452" s="130"/>
      <c r="K452" s="130"/>
      <c r="L452" s="130"/>
      <c r="M452" s="130"/>
      <c r="N452" s="130"/>
      <c r="O452" s="130"/>
      <c r="P452" s="130"/>
      <c r="Q452" s="130"/>
      <c r="R452" s="130"/>
      <c r="S452" s="130"/>
      <c r="T452" s="130"/>
      <c r="U452" s="130"/>
      <c r="V452" s="130"/>
      <c r="W452" s="130"/>
      <c r="X452" s="130"/>
      <c r="Y452" s="130"/>
      <c r="Z452" s="130"/>
      <c r="AA452" s="130"/>
    </row>
    <row r="453" spans="1:27" s="135" customFormat="1">
      <c r="A453" s="130"/>
      <c r="B453" s="131">
        <v>537</v>
      </c>
      <c r="C453" s="132"/>
      <c r="D453" s="133" t="s">
        <v>247</v>
      </c>
      <c r="E453" s="133" t="s">
        <v>1210</v>
      </c>
      <c r="F453" s="133" t="s">
        <v>1210</v>
      </c>
      <c r="G453" s="130"/>
      <c r="H453" s="130"/>
      <c r="I453" s="130"/>
      <c r="J453" s="130"/>
      <c r="K453" s="130"/>
      <c r="L453" s="130"/>
      <c r="M453" s="130"/>
      <c r="N453" s="130"/>
      <c r="O453" s="130"/>
      <c r="P453" s="130"/>
      <c r="Q453" s="130"/>
      <c r="R453" s="130"/>
      <c r="S453" s="130"/>
      <c r="T453" s="130"/>
      <c r="U453" s="130"/>
      <c r="V453" s="130"/>
      <c r="W453" s="130"/>
      <c r="X453" s="130"/>
      <c r="Y453" s="130"/>
      <c r="Z453" s="130"/>
      <c r="AA453" s="130"/>
    </row>
    <row r="454" spans="1:27" s="135" customFormat="1">
      <c r="A454" s="130"/>
      <c r="B454" s="131">
        <v>538</v>
      </c>
      <c r="C454" s="132"/>
      <c r="D454" s="133" t="s">
        <v>248</v>
      </c>
      <c r="E454" s="133" t="s">
        <v>1211</v>
      </c>
      <c r="F454" s="133" t="s">
        <v>1211</v>
      </c>
      <c r="G454" s="130"/>
      <c r="H454" s="130"/>
      <c r="I454" s="130"/>
      <c r="J454" s="130"/>
      <c r="K454" s="130"/>
      <c r="L454" s="130"/>
      <c r="M454" s="130"/>
      <c r="N454" s="130"/>
      <c r="O454" s="130"/>
      <c r="P454" s="130"/>
      <c r="Q454" s="130"/>
      <c r="R454" s="130"/>
      <c r="S454" s="130"/>
      <c r="T454" s="130"/>
      <c r="U454" s="130"/>
      <c r="V454" s="130"/>
      <c r="W454" s="130"/>
      <c r="X454" s="130"/>
      <c r="Y454" s="130"/>
      <c r="Z454" s="130"/>
      <c r="AA454" s="130"/>
    </row>
    <row r="455" spans="1:27" s="135" customFormat="1" ht="24">
      <c r="A455" s="130"/>
      <c r="B455" s="131">
        <v>539</v>
      </c>
      <c r="C455" s="132"/>
      <c r="D455" s="133" t="s">
        <v>249</v>
      </c>
      <c r="E455" s="133" t="s">
        <v>1212</v>
      </c>
      <c r="F455" s="133" t="s">
        <v>1212</v>
      </c>
      <c r="G455" s="130"/>
      <c r="H455" s="130"/>
      <c r="I455" s="130"/>
      <c r="J455" s="130"/>
      <c r="K455" s="130"/>
      <c r="L455" s="130"/>
      <c r="M455" s="130"/>
      <c r="N455" s="130"/>
      <c r="O455" s="130"/>
      <c r="P455" s="130"/>
      <c r="Q455" s="130"/>
      <c r="R455" s="130"/>
      <c r="S455" s="130"/>
      <c r="T455" s="130"/>
      <c r="U455" s="130"/>
      <c r="V455" s="130"/>
      <c r="W455" s="130"/>
      <c r="X455" s="130"/>
      <c r="Y455" s="130"/>
      <c r="Z455" s="130"/>
      <c r="AA455" s="130"/>
    </row>
    <row r="456" spans="1:27" s="135" customFormat="1">
      <c r="A456" s="130"/>
      <c r="B456" s="131">
        <v>540</v>
      </c>
      <c r="C456" s="132"/>
      <c r="D456" s="133" t="s">
        <v>250</v>
      </c>
      <c r="E456" s="133" t="s">
        <v>1213</v>
      </c>
      <c r="F456" s="133" t="s">
        <v>1213</v>
      </c>
      <c r="G456" s="130"/>
      <c r="H456" s="130"/>
      <c r="I456" s="130"/>
      <c r="J456" s="130"/>
      <c r="K456" s="130"/>
      <c r="L456" s="130"/>
      <c r="M456" s="130"/>
      <c r="N456" s="130"/>
      <c r="O456" s="130"/>
      <c r="P456" s="130"/>
      <c r="Q456" s="130"/>
      <c r="R456" s="130"/>
      <c r="S456" s="130"/>
      <c r="T456" s="130"/>
      <c r="U456" s="130"/>
      <c r="V456" s="130"/>
      <c r="W456" s="130"/>
      <c r="X456" s="130"/>
      <c r="Y456" s="130"/>
      <c r="Z456" s="130"/>
      <c r="AA456" s="130"/>
    </row>
    <row r="457" spans="1:27">
      <c r="B457" s="131">
        <v>541</v>
      </c>
      <c r="D457" s="133" t="s">
        <v>251</v>
      </c>
      <c r="E457" s="133" t="s">
        <v>1214</v>
      </c>
      <c r="F457" s="133" t="s">
        <v>1214</v>
      </c>
    </row>
    <row r="458" spans="1:27">
      <c r="B458" s="131">
        <v>542</v>
      </c>
      <c r="D458" s="133" t="s">
        <v>252</v>
      </c>
      <c r="E458" s="133" t="s">
        <v>1215</v>
      </c>
      <c r="F458" s="133" t="s">
        <v>1215</v>
      </c>
    </row>
    <row r="459" spans="1:27" ht="24">
      <c r="B459" s="131">
        <v>543</v>
      </c>
      <c r="D459" s="133" t="s">
        <v>400</v>
      </c>
      <c r="E459" s="133" t="s">
        <v>1216</v>
      </c>
      <c r="F459" s="133" t="s">
        <v>1216</v>
      </c>
    </row>
    <row r="460" spans="1:27" ht="48">
      <c r="A460" s="134"/>
      <c r="B460" s="131">
        <v>544</v>
      </c>
      <c r="C460" s="140" t="s">
        <v>432</v>
      </c>
      <c r="D460" s="134" t="s">
        <v>445</v>
      </c>
      <c r="E460" s="134" t="s">
        <v>1217</v>
      </c>
      <c r="F460" s="134" t="s">
        <v>1217</v>
      </c>
    </row>
    <row r="461" spans="1:27" ht="36">
      <c r="B461" s="131">
        <v>545</v>
      </c>
      <c r="D461" s="133" t="s">
        <v>253</v>
      </c>
      <c r="E461" s="133" t="s">
        <v>1218</v>
      </c>
      <c r="F461" s="133" t="s">
        <v>1218</v>
      </c>
    </row>
    <row r="462" spans="1:27">
      <c r="B462" s="131">
        <v>546</v>
      </c>
      <c r="D462" s="133" t="s">
        <v>254</v>
      </c>
      <c r="E462" s="133" t="s">
        <v>1219</v>
      </c>
      <c r="F462" s="133" t="s">
        <v>1219</v>
      </c>
    </row>
    <row r="463" spans="1:27">
      <c r="B463" s="131">
        <v>547</v>
      </c>
      <c r="D463" s="133" t="s">
        <v>255</v>
      </c>
      <c r="E463" s="133" t="s">
        <v>1220</v>
      </c>
      <c r="F463" s="133" t="s">
        <v>1220</v>
      </c>
    </row>
    <row r="464" spans="1:27">
      <c r="B464" s="131">
        <v>548</v>
      </c>
      <c r="D464" s="133" t="s">
        <v>256</v>
      </c>
      <c r="E464" s="133" t="s">
        <v>1221</v>
      </c>
      <c r="F464" s="133" t="s">
        <v>1221</v>
      </c>
    </row>
    <row r="465" spans="2:6" ht="24">
      <c r="B465" s="131">
        <v>549</v>
      </c>
      <c r="D465" s="133" t="s">
        <v>480</v>
      </c>
      <c r="E465" s="133" t="s">
        <v>1222</v>
      </c>
      <c r="F465" s="133" t="s">
        <v>1222</v>
      </c>
    </row>
    <row r="466" spans="2:6">
      <c r="B466" s="131">
        <v>550</v>
      </c>
      <c r="D466" s="133" t="s">
        <v>257</v>
      </c>
      <c r="E466" s="133" t="s">
        <v>1223</v>
      </c>
      <c r="F466" s="133" t="s">
        <v>1223</v>
      </c>
    </row>
    <row r="467" spans="2:6">
      <c r="B467" s="131">
        <v>551</v>
      </c>
      <c r="D467" s="133" t="s">
        <v>258</v>
      </c>
      <c r="E467" s="133" t="s">
        <v>1224</v>
      </c>
      <c r="F467" s="133" t="s">
        <v>1224</v>
      </c>
    </row>
    <row r="468" spans="2:6">
      <c r="B468" s="131">
        <v>552</v>
      </c>
      <c r="D468" s="133" t="s">
        <v>259</v>
      </c>
      <c r="E468" s="133" t="s">
        <v>1225</v>
      </c>
      <c r="F468" s="133" t="s">
        <v>1225</v>
      </c>
    </row>
    <row r="469" spans="2:6" ht="24">
      <c r="B469" s="131">
        <v>553</v>
      </c>
      <c r="D469" s="133" t="s">
        <v>607</v>
      </c>
      <c r="E469" s="133" t="s">
        <v>1226</v>
      </c>
      <c r="F469" s="133" t="s">
        <v>1226</v>
      </c>
    </row>
    <row r="470" spans="2:6">
      <c r="B470" s="131">
        <v>554</v>
      </c>
      <c r="D470" s="133" t="s">
        <v>608</v>
      </c>
      <c r="E470" s="133" t="s">
        <v>1227</v>
      </c>
      <c r="F470" s="133" t="s">
        <v>1227</v>
      </c>
    </row>
    <row r="471" spans="2:6" ht="24">
      <c r="B471" s="131">
        <v>555</v>
      </c>
      <c r="D471" s="133" t="s">
        <v>260</v>
      </c>
      <c r="E471" s="133" t="s">
        <v>1228</v>
      </c>
      <c r="F471" s="133" t="s">
        <v>1228</v>
      </c>
    </row>
    <row r="472" spans="2:6">
      <c r="B472" s="131">
        <v>556</v>
      </c>
      <c r="D472" s="133" t="s">
        <v>401</v>
      </c>
      <c r="E472" s="133" t="s">
        <v>1229</v>
      </c>
      <c r="F472" s="133" t="s">
        <v>1229</v>
      </c>
    </row>
    <row r="473" spans="2:6" ht="24">
      <c r="B473" s="131">
        <v>557</v>
      </c>
      <c r="D473" s="133" t="s">
        <v>261</v>
      </c>
      <c r="E473" s="133" t="s">
        <v>1230</v>
      </c>
      <c r="F473" s="133" t="s">
        <v>1230</v>
      </c>
    </row>
    <row r="474" spans="2:6" ht="24">
      <c r="B474" s="131">
        <v>558</v>
      </c>
      <c r="D474" s="133" t="s">
        <v>402</v>
      </c>
      <c r="E474" s="133" t="s">
        <v>1231</v>
      </c>
      <c r="F474" s="133" t="s">
        <v>1231</v>
      </c>
    </row>
    <row r="475" spans="2:6" ht="24">
      <c r="B475" s="131">
        <v>559</v>
      </c>
      <c r="D475" s="133" t="s">
        <v>262</v>
      </c>
      <c r="E475" s="133" t="s">
        <v>1232</v>
      </c>
      <c r="F475" s="133" t="s">
        <v>1232</v>
      </c>
    </row>
    <row r="476" spans="2:6">
      <c r="B476" s="131">
        <v>560</v>
      </c>
      <c r="D476" s="133" t="s">
        <v>263</v>
      </c>
      <c r="E476" s="133" t="s">
        <v>1233</v>
      </c>
      <c r="F476" s="133" t="s">
        <v>1233</v>
      </c>
    </row>
    <row r="477" spans="2:6">
      <c r="B477" s="131">
        <v>561</v>
      </c>
      <c r="C477" s="132" t="s">
        <v>485</v>
      </c>
      <c r="D477" s="133" t="s">
        <v>484</v>
      </c>
      <c r="E477" s="133" t="s">
        <v>1234</v>
      </c>
      <c r="F477" s="133" t="s">
        <v>1234</v>
      </c>
    </row>
    <row r="478" spans="2:6" ht="24">
      <c r="B478" s="131">
        <v>562</v>
      </c>
      <c r="C478" s="132" t="s">
        <v>485</v>
      </c>
      <c r="D478" s="133" t="s">
        <v>481</v>
      </c>
      <c r="E478" s="133" t="s">
        <v>1235</v>
      </c>
      <c r="F478" s="133" t="s">
        <v>1235</v>
      </c>
    </row>
    <row r="479" spans="2:6">
      <c r="B479" s="131">
        <v>563</v>
      </c>
      <c r="D479" s="133" t="s">
        <v>264</v>
      </c>
      <c r="E479" s="133" t="s">
        <v>1236</v>
      </c>
      <c r="F479" s="133" t="s">
        <v>1236</v>
      </c>
    </row>
    <row r="480" spans="2:6">
      <c r="B480" s="131">
        <v>564</v>
      </c>
      <c r="D480" s="133" t="s">
        <v>265</v>
      </c>
      <c r="E480" s="133" t="s">
        <v>1237</v>
      </c>
      <c r="F480" s="133" t="s">
        <v>1237</v>
      </c>
    </row>
    <row r="481" spans="2:6" ht="36">
      <c r="B481" s="131">
        <v>565</v>
      </c>
      <c r="D481" s="133" t="s">
        <v>332</v>
      </c>
      <c r="E481" s="133" t="s">
        <v>1238</v>
      </c>
      <c r="F481" s="133" t="s">
        <v>1238</v>
      </c>
    </row>
    <row r="482" spans="2:6">
      <c r="B482" s="131">
        <v>566</v>
      </c>
      <c r="D482" s="133" t="s">
        <v>266</v>
      </c>
      <c r="E482" s="133" t="s">
        <v>1239</v>
      </c>
      <c r="F482" s="133" t="s">
        <v>1239</v>
      </c>
    </row>
    <row r="483" spans="2:6">
      <c r="B483" s="131">
        <v>567</v>
      </c>
      <c r="D483" s="133" t="s">
        <v>267</v>
      </c>
      <c r="E483" s="133" t="s">
        <v>1240</v>
      </c>
      <c r="F483" s="133" t="s">
        <v>1240</v>
      </c>
    </row>
    <row r="484" spans="2:6">
      <c r="B484" s="131">
        <v>568</v>
      </c>
      <c r="D484" s="133" t="s">
        <v>268</v>
      </c>
      <c r="E484" s="133" t="s">
        <v>1241</v>
      </c>
      <c r="F484" s="133" t="s">
        <v>1241</v>
      </c>
    </row>
    <row r="485" spans="2:6">
      <c r="B485" s="131">
        <v>569</v>
      </c>
      <c r="D485" s="133" t="s">
        <v>269</v>
      </c>
      <c r="E485" s="133" t="s">
        <v>1242</v>
      </c>
      <c r="F485" s="133" t="s">
        <v>1242</v>
      </c>
    </row>
    <row r="486" spans="2:6">
      <c r="B486" s="131">
        <v>570</v>
      </c>
      <c r="D486" s="133" t="s">
        <v>270</v>
      </c>
      <c r="E486" s="133" t="s">
        <v>1243</v>
      </c>
      <c r="F486" s="133" t="s">
        <v>1243</v>
      </c>
    </row>
    <row r="487" spans="2:6" ht="36">
      <c r="B487" s="131">
        <v>571</v>
      </c>
      <c r="D487" s="133" t="s">
        <v>271</v>
      </c>
      <c r="E487" s="133" t="s">
        <v>1244</v>
      </c>
      <c r="F487" s="133" t="s">
        <v>1244</v>
      </c>
    </row>
    <row r="488" spans="2:6" ht="24">
      <c r="B488" s="131">
        <v>572</v>
      </c>
      <c r="D488" s="133" t="s">
        <v>272</v>
      </c>
      <c r="E488" s="133" t="s">
        <v>1245</v>
      </c>
      <c r="F488" s="133" t="s">
        <v>1245</v>
      </c>
    </row>
    <row r="489" spans="2:6">
      <c r="B489" s="131">
        <v>573</v>
      </c>
      <c r="D489" s="133" t="s">
        <v>273</v>
      </c>
      <c r="E489" s="133" t="s">
        <v>1246</v>
      </c>
      <c r="F489" s="133" t="s">
        <v>1246</v>
      </c>
    </row>
    <row r="490" spans="2:6">
      <c r="B490" s="131">
        <v>574</v>
      </c>
      <c r="D490" s="133" t="s">
        <v>274</v>
      </c>
      <c r="E490" s="133" t="s">
        <v>1247</v>
      </c>
      <c r="F490" s="133" t="s">
        <v>1247</v>
      </c>
    </row>
    <row r="491" spans="2:6" ht="24">
      <c r="B491" s="131">
        <v>575</v>
      </c>
      <c r="D491" s="133" t="s">
        <v>403</v>
      </c>
      <c r="E491" s="133" t="s">
        <v>1248</v>
      </c>
      <c r="F491" s="133" t="s">
        <v>1248</v>
      </c>
    </row>
    <row r="492" spans="2:6">
      <c r="B492" s="131">
        <v>576</v>
      </c>
      <c r="D492" s="133" t="s">
        <v>275</v>
      </c>
      <c r="E492" s="133" t="s">
        <v>1249</v>
      </c>
      <c r="F492" s="133" t="s">
        <v>1249</v>
      </c>
    </row>
    <row r="493" spans="2:6">
      <c r="B493" s="131">
        <v>577</v>
      </c>
      <c r="D493" s="133" t="s">
        <v>276</v>
      </c>
      <c r="E493" s="133" t="s">
        <v>1250</v>
      </c>
      <c r="F493" s="133" t="s">
        <v>1250</v>
      </c>
    </row>
    <row r="494" spans="2:6">
      <c r="B494" s="131">
        <v>578</v>
      </c>
      <c r="D494" s="133" t="s">
        <v>613</v>
      </c>
      <c r="E494" s="133" t="s">
        <v>1251</v>
      </c>
      <c r="F494" s="133" t="s">
        <v>1251</v>
      </c>
    </row>
    <row r="495" spans="2:6">
      <c r="B495" s="131">
        <v>579</v>
      </c>
      <c r="D495" s="133" t="s">
        <v>611</v>
      </c>
      <c r="E495" s="133" t="s">
        <v>1252</v>
      </c>
      <c r="F495" s="133" t="s">
        <v>1252</v>
      </c>
    </row>
    <row r="496" spans="2:6">
      <c r="B496" s="131">
        <v>580</v>
      </c>
      <c r="D496" s="133" t="s">
        <v>277</v>
      </c>
      <c r="E496" s="133" t="s">
        <v>1253</v>
      </c>
      <c r="F496" s="133" t="s">
        <v>1253</v>
      </c>
    </row>
    <row r="497" spans="1:6">
      <c r="B497" s="131">
        <v>581</v>
      </c>
      <c r="D497" s="133" t="s">
        <v>404</v>
      </c>
      <c r="E497" s="133" t="s">
        <v>1254</v>
      </c>
      <c r="F497" s="133" t="s">
        <v>1254</v>
      </c>
    </row>
    <row r="498" spans="1:6" ht="36">
      <c r="B498" s="131">
        <v>582</v>
      </c>
      <c r="D498" s="133" t="s">
        <v>405</v>
      </c>
      <c r="E498" s="133" t="s">
        <v>1255</v>
      </c>
      <c r="F498" s="133" t="s">
        <v>1255</v>
      </c>
    </row>
    <row r="499" spans="1:6">
      <c r="B499" s="131">
        <v>583</v>
      </c>
      <c r="D499" s="133" t="s">
        <v>278</v>
      </c>
      <c r="E499" s="133" t="s">
        <v>1256</v>
      </c>
      <c r="F499" s="133" t="s">
        <v>1256</v>
      </c>
    </row>
    <row r="500" spans="1:6">
      <c r="B500" s="131">
        <v>584</v>
      </c>
      <c r="D500" s="133" t="s">
        <v>279</v>
      </c>
      <c r="E500" s="133" t="s">
        <v>1257</v>
      </c>
      <c r="F500" s="133" t="s">
        <v>1257</v>
      </c>
    </row>
    <row r="501" spans="1:6">
      <c r="B501" s="131">
        <v>585</v>
      </c>
      <c r="C501" s="132" t="s">
        <v>467</v>
      </c>
      <c r="D501" s="130" t="s">
        <v>462</v>
      </c>
      <c r="E501" s="138" t="s">
        <v>1258</v>
      </c>
      <c r="F501" s="138" t="s">
        <v>1258</v>
      </c>
    </row>
    <row r="502" spans="1:6">
      <c r="B502" s="131">
        <v>586</v>
      </c>
      <c r="C502" s="132" t="s">
        <v>467</v>
      </c>
      <c r="D502" s="133" t="s">
        <v>460</v>
      </c>
      <c r="E502" s="138" t="s">
        <v>1259</v>
      </c>
      <c r="F502" s="138" t="s">
        <v>1259</v>
      </c>
    </row>
    <row r="503" spans="1:6">
      <c r="B503" s="131">
        <v>587</v>
      </c>
      <c r="D503" s="133" t="s">
        <v>280</v>
      </c>
      <c r="E503" s="133" t="s">
        <v>1260</v>
      </c>
      <c r="F503" s="133" t="s">
        <v>1260</v>
      </c>
    </row>
    <row r="504" spans="1:6" ht="36">
      <c r="B504" s="131">
        <v>588</v>
      </c>
      <c r="D504" s="133" t="s">
        <v>281</v>
      </c>
      <c r="E504" s="133" t="s">
        <v>1261</v>
      </c>
      <c r="F504" s="133" t="s">
        <v>1261</v>
      </c>
    </row>
    <row r="505" spans="1:6">
      <c r="B505" s="131">
        <v>589</v>
      </c>
      <c r="D505" s="133" t="s">
        <v>282</v>
      </c>
      <c r="E505" s="133" t="s">
        <v>1262</v>
      </c>
      <c r="F505" s="133" t="s">
        <v>1262</v>
      </c>
    </row>
    <row r="506" spans="1:6">
      <c r="A506" s="135"/>
      <c r="B506" s="131">
        <v>590</v>
      </c>
      <c r="C506" s="136" t="s">
        <v>414</v>
      </c>
      <c r="D506" s="134" t="s">
        <v>420</v>
      </c>
      <c r="E506" s="134" t="s">
        <v>1263</v>
      </c>
      <c r="F506" s="134" t="s">
        <v>1263</v>
      </c>
    </row>
    <row r="507" spans="1:6">
      <c r="A507" s="135"/>
      <c r="B507" s="131">
        <v>591</v>
      </c>
      <c r="C507" s="136" t="s">
        <v>414</v>
      </c>
      <c r="D507" s="134" t="s">
        <v>446</v>
      </c>
      <c r="E507" s="134" t="s">
        <v>1264</v>
      </c>
      <c r="F507" s="134" t="s">
        <v>1264</v>
      </c>
    </row>
    <row r="508" spans="1:6">
      <c r="B508" s="131">
        <v>592</v>
      </c>
      <c r="D508" s="133" t="s">
        <v>283</v>
      </c>
      <c r="E508" s="134" t="s">
        <v>1265</v>
      </c>
      <c r="F508" s="134" t="s">
        <v>1265</v>
      </c>
    </row>
    <row r="509" spans="1:6">
      <c r="B509" s="131">
        <v>593</v>
      </c>
      <c r="D509" s="133" t="s">
        <v>284</v>
      </c>
      <c r="E509" s="133" t="s">
        <v>1266</v>
      </c>
      <c r="F509" s="133" t="s">
        <v>1266</v>
      </c>
    </row>
    <row r="510" spans="1:6">
      <c r="B510" s="131">
        <v>594</v>
      </c>
      <c r="D510" s="133" t="s">
        <v>285</v>
      </c>
      <c r="E510" s="133" t="s">
        <v>1267</v>
      </c>
      <c r="F510" s="133" t="s">
        <v>1267</v>
      </c>
    </row>
    <row r="511" spans="1:6" ht="24">
      <c r="B511" s="131">
        <v>595</v>
      </c>
      <c r="D511" s="133" t="s">
        <v>286</v>
      </c>
      <c r="E511" s="133" t="s">
        <v>1268</v>
      </c>
      <c r="F511" s="133" t="s">
        <v>1268</v>
      </c>
    </row>
    <row r="512" spans="1:6">
      <c r="B512" s="131">
        <v>596</v>
      </c>
      <c r="D512" s="133" t="s">
        <v>287</v>
      </c>
      <c r="E512" s="133" t="s">
        <v>1269</v>
      </c>
      <c r="F512" s="133" t="s">
        <v>1269</v>
      </c>
    </row>
    <row r="513" spans="2:6" ht="36">
      <c r="B513" s="131">
        <v>597</v>
      </c>
      <c r="D513" s="133" t="s">
        <v>288</v>
      </c>
      <c r="E513" s="133" t="s">
        <v>1270</v>
      </c>
      <c r="F513" s="133" t="s">
        <v>1270</v>
      </c>
    </row>
    <row r="514" spans="2:6">
      <c r="B514" s="131">
        <v>598</v>
      </c>
      <c r="D514" s="133" t="s">
        <v>289</v>
      </c>
      <c r="E514" s="133" t="s">
        <v>1271</v>
      </c>
      <c r="F514" s="133" t="s">
        <v>1271</v>
      </c>
    </row>
    <row r="515" spans="2:6">
      <c r="B515" s="131">
        <v>599</v>
      </c>
      <c r="D515" s="133" t="s">
        <v>290</v>
      </c>
      <c r="E515" s="133" t="s">
        <v>1272</v>
      </c>
      <c r="F515" s="133" t="s">
        <v>1272</v>
      </c>
    </row>
    <row r="516" spans="2:6">
      <c r="B516" s="131">
        <v>600</v>
      </c>
      <c r="D516" s="133" t="s">
        <v>291</v>
      </c>
      <c r="E516" s="133" t="s">
        <v>1273</v>
      </c>
      <c r="F516" s="133" t="s">
        <v>1273</v>
      </c>
    </row>
    <row r="517" spans="2:6">
      <c r="B517" s="131">
        <v>601</v>
      </c>
      <c r="D517" s="133" t="s">
        <v>292</v>
      </c>
      <c r="E517" s="133" t="s">
        <v>1274</v>
      </c>
      <c r="F517" s="133" t="s">
        <v>1274</v>
      </c>
    </row>
    <row r="518" spans="2:6">
      <c r="B518" s="131">
        <v>602</v>
      </c>
      <c r="D518" s="133" t="s">
        <v>293</v>
      </c>
      <c r="E518" s="133" t="s">
        <v>1275</v>
      </c>
      <c r="F518" s="133" t="s">
        <v>1275</v>
      </c>
    </row>
    <row r="519" spans="2:6">
      <c r="B519" s="131">
        <v>603</v>
      </c>
      <c r="D519" s="133" t="s">
        <v>294</v>
      </c>
      <c r="E519" s="133" t="s">
        <v>1276</v>
      </c>
      <c r="F519" s="133" t="s">
        <v>1276</v>
      </c>
    </row>
    <row r="520" spans="2:6">
      <c r="B520" s="131">
        <v>604</v>
      </c>
      <c r="D520" s="133" t="s">
        <v>295</v>
      </c>
      <c r="E520" s="133" t="s">
        <v>295</v>
      </c>
      <c r="F520" s="133" t="s">
        <v>295</v>
      </c>
    </row>
    <row r="521" spans="2:6">
      <c r="B521" s="131">
        <v>605</v>
      </c>
      <c r="D521" s="133" t="s">
        <v>406</v>
      </c>
      <c r="E521" s="133" t="s">
        <v>1277</v>
      </c>
      <c r="F521" s="133" t="s">
        <v>1277</v>
      </c>
    </row>
    <row r="522" spans="2:6" ht="24">
      <c r="B522" s="131">
        <v>606</v>
      </c>
      <c r="D522" s="133" t="s">
        <v>296</v>
      </c>
      <c r="E522" s="133" t="s">
        <v>1278</v>
      </c>
      <c r="F522" s="133" t="s">
        <v>1278</v>
      </c>
    </row>
    <row r="523" spans="2:6">
      <c r="B523" s="131">
        <v>607</v>
      </c>
      <c r="D523" s="133" t="s">
        <v>297</v>
      </c>
      <c r="E523" s="133" t="s">
        <v>297</v>
      </c>
      <c r="F523" s="133" t="s">
        <v>297</v>
      </c>
    </row>
    <row r="524" spans="2:6">
      <c r="B524" s="131">
        <v>608</v>
      </c>
      <c r="D524" s="133" t="s">
        <v>596</v>
      </c>
      <c r="E524" s="133" t="s">
        <v>1279</v>
      </c>
      <c r="F524" s="133" t="s">
        <v>1279</v>
      </c>
    </row>
    <row r="525" spans="2:6">
      <c r="B525" s="131">
        <v>609</v>
      </c>
      <c r="D525" s="133" t="s">
        <v>595</v>
      </c>
      <c r="E525" s="133" t="s">
        <v>1280</v>
      </c>
      <c r="F525" s="133" t="s">
        <v>1280</v>
      </c>
    </row>
    <row r="526" spans="2:6">
      <c r="B526" s="131">
        <v>610</v>
      </c>
      <c r="D526" s="133" t="s">
        <v>407</v>
      </c>
      <c r="F526" s="133"/>
    </row>
    <row r="527" spans="2:6">
      <c r="B527" s="131">
        <v>611</v>
      </c>
      <c r="D527" s="133" t="s">
        <v>298</v>
      </c>
      <c r="E527" s="133" t="s">
        <v>1281</v>
      </c>
      <c r="F527" s="133" t="s">
        <v>1281</v>
      </c>
    </row>
    <row r="528" spans="2:6">
      <c r="B528" s="131">
        <v>612</v>
      </c>
      <c r="C528" s="132" t="s">
        <v>485</v>
      </c>
      <c r="D528" s="133" t="s">
        <v>487</v>
      </c>
      <c r="E528" s="133" t="s">
        <v>1282</v>
      </c>
      <c r="F528" s="133" t="s">
        <v>1282</v>
      </c>
    </row>
    <row r="529" spans="2:6">
      <c r="B529" s="131">
        <v>613</v>
      </c>
      <c r="D529" s="133" t="s">
        <v>408</v>
      </c>
      <c r="E529" s="133" t="s">
        <v>1283</v>
      </c>
      <c r="F529" s="133" t="s">
        <v>1283</v>
      </c>
    </row>
    <row r="530" spans="2:6">
      <c r="B530" s="131">
        <v>614</v>
      </c>
      <c r="D530" s="133" t="s">
        <v>409</v>
      </c>
      <c r="E530" s="133" t="s">
        <v>1284</v>
      </c>
      <c r="F530" s="133" t="s">
        <v>1284</v>
      </c>
    </row>
    <row r="531" spans="2:6">
      <c r="B531" s="131">
        <v>615</v>
      </c>
      <c r="D531" s="133" t="s">
        <v>410</v>
      </c>
      <c r="E531" s="133" t="s">
        <v>1283</v>
      </c>
      <c r="F531" s="133" t="s">
        <v>1283</v>
      </c>
    </row>
    <row r="532" spans="2:6">
      <c r="B532" s="131">
        <v>616</v>
      </c>
      <c r="D532" s="133" t="s">
        <v>299</v>
      </c>
      <c r="E532" s="133" t="s">
        <v>1285</v>
      </c>
      <c r="F532" s="133" t="s">
        <v>1285</v>
      </c>
    </row>
    <row r="533" spans="2:6">
      <c r="B533" s="131">
        <v>617</v>
      </c>
      <c r="D533" s="133" t="s">
        <v>300</v>
      </c>
      <c r="E533" s="133" t="s">
        <v>1286</v>
      </c>
      <c r="F533" s="133" t="s">
        <v>1286</v>
      </c>
    </row>
    <row r="534" spans="2:6">
      <c r="B534" s="131">
        <v>618</v>
      </c>
      <c r="D534" s="133" t="s">
        <v>301</v>
      </c>
      <c r="E534" s="133" t="s">
        <v>1287</v>
      </c>
      <c r="F534" s="133" t="s">
        <v>1287</v>
      </c>
    </row>
    <row r="535" spans="2:6">
      <c r="B535" s="131">
        <v>619</v>
      </c>
      <c r="D535" s="133" t="s">
        <v>617</v>
      </c>
      <c r="E535" s="133" t="s">
        <v>1288</v>
      </c>
      <c r="F535" s="133" t="s">
        <v>1288</v>
      </c>
    </row>
    <row r="536" spans="2:6">
      <c r="B536" s="131">
        <v>620</v>
      </c>
      <c r="D536" s="133" t="s">
        <v>616</v>
      </c>
      <c r="E536" s="133" t="s">
        <v>1289</v>
      </c>
      <c r="F536" s="133" t="s">
        <v>1289</v>
      </c>
    </row>
    <row r="537" spans="2:6" ht="36">
      <c r="B537" s="131">
        <v>621</v>
      </c>
      <c r="C537" s="132" t="s">
        <v>544</v>
      </c>
      <c r="D537" s="133" t="s">
        <v>554</v>
      </c>
      <c r="E537" s="133" t="s">
        <v>1290</v>
      </c>
      <c r="F537" s="133" t="s">
        <v>1290</v>
      </c>
    </row>
    <row r="538" spans="2:6" ht="36">
      <c r="B538" s="131">
        <v>622</v>
      </c>
      <c r="C538" s="132" t="s">
        <v>544</v>
      </c>
      <c r="D538" s="133" t="s">
        <v>569</v>
      </c>
      <c r="E538" s="133" t="s">
        <v>1291</v>
      </c>
      <c r="F538" s="133" t="s">
        <v>1291</v>
      </c>
    </row>
    <row r="539" spans="2:6">
      <c r="B539" s="131">
        <v>623</v>
      </c>
      <c r="D539" s="133" t="s">
        <v>302</v>
      </c>
      <c r="E539" s="133" t="s">
        <v>1292</v>
      </c>
      <c r="F539" s="133" t="s">
        <v>1292</v>
      </c>
    </row>
    <row r="540" spans="2:6">
      <c r="B540" s="131">
        <v>624</v>
      </c>
      <c r="D540" s="133" t="s">
        <v>597</v>
      </c>
      <c r="E540" s="133" t="s">
        <v>1293</v>
      </c>
      <c r="F540" s="133" t="s">
        <v>1293</v>
      </c>
    </row>
    <row r="541" spans="2:6">
      <c r="B541" s="131">
        <v>625</v>
      </c>
      <c r="D541" s="133" t="s">
        <v>539</v>
      </c>
      <c r="E541" s="133" t="s">
        <v>539</v>
      </c>
      <c r="F541" s="133" t="s">
        <v>539</v>
      </c>
    </row>
    <row r="542" spans="2:6">
      <c r="B542" s="131">
        <v>626</v>
      </c>
      <c r="D542" s="133" t="s">
        <v>303</v>
      </c>
      <c r="F542" s="133"/>
    </row>
    <row r="543" spans="2:6">
      <c r="B543" s="131">
        <v>627</v>
      </c>
      <c r="D543" s="133" t="s">
        <v>304</v>
      </c>
      <c r="F543" s="133"/>
    </row>
    <row r="544" spans="2:6">
      <c r="B544" s="131">
        <v>628</v>
      </c>
      <c r="D544" s="133" t="s">
        <v>537</v>
      </c>
      <c r="E544" s="133" t="s">
        <v>538</v>
      </c>
      <c r="F544" s="133" t="s">
        <v>538</v>
      </c>
    </row>
    <row r="545" spans="1:6">
      <c r="B545" s="131">
        <v>629</v>
      </c>
      <c r="D545" s="133" t="s">
        <v>305</v>
      </c>
      <c r="E545" s="133" t="s">
        <v>1294</v>
      </c>
      <c r="F545" s="133" t="s">
        <v>1294</v>
      </c>
    </row>
    <row r="546" spans="1:6">
      <c r="B546" s="131">
        <v>630</v>
      </c>
      <c r="D546" s="133" t="s">
        <v>411</v>
      </c>
      <c r="E546" s="133" t="s">
        <v>1295</v>
      </c>
      <c r="F546" s="133" t="s">
        <v>1295</v>
      </c>
    </row>
    <row r="547" spans="1:6">
      <c r="B547" s="131">
        <v>631</v>
      </c>
      <c r="D547" s="133" t="s">
        <v>306</v>
      </c>
      <c r="E547" s="133" t="s">
        <v>1296</v>
      </c>
      <c r="F547" s="133" t="s">
        <v>1296</v>
      </c>
    </row>
    <row r="548" spans="1:6">
      <c r="B548" s="131">
        <v>632</v>
      </c>
      <c r="D548" s="133" t="s">
        <v>340</v>
      </c>
      <c r="E548" s="133" t="s">
        <v>1297</v>
      </c>
      <c r="F548" s="133" t="s">
        <v>1297</v>
      </c>
    </row>
    <row r="549" spans="1:6">
      <c r="B549" s="131">
        <v>633</v>
      </c>
      <c r="D549" s="133" t="s">
        <v>307</v>
      </c>
      <c r="E549" s="133" t="s">
        <v>1296</v>
      </c>
      <c r="F549" s="133" t="s">
        <v>1296</v>
      </c>
    </row>
    <row r="550" spans="1:6" ht="24">
      <c r="A550" s="134"/>
      <c r="B550" s="131">
        <v>634</v>
      </c>
      <c r="C550" s="134"/>
      <c r="D550" s="134" t="s">
        <v>447</v>
      </c>
      <c r="E550" s="134" t="s">
        <v>1298</v>
      </c>
      <c r="F550" s="134" t="s">
        <v>1298</v>
      </c>
    </row>
    <row r="551" spans="1:6">
      <c r="B551" s="131">
        <v>635</v>
      </c>
      <c r="C551" s="132" t="s">
        <v>544</v>
      </c>
      <c r="D551" s="133" t="s">
        <v>551</v>
      </c>
      <c r="E551" s="133" t="s">
        <v>1299</v>
      </c>
      <c r="F551" s="133" t="s">
        <v>1299</v>
      </c>
    </row>
    <row r="552" spans="1:6">
      <c r="B552" s="131">
        <v>636</v>
      </c>
      <c r="C552" s="132" t="s">
        <v>544</v>
      </c>
      <c r="D552" s="133" t="s">
        <v>642</v>
      </c>
      <c r="E552" s="133" t="s">
        <v>1300</v>
      </c>
      <c r="F552" s="133" t="s">
        <v>1300</v>
      </c>
    </row>
    <row r="553" spans="1:6">
      <c r="B553" s="131">
        <v>637</v>
      </c>
      <c r="D553" s="133" t="s">
        <v>308</v>
      </c>
      <c r="E553" s="133" t="s">
        <v>308</v>
      </c>
      <c r="F553" s="133" t="s">
        <v>308</v>
      </c>
    </row>
    <row r="554" spans="1:6">
      <c r="B554" s="131">
        <v>638</v>
      </c>
      <c r="D554" s="133" t="s">
        <v>309</v>
      </c>
      <c r="E554" s="133" t="s">
        <v>1301</v>
      </c>
      <c r="F554" s="133" t="s">
        <v>1301</v>
      </c>
    </row>
    <row r="555" spans="1:6">
      <c r="B555" s="131">
        <v>639</v>
      </c>
      <c r="D555" s="133" t="s">
        <v>310</v>
      </c>
      <c r="E555" s="133" t="s">
        <v>1302</v>
      </c>
      <c r="F555" s="133" t="s">
        <v>1302</v>
      </c>
    </row>
    <row r="556" spans="1:6">
      <c r="B556" s="131">
        <v>640</v>
      </c>
      <c r="D556" s="133" t="s">
        <v>412</v>
      </c>
      <c r="E556" s="133" t="s">
        <v>1303</v>
      </c>
      <c r="F556" s="133" t="s">
        <v>1303</v>
      </c>
    </row>
    <row r="557" spans="1:6" ht="24">
      <c r="B557" s="131">
        <v>641</v>
      </c>
      <c r="C557" s="132" t="s">
        <v>544</v>
      </c>
      <c r="D557" s="133" t="s">
        <v>570</v>
      </c>
      <c r="E557" s="133" t="s">
        <v>1304</v>
      </c>
      <c r="F557" s="133" t="s">
        <v>1304</v>
      </c>
    </row>
    <row r="558" spans="1:6">
      <c r="B558" s="131">
        <v>642</v>
      </c>
      <c r="D558" s="133" t="s">
        <v>311</v>
      </c>
      <c r="E558" s="133" t="s">
        <v>1305</v>
      </c>
      <c r="F558" s="133" t="s">
        <v>1305</v>
      </c>
    </row>
    <row r="559" spans="1:6" ht="36">
      <c r="B559" s="131">
        <v>643</v>
      </c>
      <c r="C559" s="132" t="s">
        <v>544</v>
      </c>
      <c r="D559" s="133" t="s">
        <v>577</v>
      </c>
      <c r="E559" s="133" t="s">
        <v>1306</v>
      </c>
      <c r="F559" s="133" t="s">
        <v>1306</v>
      </c>
    </row>
    <row r="560" spans="1:6">
      <c r="B560" s="131">
        <v>644</v>
      </c>
      <c r="D560" s="133" t="s">
        <v>312</v>
      </c>
      <c r="E560" s="133" t="s">
        <v>1307</v>
      </c>
      <c r="F560" s="133" t="s">
        <v>1307</v>
      </c>
    </row>
    <row r="561" spans="2:27">
      <c r="B561" s="131">
        <v>645</v>
      </c>
      <c r="D561" s="133" t="s">
        <v>313</v>
      </c>
      <c r="E561" s="133" t="s">
        <v>1308</v>
      </c>
      <c r="F561" s="133" t="s">
        <v>1308</v>
      </c>
    </row>
    <row r="562" spans="2:27">
      <c r="B562" s="131">
        <v>646</v>
      </c>
      <c r="D562" s="133" t="s">
        <v>413</v>
      </c>
      <c r="E562" s="133" t="s">
        <v>1309</v>
      </c>
      <c r="F562" s="133" t="s">
        <v>1309</v>
      </c>
    </row>
    <row r="563" spans="2:27" ht="24">
      <c r="B563" s="131">
        <v>647</v>
      </c>
      <c r="D563" s="133" t="s">
        <v>314</v>
      </c>
      <c r="E563" s="133" t="s">
        <v>1310</v>
      </c>
      <c r="F563" s="133" t="s">
        <v>1310</v>
      </c>
    </row>
    <row r="564" spans="2:27">
      <c r="B564" s="131">
        <v>648</v>
      </c>
      <c r="D564" s="133" t="s">
        <v>315</v>
      </c>
      <c r="E564" s="133" t="s">
        <v>1308</v>
      </c>
      <c r="F564" s="133" t="s">
        <v>1308</v>
      </c>
    </row>
    <row r="565" spans="2:27">
      <c r="B565" s="131">
        <v>649</v>
      </c>
      <c r="D565" s="133" t="s">
        <v>316</v>
      </c>
      <c r="E565" s="133" t="s">
        <v>1311</v>
      </c>
      <c r="F565" s="133" t="s">
        <v>1311</v>
      </c>
    </row>
    <row r="566" spans="2:27">
      <c r="B566" s="131">
        <v>650</v>
      </c>
      <c r="D566" s="133" t="s">
        <v>317</v>
      </c>
      <c r="E566" s="133" t="s">
        <v>1312</v>
      </c>
      <c r="F566" s="133" t="s">
        <v>1312</v>
      </c>
    </row>
    <row r="567" spans="2:27">
      <c r="B567" s="131">
        <v>651</v>
      </c>
      <c r="D567" s="133" t="s">
        <v>318</v>
      </c>
      <c r="E567" s="133" t="s">
        <v>1313</v>
      </c>
      <c r="F567" s="133" t="s">
        <v>1313</v>
      </c>
    </row>
    <row r="568" spans="2:27">
      <c r="B568" s="131">
        <v>652</v>
      </c>
      <c r="D568" s="133" t="s">
        <v>319</v>
      </c>
      <c r="E568" s="133" t="s">
        <v>1314</v>
      </c>
      <c r="F568" s="133" t="s">
        <v>1314</v>
      </c>
      <c r="G568" s="134"/>
      <c r="H568" s="134"/>
      <c r="I568" s="134"/>
      <c r="J568" s="134"/>
      <c r="K568" s="134"/>
      <c r="L568" s="134"/>
      <c r="M568" s="134"/>
      <c r="N568" s="134"/>
      <c r="O568" s="134"/>
      <c r="P568" s="134"/>
      <c r="Q568" s="134"/>
      <c r="R568" s="134"/>
      <c r="S568" s="134"/>
      <c r="T568" s="134"/>
      <c r="U568" s="134"/>
      <c r="V568" s="134"/>
      <c r="W568" s="134"/>
      <c r="X568" s="134"/>
      <c r="Y568" s="134"/>
      <c r="Z568" s="134"/>
      <c r="AA568" s="134"/>
    </row>
    <row r="569" spans="2:27" ht="24">
      <c r="B569" s="131">
        <v>653</v>
      </c>
      <c r="D569" s="133" t="s">
        <v>320</v>
      </c>
      <c r="E569" s="133" t="s">
        <v>1315</v>
      </c>
      <c r="F569" s="133" t="s">
        <v>1315</v>
      </c>
      <c r="G569" s="134"/>
      <c r="H569" s="134"/>
      <c r="I569" s="134"/>
      <c r="J569" s="134"/>
      <c r="K569" s="134"/>
      <c r="L569" s="134"/>
      <c r="M569" s="134"/>
      <c r="N569" s="134"/>
      <c r="O569" s="134"/>
      <c r="P569" s="134"/>
      <c r="Q569" s="134"/>
      <c r="R569" s="134"/>
      <c r="S569" s="134"/>
      <c r="T569" s="134"/>
      <c r="U569" s="134"/>
      <c r="V569" s="134"/>
      <c r="W569" s="134"/>
      <c r="X569" s="134"/>
      <c r="Y569" s="134"/>
      <c r="Z569" s="134"/>
      <c r="AA569" s="134"/>
    </row>
    <row r="570" spans="2:27">
      <c r="B570" s="131">
        <v>654</v>
      </c>
      <c r="D570" s="133" t="s">
        <v>321</v>
      </c>
      <c r="E570" s="133" t="s">
        <v>1307</v>
      </c>
      <c r="F570" s="133" t="s">
        <v>1307</v>
      </c>
      <c r="G570" s="135"/>
      <c r="H570" s="135"/>
      <c r="I570" s="135"/>
      <c r="J570" s="135"/>
      <c r="K570" s="135"/>
      <c r="L570" s="135"/>
      <c r="M570" s="135"/>
      <c r="N570" s="135"/>
      <c r="O570" s="135"/>
      <c r="P570" s="135"/>
      <c r="Q570" s="135"/>
      <c r="R570" s="135"/>
      <c r="S570" s="135"/>
      <c r="T570" s="135"/>
      <c r="U570" s="135"/>
      <c r="V570" s="135"/>
      <c r="W570" s="135"/>
      <c r="X570" s="135"/>
      <c r="Y570" s="135"/>
      <c r="Z570" s="135"/>
      <c r="AA570" s="135"/>
    </row>
    <row r="571" spans="2:27" ht="24">
      <c r="B571" s="131">
        <v>655</v>
      </c>
      <c r="C571" s="132" t="s">
        <v>544</v>
      </c>
      <c r="D571" s="133" t="s">
        <v>571</v>
      </c>
      <c r="E571" s="133" t="s">
        <v>1316</v>
      </c>
      <c r="F571" s="133" t="s">
        <v>1316</v>
      </c>
    </row>
    <row r="572" spans="2:27" ht="24">
      <c r="B572" s="131">
        <v>656</v>
      </c>
      <c r="D572" s="133" t="s">
        <v>322</v>
      </c>
      <c r="E572" s="133" t="s">
        <v>1317</v>
      </c>
      <c r="F572" s="133" t="s">
        <v>1317</v>
      </c>
      <c r="G572" s="135"/>
      <c r="H572" s="135"/>
      <c r="I572" s="135"/>
      <c r="J572" s="135"/>
      <c r="K572" s="135"/>
      <c r="L572" s="135"/>
      <c r="M572" s="135"/>
      <c r="N572" s="135"/>
      <c r="O572" s="135"/>
      <c r="P572" s="135"/>
      <c r="Q572" s="135"/>
      <c r="R572" s="135"/>
      <c r="S572" s="135"/>
      <c r="T572" s="135"/>
      <c r="U572" s="135"/>
      <c r="V572" s="135"/>
      <c r="W572" s="135"/>
      <c r="X572" s="135"/>
      <c r="Y572" s="135"/>
      <c r="Z572" s="135"/>
      <c r="AA572" s="135"/>
    </row>
    <row r="573" spans="2:27" ht="36">
      <c r="B573" s="131">
        <v>657</v>
      </c>
      <c r="D573" s="133" t="s">
        <v>323</v>
      </c>
      <c r="E573" s="133" t="s">
        <v>1318</v>
      </c>
      <c r="F573" s="133" t="s">
        <v>1318</v>
      </c>
      <c r="G573" s="135"/>
      <c r="H573" s="135"/>
      <c r="I573" s="135"/>
      <c r="J573" s="135"/>
      <c r="K573" s="135"/>
      <c r="L573" s="135"/>
      <c r="M573" s="135"/>
      <c r="N573" s="135"/>
      <c r="O573" s="135"/>
      <c r="P573" s="135"/>
      <c r="Q573" s="135"/>
      <c r="R573" s="135"/>
      <c r="S573" s="135"/>
      <c r="T573" s="135"/>
      <c r="U573" s="135"/>
      <c r="V573" s="135"/>
      <c r="W573" s="135"/>
      <c r="X573" s="135"/>
      <c r="Y573" s="135"/>
      <c r="Z573" s="135"/>
      <c r="AA573" s="135"/>
    </row>
    <row r="574" spans="2:27">
      <c r="B574" s="131">
        <v>658</v>
      </c>
      <c r="D574" s="133" t="s">
        <v>324</v>
      </c>
      <c r="E574" s="133" t="s">
        <v>1319</v>
      </c>
      <c r="F574" s="133" t="s">
        <v>1319</v>
      </c>
      <c r="G574" s="135"/>
      <c r="H574" s="135"/>
      <c r="I574" s="135"/>
      <c r="J574" s="135"/>
      <c r="K574" s="135"/>
      <c r="L574" s="135"/>
      <c r="M574" s="135"/>
      <c r="N574" s="135"/>
      <c r="O574" s="135"/>
      <c r="P574" s="135"/>
      <c r="Q574" s="135"/>
      <c r="R574" s="135"/>
      <c r="S574" s="135"/>
      <c r="T574" s="135"/>
      <c r="U574" s="135"/>
      <c r="V574" s="135"/>
      <c r="W574" s="135"/>
      <c r="X574" s="135"/>
      <c r="Y574" s="135"/>
      <c r="Z574" s="135"/>
      <c r="AA574" s="135"/>
    </row>
    <row r="575" spans="2:27" ht="36">
      <c r="B575" s="131">
        <v>659</v>
      </c>
      <c r="D575" s="133" t="s">
        <v>325</v>
      </c>
      <c r="E575" s="133" t="s">
        <v>1320</v>
      </c>
      <c r="F575" s="133" t="s">
        <v>1320</v>
      </c>
      <c r="G575" s="135"/>
      <c r="H575" s="135"/>
      <c r="I575" s="135"/>
      <c r="J575" s="135"/>
      <c r="K575" s="135"/>
      <c r="L575" s="135"/>
      <c r="M575" s="135"/>
      <c r="N575" s="135"/>
      <c r="O575" s="135"/>
      <c r="P575" s="135"/>
      <c r="Q575" s="135"/>
      <c r="R575" s="135"/>
      <c r="S575" s="135"/>
      <c r="T575" s="135"/>
      <c r="U575" s="135"/>
      <c r="V575" s="135"/>
      <c r="W575" s="135"/>
      <c r="X575" s="135"/>
      <c r="Y575" s="135"/>
      <c r="Z575" s="135"/>
      <c r="AA575" s="135"/>
    </row>
    <row r="576" spans="2:27">
      <c r="B576" s="131">
        <v>660</v>
      </c>
      <c r="D576" s="133" t="s">
        <v>326</v>
      </c>
      <c r="E576" s="133" t="s">
        <v>1321</v>
      </c>
      <c r="F576" s="133" t="s">
        <v>1321</v>
      </c>
      <c r="G576" s="135"/>
      <c r="H576" s="135"/>
      <c r="I576" s="135"/>
      <c r="J576" s="135"/>
      <c r="K576" s="135"/>
      <c r="L576" s="135"/>
      <c r="M576" s="135"/>
      <c r="N576" s="135"/>
      <c r="O576" s="135"/>
      <c r="P576" s="135"/>
      <c r="Q576" s="135"/>
      <c r="R576" s="135"/>
      <c r="S576" s="135"/>
      <c r="T576" s="135"/>
      <c r="U576" s="135"/>
      <c r="V576" s="135"/>
      <c r="W576" s="135"/>
      <c r="X576" s="135"/>
      <c r="Y576" s="135"/>
      <c r="Z576" s="135"/>
      <c r="AA576" s="135"/>
    </row>
    <row r="577" spans="2:27">
      <c r="B577" s="131">
        <v>661</v>
      </c>
      <c r="D577" s="133" t="s">
        <v>327</v>
      </c>
      <c r="E577" s="133" t="s">
        <v>1322</v>
      </c>
      <c r="F577" s="133" t="s">
        <v>1322</v>
      </c>
      <c r="G577" s="135"/>
      <c r="H577" s="135"/>
      <c r="I577" s="135"/>
      <c r="J577" s="135"/>
      <c r="K577" s="135"/>
      <c r="L577" s="135"/>
      <c r="M577" s="135"/>
      <c r="N577" s="135"/>
      <c r="O577" s="135"/>
      <c r="P577" s="135"/>
      <c r="Q577" s="135"/>
      <c r="R577" s="135"/>
      <c r="S577" s="135"/>
      <c r="T577" s="135"/>
      <c r="U577" s="135"/>
      <c r="V577" s="135"/>
      <c r="W577" s="135"/>
      <c r="X577" s="135"/>
      <c r="Y577" s="135"/>
      <c r="Z577" s="135"/>
      <c r="AA577" s="135"/>
    </row>
    <row r="578" spans="2:27">
      <c r="B578" s="131">
        <v>662</v>
      </c>
      <c r="D578" s="133" t="s">
        <v>328</v>
      </c>
      <c r="E578" s="133" t="s">
        <v>1323</v>
      </c>
      <c r="F578" s="133" t="s">
        <v>1323</v>
      </c>
      <c r="G578" s="135"/>
      <c r="H578" s="135"/>
      <c r="I578" s="135"/>
      <c r="J578" s="135"/>
      <c r="K578" s="135"/>
      <c r="L578" s="135"/>
      <c r="M578" s="135"/>
      <c r="N578" s="135"/>
      <c r="O578" s="135"/>
      <c r="P578" s="135"/>
      <c r="Q578" s="135"/>
      <c r="R578" s="135"/>
      <c r="S578" s="135"/>
      <c r="T578" s="135"/>
      <c r="U578" s="135"/>
      <c r="V578" s="135"/>
      <c r="W578" s="135"/>
      <c r="X578" s="135"/>
      <c r="Y578" s="135"/>
      <c r="Z578" s="135"/>
      <c r="AA578" s="135"/>
    </row>
    <row r="579" spans="2:27">
      <c r="B579" s="131">
        <v>663</v>
      </c>
      <c r="D579" s="133" t="s">
        <v>329</v>
      </c>
      <c r="E579" s="133" t="s">
        <v>1324</v>
      </c>
      <c r="F579" s="133" t="s">
        <v>1324</v>
      </c>
      <c r="G579" s="135"/>
      <c r="H579" s="135"/>
      <c r="I579" s="135"/>
      <c r="J579" s="135"/>
      <c r="K579" s="135"/>
      <c r="L579" s="135"/>
      <c r="M579" s="135"/>
      <c r="N579" s="135"/>
      <c r="O579" s="135"/>
      <c r="P579" s="135"/>
      <c r="Q579" s="135"/>
      <c r="R579" s="135"/>
      <c r="S579" s="135"/>
      <c r="T579" s="135"/>
      <c r="U579" s="135"/>
      <c r="V579" s="135"/>
      <c r="W579" s="135"/>
      <c r="X579" s="135"/>
      <c r="Y579" s="135"/>
      <c r="Z579" s="135"/>
      <c r="AA579" s="135"/>
    </row>
    <row r="580" spans="2:27">
      <c r="B580" s="131">
        <v>664</v>
      </c>
      <c r="D580" s="133" t="s">
        <v>330</v>
      </c>
      <c r="E580" s="133" t="s">
        <v>1325</v>
      </c>
      <c r="F580" s="133" t="s">
        <v>1325</v>
      </c>
      <c r="G580" s="135"/>
      <c r="H580" s="135"/>
      <c r="I580" s="135"/>
      <c r="J580" s="135"/>
      <c r="K580" s="135"/>
      <c r="L580" s="135"/>
      <c r="M580" s="135"/>
      <c r="N580" s="135"/>
      <c r="O580" s="135"/>
      <c r="P580" s="135"/>
      <c r="Q580" s="135"/>
      <c r="R580" s="135"/>
      <c r="S580" s="135"/>
      <c r="T580" s="135"/>
      <c r="U580" s="135"/>
      <c r="V580" s="135"/>
      <c r="W580" s="135"/>
      <c r="X580" s="135"/>
      <c r="Y580" s="135"/>
      <c r="Z580" s="135"/>
      <c r="AA580" s="135"/>
    </row>
    <row r="581" spans="2:27">
      <c r="B581" s="131">
        <v>665</v>
      </c>
      <c r="D581" s="133" t="s">
        <v>331</v>
      </c>
      <c r="E581" s="133" t="s">
        <v>1326</v>
      </c>
      <c r="F581" s="133" t="s">
        <v>1326</v>
      </c>
      <c r="G581" s="135"/>
      <c r="H581" s="135"/>
      <c r="I581" s="135"/>
      <c r="J581" s="135"/>
      <c r="K581" s="135"/>
      <c r="L581" s="135"/>
      <c r="M581" s="135"/>
      <c r="N581" s="135"/>
      <c r="O581" s="135"/>
      <c r="P581" s="135"/>
      <c r="Q581" s="135"/>
      <c r="R581" s="135"/>
      <c r="S581" s="135"/>
      <c r="T581" s="135"/>
      <c r="U581" s="135"/>
      <c r="V581" s="135"/>
      <c r="W581" s="135"/>
      <c r="X581" s="135"/>
      <c r="Y581" s="135"/>
      <c r="Z581" s="135"/>
      <c r="AA581" s="135"/>
    </row>
    <row r="582" spans="2:27">
      <c r="B582" s="131">
        <v>666</v>
      </c>
      <c r="D582" s="133" t="s">
        <v>650</v>
      </c>
      <c r="E582" s="133" t="s">
        <v>1327</v>
      </c>
      <c r="F582" s="133" t="s">
        <v>1327</v>
      </c>
    </row>
    <row r="583" spans="2:27">
      <c r="B583" s="131">
        <v>667</v>
      </c>
      <c r="D583" s="133" t="s">
        <v>651</v>
      </c>
      <c r="E583" s="133" t="s">
        <v>1328</v>
      </c>
      <c r="F583" s="133" t="s">
        <v>1328</v>
      </c>
    </row>
    <row r="584" spans="2:27">
      <c r="B584" s="131">
        <v>668</v>
      </c>
      <c r="D584" s="133" t="s">
        <v>643</v>
      </c>
      <c r="E584" s="133" t="s">
        <v>1329</v>
      </c>
      <c r="F584" s="133" t="s">
        <v>1329</v>
      </c>
    </row>
    <row r="585" spans="2:27">
      <c r="B585" s="131">
        <v>669</v>
      </c>
      <c r="D585" s="133" t="s">
        <v>649</v>
      </c>
      <c r="E585" s="133" t="s">
        <v>1330</v>
      </c>
      <c r="F585" s="133" t="s">
        <v>1330</v>
      </c>
    </row>
    <row r="586" spans="2:27">
      <c r="B586" s="131">
        <v>670</v>
      </c>
      <c r="D586" s="133" t="s">
        <v>646</v>
      </c>
      <c r="E586" s="133" t="s">
        <v>1331</v>
      </c>
      <c r="F586" s="133" t="s">
        <v>1331</v>
      </c>
    </row>
    <row r="587" spans="2:27">
      <c r="B587" s="131">
        <v>671</v>
      </c>
      <c r="D587" s="133" t="s">
        <v>647</v>
      </c>
      <c r="E587" s="133" t="s">
        <v>1332</v>
      </c>
      <c r="F587" s="133" t="s">
        <v>1332</v>
      </c>
    </row>
    <row r="588" spans="2:27">
      <c r="B588" s="131">
        <v>672</v>
      </c>
      <c r="D588" s="133" t="s">
        <v>648</v>
      </c>
      <c r="E588" s="133" t="s">
        <v>1333</v>
      </c>
      <c r="F588" s="133" t="s">
        <v>1333</v>
      </c>
    </row>
    <row r="589" spans="2:27">
      <c r="B589" s="131">
        <v>673</v>
      </c>
      <c r="D589" s="133" t="s">
        <v>652</v>
      </c>
      <c r="E589" s="133" t="s">
        <v>1334</v>
      </c>
      <c r="F589" s="133" t="s">
        <v>1334</v>
      </c>
    </row>
    <row r="590" spans="2:27">
      <c r="B590" s="131">
        <v>674</v>
      </c>
      <c r="D590" s="133" t="s">
        <v>724</v>
      </c>
      <c r="E590" s="133" t="s">
        <v>1335</v>
      </c>
      <c r="F590" s="133" t="s">
        <v>1335</v>
      </c>
    </row>
    <row r="591" spans="2:27">
      <c r="B591" s="131">
        <v>675</v>
      </c>
      <c r="D591" s="133" t="s">
        <v>727</v>
      </c>
      <c r="E591" s="133" t="s">
        <v>1336</v>
      </c>
      <c r="F591" s="133" t="s">
        <v>1336</v>
      </c>
    </row>
    <row r="592" spans="2:27">
      <c r="B592" s="131">
        <v>676</v>
      </c>
      <c r="D592" s="133" t="s">
        <v>728</v>
      </c>
      <c r="E592" s="133" t="s">
        <v>1337</v>
      </c>
      <c r="F592" s="133" t="s">
        <v>1337</v>
      </c>
    </row>
    <row r="593" spans="2:6">
      <c r="B593" s="131">
        <v>677</v>
      </c>
      <c r="D593" s="133" t="s">
        <v>729</v>
      </c>
      <c r="E593" s="133" t="s">
        <v>1338</v>
      </c>
      <c r="F593" s="130" t="s">
        <v>1338</v>
      </c>
    </row>
    <row r="594" spans="2:6">
      <c r="B594" s="131">
        <v>678</v>
      </c>
      <c r="D594" s="133" t="s">
        <v>730</v>
      </c>
      <c r="E594" s="133" t="s">
        <v>1339</v>
      </c>
      <c r="F594" s="133" t="s">
        <v>1339</v>
      </c>
    </row>
    <row r="595" spans="2:6">
      <c r="B595" s="131">
        <v>679</v>
      </c>
      <c r="D595" s="133" t="s">
        <v>1340</v>
      </c>
      <c r="E595" s="133" t="s">
        <v>1341</v>
      </c>
      <c r="F595" s="133" t="s">
        <v>1341</v>
      </c>
    </row>
    <row r="596" spans="2:6">
      <c r="B596" s="131">
        <v>680</v>
      </c>
      <c r="D596" s="133" t="s">
        <v>1342</v>
      </c>
      <c r="E596" s="148" t="s">
        <v>1344</v>
      </c>
      <c r="F596" s="148" t="s">
        <v>1344</v>
      </c>
    </row>
    <row r="597" spans="2:6">
      <c r="B597" s="131">
        <v>681</v>
      </c>
      <c r="D597" s="133" t="s">
        <v>1343</v>
      </c>
      <c r="E597" s="148" t="s">
        <v>1345</v>
      </c>
      <c r="F597" s="148" t="s">
        <v>1345</v>
      </c>
    </row>
    <row r="598" spans="2:6" ht="13.5">
      <c r="B598" s="131">
        <v>682</v>
      </c>
      <c r="D598" s="133" t="s">
        <v>1354</v>
      </c>
      <c r="E598" s="154" t="s">
        <v>1355</v>
      </c>
      <c r="F598" s="154" t="s">
        <v>1355</v>
      </c>
    </row>
    <row r="599" spans="2:6" ht="13.5">
      <c r="B599" s="131">
        <v>683</v>
      </c>
      <c r="D599" s="133" t="s">
        <v>1356</v>
      </c>
      <c r="E599" s="154" t="s">
        <v>1359</v>
      </c>
      <c r="F599" s="154" t="s">
        <v>1359</v>
      </c>
    </row>
    <row r="600" spans="2:6">
      <c r="B600" s="131">
        <v>684</v>
      </c>
      <c r="D600" s="133" t="s">
        <v>1357</v>
      </c>
      <c r="E600" s="133" t="s">
        <v>1358</v>
      </c>
      <c r="F600" s="133" t="s">
        <v>1358</v>
      </c>
    </row>
  </sheetData>
  <sortState ref="A17:AA581">
    <sortCondition ref="D17:D581"/>
  </sortState>
  <phoneticPr fontId="16" type="noConversion"/>
  <hyperlinks>
    <hyperlink ref="E600" r:id="rId1"/>
    <hyperlink ref="F600" r:id="rId2"/>
  </hyperlinks>
  <pageMargins left="0.7" right="0.7" top="0.75" bottom="0.75" header="0.3" footer="0.3"/>
  <pageSetup paperSize="9" orientation="portrait"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831"/>
  <sheetViews>
    <sheetView zoomScale="81" zoomScaleNormal="81" workbookViewId="0">
      <selection activeCell="G8" sqref="G8"/>
    </sheetView>
  </sheetViews>
  <sheetFormatPr defaultColWidth="10.625" defaultRowHeight="15"/>
  <cols>
    <col min="1" max="1" width="8.625" style="102" bestFit="1" customWidth="1"/>
    <col min="2" max="2" width="8.75" style="102" bestFit="1" customWidth="1"/>
    <col min="3" max="12" width="10.25" style="102" bestFit="1" customWidth="1"/>
    <col min="13" max="13" width="42.75" style="102" bestFit="1" customWidth="1"/>
    <col min="14" max="14" width="14.25" style="102" bestFit="1" customWidth="1"/>
    <col min="15" max="16" width="9.75" style="102" bestFit="1" customWidth="1"/>
    <col min="17" max="17" width="14.25" style="102" bestFit="1" customWidth="1"/>
    <col min="18" max="18" width="15.25" style="102" bestFit="1" customWidth="1"/>
    <col min="19" max="19" width="12.25" style="184" bestFit="1" customWidth="1"/>
    <col min="20" max="20" width="18.5" style="102" bestFit="1" customWidth="1"/>
    <col min="21" max="21" width="12.75" style="102" bestFit="1" customWidth="1"/>
    <col min="22" max="22" width="12.375" style="102" bestFit="1" customWidth="1"/>
    <col min="23" max="23" width="14.125" style="102" bestFit="1" customWidth="1"/>
    <col min="24" max="24" width="17.25" style="103" bestFit="1" customWidth="1"/>
    <col min="25" max="25" width="8.25" style="103" bestFit="1" customWidth="1"/>
    <col min="26" max="26" width="9.5" style="103" bestFit="1" customWidth="1"/>
    <col min="27" max="27" width="9.625" style="102" bestFit="1" customWidth="1"/>
    <col min="28" max="28" width="10.75" style="102" bestFit="1" customWidth="1"/>
    <col min="29" max="29" width="11.5" style="102" bestFit="1" customWidth="1"/>
    <col min="30" max="30" width="13.75" style="102" bestFit="1" customWidth="1"/>
    <col min="31" max="16384" width="10.625" style="102"/>
  </cols>
  <sheetData>
    <row r="1" spans="1:30">
      <c r="A1" s="105" t="s">
        <v>536</v>
      </c>
      <c r="B1" s="105" t="s">
        <v>333</v>
      </c>
      <c r="C1" s="105" t="s">
        <v>525</v>
      </c>
      <c r="D1" s="105" t="s">
        <v>526</v>
      </c>
      <c r="E1" s="105" t="s">
        <v>527</v>
      </c>
      <c r="F1" s="105" t="s">
        <v>528</v>
      </c>
      <c r="G1" s="105" t="s">
        <v>529</v>
      </c>
      <c r="H1" s="105" t="s">
        <v>530</v>
      </c>
      <c r="I1" s="105" t="s">
        <v>531</v>
      </c>
      <c r="J1" s="105" t="s">
        <v>532</v>
      </c>
      <c r="K1" s="105" t="s">
        <v>533</v>
      </c>
      <c r="L1" s="105" t="s">
        <v>534</v>
      </c>
      <c r="M1" s="105" t="s">
        <v>334</v>
      </c>
      <c r="N1" s="105" t="s">
        <v>335</v>
      </c>
      <c r="O1" s="105" t="s">
        <v>336</v>
      </c>
      <c r="P1" s="105" t="s">
        <v>337</v>
      </c>
      <c r="Q1" s="105" t="s">
        <v>502</v>
      </c>
      <c r="R1" s="105" t="s">
        <v>503</v>
      </c>
      <c r="S1" s="183" t="s">
        <v>535</v>
      </c>
      <c r="T1" s="105" t="s">
        <v>612</v>
      </c>
      <c r="U1" s="105" t="s">
        <v>489</v>
      </c>
      <c r="V1" s="105" t="s">
        <v>490</v>
      </c>
      <c r="W1" s="105" t="s">
        <v>492</v>
      </c>
      <c r="X1" s="106" t="s">
        <v>603</v>
      </c>
      <c r="Y1" s="106" t="s">
        <v>493</v>
      </c>
      <c r="Z1" s="106" t="s">
        <v>494</v>
      </c>
      <c r="AA1" s="105" t="s">
        <v>504</v>
      </c>
      <c r="AB1" s="105" t="s">
        <v>505</v>
      </c>
      <c r="AC1" s="105" t="s">
        <v>523</v>
      </c>
      <c r="AD1" s="105" t="s">
        <v>491</v>
      </c>
    </row>
    <row r="2" spans="1:30">
      <c r="A2" s="104" t="s">
        <v>1466</v>
      </c>
      <c r="B2" s="104" t="s">
        <v>1612</v>
      </c>
      <c r="C2" s="104" t="s">
        <v>496</v>
      </c>
      <c r="D2" s="104" t="s">
        <v>542</v>
      </c>
      <c r="E2" s="104" t="s">
        <v>1425</v>
      </c>
      <c r="F2" s="104" t="s">
        <v>1612</v>
      </c>
      <c r="M2" s="104" t="s">
        <v>1435</v>
      </c>
      <c r="N2" s="104" t="s">
        <v>1717</v>
      </c>
      <c r="O2" s="101">
        <v>45705</v>
      </c>
      <c r="P2" s="101">
        <v>45709</v>
      </c>
      <c r="Q2" s="101">
        <v>45705</v>
      </c>
      <c r="R2" s="101">
        <v>45710</v>
      </c>
      <c r="S2" s="184">
        <v>8</v>
      </c>
      <c r="T2" s="102">
        <v>1</v>
      </c>
      <c r="U2" s="102">
        <v>0.5</v>
      </c>
      <c r="V2" s="102">
        <v>0.5</v>
      </c>
      <c r="W2" s="102">
        <v>0.1</v>
      </c>
      <c r="X2" s="103">
        <v>0</v>
      </c>
      <c r="Y2" s="103">
        <v>1</v>
      </c>
      <c r="Z2" s="103">
        <v>1</v>
      </c>
      <c r="AC2" s="102">
        <v>0.5</v>
      </c>
    </row>
    <row r="3" spans="1:30">
      <c r="A3" s="104" t="s">
        <v>1466</v>
      </c>
      <c r="B3" s="104" t="s">
        <v>1441</v>
      </c>
      <c r="C3" s="104" t="s">
        <v>496</v>
      </c>
      <c r="D3" s="104" t="s">
        <v>542</v>
      </c>
      <c r="E3" s="104" t="s">
        <v>1426</v>
      </c>
      <c r="F3" s="104" t="s">
        <v>1441</v>
      </c>
      <c r="M3" s="104" t="s">
        <v>1490</v>
      </c>
      <c r="N3" s="104" t="s">
        <v>1717</v>
      </c>
      <c r="O3" s="101">
        <v>45705</v>
      </c>
      <c r="P3" s="101">
        <v>45709</v>
      </c>
      <c r="Q3" s="101">
        <v>45705</v>
      </c>
      <c r="R3" s="101">
        <v>45710</v>
      </c>
      <c r="S3" s="184">
        <v>8</v>
      </c>
      <c r="T3" s="102">
        <v>1</v>
      </c>
      <c r="U3" s="102">
        <v>0</v>
      </c>
      <c r="V3" s="102">
        <v>0</v>
      </c>
      <c r="W3" s="102">
        <v>0.1</v>
      </c>
      <c r="X3" s="103">
        <v>0</v>
      </c>
      <c r="Y3" s="103">
        <v>1</v>
      </c>
      <c r="Z3" s="103">
        <v>1</v>
      </c>
      <c r="AC3" s="102">
        <v>0</v>
      </c>
    </row>
    <row r="4" spans="1:30">
      <c r="A4" s="104" t="s">
        <v>1466</v>
      </c>
      <c r="B4" s="104" t="s">
        <v>1442</v>
      </c>
      <c r="C4" s="104" t="s">
        <v>496</v>
      </c>
      <c r="D4" s="104" t="s">
        <v>542</v>
      </c>
      <c r="E4" s="104" t="s">
        <v>1426</v>
      </c>
      <c r="F4" s="104" t="s">
        <v>1442</v>
      </c>
      <c r="M4" s="104" t="s">
        <v>1491</v>
      </c>
      <c r="N4" s="104" t="s">
        <v>1717</v>
      </c>
      <c r="O4" s="101">
        <v>45705</v>
      </c>
      <c r="P4" s="101">
        <v>45709</v>
      </c>
      <c r="Q4" s="101">
        <v>45705</v>
      </c>
      <c r="R4" s="101">
        <v>45710</v>
      </c>
      <c r="S4" s="184">
        <v>8</v>
      </c>
      <c r="T4" s="102">
        <v>1</v>
      </c>
      <c r="U4" s="102">
        <v>0.5</v>
      </c>
      <c r="V4" s="102">
        <v>0.5</v>
      </c>
      <c r="W4" s="102">
        <v>0.1</v>
      </c>
      <c r="X4" s="103">
        <v>0</v>
      </c>
      <c r="Y4" s="103">
        <v>1</v>
      </c>
      <c r="Z4" s="103">
        <v>1</v>
      </c>
      <c r="AC4" s="102">
        <v>0.5</v>
      </c>
    </row>
    <row r="5" spans="1:30">
      <c r="A5" s="104" t="s">
        <v>1466</v>
      </c>
      <c r="B5" s="104" t="s">
        <v>1613</v>
      </c>
      <c r="C5" s="104" t="s">
        <v>496</v>
      </c>
      <c r="D5" s="104" t="s">
        <v>542</v>
      </c>
      <c r="E5" s="104" t="s">
        <v>1426</v>
      </c>
      <c r="F5" s="104" t="s">
        <v>1613</v>
      </c>
      <c r="M5" s="104" t="s">
        <v>1492</v>
      </c>
      <c r="N5" s="104" t="s">
        <v>1717</v>
      </c>
      <c r="O5" s="101">
        <v>45705</v>
      </c>
      <c r="P5" s="101">
        <v>45709</v>
      </c>
      <c r="Q5" s="101">
        <v>45705</v>
      </c>
      <c r="R5" s="101">
        <v>45710</v>
      </c>
      <c r="S5" s="184">
        <v>8</v>
      </c>
      <c r="T5" s="102">
        <v>1</v>
      </c>
      <c r="U5" s="102">
        <v>0.5</v>
      </c>
      <c r="V5" s="102">
        <v>0.5</v>
      </c>
      <c r="W5" s="102">
        <v>0.1</v>
      </c>
      <c r="X5" s="103">
        <v>0</v>
      </c>
      <c r="Y5" s="103">
        <v>1</v>
      </c>
      <c r="Z5" s="103">
        <v>1</v>
      </c>
      <c r="AC5" s="102">
        <v>0.5</v>
      </c>
    </row>
    <row r="6" spans="1:30">
      <c r="A6" s="104" t="s">
        <v>1466</v>
      </c>
      <c r="B6" s="104" t="s">
        <v>1614</v>
      </c>
      <c r="C6" s="104" t="s">
        <v>496</v>
      </c>
      <c r="D6" s="104" t="s">
        <v>542</v>
      </c>
      <c r="E6" s="104" t="s">
        <v>1426</v>
      </c>
      <c r="F6" s="104" t="s">
        <v>1614</v>
      </c>
      <c r="M6" s="104" t="s">
        <v>1493</v>
      </c>
      <c r="N6" s="104" t="s">
        <v>1717</v>
      </c>
      <c r="O6" s="101">
        <v>45705</v>
      </c>
      <c r="P6" s="101">
        <v>45709</v>
      </c>
      <c r="Q6" s="101">
        <v>45705</v>
      </c>
      <c r="R6" s="101">
        <v>45710</v>
      </c>
      <c r="S6" s="184">
        <v>8</v>
      </c>
      <c r="T6" s="102">
        <v>1</v>
      </c>
      <c r="U6" s="102">
        <v>0.5</v>
      </c>
      <c r="V6" s="102">
        <v>0.5</v>
      </c>
      <c r="W6" s="102">
        <v>0.1</v>
      </c>
      <c r="X6" s="103">
        <v>0</v>
      </c>
      <c r="Y6" s="103">
        <v>1</v>
      </c>
      <c r="Z6" s="103">
        <v>1</v>
      </c>
      <c r="AC6" s="102">
        <v>0.5</v>
      </c>
    </row>
    <row r="7" spans="1:30">
      <c r="A7" s="104" t="s">
        <v>1466</v>
      </c>
      <c r="B7" s="104" t="s">
        <v>1615</v>
      </c>
      <c r="C7" s="104" t="s">
        <v>496</v>
      </c>
      <c r="D7" s="104" t="s">
        <v>542</v>
      </c>
      <c r="E7" s="104" t="s">
        <v>1426</v>
      </c>
      <c r="F7" s="104" t="s">
        <v>1615</v>
      </c>
      <c r="M7" s="104" t="s">
        <v>1494</v>
      </c>
      <c r="N7" s="104" t="s">
        <v>1717</v>
      </c>
      <c r="O7" s="101">
        <v>45705</v>
      </c>
      <c r="P7" s="101">
        <v>45709</v>
      </c>
      <c r="Q7" s="101">
        <v>45705</v>
      </c>
      <c r="R7" s="101">
        <v>45710</v>
      </c>
      <c r="S7" s="184">
        <v>8</v>
      </c>
      <c r="T7" s="102">
        <v>1</v>
      </c>
      <c r="U7" s="102">
        <v>0.5</v>
      </c>
      <c r="V7" s="102">
        <v>0.5</v>
      </c>
      <c r="W7" s="102">
        <v>0.1</v>
      </c>
      <c r="X7" s="103">
        <v>0</v>
      </c>
      <c r="Y7" s="103">
        <v>1</v>
      </c>
      <c r="Z7" s="103">
        <v>1</v>
      </c>
      <c r="AC7" s="102">
        <v>0.5</v>
      </c>
    </row>
    <row r="8" spans="1:30">
      <c r="A8" s="104" t="s">
        <v>1466</v>
      </c>
      <c r="B8" s="104" t="s">
        <v>1616</v>
      </c>
      <c r="C8" s="104" t="s">
        <v>496</v>
      </c>
      <c r="D8" s="104" t="s">
        <v>542</v>
      </c>
      <c r="E8" s="104" t="s">
        <v>1426</v>
      </c>
      <c r="F8" s="104" t="s">
        <v>1616</v>
      </c>
      <c r="M8" s="104" t="s">
        <v>1495</v>
      </c>
      <c r="N8" s="104" t="s">
        <v>1717</v>
      </c>
      <c r="O8" s="101">
        <v>45705</v>
      </c>
      <c r="P8" s="101">
        <v>45709</v>
      </c>
      <c r="Q8" s="101">
        <v>45705</v>
      </c>
      <c r="R8" s="101">
        <v>45710</v>
      </c>
      <c r="S8" s="184">
        <v>8</v>
      </c>
      <c r="T8" s="102">
        <v>1</v>
      </c>
      <c r="U8" s="102">
        <v>0.5</v>
      </c>
      <c r="V8" s="102">
        <v>0.5</v>
      </c>
      <c r="W8" s="102">
        <v>0.1</v>
      </c>
      <c r="X8" s="103">
        <v>0</v>
      </c>
      <c r="Y8" s="103">
        <v>1</v>
      </c>
      <c r="Z8" s="103">
        <v>1</v>
      </c>
      <c r="AC8" s="102">
        <v>0.5</v>
      </c>
    </row>
    <row r="9" spans="1:30">
      <c r="A9" s="104" t="s">
        <v>1466</v>
      </c>
      <c r="B9" s="104" t="s">
        <v>1617</v>
      </c>
      <c r="C9" s="104" t="s">
        <v>496</v>
      </c>
      <c r="D9" s="104" t="s">
        <v>542</v>
      </c>
      <c r="E9" s="104" t="s">
        <v>1426</v>
      </c>
      <c r="F9" s="104" t="s">
        <v>1617</v>
      </c>
      <c r="M9" s="104" t="s">
        <v>1496</v>
      </c>
      <c r="N9" s="104" t="s">
        <v>1717</v>
      </c>
      <c r="O9" s="101">
        <v>45705</v>
      </c>
      <c r="P9" s="101">
        <v>45709</v>
      </c>
      <c r="Q9" s="101">
        <v>45705</v>
      </c>
      <c r="R9" s="101">
        <v>45710</v>
      </c>
      <c r="S9" s="184">
        <v>8</v>
      </c>
      <c r="T9" s="102">
        <v>1</v>
      </c>
      <c r="U9" s="102">
        <v>0.5</v>
      </c>
      <c r="V9" s="102">
        <v>0.5</v>
      </c>
      <c r="W9" s="102">
        <v>0.1</v>
      </c>
      <c r="X9" s="103">
        <v>0</v>
      </c>
      <c r="Y9" s="103">
        <v>1</v>
      </c>
      <c r="Z9" s="103">
        <v>1</v>
      </c>
      <c r="AC9" s="102">
        <v>0.5</v>
      </c>
    </row>
    <row r="10" spans="1:30">
      <c r="A10" s="104" t="s">
        <v>1466</v>
      </c>
      <c r="B10" s="104" t="s">
        <v>1618</v>
      </c>
      <c r="C10" s="104" t="s">
        <v>496</v>
      </c>
      <c r="D10" s="104" t="s">
        <v>1431</v>
      </c>
      <c r="E10" s="104" t="s">
        <v>1428</v>
      </c>
      <c r="F10" s="104" t="s">
        <v>1618</v>
      </c>
      <c r="M10" s="104" t="s">
        <v>1443</v>
      </c>
      <c r="N10" s="104" t="s">
        <v>1717</v>
      </c>
      <c r="O10" s="101">
        <v>45721</v>
      </c>
      <c r="P10" s="101">
        <v>45721</v>
      </c>
      <c r="Q10" s="101">
        <v>45718</v>
      </c>
      <c r="R10" s="101">
        <v>45724</v>
      </c>
      <c r="S10" s="184">
        <v>10</v>
      </c>
      <c r="T10" s="102">
        <v>3</v>
      </c>
      <c r="U10" s="102">
        <v>1</v>
      </c>
      <c r="V10" s="102">
        <v>1</v>
      </c>
      <c r="W10" s="102">
        <v>1</v>
      </c>
      <c r="X10" s="103">
        <v>0</v>
      </c>
      <c r="Y10" s="103">
        <v>1</v>
      </c>
      <c r="Z10" s="103">
        <v>1</v>
      </c>
      <c r="AC10" s="102">
        <v>1</v>
      </c>
    </row>
    <row r="11" spans="1:30">
      <c r="A11" s="104" t="s">
        <v>1466</v>
      </c>
      <c r="B11" s="104" t="s">
        <v>1619</v>
      </c>
      <c r="C11" s="104" t="s">
        <v>496</v>
      </c>
      <c r="D11" s="104" t="s">
        <v>1431</v>
      </c>
      <c r="E11" s="104" t="s">
        <v>1428</v>
      </c>
      <c r="F11" s="104" t="s">
        <v>1619</v>
      </c>
      <c r="M11" s="104" t="s">
        <v>1447</v>
      </c>
      <c r="N11" s="104" t="s">
        <v>1717</v>
      </c>
      <c r="O11" s="101">
        <v>45853</v>
      </c>
      <c r="P11" s="101">
        <v>45853</v>
      </c>
      <c r="Q11" s="101">
        <v>45851</v>
      </c>
      <c r="R11" s="101">
        <v>45857</v>
      </c>
      <c r="S11" s="184">
        <v>29</v>
      </c>
      <c r="T11" s="102">
        <v>22</v>
      </c>
      <c r="U11" s="102">
        <v>0</v>
      </c>
      <c r="V11" s="102">
        <v>0</v>
      </c>
      <c r="W11" s="102">
        <v>1</v>
      </c>
      <c r="X11" s="103">
        <v>0</v>
      </c>
      <c r="Y11" s="103">
        <v>0</v>
      </c>
      <c r="Z11" s="103">
        <v>0</v>
      </c>
      <c r="AC11" s="102">
        <v>0</v>
      </c>
    </row>
    <row r="12" spans="1:30">
      <c r="A12" s="104" t="s">
        <v>1466</v>
      </c>
      <c r="B12" s="104" t="s">
        <v>1620</v>
      </c>
      <c r="C12" s="104" t="s">
        <v>496</v>
      </c>
      <c r="D12" s="104" t="s">
        <v>1431</v>
      </c>
      <c r="E12" s="104" t="s">
        <v>1428</v>
      </c>
      <c r="F12" s="104" t="s">
        <v>1620</v>
      </c>
      <c r="M12" s="104" t="s">
        <v>1498</v>
      </c>
      <c r="N12" s="104" t="s">
        <v>1717</v>
      </c>
      <c r="O12" s="101">
        <v>46057</v>
      </c>
      <c r="P12" s="101">
        <v>46057</v>
      </c>
      <c r="Q12" s="101">
        <v>46054</v>
      </c>
      <c r="R12" s="101">
        <v>46060</v>
      </c>
      <c r="S12" s="184">
        <v>6</v>
      </c>
      <c r="T12" s="102">
        <v>51</v>
      </c>
      <c r="U12" s="102">
        <v>1</v>
      </c>
      <c r="V12" s="102">
        <v>0</v>
      </c>
      <c r="W12" s="102">
        <v>1</v>
      </c>
      <c r="X12" s="103">
        <v>0</v>
      </c>
      <c r="Y12" s="103">
        <v>0</v>
      </c>
      <c r="Z12" s="103">
        <v>0</v>
      </c>
      <c r="AC12" s="102">
        <v>0</v>
      </c>
    </row>
    <row r="13" spans="1:30">
      <c r="A13" s="104" t="s">
        <v>1466</v>
      </c>
      <c r="B13" s="104" t="s">
        <v>1621</v>
      </c>
      <c r="C13" s="104" t="s">
        <v>496</v>
      </c>
      <c r="D13" s="104" t="s">
        <v>1431</v>
      </c>
      <c r="E13" s="104" t="s">
        <v>1429</v>
      </c>
      <c r="F13" s="104" t="s">
        <v>1621</v>
      </c>
      <c r="M13" s="104" t="s">
        <v>1500</v>
      </c>
      <c r="N13" s="104" t="s">
        <v>1717</v>
      </c>
      <c r="O13" s="101">
        <v>45715</v>
      </c>
      <c r="P13" s="101">
        <v>45715</v>
      </c>
      <c r="Q13" s="101">
        <v>45711</v>
      </c>
      <c r="R13" s="101">
        <v>45717</v>
      </c>
      <c r="S13" s="184">
        <v>9</v>
      </c>
      <c r="T13" s="102">
        <v>2</v>
      </c>
      <c r="U13" s="102">
        <v>0.1</v>
      </c>
      <c r="V13" s="102">
        <v>0.1</v>
      </c>
      <c r="W13" s="102">
        <v>0.1</v>
      </c>
      <c r="X13" s="103">
        <v>0</v>
      </c>
      <c r="Y13" s="103">
        <v>1</v>
      </c>
      <c r="Z13" s="103">
        <v>1</v>
      </c>
      <c r="AC13" s="102">
        <v>0.1</v>
      </c>
    </row>
    <row r="14" spans="1:30">
      <c r="A14" s="104" t="s">
        <v>1466</v>
      </c>
      <c r="B14" s="104" t="s">
        <v>1622</v>
      </c>
      <c r="C14" s="104" t="s">
        <v>496</v>
      </c>
      <c r="D14" s="104" t="s">
        <v>1431</v>
      </c>
      <c r="E14" s="104" t="s">
        <v>1429</v>
      </c>
      <c r="F14" s="104" t="s">
        <v>1622</v>
      </c>
      <c r="M14" s="104" t="s">
        <v>1501</v>
      </c>
      <c r="N14" s="104" t="s">
        <v>1717</v>
      </c>
      <c r="O14" s="101">
        <v>45722</v>
      </c>
      <c r="P14" s="101">
        <v>45722</v>
      </c>
      <c r="Q14" s="101">
        <v>45718</v>
      </c>
      <c r="R14" s="101">
        <v>45724</v>
      </c>
      <c r="S14" s="184">
        <v>10</v>
      </c>
      <c r="T14" s="102">
        <v>3</v>
      </c>
      <c r="U14" s="102">
        <v>0.1</v>
      </c>
      <c r="V14" s="102">
        <v>0.1</v>
      </c>
      <c r="W14" s="102">
        <v>0.1</v>
      </c>
      <c r="X14" s="103">
        <v>0</v>
      </c>
      <c r="Y14" s="103">
        <v>1</v>
      </c>
      <c r="Z14" s="103">
        <v>1</v>
      </c>
      <c r="AC14" s="102">
        <v>0.1</v>
      </c>
    </row>
    <row r="15" spans="1:30">
      <c r="A15" s="104" t="s">
        <v>1466</v>
      </c>
      <c r="B15" s="104" t="s">
        <v>1623</v>
      </c>
      <c r="C15" s="104" t="s">
        <v>496</v>
      </c>
      <c r="D15" s="104" t="s">
        <v>1431</v>
      </c>
      <c r="E15" s="104" t="s">
        <v>1429</v>
      </c>
      <c r="F15" s="104" t="s">
        <v>1623</v>
      </c>
      <c r="M15" s="104" t="s">
        <v>1502</v>
      </c>
      <c r="N15" s="104" t="s">
        <v>1717</v>
      </c>
      <c r="O15" s="101">
        <v>45729</v>
      </c>
      <c r="P15" s="101">
        <v>45729</v>
      </c>
      <c r="Q15" s="101">
        <v>45725</v>
      </c>
      <c r="R15" s="101">
        <v>45731</v>
      </c>
      <c r="S15" s="184">
        <v>11</v>
      </c>
      <c r="T15" s="102">
        <v>4</v>
      </c>
      <c r="U15" s="102">
        <v>0.1</v>
      </c>
      <c r="V15" s="102">
        <v>0.1</v>
      </c>
      <c r="W15" s="102">
        <v>0.1</v>
      </c>
      <c r="X15" s="103">
        <v>0</v>
      </c>
      <c r="Y15" s="103">
        <v>1</v>
      </c>
      <c r="Z15" s="103">
        <v>1</v>
      </c>
      <c r="AC15" s="102">
        <v>0.1</v>
      </c>
    </row>
    <row r="16" spans="1:30">
      <c r="A16" s="104" t="s">
        <v>1466</v>
      </c>
      <c r="B16" s="104" t="s">
        <v>1624</v>
      </c>
      <c r="C16" s="104" t="s">
        <v>496</v>
      </c>
      <c r="D16" s="104" t="s">
        <v>1431</v>
      </c>
      <c r="E16" s="104" t="s">
        <v>1429</v>
      </c>
      <c r="F16" s="104" t="s">
        <v>1624</v>
      </c>
      <c r="M16" s="104" t="s">
        <v>1503</v>
      </c>
      <c r="N16" s="104" t="s">
        <v>1717</v>
      </c>
      <c r="O16" s="101">
        <v>45736</v>
      </c>
      <c r="P16" s="101">
        <v>45736</v>
      </c>
      <c r="Q16" s="101">
        <v>45732</v>
      </c>
      <c r="R16" s="101">
        <v>45738</v>
      </c>
      <c r="S16" s="184">
        <v>12</v>
      </c>
      <c r="T16" s="102">
        <v>5</v>
      </c>
      <c r="U16" s="102">
        <v>0.1</v>
      </c>
      <c r="V16" s="102">
        <v>0</v>
      </c>
      <c r="W16" s="102">
        <v>0.1</v>
      </c>
      <c r="X16" s="103">
        <v>0</v>
      </c>
      <c r="Y16" s="103">
        <v>0</v>
      </c>
      <c r="Z16" s="103">
        <v>0</v>
      </c>
      <c r="AC16" s="102">
        <v>0</v>
      </c>
    </row>
    <row r="17" spans="1:29">
      <c r="A17" s="104" t="s">
        <v>1466</v>
      </c>
      <c r="B17" s="104" t="s">
        <v>1625</v>
      </c>
      <c r="C17" s="104" t="s">
        <v>496</v>
      </c>
      <c r="D17" s="104" t="s">
        <v>1431</v>
      </c>
      <c r="E17" s="104" t="s">
        <v>1429</v>
      </c>
      <c r="F17" s="104" t="s">
        <v>1625</v>
      </c>
      <c r="M17" s="104" t="s">
        <v>1504</v>
      </c>
      <c r="N17" s="104" t="s">
        <v>1717</v>
      </c>
      <c r="O17" s="101">
        <v>45743</v>
      </c>
      <c r="P17" s="101">
        <v>45743</v>
      </c>
      <c r="Q17" s="101">
        <v>45739</v>
      </c>
      <c r="R17" s="101">
        <v>45745</v>
      </c>
      <c r="S17" s="184">
        <v>13</v>
      </c>
      <c r="T17" s="102">
        <v>6</v>
      </c>
      <c r="U17" s="102">
        <v>0.1</v>
      </c>
      <c r="V17" s="102">
        <v>0</v>
      </c>
      <c r="W17" s="102">
        <v>0.1</v>
      </c>
      <c r="X17" s="103">
        <v>0</v>
      </c>
      <c r="Y17" s="103">
        <v>0</v>
      </c>
      <c r="Z17" s="103">
        <v>0</v>
      </c>
      <c r="AC17" s="102">
        <v>0</v>
      </c>
    </row>
    <row r="18" spans="1:29">
      <c r="A18" s="104" t="s">
        <v>1466</v>
      </c>
      <c r="B18" s="104" t="s">
        <v>1626</v>
      </c>
      <c r="C18" s="104" t="s">
        <v>496</v>
      </c>
      <c r="D18" s="104" t="s">
        <v>1431</v>
      </c>
      <c r="E18" s="104" t="s">
        <v>1429</v>
      </c>
      <c r="F18" s="104" t="s">
        <v>1626</v>
      </c>
      <c r="M18" s="104" t="s">
        <v>1505</v>
      </c>
      <c r="N18" s="104" t="s">
        <v>1717</v>
      </c>
      <c r="O18" s="101">
        <v>45750</v>
      </c>
      <c r="P18" s="101">
        <v>45750</v>
      </c>
      <c r="Q18" s="101">
        <v>45746</v>
      </c>
      <c r="R18" s="101">
        <v>45752</v>
      </c>
      <c r="S18" s="184">
        <v>14</v>
      </c>
      <c r="T18" s="102">
        <v>7</v>
      </c>
      <c r="U18" s="102">
        <v>0.1</v>
      </c>
      <c r="V18" s="102">
        <v>0</v>
      </c>
      <c r="W18" s="102">
        <v>0.1</v>
      </c>
      <c r="X18" s="103">
        <v>0</v>
      </c>
      <c r="Y18" s="103">
        <v>0</v>
      </c>
      <c r="Z18" s="103">
        <v>0</v>
      </c>
      <c r="AC18" s="102">
        <v>0</v>
      </c>
    </row>
    <row r="19" spans="1:29">
      <c r="A19" s="104" t="s">
        <v>1466</v>
      </c>
      <c r="B19" s="104" t="s">
        <v>1627</v>
      </c>
      <c r="C19" s="104" t="s">
        <v>496</v>
      </c>
      <c r="D19" s="104" t="s">
        <v>1431</v>
      </c>
      <c r="E19" s="104" t="s">
        <v>1429</v>
      </c>
      <c r="F19" s="104" t="s">
        <v>1627</v>
      </c>
      <c r="M19" s="104" t="s">
        <v>1506</v>
      </c>
      <c r="N19" s="104" t="s">
        <v>1717</v>
      </c>
      <c r="O19" s="101">
        <v>45757</v>
      </c>
      <c r="P19" s="101">
        <v>45757</v>
      </c>
      <c r="Q19" s="101">
        <v>45753</v>
      </c>
      <c r="R19" s="101">
        <v>45759</v>
      </c>
      <c r="S19" s="184">
        <v>15</v>
      </c>
      <c r="T19" s="102">
        <v>8</v>
      </c>
      <c r="U19" s="102">
        <v>0.1</v>
      </c>
      <c r="V19" s="102">
        <v>0</v>
      </c>
      <c r="W19" s="102">
        <v>0.1</v>
      </c>
      <c r="X19" s="103">
        <v>0</v>
      </c>
      <c r="Y19" s="103">
        <v>0</v>
      </c>
      <c r="Z19" s="103">
        <v>0</v>
      </c>
      <c r="AC19" s="102">
        <v>0</v>
      </c>
    </row>
    <row r="20" spans="1:29">
      <c r="A20" s="104" t="s">
        <v>1466</v>
      </c>
      <c r="B20" s="104" t="s">
        <v>1628</v>
      </c>
      <c r="C20" s="104" t="s">
        <v>496</v>
      </c>
      <c r="D20" s="104" t="s">
        <v>1431</v>
      </c>
      <c r="E20" s="104" t="s">
        <v>1429</v>
      </c>
      <c r="F20" s="104" t="s">
        <v>1628</v>
      </c>
      <c r="M20" s="104" t="s">
        <v>1507</v>
      </c>
      <c r="N20" s="104" t="s">
        <v>1717</v>
      </c>
      <c r="O20" s="101">
        <v>45764</v>
      </c>
      <c r="P20" s="101">
        <v>45764</v>
      </c>
      <c r="Q20" s="101">
        <v>45760</v>
      </c>
      <c r="R20" s="101">
        <v>45766</v>
      </c>
      <c r="S20" s="184">
        <v>16</v>
      </c>
      <c r="T20" s="102">
        <v>9</v>
      </c>
      <c r="U20" s="102">
        <v>0.1</v>
      </c>
      <c r="V20" s="102">
        <v>0</v>
      </c>
      <c r="W20" s="102">
        <v>0.1</v>
      </c>
      <c r="X20" s="103">
        <v>0</v>
      </c>
      <c r="Y20" s="103">
        <v>0</v>
      </c>
      <c r="Z20" s="103">
        <v>0</v>
      </c>
      <c r="AC20" s="102">
        <v>0</v>
      </c>
    </row>
    <row r="21" spans="1:29">
      <c r="A21" s="104" t="s">
        <v>1466</v>
      </c>
      <c r="B21" s="104" t="s">
        <v>1629</v>
      </c>
      <c r="C21" s="104" t="s">
        <v>496</v>
      </c>
      <c r="D21" s="104" t="s">
        <v>1431</v>
      </c>
      <c r="E21" s="104" t="s">
        <v>1429</v>
      </c>
      <c r="F21" s="104" t="s">
        <v>1629</v>
      </c>
      <c r="M21" s="104" t="s">
        <v>1508</v>
      </c>
      <c r="N21" s="104" t="s">
        <v>1717</v>
      </c>
      <c r="O21" s="101">
        <v>45771</v>
      </c>
      <c r="P21" s="101">
        <v>45771</v>
      </c>
      <c r="Q21" s="101">
        <v>45767</v>
      </c>
      <c r="R21" s="101">
        <v>45773</v>
      </c>
      <c r="S21" s="184">
        <v>17</v>
      </c>
      <c r="T21" s="102">
        <v>10</v>
      </c>
      <c r="U21" s="102">
        <v>0.1</v>
      </c>
      <c r="V21" s="102">
        <v>0</v>
      </c>
      <c r="W21" s="102">
        <v>0.1</v>
      </c>
      <c r="X21" s="103">
        <v>0</v>
      </c>
      <c r="Y21" s="103">
        <v>0</v>
      </c>
      <c r="Z21" s="103">
        <v>0</v>
      </c>
      <c r="AC21" s="102">
        <v>0</v>
      </c>
    </row>
    <row r="22" spans="1:29">
      <c r="A22" s="104" t="s">
        <v>1466</v>
      </c>
      <c r="B22" s="104" t="s">
        <v>1630</v>
      </c>
      <c r="C22" s="104" t="s">
        <v>496</v>
      </c>
      <c r="D22" s="104" t="s">
        <v>1431</v>
      </c>
      <c r="E22" s="104" t="s">
        <v>1429</v>
      </c>
      <c r="F22" s="104" t="s">
        <v>1630</v>
      </c>
      <c r="M22" s="104" t="s">
        <v>1509</v>
      </c>
      <c r="N22" s="104" t="s">
        <v>1717</v>
      </c>
      <c r="O22" s="101">
        <v>45779</v>
      </c>
      <c r="P22" s="101">
        <v>45779</v>
      </c>
      <c r="Q22" s="101">
        <v>45774</v>
      </c>
      <c r="R22" s="101">
        <v>45780</v>
      </c>
      <c r="S22" s="184">
        <v>18</v>
      </c>
      <c r="T22" s="102">
        <v>11</v>
      </c>
      <c r="U22" s="102">
        <v>0.1</v>
      </c>
      <c r="V22" s="102">
        <v>0</v>
      </c>
      <c r="W22" s="102">
        <v>0.1</v>
      </c>
      <c r="X22" s="103">
        <v>0</v>
      </c>
      <c r="Y22" s="103">
        <v>0</v>
      </c>
      <c r="Z22" s="103">
        <v>0</v>
      </c>
      <c r="AC22" s="102">
        <v>0</v>
      </c>
    </row>
    <row r="23" spans="1:29">
      <c r="A23" s="104" t="s">
        <v>1466</v>
      </c>
      <c r="B23" s="104" t="s">
        <v>1631</v>
      </c>
      <c r="C23" s="104" t="s">
        <v>496</v>
      </c>
      <c r="D23" s="104" t="s">
        <v>1431</v>
      </c>
      <c r="E23" s="104" t="s">
        <v>1429</v>
      </c>
      <c r="F23" s="104" t="s">
        <v>1631</v>
      </c>
      <c r="M23" s="104" t="s">
        <v>1510</v>
      </c>
      <c r="N23" s="104" t="s">
        <v>1717</v>
      </c>
      <c r="O23" s="101">
        <v>45785</v>
      </c>
      <c r="P23" s="101">
        <v>45785</v>
      </c>
      <c r="Q23" s="101">
        <v>45781</v>
      </c>
      <c r="R23" s="101">
        <v>45787</v>
      </c>
      <c r="S23" s="184">
        <v>19</v>
      </c>
      <c r="T23" s="102">
        <v>12</v>
      </c>
      <c r="U23" s="102">
        <v>0.1</v>
      </c>
      <c r="V23" s="102">
        <v>0</v>
      </c>
      <c r="W23" s="102">
        <v>0.1</v>
      </c>
      <c r="X23" s="103">
        <v>0</v>
      </c>
      <c r="Y23" s="103">
        <v>0</v>
      </c>
      <c r="Z23" s="103">
        <v>0</v>
      </c>
      <c r="AC23" s="102">
        <v>0</v>
      </c>
    </row>
    <row r="24" spans="1:29">
      <c r="A24" s="104" t="s">
        <v>1466</v>
      </c>
      <c r="B24" s="104" t="s">
        <v>1632</v>
      </c>
      <c r="C24" s="104" t="s">
        <v>496</v>
      </c>
      <c r="D24" s="104" t="s">
        <v>1431</v>
      </c>
      <c r="E24" s="104" t="s">
        <v>1429</v>
      </c>
      <c r="F24" s="104" t="s">
        <v>1632</v>
      </c>
      <c r="M24" s="104" t="s">
        <v>1511</v>
      </c>
      <c r="N24" s="104" t="s">
        <v>1717</v>
      </c>
      <c r="O24" s="101">
        <v>45792</v>
      </c>
      <c r="P24" s="101">
        <v>45792</v>
      </c>
      <c r="Q24" s="101">
        <v>45788</v>
      </c>
      <c r="R24" s="101">
        <v>45794</v>
      </c>
      <c r="S24" s="184">
        <v>20</v>
      </c>
      <c r="T24" s="102">
        <v>13</v>
      </c>
      <c r="U24" s="102">
        <v>0.1</v>
      </c>
      <c r="V24" s="102">
        <v>0</v>
      </c>
      <c r="W24" s="102">
        <v>0.1</v>
      </c>
      <c r="X24" s="103">
        <v>0</v>
      </c>
      <c r="Y24" s="103">
        <v>0</v>
      </c>
      <c r="Z24" s="103">
        <v>0</v>
      </c>
      <c r="AC24" s="102">
        <v>0</v>
      </c>
    </row>
    <row r="25" spans="1:29">
      <c r="A25" s="104" t="s">
        <v>1466</v>
      </c>
      <c r="B25" s="104" t="s">
        <v>1633</v>
      </c>
      <c r="C25" s="104" t="s">
        <v>496</v>
      </c>
      <c r="D25" s="104" t="s">
        <v>1431</v>
      </c>
      <c r="E25" s="104" t="s">
        <v>1429</v>
      </c>
      <c r="F25" s="104" t="s">
        <v>1633</v>
      </c>
      <c r="M25" s="104" t="s">
        <v>1512</v>
      </c>
      <c r="N25" s="104" t="s">
        <v>1717</v>
      </c>
      <c r="O25" s="101">
        <v>45799</v>
      </c>
      <c r="P25" s="101">
        <v>45799</v>
      </c>
      <c r="Q25" s="101">
        <v>45795</v>
      </c>
      <c r="R25" s="101">
        <v>45801</v>
      </c>
      <c r="S25" s="184">
        <v>21</v>
      </c>
      <c r="T25" s="102">
        <v>14</v>
      </c>
      <c r="U25" s="102">
        <v>0.1</v>
      </c>
      <c r="V25" s="102">
        <v>0</v>
      </c>
      <c r="W25" s="102">
        <v>0.1</v>
      </c>
      <c r="X25" s="103">
        <v>0</v>
      </c>
      <c r="Y25" s="103">
        <v>0</v>
      </c>
      <c r="Z25" s="103">
        <v>0</v>
      </c>
      <c r="AC25" s="102">
        <v>0</v>
      </c>
    </row>
    <row r="26" spans="1:29">
      <c r="A26" s="104" t="s">
        <v>1466</v>
      </c>
      <c r="B26" s="104" t="s">
        <v>1634</v>
      </c>
      <c r="C26" s="104" t="s">
        <v>496</v>
      </c>
      <c r="D26" s="104" t="s">
        <v>1431</v>
      </c>
      <c r="E26" s="104" t="s">
        <v>1429</v>
      </c>
      <c r="F26" s="104" t="s">
        <v>1634</v>
      </c>
      <c r="M26" s="104" t="s">
        <v>1513</v>
      </c>
      <c r="N26" s="104" t="s">
        <v>1717</v>
      </c>
      <c r="O26" s="101">
        <v>45806</v>
      </c>
      <c r="P26" s="101">
        <v>45806</v>
      </c>
      <c r="Q26" s="101">
        <v>45802</v>
      </c>
      <c r="R26" s="101">
        <v>45808</v>
      </c>
      <c r="S26" s="184">
        <v>22</v>
      </c>
      <c r="T26" s="102">
        <v>15</v>
      </c>
      <c r="U26" s="102">
        <v>0.1</v>
      </c>
      <c r="V26" s="102">
        <v>0</v>
      </c>
      <c r="W26" s="102">
        <v>0.1</v>
      </c>
      <c r="X26" s="103">
        <v>0</v>
      </c>
      <c r="Y26" s="103">
        <v>0</v>
      </c>
      <c r="Z26" s="103">
        <v>0</v>
      </c>
      <c r="AC26" s="102">
        <v>0</v>
      </c>
    </row>
    <row r="27" spans="1:29">
      <c r="A27" s="104" t="s">
        <v>1466</v>
      </c>
      <c r="B27" s="104" t="s">
        <v>1635</v>
      </c>
      <c r="C27" s="104" t="s">
        <v>496</v>
      </c>
      <c r="D27" s="104" t="s">
        <v>1431</v>
      </c>
      <c r="E27" s="104" t="s">
        <v>1429</v>
      </c>
      <c r="F27" s="104" t="s">
        <v>1635</v>
      </c>
      <c r="M27" s="104" t="s">
        <v>1514</v>
      </c>
      <c r="N27" s="104" t="s">
        <v>1717</v>
      </c>
      <c r="O27" s="101">
        <v>45813</v>
      </c>
      <c r="P27" s="101">
        <v>45813</v>
      </c>
      <c r="Q27" s="101">
        <v>45809</v>
      </c>
      <c r="R27" s="101">
        <v>45815</v>
      </c>
      <c r="S27" s="184">
        <v>23</v>
      </c>
      <c r="T27" s="102">
        <v>16</v>
      </c>
      <c r="U27" s="102">
        <v>0.1</v>
      </c>
      <c r="V27" s="102">
        <v>0</v>
      </c>
      <c r="W27" s="102">
        <v>0.1</v>
      </c>
      <c r="X27" s="103">
        <v>0</v>
      </c>
      <c r="Y27" s="103">
        <v>0</v>
      </c>
      <c r="Z27" s="103">
        <v>0</v>
      </c>
      <c r="AC27" s="102">
        <v>0</v>
      </c>
    </row>
    <row r="28" spans="1:29">
      <c r="A28" s="104" t="s">
        <v>1466</v>
      </c>
      <c r="B28" s="104" t="s">
        <v>1636</v>
      </c>
      <c r="C28" s="104" t="s">
        <v>496</v>
      </c>
      <c r="D28" s="104" t="s">
        <v>1431</v>
      </c>
      <c r="E28" s="104" t="s">
        <v>1429</v>
      </c>
      <c r="F28" s="104" t="s">
        <v>1636</v>
      </c>
      <c r="M28" s="104" t="s">
        <v>1515</v>
      </c>
      <c r="N28" s="104" t="s">
        <v>1717</v>
      </c>
      <c r="O28" s="101">
        <v>45820</v>
      </c>
      <c r="P28" s="101">
        <v>45820</v>
      </c>
      <c r="Q28" s="101">
        <v>45816</v>
      </c>
      <c r="R28" s="101">
        <v>45822</v>
      </c>
      <c r="S28" s="184">
        <v>24</v>
      </c>
      <c r="T28" s="102">
        <v>17</v>
      </c>
      <c r="U28" s="102">
        <v>0.1</v>
      </c>
      <c r="V28" s="102">
        <v>0</v>
      </c>
      <c r="W28" s="102">
        <v>0.1</v>
      </c>
      <c r="X28" s="103">
        <v>0</v>
      </c>
      <c r="Y28" s="103">
        <v>0</v>
      </c>
      <c r="Z28" s="103">
        <v>0</v>
      </c>
      <c r="AC28" s="102">
        <v>0</v>
      </c>
    </row>
    <row r="29" spans="1:29">
      <c r="A29" s="104" t="s">
        <v>1466</v>
      </c>
      <c r="B29" s="104" t="s">
        <v>1637</v>
      </c>
      <c r="C29" s="104" t="s">
        <v>496</v>
      </c>
      <c r="D29" s="104" t="s">
        <v>1431</v>
      </c>
      <c r="E29" s="104" t="s">
        <v>1429</v>
      </c>
      <c r="F29" s="104" t="s">
        <v>1637</v>
      </c>
      <c r="M29" s="104" t="s">
        <v>1516</v>
      </c>
      <c r="N29" s="104" t="s">
        <v>1717</v>
      </c>
      <c r="O29" s="101">
        <v>45827</v>
      </c>
      <c r="P29" s="101">
        <v>45827</v>
      </c>
      <c r="Q29" s="101">
        <v>45823</v>
      </c>
      <c r="R29" s="101">
        <v>45829</v>
      </c>
      <c r="S29" s="184">
        <v>25</v>
      </c>
      <c r="T29" s="102">
        <v>18</v>
      </c>
      <c r="U29" s="102">
        <v>0.1</v>
      </c>
      <c r="V29" s="102">
        <v>0</v>
      </c>
      <c r="W29" s="102">
        <v>0.1</v>
      </c>
      <c r="X29" s="103">
        <v>0</v>
      </c>
      <c r="Y29" s="103">
        <v>0</v>
      </c>
      <c r="Z29" s="103">
        <v>0</v>
      </c>
      <c r="AC29" s="102">
        <v>0</v>
      </c>
    </row>
    <row r="30" spans="1:29">
      <c r="A30" s="104" t="s">
        <v>1466</v>
      </c>
      <c r="B30" s="104" t="s">
        <v>1638</v>
      </c>
      <c r="C30" s="104" t="s">
        <v>496</v>
      </c>
      <c r="D30" s="104" t="s">
        <v>1431</v>
      </c>
      <c r="E30" s="104" t="s">
        <v>1429</v>
      </c>
      <c r="F30" s="104" t="s">
        <v>1638</v>
      </c>
      <c r="M30" s="104" t="s">
        <v>1517</v>
      </c>
      <c r="N30" s="104" t="s">
        <v>1717</v>
      </c>
      <c r="O30" s="101">
        <v>45834</v>
      </c>
      <c r="P30" s="101">
        <v>45834</v>
      </c>
      <c r="Q30" s="101">
        <v>45830</v>
      </c>
      <c r="R30" s="101">
        <v>45836</v>
      </c>
      <c r="S30" s="184">
        <v>26</v>
      </c>
      <c r="T30" s="102">
        <v>19</v>
      </c>
      <c r="U30" s="102">
        <v>0.1</v>
      </c>
      <c r="V30" s="102">
        <v>0</v>
      </c>
      <c r="W30" s="102">
        <v>0.1</v>
      </c>
      <c r="X30" s="103">
        <v>0</v>
      </c>
      <c r="Y30" s="103">
        <v>0</v>
      </c>
      <c r="Z30" s="103">
        <v>0</v>
      </c>
      <c r="AC30" s="102">
        <v>0</v>
      </c>
    </row>
    <row r="31" spans="1:29">
      <c r="A31" s="104" t="s">
        <v>1466</v>
      </c>
      <c r="B31" s="104" t="s">
        <v>1639</v>
      </c>
      <c r="C31" s="104" t="s">
        <v>496</v>
      </c>
      <c r="D31" s="104" t="s">
        <v>1431</v>
      </c>
      <c r="E31" s="104" t="s">
        <v>1429</v>
      </c>
      <c r="F31" s="104" t="s">
        <v>1639</v>
      </c>
      <c r="M31" s="104" t="s">
        <v>1518</v>
      </c>
      <c r="N31" s="104" t="s">
        <v>1717</v>
      </c>
      <c r="O31" s="101">
        <v>45841</v>
      </c>
      <c r="P31" s="101">
        <v>45841</v>
      </c>
      <c r="Q31" s="101">
        <v>45837</v>
      </c>
      <c r="R31" s="101">
        <v>45843</v>
      </c>
      <c r="S31" s="184">
        <v>27</v>
      </c>
      <c r="T31" s="102">
        <v>20</v>
      </c>
      <c r="U31" s="102">
        <v>0.1</v>
      </c>
      <c r="V31" s="102">
        <v>0</v>
      </c>
      <c r="W31" s="102">
        <v>0.1</v>
      </c>
      <c r="X31" s="103">
        <v>0</v>
      </c>
      <c r="Y31" s="103">
        <v>0</v>
      </c>
      <c r="Z31" s="103">
        <v>0</v>
      </c>
      <c r="AC31" s="102">
        <v>0</v>
      </c>
    </row>
    <row r="32" spans="1:29">
      <c r="A32" s="104" t="s">
        <v>1466</v>
      </c>
      <c r="B32" s="104" t="s">
        <v>1640</v>
      </c>
      <c r="C32" s="104" t="s">
        <v>496</v>
      </c>
      <c r="D32" s="104" t="s">
        <v>1431</v>
      </c>
      <c r="E32" s="104" t="s">
        <v>1429</v>
      </c>
      <c r="F32" s="104" t="s">
        <v>1640</v>
      </c>
      <c r="M32" s="104" t="s">
        <v>1519</v>
      </c>
      <c r="N32" s="104" t="s">
        <v>1717</v>
      </c>
      <c r="O32" s="101">
        <v>45848</v>
      </c>
      <c r="P32" s="101">
        <v>45848</v>
      </c>
      <c r="Q32" s="101">
        <v>45844</v>
      </c>
      <c r="R32" s="101">
        <v>45850</v>
      </c>
      <c r="S32" s="184">
        <v>28</v>
      </c>
      <c r="T32" s="102">
        <v>21</v>
      </c>
      <c r="U32" s="102">
        <v>0.1</v>
      </c>
      <c r="V32" s="102">
        <v>0</v>
      </c>
      <c r="W32" s="102">
        <v>0.1</v>
      </c>
      <c r="X32" s="103">
        <v>0</v>
      </c>
      <c r="Y32" s="103">
        <v>0</v>
      </c>
      <c r="Z32" s="103">
        <v>0</v>
      </c>
      <c r="AC32" s="102">
        <v>0</v>
      </c>
    </row>
    <row r="33" spans="1:29">
      <c r="A33" s="104" t="s">
        <v>1466</v>
      </c>
      <c r="B33" s="104" t="s">
        <v>1641</v>
      </c>
      <c r="C33" s="104" t="s">
        <v>496</v>
      </c>
      <c r="D33" s="104" t="s">
        <v>1431</v>
      </c>
      <c r="E33" s="104" t="s">
        <v>1429</v>
      </c>
      <c r="F33" s="104" t="s">
        <v>1641</v>
      </c>
      <c r="M33" s="104" t="s">
        <v>1520</v>
      </c>
      <c r="N33" s="104" t="s">
        <v>1717</v>
      </c>
      <c r="O33" s="101">
        <v>45856</v>
      </c>
      <c r="P33" s="101">
        <v>45856</v>
      </c>
      <c r="Q33" s="101">
        <v>45851</v>
      </c>
      <c r="R33" s="101">
        <v>45857</v>
      </c>
      <c r="S33" s="184">
        <v>29</v>
      </c>
      <c r="T33" s="102">
        <v>22</v>
      </c>
      <c r="U33" s="102">
        <v>0.1</v>
      </c>
      <c r="V33" s="102">
        <v>0</v>
      </c>
      <c r="W33" s="102">
        <v>0.1</v>
      </c>
      <c r="X33" s="103">
        <v>0</v>
      </c>
      <c r="Y33" s="103">
        <v>0</v>
      </c>
      <c r="Z33" s="103">
        <v>0</v>
      </c>
      <c r="AC33" s="102">
        <v>0</v>
      </c>
    </row>
    <row r="34" spans="1:29">
      <c r="A34" s="104" t="s">
        <v>1466</v>
      </c>
      <c r="B34" s="104" t="s">
        <v>1642</v>
      </c>
      <c r="C34" s="104" t="s">
        <v>496</v>
      </c>
      <c r="D34" s="104" t="s">
        <v>1431</v>
      </c>
      <c r="E34" s="104" t="s">
        <v>1429</v>
      </c>
      <c r="F34" s="104" t="s">
        <v>1642</v>
      </c>
      <c r="M34" s="104" t="s">
        <v>1521</v>
      </c>
      <c r="N34" s="104" t="s">
        <v>1717</v>
      </c>
      <c r="O34" s="101">
        <v>45862</v>
      </c>
      <c r="P34" s="101">
        <v>45862</v>
      </c>
      <c r="Q34" s="101">
        <v>45858</v>
      </c>
      <c r="R34" s="101">
        <v>45864</v>
      </c>
      <c r="S34" s="184">
        <v>30</v>
      </c>
      <c r="T34" s="102">
        <v>23</v>
      </c>
      <c r="U34" s="102">
        <v>0.1</v>
      </c>
      <c r="V34" s="102">
        <v>0</v>
      </c>
      <c r="W34" s="102">
        <v>0.1</v>
      </c>
      <c r="X34" s="103">
        <v>0</v>
      </c>
      <c r="Y34" s="103">
        <v>0</v>
      </c>
      <c r="Z34" s="103">
        <v>0</v>
      </c>
      <c r="AC34" s="102">
        <v>0</v>
      </c>
    </row>
    <row r="35" spans="1:29">
      <c r="A35" s="104" t="s">
        <v>1466</v>
      </c>
      <c r="B35" s="104" t="s">
        <v>1643</v>
      </c>
      <c r="C35" s="104" t="s">
        <v>496</v>
      </c>
      <c r="D35" s="104" t="s">
        <v>1431</v>
      </c>
      <c r="E35" s="104" t="s">
        <v>1429</v>
      </c>
      <c r="F35" s="104" t="s">
        <v>1643</v>
      </c>
      <c r="M35" s="104" t="s">
        <v>1522</v>
      </c>
      <c r="N35" s="104" t="s">
        <v>1717</v>
      </c>
      <c r="O35" s="101">
        <v>45869</v>
      </c>
      <c r="P35" s="101">
        <v>45869</v>
      </c>
      <c r="Q35" s="101">
        <v>45865</v>
      </c>
      <c r="R35" s="101">
        <v>45871</v>
      </c>
      <c r="S35" s="184">
        <v>31</v>
      </c>
      <c r="T35" s="102">
        <v>24</v>
      </c>
      <c r="U35" s="102">
        <v>0.1</v>
      </c>
      <c r="V35" s="102">
        <v>0</v>
      </c>
      <c r="W35" s="102">
        <v>0.1</v>
      </c>
      <c r="X35" s="103">
        <v>0</v>
      </c>
      <c r="Y35" s="103">
        <v>0</v>
      </c>
      <c r="Z35" s="103">
        <v>0</v>
      </c>
      <c r="AC35" s="102">
        <v>0</v>
      </c>
    </row>
    <row r="36" spans="1:29">
      <c r="A36" s="104" t="s">
        <v>1466</v>
      </c>
      <c r="B36" s="104" t="s">
        <v>1644</v>
      </c>
      <c r="C36" s="104" t="s">
        <v>496</v>
      </c>
      <c r="D36" s="104" t="s">
        <v>1431</v>
      </c>
      <c r="E36" s="104" t="s">
        <v>1429</v>
      </c>
      <c r="F36" s="104" t="s">
        <v>1644</v>
      </c>
      <c r="M36" s="104" t="s">
        <v>1523</v>
      </c>
      <c r="N36" s="104" t="s">
        <v>1717</v>
      </c>
      <c r="O36" s="101">
        <v>45876</v>
      </c>
      <c r="P36" s="101">
        <v>45876</v>
      </c>
      <c r="Q36" s="101">
        <v>45872</v>
      </c>
      <c r="R36" s="101">
        <v>45878</v>
      </c>
      <c r="S36" s="184">
        <v>32</v>
      </c>
      <c r="T36" s="102">
        <v>25</v>
      </c>
      <c r="U36" s="102">
        <v>0.1</v>
      </c>
      <c r="V36" s="102">
        <v>0</v>
      </c>
      <c r="W36" s="102">
        <v>0.1</v>
      </c>
      <c r="X36" s="103">
        <v>0</v>
      </c>
      <c r="Y36" s="103">
        <v>0</v>
      </c>
      <c r="Z36" s="103">
        <v>0</v>
      </c>
      <c r="AC36" s="102">
        <v>0</v>
      </c>
    </row>
    <row r="37" spans="1:29">
      <c r="A37" s="104" t="s">
        <v>1466</v>
      </c>
      <c r="B37" s="104" t="s">
        <v>1645</v>
      </c>
      <c r="C37" s="104" t="s">
        <v>496</v>
      </c>
      <c r="D37" s="104" t="s">
        <v>1431</v>
      </c>
      <c r="E37" s="104" t="s">
        <v>1429</v>
      </c>
      <c r="F37" s="104" t="s">
        <v>1645</v>
      </c>
      <c r="M37" s="104" t="s">
        <v>1524</v>
      </c>
      <c r="N37" s="104" t="s">
        <v>1717</v>
      </c>
      <c r="O37" s="101">
        <v>45883</v>
      </c>
      <c r="P37" s="101">
        <v>45883</v>
      </c>
      <c r="Q37" s="101">
        <v>45879</v>
      </c>
      <c r="R37" s="101">
        <v>45885</v>
      </c>
      <c r="S37" s="184">
        <v>33</v>
      </c>
      <c r="T37" s="102">
        <v>26</v>
      </c>
      <c r="U37" s="102">
        <v>0.1</v>
      </c>
      <c r="V37" s="102">
        <v>0</v>
      </c>
      <c r="W37" s="102">
        <v>0.1</v>
      </c>
      <c r="X37" s="103">
        <v>0</v>
      </c>
      <c r="Y37" s="103">
        <v>0</v>
      </c>
      <c r="Z37" s="103">
        <v>0</v>
      </c>
      <c r="AC37" s="102">
        <v>0</v>
      </c>
    </row>
    <row r="38" spans="1:29">
      <c r="A38" s="104" t="s">
        <v>1466</v>
      </c>
      <c r="B38" s="104" t="s">
        <v>1646</v>
      </c>
      <c r="C38" s="104" t="s">
        <v>496</v>
      </c>
      <c r="D38" s="104" t="s">
        <v>1431</v>
      </c>
      <c r="E38" s="104" t="s">
        <v>1429</v>
      </c>
      <c r="F38" s="104" t="s">
        <v>1646</v>
      </c>
      <c r="M38" s="104" t="s">
        <v>1525</v>
      </c>
      <c r="N38" s="104" t="s">
        <v>1717</v>
      </c>
      <c r="O38" s="101">
        <v>45890</v>
      </c>
      <c r="P38" s="101">
        <v>45890</v>
      </c>
      <c r="Q38" s="101">
        <v>45886</v>
      </c>
      <c r="R38" s="101">
        <v>45892</v>
      </c>
      <c r="S38" s="184">
        <v>34</v>
      </c>
      <c r="T38" s="102">
        <v>27</v>
      </c>
      <c r="U38" s="102">
        <v>0.1</v>
      </c>
      <c r="V38" s="102">
        <v>0</v>
      </c>
      <c r="W38" s="102">
        <v>0.1</v>
      </c>
      <c r="X38" s="103">
        <v>0</v>
      </c>
      <c r="Y38" s="103">
        <v>0</v>
      </c>
      <c r="Z38" s="103">
        <v>0</v>
      </c>
      <c r="AC38" s="102">
        <v>0</v>
      </c>
    </row>
    <row r="39" spans="1:29">
      <c r="A39" s="104" t="s">
        <v>1466</v>
      </c>
      <c r="B39" s="104" t="s">
        <v>1647</v>
      </c>
      <c r="C39" s="104" t="s">
        <v>496</v>
      </c>
      <c r="D39" s="104" t="s">
        <v>1431</v>
      </c>
      <c r="E39" s="104" t="s">
        <v>1429</v>
      </c>
      <c r="F39" s="104" t="s">
        <v>1647</v>
      </c>
      <c r="M39" s="104" t="s">
        <v>1526</v>
      </c>
      <c r="N39" s="104" t="s">
        <v>1717</v>
      </c>
      <c r="O39" s="101">
        <v>45897</v>
      </c>
      <c r="P39" s="101">
        <v>45897</v>
      </c>
      <c r="Q39" s="101">
        <v>45893</v>
      </c>
      <c r="R39" s="101">
        <v>45899</v>
      </c>
      <c r="S39" s="184">
        <v>35</v>
      </c>
      <c r="T39" s="102">
        <v>28</v>
      </c>
      <c r="U39" s="102">
        <v>0.1</v>
      </c>
      <c r="V39" s="102">
        <v>0</v>
      </c>
      <c r="W39" s="102">
        <v>0.1</v>
      </c>
      <c r="X39" s="103">
        <v>0</v>
      </c>
      <c r="Y39" s="103">
        <v>0</v>
      </c>
      <c r="Z39" s="103">
        <v>0</v>
      </c>
      <c r="AC39" s="102">
        <v>0</v>
      </c>
    </row>
    <row r="40" spans="1:29">
      <c r="A40" s="104" t="s">
        <v>1466</v>
      </c>
      <c r="B40" s="104" t="s">
        <v>1648</v>
      </c>
      <c r="C40" s="104" t="s">
        <v>496</v>
      </c>
      <c r="D40" s="104" t="s">
        <v>1431</v>
      </c>
      <c r="E40" s="104" t="s">
        <v>1429</v>
      </c>
      <c r="F40" s="104" t="s">
        <v>1648</v>
      </c>
      <c r="M40" s="104" t="s">
        <v>1527</v>
      </c>
      <c r="N40" s="104" t="s">
        <v>1717</v>
      </c>
      <c r="O40" s="101">
        <v>45904</v>
      </c>
      <c r="P40" s="101">
        <v>45904</v>
      </c>
      <c r="Q40" s="101">
        <v>45900</v>
      </c>
      <c r="R40" s="101">
        <v>45906</v>
      </c>
      <c r="S40" s="184">
        <v>36</v>
      </c>
      <c r="T40" s="102">
        <v>29</v>
      </c>
      <c r="U40" s="102">
        <v>0.1</v>
      </c>
      <c r="V40" s="102">
        <v>0</v>
      </c>
      <c r="W40" s="102">
        <v>0.1</v>
      </c>
      <c r="X40" s="103">
        <v>0</v>
      </c>
      <c r="Y40" s="103">
        <v>0</v>
      </c>
      <c r="Z40" s="103">
        <v>0</v>
      </c>
      <c r="AC40" s="102">
        <v>0</v>
      </c>
    </row>
    <row r="41" spans="1:29">
      <c r="A41" s="104" t="s">
        <v>1466</v>
      </c>
      <c r="B41" s="104" t="s">
        <v>1649</v>
      </c>
      <c r="C41" s="104" t="s">
        <v>496</v>
      </c>
      <c r="D41" s="104" t="s">
        <v>1431</v>
      </c>
      <c r="E41" s="104" t="s">
        <v>1429</v>
      </c>
      <c r="F41" s="104" t="s">
        <v>1649</v>
      </c>
      <c r="M41" s="104" t="s">
        <v>1528</v>
      </c>
      <c r="N41" s="104" t="s">
        <v>1717</v>
      </c>
      <c r="O41" s="101">
        <v>45911</v>
      </c>
      <c r="P41" s="101">
        <v>45911</v>
      </c>
      <c r="Q41" s="101">
        <v>45907</v>
      </c>
      <c r="R41" s="101">
        <v>45913</v>
      </c>
      <c r="S41" s="184">
        <v>37</v>
      </c>
      <c r="T41" s="102">
        <v>30</v>
      </c>
      <c r="U41" s="102">
        <v>0.1</v>
      </c>
      <c r="V41" s="102">
        <v>0</v>
      </c>
      <c r="W41" s="102">
        <v>0.1</v>
      </c>
      <c r="X41" s="103">
        <v>0</v>
      </c>
      <c r="Y41" s="103">
        <v>0</v>
      </c>
      <c r="Z41" s="103">
        <v>0</v>
      </c>
      <c r="AC41" s="102">
        <v>0</v>
      </c>
    </row>
    <row r="42" spans="1:29">
      <c r="A42" s="104" t="s">
        <v>1466</v>
      </c>
      <c r="B42" s="104" t="s">
        <v>1650</v>
      </c>
      <c r="C42" s="104" t="s">
        <v>496</v>
      </c>
      <c r="D42" s="104" t="s">
        <v>1431</v>
      </c>
      <c r="E42" s="104" t="s">
        <v>1429</v>
      </c>
      <c r="F42" s="104" t="s">
        <v>1650</v>
      </c>
      <c r="M42" s="104" t="s">
        <v>1529</v>
      </c>
      <c r="N42" s="104" t="s">
        <v>1717</v>
      </c>
      <c r="O42" s="101">
        <v>45918</v>
      </c>
      <c r="P42" s="101">
        <v>45918</v>
      </c>
      <c r="Q42" s="101">
        <v>45914</v>
      </c>
      <c r="R42" s="101">
        <v>45920</v>
      </c>
      <c r="S42" s="184">
        <v>38</v>
      </c>
      <c r="T42" s="102">
        <v>31</v>
      </c>
      <c r="U42" s="102">
        <v>0.1</v>
      </c>
      <c r="V42" s="102">
        <v>0</v>
      </c>
      <c r="W42" s="102">
        <v>0.1</v>
      </c>
      <c r="X42" s="103">
        <v>0</v>
      </c>
      <c r="Y42" s="103">
        <v>0</v>
      </c>
      <c r="Z42" s="103">
        <v>0</v>
      </c>
      <c r="AC42" s="102">
        <v>0</v>
      </c>
    </row>
    <row r="43" spans="1:29">
      <c r="A43" s="104" t="s">
        <v>1466</v>
      </c>
      <c r="B43" s="104" t="s">
        <v>1651</v>
      </c>
      <c r="C43" s="104" t="s">
        <v>496</v>
      </c>
      <c r="D43" s="104" t="s">
        <v>1431</v>
      </c>
      <c r="E43" s="104" t="s">
        <v>1429</v>
      </c>
      <c r="F43" s="104" t="s">
        <v>1651</v>
      </c>
      <c r="M43" s="104" t="s">
        <v>1530</v>
      </c>
      <c r="N43" s="104" t="s">
        <v>1717</v>
      </c>
      <c r="O43" s="101">
        <v>45925</v>
      </c>
      <c r="P43" s="101">
        <v>45925</v>
      </c>
      <c r="Q43" s="101">
        <v>45921</v>
      </c>
      <c r="R43" s="101">
        <v>45927</v>
      </c>
      <c r="S43" s="184">
        <v>39</v>
      </c>
      <c r="T43" s="102">
        <v>32</v>
      </c>
      <c r="U43" s="102">
        <v>0.1</v>
      </c>
      <c r="V43" s="102">
        <v>0</v>
      </c>
      <c r="W43" s="102">
        <v>0.1</v>
      </c>
      <c r="X43" s="103">
        <v>0</v>
      </c>
      <c r="Y43" s="103">
        <v>0</v>
      </c>
      <c r="Z43" s="103">
        <v>0</v>
      </c>
      <c r="AC43" s="102">
        <v>0</v>
      </c>
    </row>
    <row r="44" spans="1:29">
      <c r="A44" s="104" t="s">
        <v>1466</v>
      </c>
      <c r="B44" s="104" t="s">
        <v>1652</v>
      </c>
      <c r="C44" s="104" t="s">
        <v>496</v>
      </c>
      <c r="D44" s="104" t="s">
        <v>1431</v>
      </c>
      <c r="E44" s="104" t="s">
        <v>1429</v>
      </c>
      <c r="F44" s="104" t="s">
        <v>1652</v>
      </c>
      <c r="M44" s="104" t="s">
        <v>1531</v>
      </c>
      <c r="N44" s="104" t="s">
        <v>1717</v>
      </c>
      <c r="O44" s="101">
        <v>45932</v>
      </c>
      <c r="P44" s="101">
        <v>45932</v>
      </c>
      <c r="Q44" s="101">
        <v>45928</v>
      </c>
      <c r="R44" s="101">
        <v>45934</v>
      </c>
      <c r="S44" s="184">
        <v>40</v>
      </c>
      <c r="T44" s="102">
        <v>33</v>
      </c>
      <c r="U44" s="102">
        <v>0.1</v>
      </c>
      <c r="V44" s="102">
        <v>0</v>
      </c>
      <c r="W44" s="102">
        <v>0.1</v>
      </c>
      <c r="X44" s="103">
        <v>0</v>
      </c>
      <c r="Y44" s="103">
        <v>0</v>
      </c>
      <c r="Z44" s="103">
        <v>0</v>
      </c>
      <c r="AC44" s="102">
        <v>0</v>
      </c>
    </row>
    <row r="45" spans="1:29">
      <c r="A45" s="104" t="s">
        <v>1466</v>
      </c>
      <c r="B45" s="104" t="s">
        <v>1653</v>
      </c>
      <c r="C45" s="104" t="s">
        <v>496</v>
      </c>
      <c r="D45" s="104" t="s">
        <v>1431</v>
      </c>
      <c r="E45" s="104" t="s">
        <v>1429</v>
      </c>
      <c r="F45" s="104" t="s">
        <v>1653</v>
      </c>
      <c r="M45" s="104" t="s">
        <v>1532</v>
      </c>
      <c r="N45" s="104" t="s">
        <v>1717</v>
      </c>
      <c r="O45" s="101">
        <v>45940</v>
      </c>
      <c r="P45" s="101">
        <v>45940</v>
      </c>
      <c r="Q45" s="101">
        <v>45935</v>
      </c>
      <c r="R45" s="101">
        <v>45941</v>
      </c>
      <c r="S45" s="184">
        <v>41</v>
      </c>
      <c r="T45" s="102">
        <v>34</v>
      </c>
      <c r="U45" s="102">
        <v>0</v>
      </c>
      <c r="V45" s="102">
        <v>0</v>
      </c>
      <c r="W45" s="102">
        <v>0.1</v>
      </c>
      <c r="X45" s="103">
        <v>0</v>
      </c>
      <c r="Y45" s="103">
        <v>0</v>
      </c>
      <c r="Z45" s="103">
        <v>0</v>
      </c>
      <c r="AC45" s="102">
        <v>0</v>
      </c>
    </row>
    <row r="46" spans="1:29">
      <c r="A46" s="104" t="s">
        <v>1466</v>
      </c>
      <c r="B46" s="104" t="s">
        <v>1654</v>
      </c>
      <c r="C46" s="104" t="s">
        <v>496</v>
      </c>
      <c r="D46" s="104" t="s">
        <v>1431</v>
      </c>
      <c r="E46" s="104" t="s">
        <v>1429</v>
      </c>
      <c r="F46" s="104" t="s">
        <v>1654</v>
      </c>
      <c r="M46" s="104" t="s">
        <v>1533</v>
      </c>
      <c r="N46" s="104" t="s">
        <v>1717</v>
      </c>
      <c r="O46" s="101">
        <v>45946</v>
      </c>
      <c r="P46" s="101">
        <v>45946</v>
      </c>
      <c r="Q46" s="101">
        <v>45942</v>
      </c>
      <c r="R46" s="101">
        <v>45948</v>
      </c>
      <c r="S46" s="184">
        <v>42</v>
      </c>
      <c r="T46" s="102">
        <v>35</v>
      </c>
      <c r="U46" s="102">
        <v>0.1</v>
      </c>
      <c r="V46" s="102">
        <v>0</v>
      </c>
      <c r="W46" s="102">
        <v>0.1</v>
      </c>
      <c r="X46" s="103">
        <v>0</v>
      </c>
      <c r="Y46" s="103">
        <v>0</v>
      </c>
      <c r="Z46" s="103">
        <v>0</v>
      </c>
      <c r="AC46" s="102">
        <v>0</v>
      </c>
    </row>
    <row r="47" spans="1:29">
      <c r="A47" s="104" t="s">
        <v>1466</v>
      </c>
      <c r="B47" s="104" t="s">
        <v>1655</v>
      </c>
      <c r="C47" s="104" t="s">
        <v>496</v>
      </c>
      <c r="D47" s="104" t="s">
        <v>1431</v>
      </c>
      <c r="E47" s="104" t="s">
        <v>1429</v>
      </c>
      <c r="F47" s="104" t="s">
        <v>1655</v>
      </c>
      <c r="M47" s="104" t="s">
        <v>1534</v>
      </c>
      <c r="N47" s="104" t="s">
        <v>1717</v>
      </c>
      <c r="O47" s="101">
        <v>45953</v>
      </c>
      <c r="P47" s="101">
        <v>45953</v>
      </c>
      <c r="Q47" s="101">
        <v>45949</v>
      </c>
      <c r="R47" s="101">
        <v>45955</v>
      </c>
      <c r="S47" s="184">
        <v>43</v>
      </c>
      <c r="T47" s="102">
        <v>36</v>
      </c>
      <c r="U47" s="102">
        <v>0.1</v>
      </c>
      <c r="V47" s="102">
        <v>0</v>
      </c>
      <c r="W47" s="102">
        <v>0.1</v>
      </c>
      <c r="X47" s="103">
        <v>0</v>
      </c>
      <c r="Y47" s="103">
        <v>0</v>
      </c>
      <c r="Z47" s="103">
        <v>0</v>
      </c>
      <c r="AC47" s="102">
        <v>0</v>
      </c>
    </row>
    <row r="48" spans="1:29">
      <c r="A48" s="104" t="s">
        <v>1466</v>
      </c>
      <c r="B48" s="104" t="s">
        <v>1656</v>
      </c>
      <c r="C48" s="104" t="s">
        <v>496</v>
      </c>
      <c r="D48" s="104" t="s">
        <v>1431</v>
      </c>
      <c r="E48" s="104" t="s">
        <v>1429</v>
      </c>
      <c r="F48" s="104" t="s">
        <v>1656</v>
      </c>
      <c r="M48" s="104" t="s">
        <v>1535</v>
      </c>
      <c r="N48" s="104" t="s">
        <v>1717</v>
      </c>
      <c r="O48" s="101">
        <v>45960</v>
      </c>
      <c r="P48" s="101">
        <v>45960</v>
      </c>
      <c r="Q48" s="101">
        <v>45956</v>
      </c>
      <c r="R48" s="101">
        <v>45962</v>
      </c>
      <c r="S48" s="184">
        <v>44</v>
      </c>
      <c r="T48" s="102">
        <v>37</v>
      </c>
      <c r="U48" s="102">
        <v>0.1</v>
      </c>
      <c r="V48" s="102">
        <v>0</v>
      </c>
      <c r="W48" s="102">
        <v>0.1</v>
      </c>
      <c r="X48" s="103">
        <v>0</v>
      </c>
      <c r="Y48" s="103">
        <v>0</v>
      </c>
      <c r="Z48" s="103">
        <v>0</v>
      </c>
      <c r="AC48" s="102">
        <v>0</v>
      </c>
    </row>
    <row r="49" spans="1:29">
      <c r="A49" s="104" t="s">
        <v>1466</v>
      </c>
      <c r="B49" s="104" t="s">
        <v>1657</v>
      </c>
      <c r="C49" s="104" t="s">
        <v>496</v>
      </c>
      <c r="D49" s="104" t="s">
        <v>1431</v>
      </c>
      <c r="E49" s="104" t="s">
        <v>1429</v>
      </c>
      <c r="F49" s="104" t="s">
        <v>1657</v>
      </c>
      <c r="M49" s="104" t="s">
        <v>1536</v>
      </c>
      <c r="N49" s="104" t="s">
        <v>1717</v>
      </c>
      <c r="O49" s="101">
        <v>45967</v>
      </c>
      <c r="P49" s="101">
        <v>45967</v>
      </c>
      <c r="Q49" s="101">
        <v>45963</v>
      </c>
      <c r="R49" s="101">
        <v>45969</v>
      </c>
      <c r="S49" s="184">
        <v>45</v>
      </c>
      <c r="T49" s="102">
        <v>38</v>
      </c>
      <c r="U49" s="102">
        <v>0.1</v>
      </c>
      <c r="V49" s="102">
        <v>0</v>
      </c>
      <c r="W49" s="102">
        <v>0.1</v>
      </c>
      <c r="X49" s="103">
        <v>0</v>
      </c>
      <c r="Y49" s="103">
        <v>0</v>
      </c>
      <c r="Z49" s="103">
        <v>0</v>
      </c>
      <c r="AC49" s="102">
        <v>0</v>
      </c>
    </row>
    <row r="50" spans="1:29">
      <c r="A50" s="104" t="s">
        <v>1466</v>
      </c>
      <c r="B50" s="104" t="s">
        <v>1658</v>
      </c>
      <c r="C50" s="104" t="s">
        <v>496</v>
      </c>
      <c r="D50" s="104" t="s">
        <v>1431</v>
      </c>
      <c r="E50" s="104" t="s">
        <v>1429</v>
      </c>
      <c r="F50" s="104" t="s">
        <v>1658</v>
      </c>
      <c r="M50" s="104" t="s">
        <v>1537</v>
      </c>
      <c r="N50" s="104" t="s">
        <v>1717</v>
      </c>
      <c r="O50" s="101">
        <v>45974</v>
      </c>
      <c r="P50" s="101">
        <v>45974</v>
      </c>
      <c r="Q50" s="101">
        <v>45970</v>
      </c>
      <c r="R50" s="101">
        <v>45976</v>
      </c>
      <c r="S50" s="184">
        <v>46</v>
      </c>
      <c r="T50" s="102">
        <v>39</v>
      </c>
      <c r="U50" s="102">
        <v>0.1</v>
      </c>
      <c r="V50" s="102">
        <v>0</v>
      </c>
      <c r="W50" s="102">
        <v>0.1</v>
      </c>
      <c r="X50" s="103">
        <v>0</v>
      </c>
      <c r="Y50" s="103">
        <v>0</v>
      </c>
      <c r="Z50" s="103">
        <v>0</v>
      </c>
      <c r="AC50" s="102">
        <v>0</v>
      </c>
    </row>
    <row r="51" spans="1:29">
      <c r="A51" s="104" t="s">
        <v>1466</v>
      </c>
      <c r="B51" s="104" t="s">
        <v>1659</v>
      </c>
      <c r="C51" s="104" t="s">
        <v>496</v>
      </c>
      <c r="D51" s="104" t="s">
        <v>1431</v>
      </c>
      <c r="E51" s="104" t="s">
        <v>1429</v>
      </c>
      <c r="F51" s="104" t="s">
        <v>1659</v>
      </c>
      <c r="M51" s="104" t="s">
        <v>1597</v>
      </c>
      <c r="N51" s="104" t="s">
        <v>1717</v>
      </c>
      <c r="O51" s="101">
        <v>45981</v>
      </c>
      <c r="P51" s="101">
        <v>45981</v>
      </c>
      <c r="Q51" s="101">
        <v>45977</v>
      </c>
      <c r="R51" s="101">
        <v>45983</v>
      </c>
      <c r="S51" s="184">
        <v>47</v>
      </c>
      <c r="T51" s="102">
        <v>40</v>
      </c>
      <c r="U51" s="102">
        <v>0.1</v>
      </c>
      <c r="V51" s="102">
        <v>0</v>
      </c>
      <c r="W51" s="102">
        <v>0.1</v>
      </c>
      <c r="X51" s="103">
        <v>0</v>
      </c>
      <c r="Y51" s="103">
        <v>0</v>
      </c>
      <c r="Z51" s="103">
        <v>0</v>
      </c>
      <c r="AC51" s="102">
        <v>0</v>
      </c>
    </row>
    <row r="52" spans="1:29">
      <c r="A52" s="104" t="s">
        <v>1466</v>
      </c>
      <c r="B52" s="104" t="s">
        <v>1660</v>
      </c>
      <c r="C52" s="104" t="s">
        <v>496</v>
      </c>
      <c r="D52" s="104" t="s">
        <v>1431</v>
      </c>
      <c r="E52" s="104" t="s">
        <v>1429</v>
      </c>
      <c r="F52" s="104" t="s">
        <v>1660</v>
      </c>
      <c r="M52" s="104" t="s">
        <v>1598</v>
      </c>
      <c r="N52" s="104" t="s">
        <v>1717</v>
      </c>
      <c r="O52" s="101">
        <v>45988</v>
      </c>
      <c r="P52" s="101">
        <v>45988</v>
      </c>
      <c r="Q52" s="101">
        <v>45984</v>
      </c>
      <c r="R52" s="101">
        <v>45990</v>
      </c>
      <c r="S52" s="184">
        <v>48</v>
      </c>
      <c r="T52" s="102">
        <v>41</v>
      </c>
      <c r="U52" s="102">
        <v>0.1</v>
      </c>
      <c r="V52" s="102">
        <v>0</v>
      </c>
      <c r="W52" s="102">
        <v>0.1</v>
      </c>
      <c r="X52" s="103">
        <v>0</v>
      </c>
      <c r="Y52" s="103">
        <v>0</v>
      </c>
      <c r="Z52" s="103">
        <v>0</v>
      </c>
      <c r="AC52" s="102">
        <v>0</v>
      </c>
    </row>
    <row r="53" spans="1:29">
      <c r="A53" s="104" t="s">
        <v>1466</v>
      </c>
      <c r="B53" s="104" t="s">
        <v>1661</v>
      </c>
      <c r="C53" s="104" t="s">
        <v>496</v>
      </c>
      <c r="D53" s="104" t="s">
        <v>1431</v>
      </c>
      <c r="E53" s="104" t="s">
        <v>1429</v>
      </c>
      <c r="F53" s="104" t="s">
        <v>1661</v>
      </c>
      <c r="M53" s="104" t="s">
        <v>1599</v>
      </c>
      <c r="N53" s="104" t="s">
        <v>1717</v>
      </c>
      <c r="O53" s="101">
        <v>45995</v>
      </c>
      <c r="P53" s="101">
        <v>45995</v>
      </c>
      <c r="Q53" s="101">
        <v>45991</v>
      </c>
      <c r="R53" s="101">
        <v>45997</v>
      </c>
      <c r="S53" s="184">
        <v>49</v>
      </c>
      <c r="T53" s="102">
        <v>42</v>
      </c>
      <c r="U53" s="102">
        <v>0.1</v>
      </c>
      <c r="V53" s="102">
        <v>0</v>
      </c>
      <c r="W53" s="102">
        <v>0.1</v>
      </c>
      <c r="X53" s="103">
        <v>0</v>
      </c>
      <c r="Y53" s="103">
        <v>0</v>
      </c>
      <c r="Z53" s="103">
        <v>0</v>
      </c>
      <c r="AC53" s="102">
        <v>0</v>
      </c>
    </row>
    <row r="54" spans="1:29">
      <c r="A54" s="104" t="s">
        <v>1466</v>
      </c>
      <c r="B54" s="104" t="s">
        <v>1662</v>
      </c>
      <c r="C54" s="104" t="s">
        <v>496</v>
      </c>
      <c r="D54" s="104" t="s">
        <v>1431</v>
      </c>
      <c r="E54" s="104" t="s">
        <v>1429</v>
      </c>
      <c r="F54" s="104" t="s">
        <v>1662</v>
      </c>
      <c r="M54" s="104" t="s">
        <v>1600</v>
      </c>
      <c r="N54" s="104" t="s">
        <v>1717</v>
      </c>
      <c r="O54" s="101">
        <v>46002</v>
      </c>
      <c r="P54" s="101">
        <v>46002</v>
      </c>
      <c r="Q54" s="101">
        <v>45998</v>
      </c>
      <c r="R54" s="101">
        <v>46004</v>
      </c>
      <c r="S54" s="184">
        <v>50</v>
      </c>
      <c r="T54" s="102">
        <v>43</v>
      </c>
      <c r="U54" s="102">
        <v>0.1</v>
      </c>
      <c r="V54" s="102">
        <v>0</v>
      </c>
      <c r="W54" s="102">
        <v>0.1</v>
      </c>
      <c r="X54" s="103">
        <v>0</v>
      </c>
      <c r="Y54" s="103">
        <v>0</v>
      </c>
      <c r="Z54" s="103">
        <v>0</v>
      </c>
      <c r="AC54" s="102">
        <v>0</v>
      </c>
    </row>
    <row r="55" spans="1:29">
      <c r="A55" s="104" t="s">
        <v>1466</v>
      </c>
      <c r="B55" s="104" t="s">
        <v>1663</v>
      </c>
      <c r="C55" s="104" t="s">
        <v>496</v>
      </c>
      <c r="D55" s="104" t="s">
        <v>1431</v>
      </c>
      <c r="E55" s="104" t="s">
        <v>1429</v>
      </c>
      <c r="F55" s="104" t="s">
        <v>1663</v>
      </c>
      <c r="M55" s="104" t="s">
        <v>1601</v>
      </c>
      <c r="N55" s="104" t="s">
        <v>1717</v>
      </c>
      <c r="O55" s="101">
        <v>46009</v>
      </c>
      <c r="P55" s="101">
        <v>46009</v>
      </c>
      <c r="Q55" s="101">
        <v>46005</v>
      </c>
      <c r="R55" s="101">
        <v>46011</v>
      </c>
      <c r="S55" s="184">
        <v>51</v>
      </c>
      <c r="T55" s="102">
        <v>44</v>
      </c>
      <c r="U55" s="102">
        <v>0.1</v>
      </c>
      <c r="V55" s="102">
        <v>0</v>
      </c>
      <c r="W55" s="102">
        <v>0.1</v>
      </c>
      <c r="X55" s="103">
        <v>0</v>
      </c>
      <c r="Y55" s="103">
        <v>0</v>
      </c>
      <c r="Z55" s="103">
        <v>0</v>
      </c>
      <c r="AC55" s="102">
        <v>0</v>
      </c>
    </row>
    <row r="56" spans="1:29">
      <c r="A56" s="104" t="s">
        <v>1466</v>
      </c>
      <c r="B56" s="104" t="s">
        <v>1664</v>
      </c>
      <c r="C56" s="104" t="s">
        <v>496</v>
      </c>
      <c r="D56" s="104" t="s">
        <v>1431</v>
      </c>
      <c r="E56" s="104" t="s">
        <v>1429</v>
      </c>
      <c r="F56" s="104" t="s">
        <v>1664</v>
      </c>
      <c r="M56" s="104" t="s">
        <v>1602</v>
      </c>
      <c r="N56" s="104" t="s">
        <v>1717</v>
      </c>
      <c r="O56" s="101">
        <v>46017</v>
      </c>
      <c r="P56" s="101">
        <v>46017</v>
      </c>
      <c r="Q56" s="101">
        <v>46012</v>
      </c>
      <c r="R56" s="101">
        <v>46018</v>
      </c>
      <c r="S56" s="184">
        <v>52</v>
      </c>
      <c r="T56" s="102">
        <v>45</v>
      </c>
      <c r="U56" s="102">
        <v>0.1</v>
      </c>
      <c r="V56" s="102">
        <v>0</v>
      </c>
      <c r="W56" s="102">
        <v>0.1</v>
      </c>
      <c r="X56" s="103">
        <v>0</v>
      </c>
      <c r="Y56" s="103">
        <v>0</v>
      </c>
      <c r="Z56" s="103">
        <v>0</v>
      </c>
      <c r="AC56" s="102">
        <v>0</v>
      </c>
    </row>
    <row r="57" spans="1:29">
      <c r="A57" s="104" t="s">
        <v>1466</v>
      </c>
      <c r="B57" s="104" t="s">
        <v>1665</v>
      </c>
      <c r="C57" s="104" t="s">
        <v>496</v>
      </c>
      <c r="D57" s="104" t="s">
        <v>1431</v>
      </c>
      <c r="E57" s="104" t="s">
        <v>1429</v>
      </c>
      <c r="F57" s="104" t="s">
        <v>1665</v>
      </c>
      <c r="M57" s="104" t="s">
        <v>1603</v>
      </c>
      <c r="N57" s="104" t="s">
        <v>1717</v>
      </c>
      <c r="O57" s="101">
        <v>46024</v>
      </c>
      <c r="P57" s="101">
        <v>46024</v>
      </c>
      <c r="Q57" s="101">
        <v>46019</v>
      </c>
      <c r="R57" s="101">
        <v>46025</v>
      </c>
      <c r="S57" s="184">
        <v>53</v>
      </c>
      <c r="T57" s="102">
        <v>46</v>
      </c>
      <c r="U57" s="102">
        <v>0.1</v>
      </c>
      <c r="V57" s="102">
        <v>0</v>
      </c>
      <c r="W57" s="102">
        <v>0.1</v>
      </c>
      <c r="X57" s="103">
        <v>0</v>
      </c>
      <c r="Y57" s="103">
        <v>0</v>
      </c>
      <c r="Z57" s="103">
        <v>0</v>
      </c>
      <c r="AC57" s="102">
        <v>0</v>
      </c>
    </row>
    <row r="58" spans="1:29">
      <c r="A58" s="104" t="s">
        <v>1466</v>
      </c>
      <c r="B58" s="104" t="s">
        <v>1666</v>
      </c>
      <c r="C58" s="104" t="s">
        <v>496</v>
      </c>
      <c r="D58" s="104" t="s">
        <v>1431</v>
      </c>
      <c r="E58" s="104" t="s">
        <v>1429</v>
      </c>
      <c r="F58" s="104" t="s">
        <v>1666</v>
      </c>
      <c r="M58" s="104" t="s">
        <v>1604</v>
      </c>
      <c r="N58" s="104" t="s">
        <v>1717</v>
      </c>
      <c r="O58" s="101">
        <v>46030</v>
      </c>
      <c r="P58" s="101">
        <v>46030</v>
      </c>
      <c r="Q58" s="101">
        <v>46026</v>
      </c>
      <c r="R58" s="101">
        <v>46032</v>
      </c>
      <c r="S58" s="184">
        <v>2</v>
      </c>
      <c r="T58" s="102">
        <v>47</v>
      </c>
      <c r="U58" s="102">
        <v>0.1</v>
      </c>
      <c r="V58" s="102">
        <v>0</v>
      </c>
      <c r="W58" s="102">
        <v>0.1</v>
      </c>
      <c r="X58" s="103">
        <v>0</v>
      </c>
      <c r="Y58" s="103">
        <v>0</v>
      </c>
      <c r="Z58" s="103">
        <v>0</v>
      </c>
      <c r="AC58" s="102">
        <v>0</v>
      </c>
    </row>
    <row r="59" spans="1:29">
      <c r="A59" s="104" t="s">
        <v>1466</v>
      </c>
      <c r="B59" s="104" t="s">
        <v>1667</v>
      </c>
      <c r="C59" s="104" t="s">
        <v>496</v>
      </c>
      <c r="D59" s="104" t="s">
        <v>1431</v>
      </c>
      <c r="E59" s="104" t="s">
        <v>1429</v>
      </c>
      <c r="F59" s="104" t="s">
        <v>1667</v>
      </c>
      <c r="M59" s="104" t="s">
        <v>1605</v>
      </c>
      <c r="N59" s="104" t="s">
        <v>1717</v>
      </c>
      <c r="O59" s="101">
        <v>46037</v>
      </c>
      <c r="P59" s="101">
        <v>46037</v>
      </c>
      <c r="Q59" s="101">
        <v>46033</v>
      </c>
      <c r="R59" s="101">
        <v>46039</v>
      </c>
      <c r="S59" s="184">
        <v>3</v>
      </c>
      <c r="T59" s="102">
        <v>48</v>
      </c>
      <c r="U59" s="102">
        <v>0.1</v>
      </c>
      <c r="V59" s="102">
        <v>0</v>
      </c>
      <c r="W59" s="102">
        <v>0.1</v>
      </c>
      <c r="X59" s="103">
        <v>0</v>
      </c>
      <c r="Y59" s="103">
        <v>0</v>
      </c>
      <c r="Z59" s="103">
        <v>0</v>
      </c>
      <c r="AC59" s="102">
        <v>0</v>
      </c>
    </row>
    <row r="60" spans="1:29">
      <c r="A60" s="104" t="s">
        <v>1466</v>
      </c>
      <c r="B60" s="104" t="s">
        <v>1668</v>
      </c>
      <c r="C60" s="104" t="s">
        <v>496</v>
      </c>
      <c r="D60" s="104" t="s">
        <v>1431</v>
      </c>
      <c r="E60" s="104" t="s">
        <v>1429</v>
      </c>
      <c r="F60" s="104" t="s">
        <v>1668</v>
      </c>
      <c r="M60" s="104" t="s">
        <v>1606</v>
      </c>
      <c r="N60" s="104" t="s">
        <v>1717</v>
      </c>
      <c r="O60" s="101">
        <v>46044</v>
      </c>
      <c r="P60" s="101">
        <v>46044</v>
      </c>
      <c r="Q60" s="101">
        <v>46040</v>
      </c>
      <c r="R60" s="101">
        <v>46046</v>
      </c>
      <c r="S60" s="184">
        <v>4</v>
      </c>
      <c r="T60" s="102">
        <v>49</v>
      </c>
      <c r="U60" s="102">
        <v>0.1</v>
      </c>
      <c r="V60" s="102">
        <v>0</v>
      </c>
      <c r="W60" s="102">
        <v>0.1</v>
      </c>
      <c r="X60" s="103">
        <v>0</v>
      </c>
      <c r="Y60" s="103">
        <v>0</v>
      </c>
      <c r="Z60" s="103">
        <v>0</v>
      </c>
      <c r="AC60" s="102">
        <v>0</v>
      </c>
    </row>
    <row r="61" spans="1:29">
      <c r="A61" s="104" t="s">
        <v>1466</v>
      </c>
      <c r="B61" s="104" t="s">
        <v>1669</v>
      </c>
      <c r="C61" s="104" t="s">
        <v>496</v>
      </c>
      <c r="D61" s="104" t="s">
        <v>1431</v>
      </c>
      <c r="E61" s="104" t="s">
        <v>1429</v>
      </c>
      <c r="F61" s="104" t="s">
        <v>1669</v>
      </c>
      <c r="M61" s="104" t="s">
        <v>1607</v>
      </c>
      <c r="N61" s="104" t="s">
        <v>1717</v>
      </c>
      <c r="O61" s="101">
        <v>46051</v>
      </c>
      <c r="P61" s="101">
        <v>46051</v>
      </c>
      <c r="Q61" s="101">
        <v>46047</v>
      </c>
      <c r="R61" s="101">
        <v>46053</v>
      </c>
      <c r="S61" s="184">
        <v>5</v>
      </c>
      <c r="T61" s="102">
        <v>50</v>
      </c>
      <c r="U61" s="102">
        <v>0.1</v>
      </c>
      <c r="V61" s="102">
        <v>0</v>
      </c>
      <c r="W61" s="102">
        <v>0.1</v>
      </c>
      <c r="X61" s="103">
        <v>0</v>
      </c>
      <c r="Y61" s="103">
        <v>0</v>
      </c>
      <c r="Z61" s="103">
        <v>0</v>
      </c>
      <c r="AC61" s="102">
        <v>0</v>
      </c>
    </row>
    <row r="62" spans="1:29">
      <c r="A62" s="104" t="s">
        <v>1466</v>
      </c>
      <c r="B62" s="104" t="s">
        <v>1670</v>
      </c>
      <c r="C62" s="104" t="s">
        <v>496</v>
      </c>
      <c r="D62" s="104" t="s">
        <v>1431</v>
      </c>
      <c r="E62" s="104" t="s">
        <v>1429</v>
      </c>
      <c r="F62" s="104" t="s">
        <v>1670</v>
      </c>
      <c r="M62" s="104" t="s">
        <v>1608</v>
      </c>
      <c r="N62" s="104" t="s">
        <v>1717</v>
      </c>
      <c r="O62" s="101">
        <v>46058</v>
      </c>
      <c r="P62" s="101">
        <v>46058</v>
      </c>
      <c r="Q62" s="101">
        <v>46054</v>
      </c>
      <c r="R62" s="101">
        <v>46060</v>
      </c>
      <c r="S62" s="184">
        <v>6</v>
      </c>
      <c r="T62" s="102">
        <v>51</v>
      </c>
      <c r="U62" s="102">
        <v>0.1</v>
      </c>
      <c r="V62" s="102">
        <v>0</v>
      </c>
      <c r="W62" s="102">
        <v>0.1</v>
      </c>
      <c r="X62" s="103">
        <v>0</v>
      </c>
      <c r="Y62" s="103">
        <v>0</v>
      </c>
      <c r="Z62" s="103">
        <v>0</v>
      </c>
      <c r="AC62" s="102">
        <v>0</v>
      </c>
    </row>
    <row r="63" spans="1:29">
      <c r="A63" s="104" t="s">
        <v>1466</v>
      </c>
      <c r="B63" s="104" t="s">
        <v>1671</v>
      </c>
      <c r="C63" s="104" t="s">
        <v>496</v>
      </c>
      <c r="D63" s="104" t="s">
        <v>1431</v>
      </c>
      <c r="E63" s="104" t="s">
        <v>1445</v>
      </c>
      <c r="F63" s="104" t="s">
        <v>1671</v>
      </c>
      <c r="M63" s="104" t="s">
        <v>1539</v>
      </c>
      <c r="N63" s="104" t="s">
        <v>1717</v>
      </c>
      <c r="O63" s="101">
        <v>45762</v>
      </c>
      <c r="P63" s="101">
        <v>45762</v>
      </c>
      <c r="Q63" s="101">
        <v>45760</v>
      </c>
      <c r="R63" s="101">
        <v>45766</v>
      </c>
      <c r="S63" s="184">
        <v>16</v>
      </c>
      <c r="T63" s="102">
        <v>9</v>
      </c>
      <c r="U63" s="102">
        <v>0.5</v>
      </c>
      <c r="V63" s="102">
        <v>0</v>
      </c>
      <c r="W63" s="102">
        <v>0.5</v>
      </c>
      <c r="X63" s="103">
        <v>0</v>
      </c>
      <c r="Y63" s="103">
        <v>0</v>
      </c>
      <c r="Z63" s="103">
        <v>0</v>
      </c>
      <c r="AC63" s="102">
        <v>0</v>
      </c>
    </row>
    <row r="64" spans="1:29">
      <c r="A64" s="104" t="s">
        <v>1466</v>
      </c>
      <c r="B64" s="104" t="s">
        <v>1672</v>
      </c>
      <c r="C64" s="104" t="s">
        <v>496</v>
      </c>
      <c r="D64" s="104" t="s">
        <v>1431</v>
      </c>
      <c r="E64" s="104" t="s">
        <v>1445</v>
      </c>
      <c r="F64" s="104" t="s">
        <v>1672</v>
      </c>
      <c r="M64" s="104" t="s">
        <v>1609</v>
      </c>
      <c r="N64" s="104" t="s">
        <v>1717</v>
      </c>
      <c r="O64" s="101">
        <v>45888</v>
      </c>
      <c r="P64" s="101">
        <v>45888</v>
      </c>
      <c r="Q64" s="101">
        <v>45886</v>
      </c>
      <c r="R64" s="101">
        <v>45892</v>
      </c>
      <c r="S64" s="184">
        <v>34</v>
      </c>
      <c r="T64" s="102">
        <v>27</v>
      </c>
      <c r="U64" s="102">
        <v>0.5</v>
      </c>
      <c r="V64" s="102">
        <v>0</v>
      </c>
      <c r="W64" s="102">
        <v>0.5</v>
      </c>
      <c r="X64" s="103">
        <v>0</v>
      </c>
      <c r="Y64" s="103">
        <v>0</v>
      </c>
      <c r="Z64" s="103">
        <v>0</v>
      </c>
      <c r="AC64" s="102">
        <v>0</v>
      </c>
    </row>
    <row r="65" spans="1:29">
      <c r="A65" s="104" t="s">
        <v>1466</v>
      </c>
      <c r="B65" s="104" t="s">
        <v>1673</v>
      </c>
      <c r="C65" s="104" t="s">
        <v>496</v>
      </c>
      <c r="D65" s="104" t="s">
        <v>1431</v>
      </c>
      <c r="E65" s="104" t="s">
        <v>1445</v>
      </c>
      <c r="F65" s="104" t="s">
        <v>1673</v>
      </c>
      <c r="M65" s="104" t="s">
        <v>1610</v>
      </c>
      <c r="N65" s="104" t="s">
        <v>1717</v>
      </c>
      <c r="O65" s="101">
        <v>45944</v>
      </c>
      <c r="P65" s="101">
        <v>45944</v>
      </c>
      <c r="Q65" s="101">
        <v>45942</v>
      </c>
      <c r="R65" s="101">
        <v>45948</v>
      </c>
      <c r="S65" s="184">
        <v>42</v>
      </c>
      <c r="T65" s="102">
        <v>35</v>
      </c>
      <c r="U65" s="102">
        <v>0.5</v>
      </c>
      <c r="V65" s="102">
        <v>0</v>
      </c>
      <c r="W65" s="102">
        <v>0.5</v>
      </c>
      <c r="X65" s="103">
        <v>0</v>
      </c>
      <c r="Y65" s="103">
        <v>0</v>
      </c>
      <c r="Z65" s="103">
        <v>0</v>
      </c>
      <c r="AC65" s="102">
        <v>0</v>
      </c>
    </row>
    <row r="66" spans="1:29">
      <c r="A66" s="104" t="s">
        <v>1466</v>
      </c>
      <c r="B66" s="104" t="s">
        <v>1674</v>
      </c>
      <c r="C66" s="104" t="s">
        <v>496</v>
      </c>
      <c r="D66" s="104" t="s">
        <v>1431</v>
      </c>
      <c r="E66" s="104" t="s">
        <v>1445</v>
      </c>
      <c r="F66" s="104" t="s">
        <v>1674</v>
      </c>
      <c r="M66" s="104" t="s">
        <v>1611</v>
      </c>
      <c r="N66" s="104" t="s">
        <v>1717</v>
      </c>
      <c r="O66" s="101">
        <v>46007</v>
      </c>
      <c r="P66" s="101">
        <v>46007</v>
      </c>
      <c r="Q66" s="101">
        <v>46005</v>
      </c>
      <c r="R66" s="101">
        <v>46011</v>
      </c>
      <c r="S66" s="184">
        <v>51</v>
      </c>
      <c r="T66" s="102">
        <v>44</v>
      </c>
      <c r="U66" s="102">
        <v>0.5</v>
      </c>
      <c r="V66" s="102">
        <v>0</v>
      </c>
      <c r="W66" s="102">
        <v>0.5</v>
      </c>
      <c r="X66" s="103">
        <v>0</v>
      </c>
      <c r="Y66" s="103">
        <v>0</v>
      </c>
      <c r="Z66" s="103">
        <v>0</v>
      </c>
      <c r="AC66" s="102">
        <v>0</v>
      </c>
    </row>
    <row r="67" spans="1:29">
      <c r="A67" s="104" t="s">
        <v>1467</v>
      </c>
      <c r="B67" s="104" t="s">
        <v>1676</v>
      </c>
      <c r="C67" s="104" t="s">
        <v>496</v>
      </c>
      <c r="D67" s="104" t="s">
        <v>1431</v>
      </c>
      <c r="E67" s="104" t="s">
        <v>1446</v>
      </c>
      <c r="F67" s="104" t="s">
        <v>1675</v>
      </c>
      <c r="G67" s="104" t="s">
        <v>1676</v>
      </c>
      <c r="M67" s="104" t="s">
        <v>1542</v>
      </c>
      <c r="N67" s="104" t="s">
        <v>1719</v>
      </c>
      <c r="O67" s="101">
        <v>45735</v>
      </c>
      <c r="P67" s="101">
        <v>45735</v>
      </c>
      <c r="Q67" s="101">
        <v>45732</v>
      </c>
      <c r="R67" s="101">
        <v>45738</v>
      </c>
      <c r="S67" s="184">
        <v>12</v>
      </c>
      <c r="T67" s="102">
        <v>5</v>
      </c>
      <c r="U67" s="102">
        <v>0.1</v>
      </c>
      <c r="V67" s="102">
        <v>0</v>
      </c>
      <c r="W67" s="102">
        <v>0.1</v>
      </c>
      <c r="X67" s="103">
        <v>0</v>
      </c>
      <c r="Y67" s="103">
        <v>0</v>
      </c>
      <c r="Z67" s="103">
        <v>0</v>
      </c>
      <c r="AC67" s="102">
        <v>0</v>
      </c>
    </row>
    <row r="68" spans="1:29">
      <c r="A68" s="104" t="s">
        <v>1467</v>
      </c>
      <c r="B68" s="104" t="s">
        <v>1678</v>
      </c>
      <c r="C68" s="104" t="s">
        <v>496</v>
      </c>
      <c r="D68" s="104" t="s">
        <v>1431</v>
      </c>
      <c r="E68" s="104" t="s">
        <v>1446</v>
      </c>
      <c r="F68" s="104" t="s">
        <v>1677</v>
      </c>
      <c r="G68" s="104" t="s">
        <v>1678</v>
      </c>
      <c r="M68" s="104" t="s">
        <v>1544</v>
      </c>
      <c r="N68" s="104" t="s">
        <v>1719</v>
      </c>
      <c r="O68" s="101">
        <v>45838</v>
      </c>
      <c r="P68" s="101">
        <v>45842</v>
      </c>
      <c r="Q68" s="101">
        <v>45837</v>
      </c>
      <c r="R68" s="101">
        <v>45843</v>
      </c>
      <c r="S68" s="184">
        <v>27</v>
      </c>
      <c r="T68" s="102">
        <v>20</v>
      </c>
      <c r="U68" s="102">
        <v>0.5</v>
      </c>
      <c r="V68" s="102">
        <v>0</v>
      </c>
      <c r="W68" s="102">
        <v>0.1</v>
      </c>
      <c r="X68" s="103">
        <v>0</v>
      </c>
      <c r="Y68" s="103">
        <v>0</v>
      </c>
      <c r="Z68" s="103">
        <v>0</v>
      </c>
      <c r="AC68" s="102">
        <v>0</v>
      </c>
    </row>
    <row r="69" spans="1:29">
      <c r="A69" s="104" t="s">
        <v>1467</v>
      </c>
      <c r="B69" s="104" t="s">
        <v>1679</v>
      </c>
      <c r="C69" s="104" t="s">
        <v>496</v>
      </c>
      <c r="D69" s="104" t="s">
        <v>1431</v>
      </c>
      <c r="E69" s="104" t="s">
        <v>1446</v>
      </c>
      <c r="F69" s="104" t="s">
        <v>1677</v>
      </c>
      <c r="G69" s="104" t="s">
        <v>1679</v>
      </c>
      <c r="M69" s="104" t="s">
        <v>1545</v>
      </c>
      <c r="N69" s="104" t="s">
        <v>1720</v>
      </c>
      <c r="O69" s="101">
        <v>45845</v>
      </c>
      <c r="P69" s="101">
        <v>45849</v>
      </c>
      <c r="Q69" s="101">
        <v>45844</v>
      </c>
      <c r="R69" s="101">
        <v>45850</v>
      </c>
      <c r="S69" s="184">
        <v>28</v>
      </c>
      <c r="T69" s="102">
        <v>21</v>
      </c>
      <c r="U69" s="102">
        <v>5</v>
      </c>
      <c r="V69" s="102">
        <v>0</v>
      </c>
      <c r="W69" s="102">
        <v>1</v>
      </c>
      <c r="X69" s="103">
        <v>0</v>
      </c>
      <c r="Y69" s="103">
        <v>0</v>
      </c>
      <c r="Z69" s="103">
        <v>0</v>
      </c>
      <c r="AC69" s="102">
        <v>0</v>
      </c>
    </row>
    <row r="70" spans="1:29">
      <c r="A70" s="104" t="s">
        <v>1467</v>
      </c>
      <c r="B70" s="104" t="s">
        <v>1680</v>
      </c>
      <c r="C70" s="104" t="s">
        <v>496</v>
      </c>
      <c r="D70" s="104" t="s">
        <v>1431</v>
      </c>
      <c r="E70" s="104" t="s">
        <v>1446</v>
      </c>
      <c r="F70" s="104" t="s">
        <v>1677</v>
      </c>
      <c r="G70" s="104" t="s">
        <v>1680</v>
      </c>
      <c r="M70" s="104" t="s">
        <v>1546</v>
      </c>
      <c r="N70" s="104" t="s">
        <v>1720</v>
      </c>
      <c r="O70" s="101">
        <v>45852</v>
      </c>
      <c r="P70" s="101">
        <v>45856</v>
      </c>
      <c r="Q70" s="101">
        <v>45851</v>
      </c>
      <c r="R70" s="101">
        <v>45857</v>
      </c>
      <c r="S70" s="184">
        <v>29</v>
      </c>
      <c r="T70" s="102">
        <v>22</v>
      </c>
      <c r="U70" s="102">
        <v>2.5</v>
      </c>
      <c r="V70" s="102">
        <v>0</v>
      </c>
      <c r="W70" s="102">
        <v>0.5</v>
      </c>
      <c r="X70" s="103">
        <v>0</v>
      </c>
      <c r="Y70" s="103">
        <v>0</v>
      </c>
      <c r="Z70" s="103">
        <v>0</v>
      </c>
      <c r="AC70" s="102">
        <v>0</v>
      </c>
    </row>
    <row r="71" spans="1:29">
      <c r="A71" s="104" t="s">
        <v>1467</v>
      </c>
      <c r="B71" s="104" t="s">
        <v>1682</v>
      </c>
      <c r="C71" s="104" t="s">
        <v>496</v>
      </c>
      <c r="D71" s="104" t="s">
        <v>1431</v>
      </c>
      <c r="E71" s="104" t="s">
        <v>1446</v>
      </c>
      <c r="F71" s="104" t="s">
        <v>1681</v>
      </c>
      <c r="G71" s="104" t="s">
        <v>1682</v>
      </c>
      <c r="M71" s="104" t="s">
        <v>1548</v>
      </c>
      <c r="N71" s="104" t="s">
        <v>1719</v>
      </c>
      <c r="O71" s="101">
        <v>45929</v>
      </c>
      <c r="P71" s="101">
        <v>45933</v>
      </c>
      <c r="Q71" s="101">
        <v>45928</v>
      </c>
      <c r="R71" s="101">
        <v>45934</v>
      </c>
      <c r="S71" s="184">
        <v>40</v>
      </c>
      <c r="T71" s="102">
        <v>33</v>
      </c>
      <c r="U71" s="102">
        <v>0.4</v>
      </c>
      <c r="V71" s="102">
        <v>0</v>
      </c>
      <c r="W71" s="102">
        <v>0.1</v>
      </c>
      <c r="X71" s="103">
        <v>0</v>
      </c>
      <c r="Y71" s="103">
        <v>0</v>
      </c>
      <c r="Z71" s="103">
        <v>0</v>
      </c>
      <c r="AC71" s="102">
        <v>0</v>
      </c>
    </row>
    <row r="72" spans="1:29">
      <c r="A72" s="104" t="s">
        <v>1467</v>
      </c>
      <c r="B72" s="104" t="s">
        <v>1683</v>
      </c>
      <c r="C72" s="104" t="s">
        <v>496</v>
      </c>
      <c r="D72" s="104" t="s">
        <v>1431</v>
      </c>
      <c r="E72" s="104" t="s">
        <v>1446</v>
      </c>
      <c r="F72" s="104" t="s">
        <v>1681</v>
      </c>
      <c r="G72" s="104" t="s">
        <v>1683</v>
      </c>
      <c r="M72" s="104" t="s">
        <v>1549</v>
      </c>
      <c r="N72" s="104" t="s">
        <v>1720</v>
      </c>
      <c r="O72" s="101">
        <v>45929</v>
      </c>
      <c r="P72" s="101">
        <v>45933</v>
      </c>
      <c r="Q72" s="101">
        <v>45928</v>
      </c>
      <c r="R72" s="101">
        <v>45934</v>
      </c>
      <c r="S72" s="184">
        <v>40</v>
      </c>
      <c r="T72" s="102">
        <v>33</v>
      </c>
      <c r="U72" s="102">
        <v>1.2</v>
      </c>
      <c r="V72" s="102">
        <v>0</v>
      </c>
      <c r="W72" s="102">
        <v>0.3</v>
      </c>
      <c r="X72" s="103">
        <v>0</v>
      </c>
      <c r="Y72" s="103">
        <v>0</v>
      </c>
      <c r="Z72" s="103">
        <v>0</v>
      </c>
      <c r="AC72" s="102">
        <v>0</v>
      </c>
    </row>
    <row r="73" spans="1:29">
      <c r="A73" s="104" t="s">
        <v>1467</v>
      </c>
      <c r="B73" s="104" t="s">
        <v>1684</v>
      </c>
      <c r="C73" s="104" t="s">
        <v>496</v>
      </c>
      <c r="D73" s="104" t="s">
        <v>1431</v>
      </c>
      <c r="E73" s="104" t="s">
        <v>1446</v>
      </c>
      <c r="F73" s="104" t="s">
        <v>1681</v>
      </c>
      <c r="G73" s="104" t="s">
        <v>1684</v>
      </c>
      <c r="M73" s="104" t="s">
        <v>1550</v>
      </c>
      <c r="N73" s="104" t="s">
        <v>1720</v>
      </c>
      <c r="O73" s="101">
        <v>45943</v>
      </c>
      <c r="P73" s="101">
        <v>45947</v>
      </c>
      <c r="Q73" s="101">
        <v>45942</v>
      </c>
      <c r="R73" s="101">
        <v>45948</v>
      </c>
      <c r="S73" s="184">
        <v>42</v>
      </c>
      <c r="T73" s="102">
        <v>35</v>
      </c>
      <c r="U73" s="102">
        <v>5</v>
      </c>
      <c r="V73" s="102">
        <v>0</v>
      </c>
      <c r="W73" s="102">
        <v>1</v>
      </c>
      <c r="X73" s="103">
        <v>0</v>
      </c>
      <c r="Y73" s="103">
        <v>0</v>
      </c>
      <c r="Z73" s="103">
        <v>0</v>
      </c>
      <c r="AC73" s="102">
        <v>0</v>
      </c>
    </row>
    <row r="74" spans="1:29">
      <c r="A74" s="104" t="s">
        <v>1467</v>
      </c>
      <c r="B74" s="104" t="s">
        <v>1685</v>
      </c>
      <c r="C74" s="104" t="s">
        <v>496</v>
      </c>
      <c r="D74" s="104" t="s">
        <v>1431</v>
      </c>
      <c r="E74" s="104" t="s">
        <v>1446</v>
      </c>
      <c r="F74" s="104" t="s">
        <v>1681</v>
      </c>
      <c r="G74" s="104" t="s">
        <v>1685</v>
      </c>
      <c r="M74" s="104" t="s">
        <v>1546</v>
      </c>
      <c r="N74" s="104" t="s">
        <v>1720</v>
      </c>
      <c r="O74" s="101">
        <v>45950</v>
      </c>
      <c r="P74" s="101">
        <v>45954</v>
      </c>
      <c r="Q74" s="101">
        <v>45949</v>
      </c>
      <c r="R74" s="101">
        <v>45955</v>
      </c>
      <c r="S74" s="184">
        <v>43</v>
      </c>
      <c r="T74" s="102">
        <v>36</v>
      </c>
      <c r="U74" s="102">
        <v>2.5</v>
      </c>
      <c r="V74" s="102">
        <v>0</v>
      </c>
      <c r="W74" s="102">
        <v>0.5</v>
      </c>
      <c r="X74" s="103">
        <v>0</v>
      </c>
      <c r="Y74" s="103">
        <v>0</v>
      </c>
      <c r="Z74" s="103">
        <v>0</v>
      </c>
      <c r="AC74" s="102">
        <v>0</v>
      </c>
    </row>
    <row r="75" spans="1:29">
      <c r="A75" s="104" t="s">
        <v>1467</v>
      </c>
      <c r="B75" s="104" t="s">
        <v>1688</v>
      </c>
      <c r="C75" s="104" t="s">
        <v>496</v>
      </c>
      <c r="D75" s="104" t="s">
        <v>1431</v>
      </c>
      <c r="E75" s="104" t="s">
        <v>1686</v>
      </c>
      <c r="F75" s="104" t="s">
        <v>1687</v>
      </c>
      <c r="G75" s="104" t="s">
        <v>1688</v>
      </c>
      <c r="M75" s="104" t="s">
        <v>1553</v>
      </c>
      <c r="N75" s="104" t="s">
        <v>1720</v>
      </c>
      <c r="O75" s="101">
        <v>45908</v>
      </c>
      <c r="P75" s="101">
        <v>45912</v>
      </c>
      <c r="Q75" s="101">
        <v>45907</v>
      </c>
      <c r="R75" s="101">
        <v>45913</v>
      </c>
      <c r="S75" s="184">
        <v>37</v>
      </c>
      <c r="T75" s="102">
        <v>30</v>
      </c>
      <c r="U75" s="102">
        <v>2.5</v>
      </c>
      <c r="V75" s="102">
        <v>0</v>
      </c>
      <c r="W75" s="102">
        <v>0.5</v>
      </c>
      <c r="X75" s="103">
        <v>0</v>
      </c>
      <c r="Y75" s="103">
        <v>0</v>
      </c>
      <c r="Z75" s="103">
        <v>0</v>
      </c>
      <c r="AC75" s="102">
        <v>0</v>
      </c>
    </row>
    <row r="76" spans="1:29">
      <c r="A76" s="104" t="s">
        <v>1467</v>
      </c>
      <c r="B76" s="104" t="s">
        <v>1689</v>
      </c>
      <c r="C76" s="104" t="s">
        <v>496</v>
      </c>
      <c r="D76" s="104" t="s">
        <v>1431</v>
      </c>
      <c r="E76" s="104" t="s">
        <v>1686</v>
      </c>
      <c r="F76" s="104" t="s">
        <v>1687</v>
      </c>
      <c r="G76" s="104" t="s">
        <v>1689</v>
      </c>
      <c r="M76" s="104" t="s">
        <v>1546</v>
      </c>
      <c r="N76" s="104" t="s">
        <v>1720</v>
      </c>
      <c r="O76" s="101">
        <v>45915</v>
      </c>
      <c r="P76" s="101">
        <v>45933</v>
      </c>
      <c r="Q76" s="101">
        <v>45914</v>
      </c>
      <c r="R76" s="101">
        <v>45920</v>
      </c>
      <c r="S76" s="184">
        <v>38</v>
      </c>
      <c r="T76" s="102">
        <v>31</v>
      </c>
      <c r="U76" s="102">
        <v>1.5</v>
      </c>
      <c r="V76" s="102">
        <v>0</v>
      </c>
      <c r="W76" s="102">
        <v>0.3</v>
      </c>
      <c r="X76" s="103">
        <v>0</v>
      </c>
      <c r="Y76" s="103">
        <v>0</v>
      </c>
      <c r="Z76" s="103">
        <v>0</v>
      </c>
      <c r="AC76" s="102">
        <v>0</v>
      </c>
    </row>
    <row r="77" spans="1:29">
      <c r="A77" s="104" t="s">
        <v>1467</v>
      </c>
      <c r="B77" s="104" t="s">
        <v>1689</v>
      </c>
      <c r="C77" s="104" t="s">
        <v>496</v>
      </c>
      <c r="D77" s="104" t="s">
        <v>1431</v>
      </c>
      <c r="E77" s="104" t="s">
        <v>1686</v>
      </c>
      <c r="F77" s="104" t="s">
        <v>1687</v>
      </c>
      <c r="G77" s="104" t="s">
        <v>1689</v>
      </c>
      <c r="M77" s="104" t="s">
        <v>1546</v>
      </c>
      <c r="N77" s="104" t="s">
        <v>1720</v>
      </c>
      <c r="O77" s="101">
        <v>45915</v>
      </c>
      <c r="P77" s="101">
        <v>45933</v>
      </c>
      <c r="Q77" s="101">
        <v>45921</v>
      </c>
      <c r="R77" s="101">
        <v>45927</v>
      </c>
      <c r="S77" s="184">
        <v>39</v>
      </c>
      <c r="T77" s="102">
        <v>32</v>
      </c>
      <c r="U77" s="102">
        <v>1.5</v>
      </c>
      <c r="V77" s="102">
        <v>0</v>
      </c>
      <c r="W77" s="102">
        <v>0.3</v>
      </c>
      <c r="X77" s="103">
        <v>0</v>
      </c>
      <c r="Y77" s="103">
        <v>0</v>
      </c>
      <c r="Z77" s="103">
        <v>0</v>
      </c>
      <c r="AC77" s="102">
        <v>0</v>
      </c>
    </row>
    <row r="78" spans="1:29">
      <c r="A78" s="104" t="s">
        <v>1467</v>
      </c>
      <c r="B78" s="104" t="s">
        <v>1689</v>
      </c>
      <c r="C78" s="104" t="s">
        <v>496</v>
      </c>
      <c r="D78" s="104" t="s">
        <v>1431</v>
      </c>
      <c r="E78" s="104" t="s">
        <v>1686</v>
      </c>
      <c r="F78" s="104" t="s">
        <v>1687</v>
      </c>
      <c r="G78" s="104" t="s">
        <v>1689</v>
      </c>
      <c r="M78" s="104" t="s">
        <v>1546</v>
      </c>
      <c r="N78" s="104" t="s">
        <v>1720</v>
      </c>
      <c r="O78" s="101">
        <v>45915</v>
      </c>
      <c r="P78" s="101">
        <v>45933</v>
      </c>
      <c r="Q78" s="101">
        <v>45928</v>
      </c>
      <c r="R78" s="101">
        <v>45934</v>
      </c>
      <c r="S78" s="184">
        <v>40</v>
      </c>
      <c r="T78" s="102">
        <v>33</v>
      </c>
      <c r="U78" s="102">
        <v>1.2</v>
      </c>
      <c r="V78" s="102">
        <v>0</v>
      </c>
      <c r="W78" s="102">
        <v>0.3</v>
      </c>
      <c r="X78" s="103">
        <v>0</v>
      </c>
      <c r="Y78" s="103">
        <v>0</v>
      </c>
      <c r="Z78" s="103">
        <v>0</v>
      </c>
      <c r="AC78" s="102">
        <v>0</v>
      </c>
    </row>
    <row r="79" spans="1:29">
      <c r="A79" s="104" t="s">
        <v>1467</v>
      </c>
      <c r="B79" s="104" t="s">
        <v>1691</v>
      </c>
      <c r="C79" s="104" t="s">
        <v>496</v>
      </c>
      <c r="D79" s="104" t="s">
        <v>1431</v>
      </c>
      <c r="E79" s="104" t="s">
        <v>1686</v>
      </c>
      <c r="F79" s="104" t="s">
        <v>1690</v>
      </c>
      <c r="G79" s="104" t="s">
        <v>1691</v>
      </c>
      <c r="M79" s="104" t="s">
        <v>1555</v>
      </c>
      <c r="N79" s="104" t="s">
        <v>1719</v>
      </c>
      <c r="O79" s="101">
        <v>45915</v>
      </c>
      <c r="P79" s="101">
        <v>45919</v>
      </c>
      <c r="Q79" s="101">
        <v>45914</v>
      </c>
      <c r="R79" s="101">
        <v>45920</v>
      </c>
      <c r="S79" s="184">
        <v>38</v>
      </c>
      <c r="T79" s="102">
        <v>31</v>
      </c>
      <c r="U79" s="102">
        <v>0.5</v>
      </c>
      <c r="V79" s="102">
        <v>0</v>
      </c>
      <c r="W79" s="102">
        <v>0.1</v>
      </c>
      <c r="X79" s="103">
        <v>0</v>
      </c>
      <c r="Y79" s="103">
        <v>0</v>
      </c>
      <c r="Z79" s="103">
        <v>0</v>
      </c>
      <c r="AC79" s="102">
        <v>0</v>
      </c>
    </row>
    <row r="80" spans="1:29">
      <c r="A80" s="104" t="s">
        <v>1467</v>
      </c>
      <c r="B80" s="104" t="s">
        <v>1692</v>
      </c>
      <c r="C80" s="104" t="s">
        <v>496</v>
      </c>
      <c r="D80" s="104" t="s">
        <v>1431</v>
      </c>
      <c r="E80" s="104" t="s">
        <v>1686</v>
      </c>
      <c r="F80" s="104" t="s">
        <v>1690</v>
      </c>
      <c r="G80" s="104" t="s">
        <v>1692</v>
      </c>
      <c r="M80" s="104" t="s">
        <v>1556</v>
      </c>
      <c r="N80" s="104" t="s">
        <v>1720</v>
      </c>
      <c r="O80" s="101">
        <v>45922</v>
      </c>
      <c r="P80" s="101">
        <v>45926</v>
      </c>
      <c r="Q80" s="101">
        <v>45921</v>
      </c>
      <c r="R80" s="101">
        <v>45927</v>
      </c>
      <c r="S80" s="184">
        <v>39</v>
      </c>
      <c r="T80" s="102">
        <v>32</v>
      </c>
      <c r="U80" s="102">
        <v>2.5</v>
      </c>
      <c r="V80" s="102">
        <v>0</v>
      </c>
      <c r="W80" s="102">
        <v>0.5</v>
      </c>
      <c r="X80" s="103">
        <v>0</v>
      </c>
      <c r="Y80" s="103">
        <v>0</v>
      </c>
      <c r="Z80" s="103">
        <v>0</v>
      </c>
      <c r="AC80" s="102">
        <v>0</v>
      </c>
    </row>
    <row r="81" spans="1:29">
      <c r="A81" s="104" t="s">
        <v>1467</v>
      </c>
      <c r="B81" s="104" t="s">
        <v>1693</v>
      </c>
      <c r="C81" s="104" t="s">
        <v>496</v>
      </c>
      <c r="D81" s="104" t="s">
        <v>1431</v>
      </c>
      <c r="E81" s="104" t="s">
        <v>1686</v>
      </c>
      <c r="F81" s="104" t="s">
        <v>1690</v>
      </c>
      <c r="G81" s="104" t="s">
        <v>1693</v>
      </c>
      <c r="M81" s="104" t="s">
        <v>1546</v>
      </c>
      <c r="N81" s="104" t="s">
        <v>1720</v>
      </c>
      <c r="O81" s="101">
        <v>45929</v>
      </c>
      <c r="P81" s="101">
        <v>45933</v>
      </c>
      <c r="Q81" s="101">
        <v>45928</v>
      </c>
      <c r="R81" s="101">
        <v>45934</v>
      </c>
      <c r="S81" s="184">
        <v>40</v>
      </c>
      <c r="T81" s="102">
        <v>33</v>
      </c>
      <c r="U81" s="102">
        <v>1.2</v>
      </c>
      <c r="V81" s="102">
        <v>0</v>
      </c>
      <c r="W81" s="102">
        <v>0.3</v>
      </c>
      <c r="X81" s="103">
        <v>0</v>
      </c>
      <c r="Y81" s="103">
        <v>0</v>
      </c>
      <c r="Z81" s="103">
        <v>0</v>
      </c>
      <c r="AC81" s="102">
        <v>0</v>
      </c>
    </row>
    <row r="82" spans="1:29">
      <c r="A82" s="104" t="s">
        <v>1466</v>
      </c>
      <c r="B82" s="104" t="s">
        <v>1694</v>
      </c>
      <c r="C82" s="104" t="s">
        <v>496</v>
      </c>
      <c r="D82" s="104" t="s">
        <v>1432</v>
      </c>
      <c r="E82" s="104" t="s">
        <v>1430</v>
      </c>
      <c r="F82" s="104" t="s">
        <v>1694</v>
      </c>
      <c r="M82" s="104" t="s">
        <v>1561</v>
      </c>
      <c r="N82" s="104" t="s">
        <v>1717</v>
      </c>
      <c r="O82" s="101">
        <v>46058</v>
      </c>
      <c r="P82" s="101">
        <v>46059</v>
      </c>
      <c r="Q82" s="101">
        <v>46054</v>
      </c>
      <c r="R82" s="101">
        <v>46060</v>
      </c>
      <c r="S82" s="184">
        <v>6</v>
      </c>
      <c r="T82" s="102">
        <v>51</v>
      </c>
      <c r="U82" s="102">
        <v>0.2</v>
      </c>
      <c r="V82" s="102">
        <v>0</v>
      </c>
      <c r="W82" s="102">
        <v>0.1</v>
      </c>
      <c r="X82" s="103">
        <v>0</v>
      </c>
      <c r="Y82" s="103">
        <v>0</v>
      </c>
      <c r="Z82" s="103">
        <v>0</v>
      </c>
      <c r="AC82" s="102">
        <v>0</v>
      </c>
    </row>
    <row r="83" spans="1:29">
      <c r="A83" s="104" t="s">
        <v>1466</v>
      </c>
      <c r="B83" s="104" t="s">
        <v>1695</v>
      </c>
      <c r="C83" s="104" t="s">
        <v>496</v>
      </c>
      <c r="D83" s="104" t="s">
        <v>1432</v>
      </c>
      <c r="E83" s="104" t="s">
        <v>1430</v>
      </c>
      <c r="F83" s="104" t="s">
        <v>1695</v>
      </c>
      <c r="M83" s="104" t="s">
        <v>1562</v>
      </c>
      <c r="N83" s="104" t="s">
        <v>1717</v>
      </c>
      <c r="O83" s="101">
        <v>46062</v>
      </c>
      <c r="P83" s="101">
        <v>46066</v>
      </c>
      <c r="Q83" s="101">
        <v>46061</v>
      </c>
      <c r="R83" s="101">
        <v>46067</v>
      </c>
      <c r="S83" s="184">
        <v>7</v>
      </c>
      <c r="T83" s="102">
        <v>52</v>
      </c>
      <c r="U83" s="102">
        <v>5</v>
      </c>
      <c r="V83" s="102">
        <v>0</v>
      </c>
      <c r="W83" s="102">
        <v>1</v>
      </c>
      <c r="X83" s="103">
        <v>0</v>
      </c>
      <c r="Y83" s="103">
        <v>0</v>
      </c>
      <c r="Z83" s="103">
        <v>0</v>
      </c>
      <c r="AC83" s="102">
        <v>0</v>
      </c>
    </row>
    <row r="84" spans="1:29">
      <c r="A84" s="104" t="s">
        <v>1466</v>
      </c>
      <c r="B84" s="104" t="s">
        <v>1774</v>
      </c>
      <c r="C84" s="104" t="s">
        <v>774</v>
      </c>
      <c r="D84" s="104" t="s">
        <v>1436</v>
      </c>
      <c r="E84" s="104" t="s">
        <v>1437</v>
      </c>
      <c r="F84" s="104" t="s">
        <v>1774</v>
      </c>
      <c r="M84" s="104" t="s">
        <v>1731</v>
      </c>
      <c r="N84" s="104" t="s">
        <v>1971</v>
      </c>
      <c r="O84" s="101">
        <v>45712</v>
      </c>
      <c r="P84" s="101">
        <v>45730</v>
      </c>
      <c r="Q84" s="101">
        <v>45711</v>
      </c>
      <c r="R84" s="101">
        <v>45717</v>
      </c>
      <c r="S84" s="184">
        <v>9</v>
      </c>
      <c r="T84" s="102">
        <v>2</v>
      </c>
      <c r="U84" s="102">
        <v>2.5</v>
      </c>
      <c r="V84" s="102">
        <v>2.5</v>
      </c>
      <c r="W84" s="102">
        <v>0.5</v>
      </c>
      <c r="X84" s="103">
        <v>0</v>
      </c>
      <c r="Y84" s="103">
        <v>1</v>
      </c>
      <c r="Z84" s="103">
        <v>1</v>
      </c>
      <c r="AC84" s="102">
        <v>2.5</v>
      </c>
    </row>
    <row r="85" spans="1:29">
      <c r="A85" s="104" t="s">
        <v>1466</v>
      </c>
      <c r="B85" s="104" t="s">
        <v>1774</v>
      </c>
      <c r="C85" s="104" t="s">
        <v>774</v>
      </c>
      <c r="D85" s="104" t="s">
        <v>1436</v>
      </c>
      <c r="E85" s="104" t="s">
        <v>1437</v>
      </c>
      <c r="F85" s="104" t="s">
        <v>1774</v>
      </c>
      <c r="M85" s="104" t="s">
        <v>1731</v>
      </c>
      <c r="N85" s="104" t="s">
        <v>1971</v>
      </c>
      <c r="O85" s="101">
        <v>45712</v>
      </c>
      <c r="P85" s="101">
        <v>45730</v>
      </c>
      <c r="Q85" s="101">
        <v>45718</v>
      </c>
      <c r="R85" s="101">
        <v>45724</v>
      </c>
      <c r="S85" s="184">
        <v>10</v>
      </c>
      <c r="T85" s="102">
        <v>3</v>
      </c>
      <c r="U85" s="102">
        <v>2</v>
      </c>
      <c r="V85" s="102">
        <v>2</v>
      </c>
      <c r="W85" s="102">
        <v>0.5</v>
      </c>
      <c r="X85" s="103">
        <v>0</v>
      </c>
      <c r="Y85" s="103">
        <v>1</v>
      </c>
      <c r="Z85" s="103">
        <v>1</v>
      </c>
      <c r="AC85" s="102">
        <v>2</v>
      </c>
    </row>
    <row r="86" spans="1:29">
      <c r="A86" s="104" t="s">
        <v>1466</v>
      </c>
      <c r="B86" s="104" t="s">
        <v>1774</v>
      </c>
      <c r="C86" s="104" t="s">
        <v>774</v>
      </c>
      <c r="D86" s="104" t="s">
        <v>1436</v>
      </c>
      <c r="E86" s="104" t="s">
        <v>1437</v>
      </c>
      <c r="F86" s="104" t="s">
        <v>1774</v>
      </c>
      <c r="M86" s="104" t="s">
        <v>1731</v>
      </c>
      <c r="N86" s="104" t="s">
        <v>1971</v>
      </c>
      <c r="O86" s="101">
        <v>45712</v>
      </c>
      <c r="P86" s="101">
        <v>45730</v>
      </c>
      <c r="Q86" s="101">
        <v>45725</v>
      </c>
      <c r="R86" s="101">
        <v>45731</v>
      </c>
      <c r="S86" s="184">
        <v>11</v>
      </c>
      <c r="T86" s="102">
        <v>4</v>
      </c>
      <c r="U86" s="102">
        <v>2.5</v>
      </c>
      <c r="V86" s="102">
        <v>2.5</v>
      </c>
      <c r="W86" s="102">
        <v>0.5</v>
      </c>
      <c r="X86" s="103">
        <v>0</v>
      </c>
      <c r="Y86" s="103">
        <v>1</v>
      </c>
      <c r="Z86" s="103">
        <v>1</v>
      </c>
      <c r="AC86" s="102">
        <v>2.5</v>
      </c>
    </row>
    <row r="87" spans="1:29">
      <c r="A87" s="104" t="s">
        <v>1466</v>
      </c>
      <c r="B87" s="104" t="s">
        <v>1775</v>
      </c>
      <c r="C87" s="104" t="s">
        <v>774</v>
      </c>
      <c r="D87" s="104" t="s">
        <v>1436</v>
      </c>
      <c r="E87" s="104" t="s">
        <v>1437</v>
      </c>
      <c r="F87" s="104" t="s">
        <v>1775</v>
      </c>
      <c r="M87" s="104" t="s">
        <v>1733</v>
      </c>
      <c r="N87" s="104" t="s">
        <v>1971</v>
      </c>
      <c r="O87" s="101">
        <v>45719</v>
      </c>
      <c r="P87" s="101">
        <v>45730</v>
      </c>
      <c r="Q87" s="101">
        <v>45718</v>
      </c>
      <c r="R87" s="101">
        <v>45724</v>
      </c>
      <c r="S87" s="184">
        <v>10</v>
      </c>
      <c r="T87" s="102">
        <v>3</v>
      </c>
      <c r="U87" s="102">
        <v>2</v>
      </c>
      <c r="V87" s="102">
        <v>2</v>
      </c>
      <c r="W87" s="102">
        <v>0.5</v>
      </c>
      <c r="X87" s="103">
        <v>0</v>
      </c>
      <c r="Y87" s="103">
        <v>1</v>
      </c>
      <c r="Z87" s="103">
        <v>0.9</v>
      </c>
      <c r="AC87" s="102">
        <v>2</v>
      </c>
    </row>
    <row r="88" spans="1:29">
      <c r="A88" s="104" t="s">
        <v>1466</v>
      </c>
      <c r="B88" s="104" t="s">
        <v>1775</v>
      </c>
      <c r="C88" s="104" t="s">
        <v>774</v>
      </c>
      <c r="D88" s="104" t="s">
        <v>1436</v>
      </c>
      <c r="E88" s="104" t="s">
        <v>1437</v>
      </c>
      <c r="F88" s="104" t="s">
        <v>1775</v>
      </c>
      <c r="M88" s="104" t="s">
        <v>1733</v>
      </c>
      <c r="N88" s="104" t="s">
        <v>1971</v>
      </c>
      <c r="O88" s="101">
        <v>45719</v>
      </c>
      <c r="P88" s="101">
        <v>45730</v>
      </c>
      <c r="Q88" s="101">
        <v>45725</v>
      </c>
      <c r="R88" s="101">
        <v>45731</v>
      </c>
      <c r="S88" s="184">
        <v>11</v>
      </c>
      <c r="T88" s="102">
        <v>4</v>
      </c>
      <c r="U88" s="102">
        <v>2.5</v>
      </c>
      <c r="V88" s="102">
        <v>2.5</v>
      </c>
      <c r="W88" s="102">
        <v>0.5</v>
      </c>
      <c r="X88" s="103">
        <v>0</v>
      </c>
      <c r="Y88" s="103">
        <v>1</v>
      </c>
      <c r="Z88" s="103">
        <v>0.9</v>
      </c>
      <c r="AC88" s="102">
        <v>2.0499999999999998</v>
      </c>
    </row>
    <row r="89" spans="1:29">
      <c r="A89" s="104" t="s">
        <v>1466</v>
      </c>
      <c r="B89" s="104" t="s">
        <v>1439</v>
      </c>
      <c r="C89" s="104" t="s">
        <v>774</v>
      </c>
      <c r="D89" s="104" t="s">
        <v>1436</v>
      </c>
      <c r="E89" s="104" t="s">
        <v>1438</v>
      </c>
      <c r="F89" s="104" t="s">
        <v>1439</v>
      </c>
      <c r="M89" s="104" t="s">
        <v>1730</v>
      </c>
      <c r="N89" s="104" t="s">
        <v>1971</v>
      </c>
      <c r="O89" s="101">
        <v>45705</v>
      </c>
      <c r="P89" s="101">
        <v>45730</v>
      </c>
      <c r="Q89" s="101">
        <v>45705</v>
      </c>
      <c r="R89" s="101">
        <v>45710</v>
      </c>
      <c r="S89" s="184">
        <v>8</v>
      </c>
      <c r="T89" s="102">
        <v>1</v>
      </c>
      <c r="U89" s="102">
        <v>5</v>
      </c>
      <c r="V89" s="102">
        <v>5</v>
      </c>
      <c r="W89" s="102">
        <v>1</v>
      </c>
      <c r="X89" s="103">
        <v>0</v>
      </c>
      <c r="Y89" s="103">
        <v>1</v>
      </c>
      <c r="Z89" s="103">
        <v>1</v>
      </c>
      <c r="AC89" s="102">
        <v>5</v>
      </c>
    </row>
    <row r="90" spans="1:29">
      <c r="A90" s="104" t="s">
        <v>1466</v>
      </c>
      <c r="B90" s="104" t="s">
        <v>1439</v>
      </c>
      <c r="C90" s="104" t="s">
        <v>774</v>
      </c>
      <c r="D90" s="104" t="s">
        <v>1436</v>
      </c>
      <c r="E90" s="104" t="s">
        <v>1438</v>
      </c>
      <c r="F90" s="104" t="s">
        <v>1439</v>
      </c>
      <c r="M90" s="104" t="s">
        <v>1730</v>
      </c>
      <c r="N90" s="104" t="s">
        <v>1971</v>
      </c>
      <c r="O90" s="101">
        <v>45705</v>
      </c>
      <c r="P90" s="101">
        <v>45730</v>
      </c>
      <c r="Q90" s="101">
        <v>45711</v>
      </c>
      <c r="R90" s="101">
        <v>45717</v>
      </c>
      <c r="S90" s="184">
        <v>9</v>
      </c>
      <c r="T90" s="102">
        <v>2</v>
      </c>
      <c r="U90" s="102">
        <v>5</v>
      </c>
      <c r="V90" s="102">
        <v>5</v>
      </c>
      <c r="W90" s="102">
        <v>1</v>
      </c>
      <c r="X90" s="103">
        <v>0</v>
      </c>
      <c r="Y90" s="103">
        <v>1</v>
      </c>
      <c r="Z90" s="103">
        <v>1</v>
      </c>
      <c r="AC90" s="102">
        <v>5</v>
      </c>
    </row>
    <row r="91" spans="1:29">
      <c r="A91" s="104" t="s">
        <v>1466</v>
      </c>
      <c r="B91" s="104" t="s">
        <v>1439</v>
      </c>
      <c r="C91" s="104" t="s">
        <v>774</v>
      </c>
      <c r="D91" s="104" t="s">
        <v>1436</v>
      </c>
      <c r="E91" s="104" t="s">
        <v>1438</v>
      </c>
      <c r="F91" s="104" t="s">
        <v>1439</v>
      </c>
      <c r="M91" s="104" t="s">
        <v>1730</v>
      </c>
      <c r="N91" s="104" t="s">
        <v>1971</v>
      </c>
      <c r="O91" s="101">
        <v>45705</v>
      </c>
      <c r="P91" s="101">
        <v>45730</v>
      </c>
      <c r="Q91" s="101">
        <v>45718</v>
      </c>
      <c r="R91" s="101">
        <v>45724</v>
      </c>
      <c r="S91" s="184">
        <v>10</v>
      </c>
      <c r="T91" s="102">
        <v>3</v>
      </c>
      <c r="U91" s="102">
        <v>4</v>
      </c>
      <c r="V91" s="102">
        <v>4</v>
      </c>
      <c r="W91" s="102">
        <v>1</v>
      </c>
      <c r="X91" s="103">
        <v>0</v>
      </c>
      <c r="Y91" s="103">
        <v>1</v>
      </c>
      <c r="Z91" s="103">
        <v>1</v>
      </c>
      <c r="AC91" s="102">
        <v>4</v>
      </c>
    </row>
    <row r="92" spans="1:29">
      <c r="A92" s="104" t="s">
        <v>1466</v>
      </c>
      <c r="B92" s="104" t="s">
        <v>1439</v>
      </c>
      <c r="C92" s="104" t="s">
        <v>774</v>
      </c>
      <c r="D92" s="104" t="s">
        <v>1436</v>
      </c>
      <c r="E92" s="104" t="s">
        <v>1438</v>
      </c>
      <c r="F92" s="104" t="s">
        <v>1439</v>
      </c>
      <c r="M92" s="104" t="s">
        <v>1730</v>
      </c>
      <c r="N92" s="104" t="s">
        <v>1971</v>
      </c>
      <c r="O92" s="101">
        <v>45705</v>
      </c>
      <c r="P92" s="101">
        <v>45730</v>
      </c>
      <c r="Q92" s="101">
        <v>45725</v>
      </c>
      <c r="R92" s="101">
        <v>45731</v>
      </c>
      <c r="S92" s="184">
        <v>11</v>
      </c>
      <c r="T92" s="102">
        <v>4</v>
      </c>
      <c r="U92" s="102">
        <v>5</v>
      </c>
      <c r="V92" s="102">
        <v>5</v>
      </c>
      <c r="W92" s="102">
        <v>1</v>
      </c>
      <c r="X92" s="103">
        <v>0</v>
      </c>
      <c r="Y92" s="103">
        <v>1</v>
      </c>
      <c r="Z92" s="103">
        <v>1</v>
      </c>
      <c r="AC92" s="102">
        <v>5</v>
      </c>
    </row>
    <row r="93" spans="1:29">
      <c r="A93" s="104" t="s">
        <v>1466</v>
      </c>
      <c r="B93" s="104" t="s">
        <v>1440</v>
      </c>
      <c r="C93" s="104" t="s">
        <v>774</v>
      </c>
      <c r="D93" s="104" t="s">
        <v>1436</v>
      </c>
      <c r="E93" s="104" t="s">
        <v>1438</v>
      </c>
      <c r="F93" s="104" t="s">
        <v>1440</v>
      </c>
      <c r="M93" s="104" t="s">
        <v>1732</v>
      </c>
      <c r="N93" s="104" t="s">
        <v>1971</v>
      </c>
      <c r="O93" s="101">
        <v>45719</v>
      </c>
      <c r="P93" s="101">
        <v>45730</v>
      </c>
      <c r="Q93" s="101">
        <v>45718</v>
      </c>
      <c r="R93" s="101">
        <v>45724</v>
      </c>
      <c r="S93" s="184">
        <v>10</v>
      </c>
      <c r="T93" s="102">
        <v>3</v>
      </c>
      <c r="U93" s="102">
        <v>2</v>
      </c>
      <c r="V93" s="102">
        <v>2</v>
      </c>
      <c r="W93" s="102">
        <v>0.5</v>
      </c>
      <c r="X93" s="103">
        <v>0</v>
      </c>
      <c r="Y93" s="103">
        <v>1</v>
      </c>
      <c r="Z93" s="103">
        <v>1</v>
      </c>
      <c r="AC93" s="102">
        <v>2</v>
      </c>
    </row>
    <row r="94" spans="1:29">
      <c r="A94" s="104" t="s">
        <v>1466</v>
      </c>
      <c r="B94" s="104" t="s">
        <v>1440</v>
      </c>
      <c r="C94" s="104" t="s">
        <v>774</v>
      </c>
      <c r="D94" s="104" t="s">
        <v>1436</v>
      </c>
      <c r="E94" s="104" t="s">
        <v>1438</v>
      </c>
      <c r="F94" s="104" t="s">
        <v>1440</v>
      </c>
      <c r="M94" s="104" t="s">
        <v>1732</v>
      </c>
      <c r="N94" s="104" t="s">
        <v>1971</v>
      </c>
      <c r="O94" s="101">
        <v>45719</v>
      </c>
      <c r="P94" s="101">
        <v>45730</v>
      </c>
      <c r="Q94" s="101">
        <v>45725</v>
      </c>
      <c r="R94" s="101">
        <v>45731</v>
      </c>
      <c r="S94" s="184">
        <v>11</v>
      </c>
      <c r="T94" s="102">
        <v>4</v>
      </c>
      <c r="U94" s="102">
        <v>2.5</v>
      </c>
      <c r="V94" s="102">
        <v>2.5</v>
      </c>
      <c r="W94" s="102">
        <v>0.5</v>
      </c>
      <c r="X94" s="103">
        <v>0</v>
      </c>
      <c r="Y94" s="103">
        <v>1</v>
      </c>
      <c r="Z94" s="103">
        <v>1</v>
      </c>
      <c r="AC94" s="102">
        <v>2.5</v>
      </c>
    </row>
    <row r="95" spans="1:29">
      <c r="A95" s="104" t="s">
        <v>1466</v>
      </c>
      <c r="B95" s="104" t="s">
        <v>1776</v>
      </c>
      <c r="C95" s="104" t="s">
        <v>774</v>
      </c>
      <c r="D95" s="104" t="s">
        <v>1436</v>
      </c>
      <c r="E95" s="104" t="s">
        <v>1438</v>
      </c>
      <c r="F95" s="104" t="s">
        <v>1776</v>
      </c>
      <c r="M95" s="104" t="s">
        <v>1729</v>
      </c>
      <c r="N95" s="104" t="s">
        <v>1971</v>
      </c>
      <c r="O95" s="101">
        <v>45719</v>
      </c>
      <c r="P95" s="101">
        <v>45730</v>
      </c>
      <c r="Q95" s="101">
        <v>45718</v>
      </c>
      <c r="R95" s="101">
        <v>45724</v>
      </c>
      <c r="S95" s="184">
        <v>10</v>
      </c>
      <c r="T95" s="102">
        <v>3</v>
      </c>
      <c r="U95" s="102">
        <v>4</v>
      </c>
      <c r="V95" s="102">
        <v>4</v>
      </c>
      <c r="W95" s="102">
        <v>1</v>
      </c>
      <c r="X95" s="103">
        <v>0</v>
      </c>
      <c r="Y95" s="103">
        <v>1</v>
      </c>
      <c r="Z95" s="103">
        <v>1</v>
      </c>
      <c r="AC95" s="102">
        <v>4</v>
      </c>
    </row>
    <row r="96" spans="1:29">
      <c r="A96" s="104" t="s">
        <v>1466</v>
      </c>
      <c r="B96" s="104" t="s">
        <v>1776</v>
      </c>
      <c r="C96" s="104" t="s">
        <v>774</v>
      </c>
      <c r="D96" s="104" t="s">
        <v>1436</v>
      </c>
      <c r="E96" s="104" t="s">
        <v>1438</v>
      </c>
      <c r="F96" s="104" t="s">
        <v>1776</v>
      </c>
      <c r="M96" s="104" t="s">
        <v>1729</v>
      </c>
      <c r="N96" s="104" t="s">
        <v>1971</v>
      </c>
      <c r="O96" s="101">
        <v>45719</v>
      </c>
      <c r="P96" s="101">
        <v>45730</v>
      </c>
      <c r="Q96" s="101">
        <v>45725</v>
      </c>
      <c r="R96" s="101">
        <v>45731</v>
      </c>
      <c r="S96" s="184">
        <v>11</v>
      </c>
      <c r="T96" s="102">
        <v>4</v>
      </c>
      <c r="U96" s="102">
        <v>5</v>
      </c>
      <c r="V96" s="102">
        <v>5</v>
      </c>
      <c r="W96" s="102">
        <v>1</v>
      </c>
      <c r="X96" s="103">
        <v>0</v>
      </c>
      <c r="Y96" s="103">
        <v>1</v>
      </c>
      <c r="Z96" s="103">
        <v>1</v>
      </c>
      <c r="AC96" s="102">
        <v>5</v>
      </c>
    </row>
    <row r="97" spans="1:29">
      <c r="A97" s="104" t="s">
        <v>1466</v>
      </c>
      <c r="B97" s="104" t="s">
        <v>1777</v>
      </c>
      <c r="C97" s="104" t="s">
        <v>774</v>
      </c>
      <c r="D97" s="104" t="s">
        <v>1462</v>
      </c>
      <c r="E97" s="104" t="s">
        <v>1448</v>
      </c>
      <c r="F97" s="104" t="s">
        <v>1777</v>
      </c>
      <c r="M97" s="104" t="s">
        <v>1735</v>
      </c>
      <c r="N97" s="104" t="s">
        <v>1972</v>
      </c>
      <c r="O97" s="101">
        <v>45726</v>
      </c>
      <c r="P97" s="101">
        <v>45737</v>
      </c>
      <c r="Q97" s="101">
        <v>45725</v>
      </c>
      <c r="R97" s="101">
        <v>45731</v>
      </c>
      <c r="S97" s="184">
        <v>11</v>
      </c>
      <c r="T97" s="102">
        <v>4</v>
      </c>
      <c r="U97" s="102">
        <v>5</v>
      </c>
      <c r="V97" s="102">
        <v>5</v>
      </c>
      <c r="W97" s="102">
        <v>1</v>
      </c>
      <c r="X97" s="103">
        <v>0</v>
      </c>
      <c r="Y97" s="103">
        <v>0.5</v>
      </c>
      <c r="Z97" s="103">
        <v>0.5</v>
      </c>
      <c r="AC97" s="102">
        <v>5</v>
      </c>
    </row>
    <row r="98" spans="1:29">
      <c r="A98" s="104" t="s">
        <v>1466</v>
      </c>
      <c r="B98" s="104" t="s">
        <v>1777</v>
      </c>
      <c r="C98" s="104" t="s">
        <v>774</v>
      </c>
      <c r="D98" s="104" t="s">
        <v>1462</v>
      </c>
      <c r="E98" s="104" t="s">
        <v>1448</v>
      </c>
      <c r="F98" s="104" t="s">
        <v>1777</v>
      </c>
      <c r="M98" s="104" t="s">
        <v>1735</v>
      </c>
      <c r="N98" s="104" t="s">
        <v>1972</v>
      </c>
      <c r="O98" s="101">
        <v>45726</v>
      </c>
      <c r="P98" s="101">
        <v>45737</v>
      </c>
      <c r="Q98" s="101">
        <v>45732</v>
      </c>
      <c r="R98" s="101">
        <v>45738</v>
      </c>
      <c r="S98" s="184">
        <v>12</v>
      </c>
      <c r="T98" s="102">
        <v>5</v>
      </c>
      <c r="U98" s="102">
        <v>5</v>
      </c>
      <c r="V98" s="102">
        <v>0</v>
      </c>
      <c r="W98" s="102">
        <v>1</v>
      </c>
      <c r="X98" s="103">
        <v>0</v>
      </c>
      <c r="Y98" s="103">
        <v>0.5</v>
      </c>
      <c r="Z98" s="103">
        <v>0.5</v>
      </c>
      <c r="AC98" s="102">
        <v>0</v>
      </c>
    </row>
    <row r="99" spans="1:29">
      <c r="A99" s="104" t="s">
        <v>1466</v>
      </c>
      <c r="B99" s="104" t="s">
        <v>1778</v>
      </c>
      <c r="C99" s="104" t="s">
        <v>774</v>
      </c>
      <c r="D99" s="104" t="s">
        <v>1462</v>
      </c>
      <c r="E99" s="104" t="s">
        <v>1448</v>
      </c>
      <c r="F99" s="104" t="s">
        <v>1778</v>
      </c>
      <c r="M99" s="104" t="s">
        <v>1736</v>
      </c>
      <c r="N99" s="104" t="s">
        <v>1972</v>
      </c>
      <c r="O99" s="101">
        <v>45726</v>
      </c>
      <c r="P99" s="101">
        <v>45737</v>
      </c>
      <c r="Q99" s="101">
        <v>45725</v>
      </c>
      <c r="R99" s="101">
        <v>45731</v>
      </c>
      <c r="S99" s="184">
        <v>11</v>
      </c>
      <c r="T99" s="102">
        <v>4</v>
      </c>
      <c r="U99" s="102">
        <v>5</v>
      </c>
      <c r="V99" s="102">
        <v>5</v>
      </c>
      <c r="W99" s="102">
        <v>1</v>
      </c>
      <c r="X99" s="103">
        <v>0</v>
      </c>
      <c r="Y99" s="103">
        <v>0.5</v>
      </c>
      <c r="Z99" s="103">
        <v>0.5</v>
      </c>
      <c r="AC99" s="102">
        <v>5</v>
      </c>
    </row>
    <row r="100" spans="1:29">
      <c r="A100" s="104" t="s">
        <v>1466</v>
      </c>
      <c r="B100" s="104" t="s">
        <v>1778</v>
      </c>
      <c r="C100" s="104" t="s">
        <v>774</v>
      </c>
      <c r="D100" s="104" t="s">
        <v>1462</v>
      </c>
      <c r="E100" s="104" t="s">
        <v>1448</v>
      </c>
      <c r="F100" s="104" t="s">
        <v>1778</v>
      </c>
      <c r="M100" s="104" t="s">
        <v>1736</v>
      </c>
      <c r="N100" s="104" t="s">
        <v>1972</v>
      </c>
      <c r="O100" s="101">
        <v>45726</v>
      </c>
      <c r="P100" s="101">
        <v>45737</v>
      </c>
      <c r="Q100" s="101">
        <v>45732</v>
      </c>
      <c r="R100" s="101">
        <v>45738</v>
      </c>
      <c r="S100" s="184">
        <v>12</v>
      </c>
      <c r="T100" s="102">
        <v>5</v>
      </c>
      <c r="U100" s="102">
        <v>5</v>
      </c>
      <c r="V100" s="102">
        <v>0</v>
      </c>
      <c r="W100" s="102">
        <v>1</v>
      </c>
      <c r="X100" s="103">
        <v>0</v>
      </c>
      <c r="Y100" s="103">
        <v>0.5</v>
      </c>
      <c r="Z100" s="103">
        <v>0.5</v>
      </c>
      <c r="AC100" s="102">
        <v>0</v>
      </c>
    </row>
    <row r="101" spans="1:29">
      <c r="A101" s="104" t="s">
        <v>1466</v>
      </c>
      <c r="B101" s="104" t="s">
        <v>1450</v>
      </c>
      <c r="C101" s="104" t="s">
        <v>774</v>
      </c>
      <c r="D101" s="104" t="s">
        <v>1462</v>
      </c>
      <c r="E101" s="104" t="s">
        <v>1449</v>
      </c>
      <c r="F101" s="104" t="s">
        <v>1450</v>
      </c>
      <c r="M101" s="104" t="s">
        <v>1738</v>
      </c>
      <c r="N101" s="104" t="s">
        <v>1971</v>
      </c>
      <c r="O101" s="101">
        <v>45726</v>
      </c>
      <c r="P101" s="101">
        <v>45737</v>
      </c>
      <c r="Q101" s="101">
        <v>45725</v>
      </c>
      <c r="R101" s="101">
        <v>45731</v>
      </c>
      <c r="S101" s="184">
        <v>11</v>
      </c>
      <c r="T101" s="102">
        <v>4</v>
      </c>
      <c r="U101" s="102">
        <v>5</v>
      </c>
      <c r="V101" s="102">
        <v>5</v>
      </c>
      <c r="W101" s="102">
        <v>1</v>
      </c>
      <c r="X101" s="103">
        <v>0</v>
      </c>
      <c r="Y101" s="103">
        <v>0.5</v>
      </c>
      <c r="Z101" s="103">
        <v>0.5</v>
      </c>
      <c r="AC101" s="102">
        <v>5</v>
      </c>
    </row>
    <row r="102" spans="1:29">
      <c r="A102" s="104" t="s">
        <v>1466</v>
      </c>
      <c r="B102" s="104" t="s">
        <v>1450</v>
      </c>
      <c r="C102" s="104" t="s">
        <v>774</v>
      </c>
      <c r="D102" s="104" t="s">
        <v>1462</v>
      </c>
      <c r="E102" s="104" t="s">
        <v>1449</v>
      </c>
      <c r="F102" s="104" t="s">
        <v>1450</v>
      </c>
      <c r="M102" s="104" t="s">
        <v>1738</v>
      </c>
      <c r="N102" s="104" t="s">
        <v>1971</v>
      </c>
      <c r="O102" s="101">
        <v>45726</v>
      </c>
      <c r="P102" s="101">
        <v>45737</v>
      </c>
      <c r="Q102" s="101">
        <v>45732</v>
      </c>
      <c r="R102" s="101">
        <v>45738</v>
      </c>
      <c r="S102" s="184">
        <v>12</v>
      </c>
      <c r="T102" s="102">
        <v>5</v>
      </c>
      <c r="U102" s="102">
        <v>5</v>
      </c>
      <c r="V102" s="102">
        <v>0</v>
      </c>
      <c r="W102" s="102">
        <v>1</v>
      </c>
      <c r="X102" s="103">
        <v>0</v>
      </c>
      <c r="Y102" s="103">
        <v>0.5</v>
      </c>
      <c r="Z102" s="103">
        <v>0.5</v>
      </c>
      <c r="AC102" s="102">
        <v>0</v>
      </c>
    </row>
    <row r="103" spans="1:29">
      <c r="A103" s="104" t="s">
        <v>1466</v>
      </c>
      <c r="B103" s="104" t="s">
        <v>1451</v>
      </c>
      <c r="C103" s="104" t="s">
        <v>774</v>
      </c>
      <c r="D103" s="104" t="s">
        <v>1462</v>
      </c>
      <c r="E103" s="104" t="s">
        <v>1449</v>
      </c>
      <c r="F103" s="104" t="s">
        <v>1451</v>
      </c>
      <c r="M103" s="104" t="s">
        <v>1739</v>
      </c>
      <c r="N103" s="104" t="s">
        <v>1971</v>
      </c>
      <c r="O103" s="101">
        <v>45726</v>
      </c>
      <c r="P103" s="101">
        <v>45737</v>
      </c>
      <c r="Q103" s="101">
        <v>45725</v>
      </c>
      <c r="R103" s="101">
        <v>45731</v>
      </c>
      <c r="S103" s="184">
        <v>11</v>
      </c>
      <c r="T103" s="102">
        <v>4</v>
      </c>
      <c r="U103" s="102">
        <v>5</v>
      </c>
      <c r="V103" s="102">
        <v>5</v>
      </c>
      <c r="W103" s="102">
        <v>1</v>
      </c>
      <c r="X103" s="103">
        <v>0</v>
      </c>
      <c r="Y103" s="103">
        <v>0.5</v>
      </c>
      <c r="Z103" s="103">
        <v>0.5</v>
      </c>
      <c r="AC103" s="102">
        <v>5</v>
      </c>
    </row>
    <row r="104" spans="1:29">
      <c r="A104" s="104" t="s">
        <v>1466</v>
      </c>
      <c r="B104" s="104" t="s">
        <v>1451</v>
      </c>
      <c r="C104" s="104" t="s">
        <v>774</v>
      </c>
      <c r="D104" s="104" t="s">
        <v>1462</v>
      </c>
      <c r="E104" s="104" t="s">
        <v>1449</v>
      </c>
      <c r="F104" s="104" t="s">
        <v>1451</v>
      </c>
      <c r="M104" s="104" t="s">
        <v>1739</v>
      </c>
      <c r="N104" s="104" t="s">
        <v>1971</v>
      </c>
      <c r="O104" s="101">
        <v>45726</v>
      </c>
      <c r="P104" s="101">
        <v>45737</v>
      </c>
      <c r="Q104" s="101">
        <v>45732</v>
      </c>
      <c r="R104" s="101">
        <v>45738</v>
      </c>
      <c r="S104" s="184">
        <v>12</v>
      </c>
      <c r="T104" s="102">
        <v>5</v>
      </c>
      <c r="U104" s="102">
        <v>5</v>
      </c>
      <c r="V104" s="102">
        <v>0</v>
      </c>
      <c r="W104" s="102">
        <v>1</v>
      </c>
      <c r="X104" s="103">
        <v>0</v>
      </c>
      <c r="Y104" s="103">
        <v>0.5</v>
      </c>
      <c r="Z104" s="103">
        <v>0.5</v>
      </c>
      <c r="AC104" s="102">
        <v>0</v>
      </c>
    </row>
    <row r="105" spans="1:29">
      <c r="A105" s="104" t="s">
        <v>1466</v>
      </c>
      <c r="B105" s="104" t="s">
        <v>2049</v>
      </c>
      <c r="C105" s="104" t="s">
        <v>774</v>
      </c>
      <c r="D105" s="104" t="s">
        <v>1462</v>
      </c>
      <c r="E105" s="104" t="s">
        <v>1452</v>
      </c>
      <c r="F105" s="104" t="s">
        <v>2049</v>
      </c>
      <c r="M105" s="104" t="s">
        <v>1740</v>
      </c>
      <c r="N105" s="104" t="s">
        <v>1971</v>
      </c>
      <c r="O105" s="101">
        <v>45733</v>
      </c>
      <c r="P105" s="101">
        <v>45744</v>
      </c>
      <c r="Q105" s="101">
        <v>45732</v>
      </c>
      <c r="R105" s="101">
        <v>45738</v>
      </c>
      <c r="S105" s="184">
        <v>12</v>
      </c>
      <c r="T105" s="102">
        <v>5</v>
      </c>
      <c r="U105" s="102">
        <v>2.5</v>
      </c>
      <c r="V105" s="102">
        <v>0</v>
      </c>
      <c r="W105" s="102">
        <v>1</v>
      </c>
      <c r="X105" s="103">
        <v>0</v>
      </c>
      <c r="Y105" s="103">
        <v>0</v>
      </c>
      <c r="Z105" s="103">
        <v>0</v>
      </c>
      <c r="AC105" s="102">
        <v>0</v>
      </c>
    </row>
    <row r="106" spans="1:29">
      <c r="A106" s="104" t="s">
        <v>1466</v>
      </c>
      <c r="B106" s="104" t="s">
        <v>2049</v>
      </c>
      <c r="C106" s="104" t="s">
        <v>774</v>
      </c>
      <c r="D106" s="104" t="s">
        <v>1462</v>
      </c>
      <c r="E106" s="104" t="s">
        <v>1452</v>
      </c>
      <c r="F106" s="104" t="s">
        <v>2049</v>
      </c>
      <c r="M106" s="104" t="s">
        <v>1740</v>
      </c>
      <c r="N106" s="104" t="s">
        <v>1972</v>
      </c>
      <c r="O106" s="101">
        <v>45733</v>
      </c>
      <c r="P106" s="101">
        <v>45744</v>
      </c>
      <c r="Q106" s="101">
        <v>45732</v>
      </c>
      <c r="R106" s="101">
        <v>45738</v>
      </c>
      <c r="S106" s="184">
        <v>12</v>
      </c>
      <c r="T106" s="102">
        <v>5</v>
      </c>
      <c r="U106" s="102">
        <v>2.5</v>
      </c>
      <c r="V106" s="102">
        <v>0</v>
      </c>
      <c r="W106" s="102">
        <v>1</v>
      </c>
      <c r="X106" s="103">
        <v>0</v>
      </c>
      <c r="Y106" s="103">
        <v>0</v>
      </c>
      <c r="Z106" s="103">
        <v>0</v>
      </c>
      <c r="AC106" s="102">
        <v>0</v>
      </c>
    </row>
    <row r="107" spans="1:29">
      <c r="A107" s="104" t="s">
        <v>1466</v>
      </c>
      <c r="B107" s="104" t="s">
        <v>2049</v>
      </c>
      <c r="C107" s="104" t="s">
        <v>774</v>
      </c>
      <c r="D107" s="104" t="s">
        <v>1462</v>
      </c>
      <c r="E107" s="104" t="s">
        <v>1452</v>
      </c>
      <c r="F107" s="104" t="s">
        <v>2049</v>
      </c>
      <c r="M107" s="104" t="s">
        <v>1740</v>
      </c>
      <c r="N107" s="104" t="s">
        <v>1971</v>
      </c>
      <c r="O107" s="101">
        <v>45733</v>
      </c>
      <c r="P107" s="101">
        <v>45744</v>
      </c>
      <c r="Q107" s="101">
        <v>45739</v>
      </c>
      <c r="R107" s="101">
        <v>45745</v>
      </c>
      <c r="S107" s="184">
        <v>13</v>
      </c>
      <c r="T107" s="102">
        <v>6</v>
      </c>
      <c r="U107" s="102">
        <v>2.5</v>
      </c>
      <c r="V107" s="102">
        <v>0</v>
      </c>
      <c r="W107" s="102">
        <v>1</v>
      </c>
      <c r="X107" s="103">
        <v>0</v>
      </c>
      <c r="Y107" s="103">
        <v>0</v>
      </c>
      <c r="Z107" s="103">
        <v>0</v>
      </c>
      <c r="AC107" s="102">
        <v>0</v>
      </c>
    </row>
    <row r="108" spans="1:29">
      <c r="A108" s="104" t="s">
        <v>1466</v>
      </c>
      <c r="B108" s="104" t="s">
        <v>2049</v>
      </c>
      <c r="C108" s="104" t="s">
        <v>774</v>
      </c>
      <c r="D108" s="104" t="s">
        <v>1462</v>
      </c>
      <c r="E108" s="104" t="s">
        <v>1452</v>
      </c>
      <c r="F108" s="104" t="s">
        <v>2049</v>
      </c>
      <c r="M108" s="104" t="s">
        <v>1740</v>
      </c>
      <c r="N108" s="104" t="s">
        <v>1972</v>
      </c>
      <c r="O108" s="101">
        <v>45733</v>
      </c>
      <c r="P108" s="101">
        <v>45744</v>
      </c>
      <c r="Q108" s="101">
        <v>45739</v>
      </c>
      <c r="R108" s="101">
        <v>45745</v>
      </c>
      <c r="S108" s="184">
        <v>13</v>
      </c>
      <c r="T108" s="102">
        <v>6</v>
      </c>
      <c r="U108" s="102">
        <v>2.5</v>
      </c>
      <c r="V108" s="102">
        <v>0</v>
      </c>
      <c r="W108" s="102">
        <v>1</v>
      </c>
      <c r="X108" s="103">
        <v>0</v>
      </c>
      <c r="Y108" s="103">
        <v>0</v>
      </c>
      <c r="Z108" s="103">
        <v>0</v>
      </c>
      <c r="AC108" s="102">
        <v>0</v>
      </c>
    </row>
    <row r="109" spans="1:29">
      <c r="A109" s="104" t="s">
        <v>1466</v>
      </c>
      <c r="B109" s="104" t="s">
        <v>2050</v>
      </c>
      <c r="C109" s="104" t="s">
        <v>774</v>
      </c>
      <c r="D109" s="104" t="s">
        <v>1462</v>
      </c>
      <c r="E109" s="104" t="s">
        <v>1452</v>
      </c>
      <c r="F109" s="104" t="s">
        <v>2050</v>
      </c>
      <c r="M109" s="104" t="s">
        <v>1741</v>
      </c>
      <c r="N109" s="104" t="s">
        <v>1971</v>
      </c>
      <c r="O109" s="101">
        <v>45747</v>
      </c>
      <c r="P109" s="101">
        <v>45758</v>
      </c>
      <c r="Q109" s="101">
        <v>45746</v>
      </c>
      <c r="R109" s="101">
        <v>45752</v>
      </c>
      <c r="S109" s="184">
        <v>14</v>
      </c>
      <c r="T109" s="102">
        <v>7</v>
      </c>
      <c r="U109" s="102">
        <v>2.5</v>
      </c>
      <c r="V109" s="102">
        <v>0</v>
      </c>
      <c r="W109" s="102">
        <v>1</v>
      </c>
      <c r="X109" s="103">
        <v>0</v>
      </c>
      <c r="Y109" s="103">
        <v>0</v>
      </c>
      <c r="Z109" s="103">
        <v>0</v>
      </c>
      <c r="AC109" s="102">
        <v>0</v>
      </c>
    </row>
    <row r="110" spans="1:29">
      <c r="A110" s="104" t="s">
        <v>1466</v>
      </c>
      <c r="B110" s="104" t="s">
        <v>2050</v>
      </c>
      <c r="C110" s="104" t="s">
        <v>774</v>
      </c>
      <c r="D110" s="104" t="s">
        <v>1462</v>
      </c>
      <c r="E110" s="104" t="s">
        <v>1452</v>
      </c>
      <c r="F110" s="104" t="s">
        <v>2050</v>
      </c>
      <c r="M110" s="104" t="s">
        <v>1741</v>
      </c>
      <c r="N110" s="104" t="s">
        <v>1972</v>
      </c>
      <c r="O110" s="101">
        <v>45747</v>
      </c>
      <c r="P110" s="101">
        <v>45758</v>
      </c>
      <c r="Q110" s="101">
        <v>45746</v>
      </c>
      <c r="R110" s="101">
        <v>45752</v>
      </c>
      <c r="S110" s="184">
        <v>14</v>
      </c>
      <c r="T110" s="102">
        <v>7</v>
      </c>
      <c r="U110" s="102">
        <v>2.5</v>
      </c>
      <c r="V110" s="102">
        <v>0</v>
      </c>
      <c r="W110" s="102">
        <v>1</v>
      </c>
      <c r="X110" s="103">
        <v>0</v>
      </c>
      <c r="Y110" s="103">
        <v>0</v>
      </c>
      <c r="Z110" s="103">
        <v>0</v>
      </c>
      <c r="AC110" s="102">
        <v>0</v>
      </c>
    </row>
    <row r="111" spans="1:29">
      <c r="A111" s="104" t="s">
        <v>1466</v>
      </c>
      <c r="B111" s="104" t="s">
        <v>2050</v>
      </c>
      <c r="C111" s="104" t="s">
        <v>774</v>
      </c>
      <c r="D111" s="104" t="s">
        <v>1462</v>
      </c>
      <c r="E111" s="104" t="s">
        <v>1452</v>
      </c>
      <c r="F111" s="104" t="s">
        <v>2050</v>
      </c>
      <c r="M111" s="104" t="s">
        <v>1741</v>
      </c>
      <c r="N111" s="104" t="s">
        <v>1971</v>
      </c>
      <c r="O111" s="101">
        <v>45747</v>
      </c>
      <c r="P111" s="101">
        <v>45758</v>
      </c>
      <c r="Q111" s="101">
        <v>45753</v>
      </c>
      <c r="R111" s="101">
        <v>45759</v>
      </c>
      <c r="S111" s="184">
        <v>15</v>
      </c>
      <c r="T111" s="102">
        <v>8</v>
      </c>
      <c r="U111" s="102">
        <v>2.5</v>
      </c>
      <c r="V111" s="102">
        <v>0</v>
      </c>
      <c r="W111" s="102">
        <v>1</v>
      </c>
      <c r="X111" s="103">
        <v>0</v>
      </c>
      <c r="Y111" s="103">
        <v>0</v>
      </c>
      <c r="Z111" s="103">
        <v>0</v>
      </c>
      <c r="AC111" s="102">
        <v>0</v>
      </c>
    </row>
    <row r="112" spans="1:29">
      <c r="A112" s="104" t="s">
        <v>1466</v>
      </c>
      <c r="B112" s="104" t="s">
        <v>2050</v>
      </c>
      <c r="C112" s="104" t="s">
        <v>774</v>
      </c>
      <c r="D112" s="104" t="s">
        <v>1462</v>
      </c>
      <c r="E112" s="104" t="s">
        <v>1452</v>
      </c>
      <c r="F112" s="104" t="s">
        <v>2050</v>
      </c>
      <c r="M112" s="104" t="s">
        <v>1741</v>
      </c>
      <c r="N112" s="104" t="s">
        <v>1972</v>
      </c>
      <c r="O112" s="101">
        <v>45747</v>
      </c>
      <c r="P112" s="101">
        <v>45758</v>
      </c>
      <c r="Q112" s="101">
        <v>45753</v>
      </c>
      <c r="R112" s="101">
        <v>45759</v>
      </c>
      <c r="S112" s="184">
        <v>15</v>
      </c>
      <c r="T112" s="102">
        <v>8</v>
      </c>
      <c r="U112" s="102">
        <v>2.5</v>
      </c>
      <c r="V112" s="102">
        <v>0</v>
      </c>
      <c r="W112" s="102">
        <v>1</v>
      </c>
      <c r="X112" s="103">
        <v>0</v>
      </c>
      <c r="Y112" s="103">
        <v>0</v>
      </c>
      <c r="Z112" s="103">
        <v>0</v>
      </c>
      <c r="AC112" s="102">
        <v>0</v>
      </c>
    </row>
    <row r="113" spans="1:29">
      <c r="A113" s="104" t="s">
        <v>1466</v>
      </c>
      <c r="B113" s="104" t="s">
        <v>2051</v>
      </c>
      <c r="C113" s="104" t="s">
        <v>774</v>
      </c>
      <c r="D113" s="104" t="s">
        <v>1462</v>
      </c>
      <c r="E113" s="104" t="s">
        <v>1452</v>
      </c>
      <c r="F113" s="104" t="s">
        <v>2051</v>
      </c>
      <c r="M113" s="104" t="s">
        <v>1742</v>
      </c>
      <c r="N113" s="104" t="s">
        <v>1971</v>
      </c>
      <c r="O113" s="101">
        <v>45747</v>
      </c>
      <c r="P113" s="101">
        <v>45758</v>
      </c>
      <c r="Q113" s="101">
        <v>45746</v>
      </c>
      <c r="R113" s="101">
        <v>45752</v>
      </c>
      <c r="S113" s="184">
        <v>14</v>
      </c>
      <c r="T113" s="102">
        <v>7</v>
      </c>
      <c r="U113" s="102">
        <v>2.5</v>
      </c>
      <c r="V113" s="102">
        <v>0</v>
      </c>
      <c r="W113" s="102">
        <v>1</v>
      </c>
      <c r="X113" s="103">
        <v>0</v>
      </c>
      <c r="Y113" s="103">
        <v>0</v>
      </c>
      <c r="Z113" s="103">
        <v>0</v>
      </c>
      <c r="AC113" s="102">
        <v>0</v>
      </c>
    </row>
    <row r="114" spans="1:29">
      <c r="A114" s="104" t="s">
        <v>1466</v>
      </c>
      <c r="B114" s="104" t="s">
        <v>2051</v>
      </c>
      <c r="C114" s="104" t="s">
        <v>774</v>
      </c>
      <c r="D114" s="104" t="s">
        <v>1462</v>
      </c>
      <c r="E114" s="104" t="s">
        <v>1452</v>
      </c>
      <c r="F114" s="104" t="s">
        <v>2051</v>
      </c>
      <c r="M114" s="104" t="s">
        <v>1742</v>
      </c>
      <c r="N114" s="104" t="s">
        <v>1972</v>
      </c>
      <c r="O114" s="101">
        <v>45747</v>
      </c>
      <c r="P114" s="101">
        <v>45758</v>
      </c>
      <c r="Q114" s="101">
        <v>45746</v>
      </c>
      <c r="R114" s="101">
        <v>45752</v>
      </c>
      <c r="S114" s="184">
        <v>14</v>
      </c>
      <c r="T114" s="102">
        <v>7</v>
      </c>
      <c r="U114" s="102">
        <v>2.5</v>
      </c>
      <c r="V114" s="102">
        <v>0</v>
      </c>
      <c r="W114" s="102">
        <v>1</v>
      </c>
      <c r="X114" s="103">
        <v>0</v>
      </c>
      <c r="Y114" s="103">
        <v>0</v>
      </c>
      <c r="Z114" s="103">
        <v>0</v>
      </c>
      <c r="AC114" s="102">
        <v>0</v>
      </c>
    </row>
    <row r="115" spans="1:29">
      <c r="A115" s="104" t="s">
        <v>1466</v>
      </c>
      <c r="B115" s="104" t="s">
        <v>2051</v>
      </c>
      <c r="C115" s="104" t="s">
        <v>774</v>
      </c>
      <c r="D115" s="104" t="s">
        <v>1462</v>
      </c>
      <c r="E115" s="104" t="s">
        <v>1452</v>
      </c>
      <c r="F115" s="104" t="s">
        <v>2051</v>
      </c>
      <c r="M115" s="104" t="s">
        <v>1742</v>
      </c>
      <c r="N115" s="104" t="s">
        <v>1971</v>
      </c>
      <c r="O115" s="101">
        <v>45747</v>
      </c>
      <c r="P115" s="101">
        <v>45758</v>
      </c>
      <c r="Q115" s="101">
        <v>45753</v>
      </c>
      <c r="R115" s="101">
        <v>45759</v>
      </c>
      <c r="S115" s="184">
        <v>15</v>
      </c>
      <c r="T115" s="102">
        <v>8</v>
      </c>
      <c r="U115" s="102">
        <v>2.5</v>
      </c>
      <c r="V115" s="102">
        <v>0</v>
      </c>
      <c r="W115" s="102">
        <v>1</v>
      </c>
      <c r="X115" s="103">
        <v>0</v>
      </c>
      <c r="Y115" s="103">
        <v>0</v>
      </c>
      <c r="Z115" s="103">
        <v>0</v>
      </c>
      <c r="AC115" s="102">
        <v>0</v>
      </c>
    </row>
    <row r="116" spans="1:29">
      <c r="A116" s="104" t="s">
        <v>1466</v>
      </c>
      <c r="B116" s="104" t="s">
        <v>2051</v>
      </c>
      <c r="C116" s="104" t="s">
        <v>774</v>
      </c>
      <c r="D116" s="104" t="s">
        <v>1462</v>
      </c>
      <c r="E116" s="104" t="s">
        <v>1452</v>
      </c>
      <c r="F116" s="104" t="s">
        <v>2051</v>
      </c>
      <c r="M116" s="104" t="s">
        <v>1742</v>
      </c>
      <c r="N116" s="104" t="s">
        <v>1972</v>
      </c>
      <c r="O116" s="101">
        <v>45747</v>
      </c>
      <c r="P116" s="101">
        <v>45758</v>
      </c>
      <c r="Q116" s="101">
        <v>45753</v>
      </c>
      <c r="R116" s="101">
        <v>45759</v>
      </c>
      <c r="S116" s="184">
        <v>15</v>
      </c>
      <c r="T116" s="102">
        <v>8</v>
      </c>
      <c r="U116" s="102">
        <v>2.5</v>
      </c>
      <c r="V116" s="102">
        <v>0</v>
      </c>
      <c r="W116" s="102">
        <v>1</v>
      </c>
      <c r="X116" s="103">
        <v>0</v>
      </c>
      <c r="Y116" s="103">
        <v>0</v>
      </c>
      <c r="Z116" s="103">
        <v>0</v>
      </c>
      <c r="AC116" s="102">
        <v>0</v>
      </c>
    </row>
    <row r="117" spans="1:29">
      <c r="A117" s="104" t="s">
        <v>1467</v>
      </c>
      <c r="B117" s="104" t="s">
        <v>2017</v>
      </c>
      <c r="C117" s="104" t="s">
        <v>774</v>
      </c>
      <c r="D117" s="104" t="s">
        <v>1463</v>
      </c>
      <c r="E117" s="104" t="s">
        <v>1453</v>
      </c>
      <c r="F117" s="104" t="s">
        <v>1454</v>
      </c>
      <c r="G117" s="104" t="s">
        <v>2017</v>
      </c>
      <c r="M117" s="104" t="s">
        <v>1746</v>
      </c>
      <c r="N117" s="104" t="s">
        <v>1971</v>
      </c>
      <c r="O117" s="101">
        <v>45775</v>
      </c>
      <c r="P117" s="101">
        <v>45800</v>
      </c>
      <c r="Q117" s="101">
        <v>45774</v>
      </c>
      <c r="R117" s="101">
        <v>45780</v>
      </c>
      <c r="S117" s="184">
        <v>18</v>
      </c>
      <c r="T117" s="102">
        <v>11</v>
      </c>
      <c r="U117" s="102">
        <v>4</v>
      </c>
      <c r="V117" s="102">
        <v>0</v>
      </c>
      <c r="W117" s="102">
        <v>1</v>
      </c>
      <c r="X117" s="103">
        <v>0</v>
      </c>
      <c r="Y117" s="103">
        <v>0</v>
      </c>
      <c r="Z117" s="103">
        <v>0</v>
      </c>
      <c r="AC117" s="102">
        <v>0</v>
      </c>
    </row>
    <row r="118" spans="1:29">
      <c r="A118" s="104" t="s">
        <v>1467</v>
      </c>
      <c r="B118" s="104" t="s">
        <v>2017</v>
      </c>
      <c r="C118" s="104" t="s">
        <v>774</v>
      </c>
      <c r="D118" s="104" t="s">
        <v>1463</v>
      </c>
      <c r="E118" s="104" t="s">
        <v>1453</v>
      </c>
      <c r="F118" s="104" t="s">
        <v>1454</v>
      </c>
      <c r="G118" s="104" t="s">
        <v>2017</v>
      </c>
      <c r="M118" s="104" t="s">
        <v>1746</v>
      </c>
      <c r="N118" s="104" t="s">
        <v>1971</v>
      </c>
      <c r="O118" s="101">
        <v>45775</v>
      </c>
      <c r="P118" s="101">
        <v>45800</v>
      </c>
      <c r="Q118" s="101">
        <v>45781</v>
      </c>
      <c r="R118" s="101">
        <v>45787</v>
      </c>
      <c r="S118" s="184">
        <v>19</v>
      </c>
      <c r="T118" s="102">
        <v>12</v>
      </c>
      <c r="U118" s="102">
        <v>4</v>
      </c>
      <c r="V118" s="102">
        <v>0</v>
      </c>
      <c r="W118" s="102">
        <v>1</v>
      </c>
      <c r="X118" s="103">
        <v>0</v>
      </c>
      <c r="Y118" s="103">
        <v>0</v>
      </c>
      <c r="Z118" s="103">
        <v>0</v>
      </c>
      <c r="AC118" s="102">
        <v>0</v>
      </c>
    </row>
    <row r="119" spans="1:29">
      <c r="A119" s="104" t="s">
        <v>1467</v>
      </c>
      <c r="B119" s="104" t="s">
        <v>2017</v>
      </c>
      <c r="C119" s="104" t="s">
        <v>774</v>
      </c>
      <c r="D119" s="104" t="s">
        <v>1463</v>
      </c>
      <c r="E119" s="104" t="s">
        <v>1453</v>
      </c>
      <c r="F119" s="104" t="s">
        <v>1454</v>
      </c>
      <c r="G119" s="104" t="s">
        <v>2017</v>
      </c>
      <c r="M119" s="104" t="s">
        <v>1746</v>
      </c>
      <c r="N119" s="104" t="s">
        <v>1971</v>
      </c>
      <c r="O119" s="101">
        <v>45775</v>
      </c>
      <c r="P119" s="101">
        <v>45800</v>
      </c>
      <c r="Q119" s="101">
        <v>45788</v>
      </c>
      <c r="R119" s="101">
        <v>45794</v>
      </c>
      <c r="S119" s="184">
        <v>20</v>
      </c>
      <c r="T119" s="102">
        <v>13</v>
      </c>
      <c r="U119" s="102">
        <v>5</v>
      </c>
      <c r="V119" s="102">
        <v>0</v>
      </c>
      <c r="W119" s="102">
        <v>1</v>
      </c>
      <c r="X119" s="103">
        <v>0</v>
      </c>
      <c r="Y119" s="103">
        <v>0</v>
      </c>
      <c r="Z119" s="103">
        <v>0</v>
      </c>
      <c r="AC119" s="102">
        <v>0</v>
      </c>
    </row>
    <row r="120" spans="1:29">
      <c r="A120" s="104" t="s">
        <v>1467</v>
      </c>
      <c r="B120" s="104" t="s">
        <v>2017</v>
      </c>
      <c r="C120" s="104" t="s">
        <v>774</v>
      </c>
      <c r="D120" s="104" t="s">
        <v>1463</v>
      </c>
      <c r="E120" s="104" t="s">
        <v>1453</v>
      </c>
      <c r="F120" s="104" t="s">
        <v>1454</v>
      </c>
      <c r="G120" s="104" t="s">
        <v>2017</v>
      </c>
      <c r="M120" s="104" t="s">
        <v>1746</v>
      </c>
      <c r="N120" s="104" t="s">
        <v>1971</v>
      </c>
      <c r="O120" s="101">
        <v>45775</v>
      </c>
      <c r="P120" s="101">
        <v>45800</v>
      </c>
      <c r="Q120" s="101">
        <v>45795</v>
      </c>
      <c r="R120" s="101">
        <v>45801</v>
      </c>
      <c r="S120" s="184">
        <v>21</v>
      </c>
      <c r="T120" s="102">
        <v>14</v>
      </c>
      <c r="U120" s="102">
        <v>5</v>
      </c>
      <c r="V120" s="102">
        <v>0</v>
      </c>
      <c r="W120" s="102">
        <v>1</v>
      </c>
      <c r="X120" s="103">
        <v>0</v>
      </c>
      <c r="Y120" s="103">
        <v>0</v>
      </c>
      <c r="Z120" s="103">
        <v>0</v>
      </c>
      <c r="AC120" s="102">
        <v>0</v>
      </c>
    </row>
    <row r="121" spans="1:29">
      <c r="A121" s="104" t="s">
        <v>1467</v>
      </c>
      <c r="B121" s="104" t="s">
        <v>2018</v>
      </c>
      <c r="C121" s="104" t="s">
        <v>774</v>
      </c>
      <c r="D121" s="104" t="s">
        <v>1463</v>
      </c>
      <c r="E121" s="104" t="s">
        <v>1453</v>
      </c>
      <c r="F121" s="104" t="s">
        <v>1454</v>
      </c>
      <c r="G121" s="104" t="s">
        <v>2018</v>
      </c>
      <c r="M121" s="104" t="s">
        <v>1747</v>
      </c>
      <c r="N121" s="104" t="s">
        <v>1971</v>
      </c>
      <c r="O121" s="101">
        <v>45733</v>
      </c>
      <c r="P121" s="101">
        <v>45744</v>
      </c>
      <c r="Q121" s="101">
        <v>45732</v>
      </c>
      <c r="R121" s="101">
        <v>45738</v>
      </c>
      <c r="S121" s="184">
        <v>12</v>
      </c>
      <c r="T121" s="102">
        <v>5</v>
      </c>
      <c r="U121" s="102">
        <v>5</v>
      </c>
      <c r="V121" s="102">
        <v>0</v>
      </c>
      <c r="W121" s="102">
        <v>1</v>
      </c>
      <c r="X121" s="103">
        <v>0</v>
      </c>
      <c r="Y121" s="103">
        <v>0</v>
      </c>
      <c r="Z121" s="103">
        <v>0</v>
      </c>
      <c r="AC121" s="102">
        <v>0</v>
      </c>
    </row>
    <row r="122" spans="1:29">
      <c r="A122" s="104" t="s">
        <v>1467</v>
      </c>
      <c r="B122" s="104" t="s">
        <v>2018</v>
      </c>
      <c r="C122" s="104" t="s">
        <v>774</v>
      </c>
      <c r="D122" s="104" t="s">
        <v>1463</v>
      </c>
      <c r="E122" s="104" t="s">
        <v>1453</v>
      </c>
      <c r="F122" s="104" t="s">
        <v>1454</v>
      </c>
      <c r="G122" s="104" t="s">
        <v>2018</v>
      </c>
      <c r="M122" s="104" t="s">
        <v>1747</v>
      </c>
      <c r="N122" s="104" t="s">
        <v>1971</v>
      </c>
      <c r="O122" s="101">
        <v>45733</v>
      </c>
      <c r="P122" s="101">
        <v>45744</v>
      </c>
      <c r="Q122" s="101">
        <v>45739</v>
      </c>
      <c r="R122" s="101">
        <v>45745</v>
      </c>
      <c r="S122" s="184">
        <v>13</v>
      </c>
      <c r="T122" s="102">
        <v>6</v>
      </c>
      <c r="U122" s="102">
        <v>5</v>
      </c>
      <c r="V122" s="102">
        <v>0</v>
      </c>
      <c r="W122" s="102">
        <v>1</v>
      </c>
      <c r="X122" s="103">
        <v>0</v>
      </c>
      <c r="Y122" s="103">
        <v>0</v>
      </c>
      <c r="Z122" s="103">
        <v>0</v>
      </c>
      <c r="AC122" s="102">
        <v>0</v>
      </c>
    </row>
    <row r="123" spans="1:29">
      <c r="A123" s="104" t="s">
        <v>1467</v>
      </c>
      <c r="B123" s="104" t="s">
        <v>2019</v>
      </c>
      <c r="C123" s="104" t="s">
        <v>774</v>
      </c>
      <c r="D123" s="104" t="s">
        <v>1463</v>
      </c>
      <c r="E123" s="104" t="s">
        <v>1453</v>
      </c>
      <c r="F123" s="104" t="s">
        <v>1454</v>
      </c>
      <c r="G123" s="104" t="s">
        <v>2019</v>
      </c>
      <c r="M123" s="104" t="s">
        <v>1748</v>
      </c>
      <c r="N123" s="104" t="s">
        <v>1971</v>
      </c>
      <c r="O123" s="101">
        <v>45733</v>
      </c>
      <c r="P123" s="101">
        <v>45744</v>
      </c>
      <c r="Q123" s="101">
        <v>45732</v>
      </c>
      <c r="R123" s="101">
        <v>45738</v>
      </c>
      <c r="S123" s="184">
        <v>12</v>
      </c>
      <c r="T123" s="102">
        <v>5</v>
      </c>
      <c r="U123" s="102">
        <v>5</v>
      </c>
      <c r="V123" s="102">
        <v>0</v>
      </c>
      <c r="W123" s="102">
        <v>1</v>
      </c>
      <c r="X123" s="103">
        <v>0</v>
      </c>
      <c r="Y123" s="103">
        <v>0</v>
      </c>
      <c r="Z123" s="103">
        <v>0</v>
      </c>
      <c r="AC123" s="102">
        <v>0</v>
      </c>
    </row>
    <row r="124" spans="1:29">
      <c r="A124" s="104" t="s">
        <v>1467</v>
      </c>
      <c r="B124" s="104" t="s">
        <v>2019</v>
      </c>
      <c r="C124" s="104" t="s">
        <v>774</v>
      </c>
      <c r="D124" s="104" t="s">
        <v>1463</v>
      </c>
      <c r="E124" s="104" t="s">
        <v>1453</v>
      </c>
      <c r="F124" s="104" t="s">
        <v>1454</v>
      </c>
      <c r="G124" s="104" t="s">
        <v>2019</v>
      </c>
      <c r="M124" s="104" t="s">
        <v>1748</v>
      </c>
      <c r="N124" s="104" t="s">
        <v>1971</v>
      </c>
      <c r="O124" s="101">
        <v>45733</v>
      </c>
      <c r="P124" s="101">
        <v>45744</v>
      </c>
      <c r="Q124" s="101">
        <v>45739</v>
      </c>
      <c r="R124" s="101">
        <v>45745</v>
      </c>
      <c r="S124" s="184">
        <v>13</v>
      </c>
      <c r="T124" s="102">
        <v>6</v>
      </c>
      <c r="U124" s="102">
        <v>5</v>
      </c>
      <c r="V124" s="102">
        <v>0</v>
      </c>
      <c r="W124" s="102">
        <v>1</v>
      </c>
      <c r="X124" s="103">
        <v>0</v>
      </c>
      <c r="Y124" s="103">
        <v>0</v>
      </c>
      <c r="Z124" s="103">
        <v>0</v>
      </c>
      <c r="AC124" s="102">
        <v>0</v>
      </c>
    </row>
    <row r="125" spans="1:29">
      <c r="A125" s="104" t="s">
        <v>1467</v>
      </c>
      <c r="B125" s="104" t="s">
        <v>2020</v>
      </c>
      <c r="C125" s="104" t="s">
        <v>774</v>
      </c>
      <c r="D125" s="104" t="s">
        <v>1463</v>
      </c>
      <c r="E125" s="104" t="s">
        <v>1453</v>
      </c>
      <c r="F125" s="104" t="s">
        <v>1454</v>
      </c>
      <c r="G125" s="104" t="s">
        <v>2020</v>
      </c>
      <c r="M125" s="104" t="s">
        <v>1749</v>
      </c>
      <c r="N125" s="104" t="s">
        <v>1971</v>
      </c>
      <c r="O125" s="101">
        <v>45740</v>
      </c>
      <c r="P125" s="101">
        <v>45751</v>
      </c>
      <c r="Q125" s="101">
        <v>45739</v>
      </c>
      <c r="R125" s="101">
        <v>45745</v>
      </c>
      <c r="S125" s="184">
        <v>13</v>
      </c>
      <c r="T125" s="102">
        <v>6</v>
      </c>
      <c r="U125" s="102">
        <v>5</v>
      </c>
      <c r="V125" s="102">
        <v>0</v>
      </c>
      <c r="W125" s="102">
        <v>1</v>
      </c>
      <c r="X125" s="103">
        <v>0</v>
      </c>
      <c r="Y125" s="103">
        <v>0</v>
      </c>
      <c r="Z125" s="103">
        <v>0</v>
      </c>
      <c r="AC125" s="102">
        <v>0</v>
      </c>
    </row>
    <row r="126" spans="1:29">
      <c r="A126" s="104" t="s">
        <v>1467</v>
      </c>
      <c r="B126" s="104" t="s">
        <v>2020</v>
      </c>
      <c r="C126" s="104" t="s">
        <v>774</v>
      </c>
      <c r="D126" s="104" t="s">
        <v>1463</v>
      </c>
      <c r="E126" s="104" t="s">
        <v>1453</v>
      </c>
      <c r="F126" s="104" t="s">
        <v>1454</v>
      </c>
      <c r="G126" s="104" t="s">
        <v>2020</v>
      </c>
      <c r="M126" s="104" t="s">
        <v>1749</v>
      </c>
      <c r="N126" s="104" t="s">
        <v>1971</v>
      </c>
      <c r="O126" s="101">
        <v>45740</v>
      </c>
      <c r="P126" s="101">
        <v>45751</v>
      </c>
      <c r="Q126" s="101">
        <v>45746</v>
      </c>
      <c r="R126" s="101">
        <v>45752</v>
      </c>
      <c r="S126" s="184">
        <v>14</v>
      </c>
      <c r="T126" s="102">
        <v>7</v>
      </c>
      <c r="U126" s="102">
        <v>5</v>
      </c>
      <c r="V126" s="102">
        <v>0</v>
      </c>
      <c r="W126" s="102">
        <v>1</v>
      </c>
      <c r="X126" s="103">
        <v>0</v>
      </c>
      <c r="Y126" s="103">
        <v>0</v>
      </c>
      <c r="Z126" s="103">
        <v>0</v>
      </c>
      <c r="AC126" s="102">
        <v>0</v>
      </c>
    </row>
    <row r="127" spans="1:29">
      <c r="A127" s="104" t="s">
        <v>1467</v>
      </c>
      <c r="B127" s="104" t="s">
        <v>2021</v>
      </c>
      <c r="C127" s="104" t="s">
        <v>774</v>
      </c>
      <c r="D127" s="104" t="s">
        <v>1463</v>
      </c>
      <c r="E127" s="104" t="s">
        <v>1453</v>
      </c>
      <c r="F127" s="104" t="s">
        <v>1454</v>
      </c>
      <c r="G127" s="104" t="s">
        <v>2021</v>
      </c>
      <c r="M127" s="104" t="s">
        <v>1750</v>
      </c>
      <c r="N127" s="104" t="s">
        <v>1971</v>
      </c>
      <c r="O127" s="101">
        <v>45740</v>
      </c>
      <c r="P127" s="101">
        <v>45751</v>
      </c>
      <c r="Q127" s="101">
        <v>45739</v>
      </c>
      <c r="R127" s="101">
        <v>45745</v>
      </c>
      <c r="S127" s="184">
        <v>13</v>
      </c>
      <c r="T127" s="102">
        <v>6</v>
      </c>
      <c r="U127" s="102">
        <v>5</v>
      </c>
      <c r="V127" s="102">
        <v>0</v>
      </c>
      <c r="W127" s="102">
        <v>1</v>
      </c>
      <c r="X127" s="103">
        <v>0</v>
      </c>
      <c r="Y127" s="103">
        <v>0</v>
      </c>
      <c r="Z127" s="103">
        <v>0</v>
      </c>
      <c r="AC127" s="102">
        <v>0</v>
      </c>
    </row>
    <row r="128" spans="1:29">
      <c r="A128" s="104" t="s">
        <v>1467</v>
      </c>
      <c r="B128" s="104" t="s">
        <v>2021</v>
      </c>
      <c r="C128" s="104" t="s">
        <v>774</v>
      </c>
      <c r="D128" s="104" t="s">
        <v>1463</v>
      </c>
      <c r="E128" s="104" t="s">
        <v>1453</v>
      </c>
      <c r="F128" s="104" t="s">
        <v>1454</v>
      </c>
      <c r="G128" s="104" t="s">
        <v>2021</v>
      </c>
      <c r="M128" s="104" t="s">
        <v>1750</v>
      </c>
      <c r="N128" s="104" t="s">
        <v>1971</v>
      </c>
      <c r="O128" s="101">
        <v>45740</v>
      </c>
      <c r="P128" s="101">
        <v>45751</v>
      </c>
      <c r="Q128" s="101">
        <v>45746</v>
      </c>
      <c r="R128" s="101">
        <v>45752</v>
      </c>
      <c r="S128" s="184">
        <v>14</v>
      </c>
      <c r="T128" s="102">
        <v>7</v>
      </c>
      <c r="U128" s="102">
        <v>5</v>
      </c>
      <c r="V128" s="102">
        <v>0</v>
      </c>
      <c r="W128" s="102">
        <v>1</v>
      </c>
      <c r="X128" s="103">
        <v>0</v>
      </c>
      <c r="Y128" s="103">
        <v>0</v>
      </c>
      <c r="Z128" s="103">
        <v>0</v>
      </c>
      <c r="AC128" s="102">
        <v>0</v>
      </c>
    </row>
    <row r="129" spans="1:29">
      <c r="A129" s="104" t="s">
        <v>1467</v>
      </c>
      <c r="B129" s="104" t="s">
        <v>2022</v>
      </c>
      <c r="C129" s="104" t="s">
        <v>774</v>
      </c>
      <c r="D129" s="104" t="s">
        <v>1463</v>
      </c>
      <c r="E129" s="104" t="s">
        <v>1453</v>
      </c>
      <c r="F129" s="104" t="s">
        <v>1454</v>
      </c>
      <c r="G129" s="104" t="s">
        <v>2022</v>
      </c>
      <c r="M129" s="104" t="s">
        <v>1751</v>
      </c>
      <c r="N129" s="104" t="s">
        <v>1971</v>
      </c>
      <c r="O129" s="101">
        <v>45754</v>
      </c>
      <c r="P129" s="101">
        <v>45765</v>
      </c>
      <c r="Q129" s="101">
        <v>45753</v>
      </c>
      <c r="R129" s="101">
        <v>45759</v>
      </c>
      <c r="S129" s="184">
        <v>15</v>
      </c>
      <c r="T129" s="102">
        <v>8</v>
      </c>
      <c r="U129" s="102">
        <v>5</v>
      </c>
      <c r="V129" s="102">
        <v>0</v>
      </c>
      <c r="W129" s="102">
        <v>1</v>
      </c>
      <c r="X129" s="103">
        <v>0</v>
      </c>
      <c r="Y129" s="103">
        <v>0</v>
      </c>
      <c r="Z129" s="103">
        <v>0</v>
      </c>
      <c r="AC129" s="102">
        <v>0</v>
      </c>
    </row>
    <row r="130" spans="1:29">
      <c r="A130" s="104" t="s">
        <v>1467</v>
      </c>
      <c r="B130" s="104" t="s">
        <v>2022</v>
      </c>
      <c r="C130" s="104" t="s">
        <v>774</v>
      </c>
      <c r="D130" s="104" t="s">
        <v>1463</v>
      </c>
      <c r="E130" s="104" t="s">
        <v>1453</v>
      </c>
      <c r="F130" s="104" t="s">
        <v>1454</v>
      </c>
      <c r="G130" s="104" t="s">
        <v>2022</v>
      </c>
      <c r="M130" s="104" t="s">
        <v>1751</v>
      </c>
      <c r="N130" s="104" t="s">
        <v>1971</v>
      </c>
      <c r="O130" s="101">
        <v>45754</v>
      </c>
      <c r="P130" s="101">
        <v>45765</v>
      </c>
      <c r="Q130" s="101">
        <v>45760</v>
      </c>
      <c r="R130" s="101">
        <v>45766</v>
      </c>
      <c r="S130" s="184">
        <v>16</v>
      </c>
      <c r="T130" s="102">
        <v>9</v>
      </c>
      <c r="U130" s="102">
        <v>5</v>
      </c>
      <c r="V130" s="102">
        <v>0</v>
      </c>
      <c r="W130" s="102">
        <v>1</v>
      </c>
      <c r="X130" s="103">
        <v>0</v>
      </c>
      <c r="Y130" s="103">
        <v>0</v>
      </c>
      <c r="Z130" s="103">
        <v>0</v>
      </c>
      <c r="AC130" s="102">
        <v>0</v>
      </c>
    </row>
    <row r="131" spans="1:29">
      <c r="A131" s="104" t="s">
        <v>1467</v>
      </c>
      <c r="B131" s="104" t="s">
        <v>2023</v>
      </c>
      <c r="C131" s="104" t="s">
        <v>774</v>
      </c>
      <c r="D131" s="104" t="s">
        <v>1463</v>
      </c>
      <c r="E131" s="104" t="s">
        <v>1453</v>
      </c>
      <c r="F131" s="104" t="s">
        <v>1454</v>
      </c>
      <c r="G131" s="104" t="s">
        <v>2023</v>
      </c>
      <c r="M131" s="104" t="s">
        <v>1752</v>
      </c>
      <c r="N131" s="104" t="s">
        <v>1971</v>
      </c>
      <c r="O131" s="101">
        <v>45754</v>
      </c>
      <c r="P131" s="101">
        <v>45765</v>
      </c>
      <c r="Q131" s="101">
        <v>45753</v>
      </c>
      <c r="R131" s="101">
        <v>45759</v>
      </c>
      <c r="S131" s="184">
        <v>15</v>
      </c>
      <c r="T131" s="102">
        <v>8</v>
      </c>
      <c r="U131" s="102">
        <v>5</v>
      </c>
      <c r="V131" s="102">
        <v>0</v>
      </c>
      <c r="W131" s="102">
        <v>1</v>
      </c>
      <c r="X131" s="103">
        <v>0</v>
      </c>
      <c r="Y131" s="103">
        <v>0</v>
      </c>
      <c r="Z131" s="103">
        <v>0</v>
      </c>
      <c r="AC131" s="102">
        <v>0</v>
      </c>
    </row>
    <row r="132" spans="1:29">
      <c r="A132" s="104" t="s">
        <v>1467</v>
      </c>
      <c r="B132" s="104" t="s">
        <v>2023</v>
      </c>
      <c r="C132" s="104" t="s">
        <v>774</v>
      </c>
      <c r="D132" s="104" t="s">
        <v>1463</v>
      </c>
      <c r="E132" s="104" t="s">
        <v>1453</v>
      </c>
      <c r="F132" s="104" t="s">
        <v>1454</v>
      </c>
      <c r="G132" s="104" t="s">
        <v>2023</v>
      </c>
      <c r="M132" s="104" t="s">
        <v>1752</v>
      </c>
      <c r="N132" s="104" t="s">
        <v>1971</v>
      </c>
      <c r="O132" s="101">
        <v>45754</v>
      </c>
      <c r="P132" s="101">
        <v>45765</v>
      </c>
      <c r="Q132" s="101">
        <v>45760</v>
      </c>
      <c r="R132" s="101">
        <v>45766</v>
      </c>
      <c r="S132" s="184">
        <v>16</v>
      </c>
      <c r="T132" s="102">
        <v>9</v>
      </c>
      <c r="U132" s="102">
        <v>5</v>
      </c>
      <c r="V132" s="102">
        <v>0</v>
      </c>
      <c r="W132" s="102">
        <v>1</v>
      </c>
      <c r="X132" s="103">
        <v>0</v>
      </c>
      <c r="Y132" s="103">
        <v>0</v>
      </c>
      <c r="Z132" s="103">
        <v>0</v>
      </c>
      <c r="AC132" s="102">
        <v>0</v>
      </c>
    </row>
    <row r="133" spans="1:29">
      <c r="A133" s="104" t="s">
        <v>1467</v>
      </c>
      <c r="B133" s="104" t="s">
        <v>2024</v>
      </c>
      <c r="C133" s="104" t="s">
        <v>774</v>
      </c>
      <c r="D133" s="104" t="s">
        <v>1463</v>
      </c>
      <c r="E133" s="104" t="s">
        <v>1453</v>
      </c>
      <c r="F133" s="104" t="s">
        <v>1454</v>
      </c>
      <c r="G133" s="104" t="s">
        <v>2024</v>
      </c>
      <c r="M133" s="104" t="s">
        <v>1753</v>
      </c>
      <c r="N133" s="104" t="s">
        <v>1971</v>
      </c>
      <c r="O133" s="101">
        <v>45768</v>
      </c>
      <c r="P133" s="101">
        <v>45807</v>
      </c>
      <c r="Q133" s="101">
        <v>45767</v>
      </c>
      <c r="R133" s="101">
        <v>45773</v>
      </c>
      <c r="S133" s="184">
        <v>17</v>
      </c>
      <c r="T133" s="102">
        <v>10</v>
      </c>
      <c r="U133" s="102">
        <v>5</v>
      </c>
      <c r="V133" s="102">
        <v>0</v>
      </c>
      <c r="W133" s="102">
        <v>1</v>
      </c>
      <c r="X133" s="103">
        <v>0</v>
      </c>
      <c r="Y133" s="103">
        <v>0</v>
      </c>
      <c r="Z133" s="103">
        <v>0</v>
      </c>
      <c r="AC133" s="102">
        <v>0</v>
      </c>
    </row>
    <row r="134" spans="1:29">
      <c r="A134" s="104" t="s">
        <v>1467</v>
      </c>
      <c r="B134" s="104" t="s">
        <v>2024</v>
      </c>
      <c r="C134" s="104" t="s">
        <v>774</v>
      </c>
      <c r="D134" s="104" t="s">
        <v>1463</v>
      </c>
      <c r="E134" s="104" t="s">
        <v>1453</v>
      </c>
      <c r="F134" s="104" t="s">
        <v>1454</v>
      </c>
      <c r="G134" s="104" t="s">
        <v>2024</v>
      </c>
      <c r="M134" s="104" t="s">
        <v>1753</v>
      </c>
      <c r="N134" s="104" t="s">
        <v>1971</v>
      </c>
      <c r="O134" s="101">
        <v>45768</v>
      </c>
      <c r="P134" s="101">
        <v>45807</v>
      </c>
      <c r="Q134" s="101">
        <v>45774</v>
      </c>
      <c r="R134" s="101">
        <v>45780</v>
      </c>
      <c r="S134" s="184">
        <v>18</v>
      </c>
      <c r="T134" s="102">
        <v>11</v>
      </c>
      <c r="U134" s="102">
        <v>4</v>
      </c>
      <c r="V134" s="102">
        <v>0</v>
      </c>
      <c r="W134" s="102">
        <v>1</v>
      </c>
      <c r="X134" s="103">
        <v>0</v>
      </c>
      <c r="Y134" s="103">
        <v>0</v>
      </c>
      <c r="Z134" s="103">
        <v>0</v>
      </c>
      <c r="AC134" s="102">
        <v>0</v>
      </c>
    </row>
    <row r="135" spans="1:29">
      <c r="A135" s="104" t="s">
        <v>1467</v>
      </c>
      <c r="B135" s="104" t="s">
        <v>2024</v>
      </c>
      <c r="C135" s="104" t="s">
        <v>774</v>
      </c>
      <c r="D135" s="104" t="s">
        <v>1463</v>
      </c>
      <c r="E135" s="104" t="s">
        <v>1453</v>
      </c>
      <c r="F135" s="104" t="s">
        <v>1454</v>
      </c>
      <c r="G135" s="104" t="s">
        <v>2024</v>
      </c>
      <c r="M135" s="104" t="s">
        <v>1753</v>
      </c>
      <c r="N135" s="104" t="s">
        <v>1971</v>
      </c>
      <c r="O135" s="101">
        <v>45768</v>
      </c>
      <c r="P135" s="101">
        <v>45807</v>
      </c>
      <c r="Q135" s="101">
        <v>45781</v>
      </c>
      <c r="R135" s="101">
        <v>45787</v>
      </c>
      <c r="S135" s="184">
        <v>19</v>
      </c>
      <c r="T135" s="102">
        <v>12</v>
      </c>
      <c r="U135" s="102">
        <v>4</v>
      </c>
      <c r="V135" s="102">
        <v>0</v>
      </c>
      <c r="W135" s="102">
        <v>1</v>
      </c>
      <c r="X135" s="103">
        <v>0</v>
      </c>
      <c r="Y135" s="103">
        <v>0</v>
      </c>
      <c r="Z135" s="103">
        <v>0</v>
      </c>
      <c r="AC135" s="102">
        <v>0</v>
      </c>
    </row>
    <row r="136" spans="1:29">
      <c r="A136" s="104" t="s">
        <v>1467</v>
      </c>
      <c r="B136" s="104" t="s">
        <v>2024</v>
      </c>
      <c r="C136" s="104" t="s">
        <v>774</v>
      </c>
      <c r="D136" s="104" t="s">
        <v>1463</v>
      </c>
      <c r="E136" s="104" t="s">
        <v>1453</v>
      </c>
      <c r="F136" s="104" t="s">
        <v>1454</v>
      </c>
      <c r="G136" s="104" t="s">
        <v>2024</v>
      </c>
      <c r="M136" s="104" t="s">
        <v>1753</v>
      </c>
      <c r="N136" s="104" t="s">
        <v>1971</v>
      </c>
      <c r="O136" s="101">
        <v>45768</v>
      </c>
      <c r="P136" s="101">
        <v>45807</v>
      </c>
      <c r="Q136" s="101">
        <v>45788</v>
      </c>
      <c r="R136" s="101">
        <v>45794</v>
      </c>
      <c r="S136" s="184">
        <v>20</v>
      </c>
      <c r="T136" s="102">
        <v>13</v>
      </c>
      <c r="U136" s="102">
        <v>5</v>
      </c>
      <c r="V136" s="102">
        <v>0</v>
      </c>
      <c r="W136" s="102">
        <v>1</v>
      </c>
      <c r="X136" s="103">
        <v>0</v>
      </c>
      <c r="Y136" s="103">
        <v>0</v>
      </c>
      <c r="Z136" s="103">
        <v>0</v>
      </c>
      <c r="AC136" s="102">
        <v>0</v>
      </c>
    </row>
    <row r="137" spans="1:29">
      <c r="A137" s="104" t="s">
        <v>1467</v>
      </c>
      <c r="B137" s="104" t="s">
        <v>2024</v>
      </c>
      <c r="C137" s="104" t="s">
        <v>774</v>
      </c>
      <c r="D137" s="104" t="s">
        <v>1463</v>
      </c>
      <c r="E137" s="104" t="s">
        <v>1453</v>
      </c>
      <c r="F137" s="104" t="s">
        <v>1454</v>
      </c>
      <c r="G137" s="104" t="s">
        <v>2024</v>
      </c>
      <c r="M137" s="104" t="s">
        <v>1753</v>
      </c>
      <c r="N137" s="104" t="s">
        <v>1971</v>
      </c>
      <c r="O137" s="101">
        <v>45768</v>
      </c>
      <c r="P137" s="101">
        <v>45807</v>
      </c>
      <c r="Q137" s="101">
        <v>45795</v>
      </c>
      <c r="R137" s="101">
        <v>45801</v>
      </c>
      <c r="S137" s="184">
        <v>21</v>
      </c>
      <c r="T137" s="102">
        <v>14</v>
      </c>
      <c r="U137" s="102">
        <v>5</v>
      </c>
      <c r="V137" s="102">
        <v>0</v>
      </c>
      <c r="W137" s="102">
        <v>1</v>
      </c>
      <c r="X137" s="103">
        <v>0</v>
      </c>
      <c r="Y137" s="103">
        <v>0</v>
      </c>
      <c r="Z137" s="103">
        <v>0</v>
      </c>
      <c r="AC137" s="102">
        <v>0</v>
      </c>
    </row>
    <row r="138" spans="1:29">
      <c r="A138" s="104" t="s">
        <v>1467</v>
      </c>
      <c r="B138" s="104" t="s">
        <v>2024</v>
      </c>
      <c r="C138" s="104" t="s">
        <v>774</v>
      </c>
      <c r="D138" s="104" t="s">
        <v>1463</v>
      </c>
      <c r="E138" s="104" t="s">
        <v>1453</v>
      </c>
      <c r="F138" s="104" t="s">
        <v>1454</v>
      </c>
      <c r="G138" s="104" t="s">
        <v>2024</v>
      </c>
      <c r="M138" s="104" t="s">
        <v>1753</v>
      </c>
      <c r="N138" s="104" t="s">
        <v>1971</v>
      </c>
      <c r="O138" s="101">
        <v>45768</v>
      </c>
      <c r="P138" s="101">
        <v>45807</v>
      </c>
      <c r="Q138" s="101">
        <v>45802</v>
      </c>
      <c r="R138" s="101">
        <v>45808</v>
      </c>
      <c r="S138" s="184">
        <v>22</v>
      </c>
      <c r="T138" s="102">
        <v>15</v>
      </c>
      <c r="U138" s="102">
        <v>5</v>
      </c>
      <c r="V138" s="102">
        <v>0</v>
      </c>
      <c r="W138" s="102">
        <v>1</v>
      </c>
      <c r="X138" s="103">
        <v>0</v>
      </c>
      <c r="Y138" s="103">
        <v>0</v>
      </c>
      <c r="Z138" s="103">
        <v>0</v>
      </c>
      <c r="AC138" s="102">
        <v>0</v>
      </c>
    </row>
    <row r="139" spans="1:29">
      <c r="A139" s="104" t="s">
        <v>1467</v>
      </c>
      <c r="B139" s="104" t="s">
        <v>2025</v>
      </c>
      <c r="C139" s="104" t="s">
        <v>774</v>
      </c>
      <c r="D139" s="104" t="s">
        <v>1463</v>
      </c>
      <c r="E139" s="104" t="s">
        <v>1453</v>
      </c>
      <c r="F139" s="104" t="s">
        <v>1454</v>
      </c>
      <c r="G139" s="104" t="s">
        <v>2025</v>
      </c>
      <c r="M139" s="104" t="s">
        <v>1754</v>
      </c>
      <c r="N139" s="104" t="s">
        <v>1971</v>
      </c>
      <c r="O139" s="101">
        <v>45810</v>
      </c>
      <c r="P139" s="101">
        <v>45849</v>
      </c>
      <c r="Q139" s="101">
        <v>45809</v>
      </c>
      <c r="R139" s="101">
        <v>45815</v>
      </c>
      <c r="S139" s="184">
        <v>23</v>
      </c>
      <c r="T139" s="102">
        <v>16</v>
      </c>
      <c r="U139" s="102">
        <v>4</v>
      </c>
      <c r="V139" s="102">
        <v>0</v>
      </c>
      <c r="W139" s="102">
        <v>1</v>
      </c>
      <c r="X139" s="103">
        <v>0</v>
      </c>
      <c r="Y139" s="103">
        <v>0</v>
      </c>
      <c r="Z139" s="103">
        <v>0</v>
      </c>
      <c r="AC139" s="102">
        <v>0</v>
      </c>
    </row>
    <row r="140" spans="1:29">
      <c r="A140" s="104" t="s">
        <v>1467</v>
      </c>
      <c r="B140" s="104" t="s">
        <v>2025</v>
      </c>
      <c r="C140" s="104" t="s">
        <v>774</v>
      </c>
      <c r="D140" s="104" t="s">
        <v>1463</v>
      </c>
      <c r="E140" s="104" t="s">
        <v>1453</v>
      </c>
      <c r="F140" s="104" t="s">
        <v>1454</v>
      </c>
      <c r="G140" s="104" t="s">
        <v>2025</v>
      </c>
      <c r="M140" s="104" t="s">
        <v>1754</v>
      </c>
      <c r="N140" s="104" t="s">
        <v>1971</v>
      </c>
      <c r="O140" s="101">
        <v>45810</v>
      </c>
      <c r="P140" s="101">
        <v>45849</v>
      </c>
      <c r="Q140" s="101">
        <v>45816</v>
      </c>
      <c r="R140" s="101">
        <v>45822</v>
      </c>
      <c r="S140" s="184">
        <v>24</v>
      </c>
      <c r="T140" s="102">
        <v>17</v>
      </c>
      <c r="U140" s="102">
        <v>5</v>
      </c>
      <c r="V140" s="102">
        <v>0</v>
      </c>
      <c r="W140" s="102">
        <v>1</v>
      </c>
      <c r="X140" s="103">
        <v>0</v>
      </c>
      <c r="Y140" s="103">
        <v>0</v>
      </c>
      <c r="Z140" s="103">
        <v>0</v>
      </c>
      <c r="AC140" s="102">
        <v>0</v>
      </c>
    </row>
    <row r="141" spans="1:29">
      <c r="A141" s="104" t="s">
        <v>1467</v>
      </c>
      <c r="B141" s="104" t="s">
        <v>2025</v>
      </c>
      <c r="C141" s="104" t="s">
        <v>774</v>
      </c>
      <c r="D141" s="104" t="s">
        <v>1463</v>
      </c>
      <c r="E141" s="104" t="s">
        <v>1453</v>
      </c>
      <c r="F141" s="104" t="s">
        <v>1454</v>
      </c>
      <c r="G141" s="104" t="s">
        <v>2025</v>
      </c>
      <c r="M141" s="104" t="s">
        <v>1754</v>
      </c>
      <c r="N141" s="104" t="s">
        <v>1971</v>
      </c>
      <c r="O141" s="101">
        <v>45810</v>
      </c>
      <c r="P141" s="101">
        <v>45849</v>
      </c>
      <c r="Q141" s="101">
        <v>45823</v>
      </c>
      <c r="R141" s="101">
        <v>45829</v>
      </c>
      <c r="S141" s="184">
        <v>25</v>
      </c>
      <c r="T141" s="102">
        <v>18</v>
      </c>
      <c r="U141" s="102">
        <v>5</v>
      </c>
      <c r="V141" s="102">
        <v>0</v>
      </c>
      <c r="W141" s="102">
        <v>1</v>
      </c>
      <c r="X141" s="103">
        <v>0</v>
      </c>
      <c r="Y141" s="103">
        <v>0</v>
      </c>
      <c r="Z141" s="103">
        <v>0</v>
      </c>
      <c r="AC141" s="102">
        <v>0</v>
      </c>
    </row>
    <row r="142" spans="1:29">
      <c r="A142" s="104" t="s">
        <v>1467</v>
      </c>
      <c r="B142" s="104" t="s">
        <v>2025</v>
      </c>
      <c r="C142" s="104" t="s">
        <v>774</v>
      </c>
      <c r="D142" s="104" t="s">
        <v>1463</v>
      </c>
      <c r="E142" s="104" t="s">
        <v>1453</v>
      </c>
      <c r="F142" s="104" t="s">
        <v>1454</v>
      </c>
      <c r="G142" s="104" t="s">
        <v>2025</v>
      </c>
      <c r="M142" s="104" t="s">
        <v>1754</v>
      </c>
      <c r="N142" s="104" t="s">
        <v>1971</v>
      </c>
      <c r="O142" s="101">
        <v>45810</v>
      </c>
      <c r="P142" s="101">
        <v>45849</v>
      </c>
      <c r="Q142" s="101">
        <v>45830</v>
      </c>
      <c r="R142" s="101">
        <v>45836</v>
      </c>
      <c r="S142" s="184">
        <v>26</v>
      </c>
      <c r="T142" s="102">
        <v>19</v>
      </c>
      <c r="U142" s="102">
        <v>5</v>
      </c>
      <c r="V142" s="102">
        <v>0</v>
      </c>
      <c r="W142" s="102">
        <v>1</v>
      </c>
      <c r="X142" s="103">
        <v>0</v>
      </c>
      <c r="Y142" s="103">
        <v>0</v>
      </c>
      <c r="Z142" s="103">
        <v>0</v>
      </c>
      <c r="AC142" s="102">
        <v>0</v>
      </c>
    </row>
    <row r="143" spans="1:29">
      <c r="A143" s="104" t="s">
        <v>1467</v>
      </c>
      <c r="B143" s="104" t="s">
        <v>2025</v>
      </c>
      <c r="C143" s="104" t="s">
        <v>774</v>
      </c>
      <c r="D143" s="104" t="s">
        <v>1463</v>
      </c>
      <c r="E143" s="104" t="s">
        <v>1453</v>
      </c>
      <c r="F143" s="104" t="s">
        <v>1454</v>
      </c>
      <c r="G143" s="104" t="s">
        <v>2025</v>
      </c>
      <c r="M143" s="104" t="s">
        <v>1754</v>
      </c>
      <c r="N143" s="104" t="s">
        <v>1971</v>
      </c>
      <c r="O143" s="101">
        <v>45810</v>
      </c>
      <c r="P143" s="101">
        <v>45849</v>
      </c>
      <c r="Q143" s="101">
        <v>45837</v>
      </c>
      <c r="R143" s="101">
        <v>45843</v>
      </c>
      <c r="S143" s="184">
        <v>27</v>
      </c>
      <c r="T143" s="102">
        <v>20</v>
      </c>
      <c r="U143" s="102">
        <v>5</v>
      </c>
      <c r="V143" s="102">
        <v>0</v>
      </c>
      <c r="W143" s="102">
        <v>1</v>
      </c>
      <c r="X143" s="103">
        <v>0</v>
      </c>
      <c r="Y143" s="103">
        <v>0</v>
      </c>
      <c r="Z143" s="103">
        <v>0</v>
      </c>
      <c r="AC143" s="102">
        <v>0</v>
      </c>
    </row>
    <row r="144" spans="1:29">
      <c r="A144" s="104" t="s">
        <v>1467</v>
      </c>
      <c r="B144" s="104" t="s">
        <v>2025</v>
      </c>
      <c r="C144" s="104" t="s">
        <v>774</v>
      </c>
      <c r="D144" s="104" t="s">
        <v>1463</v>
      </c>
      <c r="E144" s="104" t="s">
        <v>1453</v>
      </c>
      <c r="F144" s="104" t="s">
        <v>1454</v>
      </c>
      <c r="G144" s="104" t="s">
        <v>2025</v>
      </c>
      <c r="M144" s="104" t="s">
        <v>1754</v>
      </c>
      <c r="N144" s="104" t="s">
        <v>1971</v>
      </c>
      <c r="O144" s="101">
        <v>45810</v>
      </c>
      <c r="P144" s="101">
        <v>45849</v>
      </c>
      <c r="Q144" s="101">
        <v>45844</v>
      </c>
      <c r="R144" s="101">
        <v>45850</v>
      </c>
      <c r="S144" s="184">
        <v>28</v>
      </c>
      <c r="T144" s="102">
        <v>21</v>
      </c>
      <c r="U144" s="102">
        <v>5</v>
      </c>
      <c r="V144" s="102">
        <v>0</v>
      </c>
      <c r="W144" s="102">
        <v>1</v>
      </c>
      <c r="X144" s="103">
        <v>0</v>
      </c>
      <c r="Y144" s="103">
        <v>0</v>
      </c>
      <c r="Z144" s="103">
        <v>0</v>
      </c>
      <c r="AC144" s="102">
        <v>0</v>
      </c>
    </row>
    <row r="145" spans="1:29">
      <c r="A145" s="104" t="s">
        <v>1467</v>
      </c>
      <c r="B145" s="104" t="s">
        <v>1456</v>
      </c>
      <c r="C145" s="104" t="s">
        <v>774</v>
      </c>
      <c r="D145" s="104" t="s">
        <v>1463</v>
      </c>
      <c r="E145" s="104" t="s">
        <v>1453</v>
      </c>
      <c r="F145" s="104" t="s">
        <v>1455</v>
      </c>
      <c r="G145" s="104" t="s">
        <v>1456</v>
      </c>
      <c r="M145" s="104" t="s">
        <v>1756</v>
      </c>
      <c r="N145" s="104" t="s">
        <v>1972</v>
      </c>
      <c r="O145" s="101">
        <v>45726</v>
      </c>
      <c r="P145" s="101">
        <v>45737</v>
      </c>
      <c r="Q145" s="101">
        <v>45725</v>
      </c>
      <c r="R145" s="101">
        <v>45731</v>
      </c>
      <c r="S145" s="184">
        <v>11</v>
      </c>
      <c r="T145" s="102">
        <v>4</v>
      </c>
      <c r="U145" s="102">
        <v>10</v>
      </c>
      <c r="V145" s="102">
        <v>10</v>
      </c>
      <c r="W145" s="102">
        <v>2</v>
      </c>
      <c r="X145" s="103">
        <v>0</v>
      </c>
      <c r="Y145" s="103">
        <v>0.5</v>
      </c>
      <c r="Z145" s="103">
        <v>0.5</v>
      </c>
      <c r="AC145" s="102">
        <v>10</v>
      </c>
    </row>
    <row r="146" spans="1:29">
      <c r="A146" s="104" t="s">
        <v>1467</v>
      </c>
      <c r="B146" s="104" t="s">
        <v>1456</v>
      </c>
      <c r="C146" s="104" t="s">
        <v>774</v>
      </c>
      <c r="D146" s="104" t="s">
        <v>1463</v>
      </c>
      <c r="E146" s="104" t="s">
        <v>1453</v>
      </c>
      <c r="F146" s="104" t="s">
        <v>1455</v>
      </c>
      <c r="G146" s="104" t="s">
        <v>1456</v>
      </c>
      <c r="M146" s="104" t="s">
        <v>1756</v>
      </c>
      <c r="N146" s="104" t="s">
        <v>1972</v>
      </c>
      <c r="O146" s="101">
        <v>45726</v>
      </c>
      <c r="P146" s="101">
        <v>45737</v>
      </c>
      <c r="Q146" s="101">
        <v>45732</v>
      </c>
      <c r="R146" s="101">
        <v>45738</v>
      </c>
      <c r="S146" s="184">
        <v>12</v>
      </c>
      <c r="T146" s="102">
        <v>5</v>
      </c>
      <c r="U146" s="102">
        <v>10</v>
      </c>
      <c r="V146" s="102">
        <v>0</v>
      </c>
      <c r="W146" s="102">
        <v>2</v>
      </c>
      <c r="X146" s="103">
        <v>0</v>
      </c>
      <c r="Y146" s="103">
        <v>0.5</v>
      </c>
      <c r="Z146" s="103">
        <v>0.5</v>
      </c>
      <c r="AC146" s="102">
        <v>0</v>
      </c>
    </row>
    <row r="147" spans="1:29">
      <c r="A147" s="104" t="s">
        <v>1467</v>
      </c>
      <c r="B147" s="104" t="s">
        <v>1457</v>
      </c>
      <c r="C147" s="104" t="s">
        <v>774</v>
      </c>
      <c r="D147" s="104" t="s">
        <v>1463</v>
      </c>
      <c r="E147" s="104" t="s">
        <v>1453</v>
      </c>
      <c r="F147" s="104" t="s">
        <v>1455</v>
      </c>
      <c r="G147" s="104" t="s">
        <v>1457</v>
      </c>
      <c r="M147" s="104" t="s">
        <v>1757</v>
      </c>
      <c r="N147" s="104" t="s">
        <v>1972</v>
      </c>
      <c r="O147" s="101">
        <v>45733</v>
      </c>
      <c r="P147" s="101">
        <v>45744</v>
      </c>
      <c r="Q147" s="101">
        <v>45732</v>
      </c>
      <c r="R147" s="101">
        <v>45738</v>
      </c>
      <c r="S147" s="184">
        <v>12</v>
      </c>
      <c r="T147" s="102">
        <v>5</v>
      </c>
      <c r="U147" s="102">
        <v>10</v>
      </c>
      <c r="V147" s="102">
        <v>0</v>
      </c>
      <c r="W147" s="102">
        <v>2</v>
      </c>
      <c r="X147" s="103">
        <v>0</v>
      </c>
      <c r="Y147" s="103">
        <v>0</v>
      </c>
      <c r="Z147" s="103">
        <v>0</v>
      </c>
      <c r="AC147" s="102">
        <v>0</v>
      </c>
    </row>
    <row r="148" spans="1:29">
      <c r="A148" s="104" t="s">
        <v>1467</v>
      </c>
      <c r="B148" s="104" t="s">
        <v>1457</v>
      </c>
      <c r="C148" s="104" t="s">
        <v>774</v>
      </c>
      <c r="D148" s="104" t="s">
        <v>1463</v>
      </c>
      <c r="E148" s="104" t="s">
        <v>1453</v>
      </c>
      <c r="F148" s="104" t="s">
        <v>1455</v>
      </c>
      <c r="G148" s="104" t="s">
        <v>1457</v>
      </c>
      <c r="M148" s="104" t="s">
        <v>1757</v>
      </c>
      <c r="N148" s="104" t="s">
        <v>1972</v>
      </c>
      <c r="O148" s="101">
        <v>45733</v>
      </c>
      <c r="P148" s="101">
        <v>45744</v>
      </c>
      <c r="Q148" s="101">
        <v>45739</v>
      </c>
      <c r="R148" s="101">
        <v>45745</v>
      </c>
      <c r="S148" s="184">
        <v>13</v>
      </c>
      <c r="T148" s="102">
        <v>6</v>
      </c>
      <c r="U148" s="102">
        <v>10</v>
      </c>
      <c r="V148" s="102">
        <v>0</v>
      </c>
      <c r="W148" s="102">
        <v>2</v>
      </c>
      <c r="X148" s="103">
        <v>0</v>
      </c>
      <c r="Y148" s="103">
        <v>0</v>
      </c>
      <c r="Z148" s="103">
        <v>0</v>
      </c>
      <c r="AC148" s="102">
        <v>0</v>
      </c>
    </row>
    <row r="149" spans="1:29">
      <c r="A149" s="104" t="s">
        <v>1467</v>
      </c>
      <c r="B149" s="104" t="s">
        <v>1458</v>
      </c>
      <c r="C149" s="104" t="s">
        <v>774</v>
      </c>
      <c r="D149" s="104" t="s">
        <v>1463</v>
      </c>
      <c r="E149" s="104" t="s">
        <v>1453</v>
      </c>
      <c r="F149" s="104" t="s">
        <v>1455</v>
      </c>
      <c r="G149" s="104" t="s">
        <v>1458</v>
      </c>
      <c r="M149" s="104" t="s">
        <v>1758</v>
      </c>
      <c r="N149" s="104" t="s">
        <v>1972</v>
      </c>
      <c r="O149" s="101">
        <v>45733</v>
      </c>
      <c r="P149" s="101">
        <v>45744</v>
      </c>
      <c r="Q149" s="101">
        <v>45732</v>
      </c>
      <c r="R149" s="101">
        <v>45738</v>
      </c>
      <c r="S149" s="184">
        <v>12</v>
      </c>
      <c r="T149" s="102">
        <v>5</v>
      </c>
      <c r="U149" s="102">
        <v>10</v>
      </c>
      <c r="V149" s="102">
        <v>0</v>
      </c>
      <c r="W149" s="102">
        <v>2</v>
      </c>
      <c r="X149" s="103">
        <v>0</v>
      </c>
      <c r="Y149" s="103">
        <v>0</v>
      </c>
      <c r="Z149" s="103">
        <v>0</v>
      </c>
      <c r="AC149" s="102">
        <v>0</v>
      </c>
    </row>
    <row r="150" spans="1:29">
      <c r="A150" s="104" t="s">
        <v>1467</v>
      </c>
      <c r="B150" s="104" t="s">
        <v>1458</v>
      </c>
      <c r="C150" s="104" t="s">
        <v>774</v>
      </c>
      <c r="D150" s="104" t="s">
        <v>1463</v>
      </c>
      <c r="E150" s="104" t="s">
        <v>1453</v>
      </c>
      <c r="F150" s="104" t="s">
        <v>1455</v>
      </c>
      <c r="G150" s="104" t="s">
        <v>1458</v>
      </c>
      <c r="M150" s="104" t="s">
        <v>1758</v>
      </c>
      <c r="N150" s="104" t="s">
        <v>1972</v>
      </c>
      <c r="O150" s="101">
        <v>45733</v>
      </c>
      <c r="P150" s="101">
        <v>45744</v>
      </c>
      <c r="Q150" s="101">
        <v>45739</v>
      </c>
      <c r="R150" s="101">
        <v>45745</v>
      </c>
      <c r="S150" s="184">
        <v>13</v>
      </c>
      <c r="T150" s="102">
        <v>6</v>
      </c>
      <c r="U150" s="102">
        <v>10</v>
      </c>
      <c r="V150" s="102">
        <v>0</v>
      </c>
      <c r="W150" s="102">
        <v>2</v>
      </c>
      <c r="X150" s="103">
        <v>0</v>
      </c>
      <c r="Y150" s="103">
        <v>0</v>
      </c>
      <c r="Z150" s="103">
        <v>0</v>
      </c>
      <c r="AC150" s="102">
        <v>0</v>
      </c>
    </row>
    <row r="151" spans="1:29">
      <c r="A151" s="104" t="s">
        <v>1467</v>
      </c>
      <c r="B151" s="104" t="s">
        <v>2027</v>
      </c>
      <c r="C151" s="104" t="s">
        <v>774</v>
      </c>
      <c r="D151" s="104" t="s">
        <v>1463</v>
      </c>
      <c r="E151" s="104" t="s">
        <v>1453</v>
      </c>
      <c r="F151" s="104" t="s">
        <v>2026</v>
      </c>
      <c r="G151" s="104" t="s">
        <v>2027</v>
      </c>
      <c r="M151" s="104" t="s">
        <v>1760</v>
      </c>
      <c r="N151" s="104" t="s">
        <v>1971</v>
      </c>
      <c r="O151" s="101">
        <v>45747</v>
      </c>
      <c r="P151" s="101">
        <v>45758</v>
      </c>
      <c r="Q151" s="101">
        <v>45746</v>
      </c>
      <c r="R151" s="101">
        <v>45752</v>
      </c>
      <c r="S151" s="184">
        <v>14</v>
      </c>
      <c r="T151" s="102">
        <v>7</v>
      </c>
      <c r="U151" s="102">
        <v>5</v>
      </c>
      <c r="V151" s="102">
        <v>0</v>
      </c>
      <c r="W151" s="102">
        <v>1</v>
      </c>
      <c r="X151" s="103">
        <v>0</v>
      </c>
      <c r="Y151" s="103">
        <v>0</v>
      </c>
      <c r="Z151" s="103">
        <v>0</v>
      </c>
      <c r="AC151" s="102">
        <v>0</v>
      </c>
    </row>
    <row r="152" spans="1:29">
      <c r="A152" s="104" t="s">
        <v>1467</v>
      </c>
      <c r="B152" s="104" t="s">
        <v>2027</v>
      </c>
      <c r="C152" s="104" t="s">
        <v>774</v>
      </c>
      <c r="D152" s="104" t="s">
        <v>1463</v>
      </c>
      <c r="E152" s="104" t="s">
        <v>1453</v>
      </c>
      <c r="F152" s="104" t="s">
        <v>2026</v>
      </c>
      <c r="G152" s="104" t="s">
        <v>2027</v>
      </c>
      <c r="M152" s="104" t="s">
        <v>1760</v>
      </c>
      <c r="N152" s="104" t="s">
        <v>1971</v>
      </c>
      <c r="O152" s="101">
        <v>45747</v>
      </c>
      <c r="P152" s="101">
        <v>45758</v>
      </c>
      <c r="Q152" s="101">
        <v>45753</v>
      </c>
      <c r="R152" s="101">
        <v>45759</v>
      </c>
      <c r="S152" s="184">
        <v>15</v>
      </c>
      <c r="T152" s="102">
        <v>8</v>
      </c>
      <c r="U152" s="102">
        <v>5</v>
      </c>
      <c r="V152" s="102">
        <v>0</v>
      </c>
      <c r="W152" s="102">
        <v>1</v>
      </c>
      <c r="X152" s="103">
        <v>0</v>
      </c>
      <c r="Y152" s="103">
        <v>0</v>
      </c>
      <c r="Z152" s="103">
        <v>0</v>
      </c>
      <c r="AC152" s="102">
        <v>0</v>
      </c>
    </row>
    <row r="153" spans="1:29">
      <c r="A153" s="104" t="s">
        <v>1467</v>
      </c>
      <c r="B153" s="104" t="s">
        <v>2028</v>
      </c>
      <c r="C153" s="104" t="s">
        <v>774</v>
      </c>
      <c r="D153" s="104" t="s">
        <v>1463</v>
      </c>
      <c r="E153" s="104" t="s">
        <v>1453</v>
      </c>
      <c r="F153" s="104" t="s">
        <v>2026</v>
      </c>
      <c r="G153" s="104" t="s">
        <v>2028</v>
      </c>
      <c r="M153" s="104" t="s">
        <v>1761</v>
      </c>
      <c r="N153" s="104" t="s">
        <v>1971</v>
      </c>
      <c r="O153" s="101">
        <v>45747</v>
      </c>
      <c r="P153" s="101">
        <v>45758</v>
      </c>
      <c r="Q153" s="101">
        <v>45746</v>
      </c>
      <c r="R153" s="101">
        <v>45752</v>
      </c>
      <c r="S153" s="184">
        <v>14</v>
      </c>
      <c r="T153" s="102">
        <v>7</v>
      </c>
      <c r="U153" s="102">
        <v>5</v>
      </c>
      <c r="V153" s="102">
        <v>0</v>
      </c>
      <c r="W153" s="102">
        <v>1</v>
      </c>
      <c r="X153" s="103">
        <v>0</v>
      </c>
      <c r="Y153" s="103">
        <v>0</v>
      </c>
      <c r="Z153" s="103">
        <v>0</v>
      </c>
      <c r="AC153" s="102">
        <v>0</v>
      </c>
    </row>
    <row r="154" spans="1:29">
      <c r="A154" s="104" t="s">
        <v>1467</v>
      </c>
      <c r="B154" s="104" t="s">
        <v>2028</v>
      </c>
      <c r="C154" s="104" t="s">
        <v>774</v>
      </c>
      <c r="D154" s="104" t="s">
        <v>1463</v>
      </c>
      <c r="E154" s="104" t="s">
        <v>1453</v>
      </c>
      <c r="F154" s="104" t="s">
        <v>2026</v>
      </c>
      <c r="G154" s="104" t="s">
        <v>2028</v>
      </c>
      <c r="M154" s="104" t="s">
        <v>1761</v>
      </c>
      <c r="N154" s="104" t="s">
        <v>1971</v>
      </c>
      <c r="O154" s="101">
        <v>45747</v>
      </c>
      <c r="P154" s="101">
        <v>45758</v>
      </c>
      <c r="Q154" s="101">
        <v>45753</v>
      </c>
      <c r="R154" s="101">
        <v>45759</v>
      </c>
      <c r="S154" s="184">
        <v>15</v>
      </c>
      <c r="T154" s="102">
        <v>8</v>
      </c>
      <c r="U154" s="102">
        <v>5</v>
      </c>
      <c r="V154" s="102">
        <v>0</v>
      </c>
      <c r="W154" s="102">
        <v>1</v>
      </c>
      <c r="X154" s="103">
        <v>0</v>
      </c>
      <c r="Y154" s="103">
        <v>0</v>
      </c>
      <c r="Z154" s="103">
        <v>0</v>
      </c>
      <c r="AC154" s="102">
        <v>0</v>
      </c>
    </row>
    <row r="155" spans="1:29">
      <c r="A155" s="104" t="s">
        <v>1467</v>
      </c>
      <c r="B155" s="104" t="s">
        <v>2029</v>
      </c>
      <c r="C155" s="104" t="s">
        <v>774</v>
      </c>
      <c r="D155" s="104" t="s">
        <v>1463</v>
      </c>
      <c r="E155" s="104" t="s">
        <v>1453</v>
      </c>
      <c r="F155" s="104" t="s">
        <v>2026</v>
      </c>
      <c r="G155" s="104" t="s">
        <v>2029</v>
      </c>
      <c r="M155" s="104" t="s">
        <v>1749</v>
      </c>
      <c r="N155" s="104" t="s">
        <v>1971</v>
      </c>
      <c r="O155" s="101">
        <v>45761</v>
      </c>
      <c r="P155" s="101">
        <v>45772</v>
      </c>
      <c r="Q155" s="101">
        <v>45760</v>
      </c>
      <c r="R155" s="101">
        <v>45766</v>
      </c>
      <c r="S155" s="184">
        <v>16</v>
      </c>
      <c r="T155" s="102">
        <v>9</v>
      </c>
      <c r="U155" s="102">
        <v>5</v>
      </c>
      <c r="V155" s="102">
        <v>0</v>
      </c>
      <c r="W155" s="102">
        <v>1</v>
      </c>
      <c r="X155" s="103">
        <v>0</v>
      </c>
      <c r="Y155" s="103">
        <v>0</v>
      </c>
      <c r="Z155" s="103">
        <v>0</v>
      </c>
      <c r="AC155" s="102">
        <v>0</v>
      </c>
    </row>
    <row r="156" spans="1:29">
      <c r="A156" s="104" t="s">
        <v>1467</v>
      </c>
      <c r="B156" s="104" t="s">
        <v>2029</v>
      </c>
      <c r="C156" s="104" t="s">
        <v>774</v>
      </c>
      <c r="D156" s="104" t="s">
        <v>1463</v>
      </c>
      <c r="E156" s="104" t="s">
        <v>1453</v>
      </c>
      <c r="F156" s="104" t="s">
        <v>2026</v>
      </c>
      <c r="G156" s="104" t="s">
        <v>2029</v>
      </c>
      <c r="M156" s="104" t="s">
        <v>1749</v>
      </c>
      <c r="N156" s="104" t="s">
        <v>1971</v>
      </c>
      <c r="O156" s="101">
        <v>45761</v>
      </c>
      <c r="P156" s="101">
        <v>45772</v>
      </c>
      <c r="Q156" s="101">
        <v>45767</v>
      </c>
      <c r="R156" s="101">
        <v>45773</v>
      </c>
      <c r="S156" s="184">
        <v>17</v>
      </c>
      <c r="T156" s="102">
        <v>10</v>
      </c>
      <c r="U156" s="102">
        <v>5</v>
      </c>
      <c r="V156" s="102">
        <v>0</v>
      </c>
      <c r="W156" s="102">
        <v>1</v>
      </c>
      <c r="X156" s="103">
        <v>0</v>
      </c>
      <c r="Y156" s="103">
        <v>0</v>
      </c>
      <c r="Z156" s="103">
        <v>0</v>
      </c>
      <c r="AC156" s="102">
        <v>0</v>
      </c>
    </row>
    <row r="157" spans="1:29">
      <c r="A157" s="104" t="s">
        <v>1467</v>
      </c>
      <c r="B157" s="104" t="s">
        <v>2030</v>
      </c>
      <c r="C157" s="104" t="s">
        <v>774</v>
      </c>
      <c r="D157" s="104" t="s">
        <v>1463</v>
      </c>
      <c r="E157" s="104" t="s">
        <v>1453</v>
      </c>
      <c r="F157" s="104" t="s">
        <v>2026</v>
      </c>
      <c r="G157" s="104" t="s">
        <v>2030</v>
      </c>
      <c r="M157" s="104" t="s">
        <v>1750</v>
      </c>
      <c r="N157" s="104" t="s">
        <v>1971</v>
      </c>
      <c r="O157" s="101">
        <v>45761</v>
      </c>
      <c r="P157" s="101">
        <v>45772</v>
      </c>
      <c r="Q157" s="101">
        <v>45760</v>
      </c>
      <c r="R157" s="101">
        <v>45766</v>
      </c>
      <c r="S157" s="184">
        <v>16</v>
      </c>
      <c r="T157" s="102">
        <v>9</v>
      </c>
      <c r="U157" s="102">
        <v>5</v>
      </c>
      <c r="V157" s="102">
        <v>0</v>
      </c>
      <c r="W157" s="102">
        <v>1</v>
      </c>
      <c r="X157" s="103">
        <v>0</v>
      </c>
      <c r="Y157" s="103">
        <v>0</v>
      </c>
      <c r="Z157" s="103">
        <v>0</v>
      </c>
      <c r="AC157" s="102">
        <v>0</v>
      </c>
    </row>
    <row r="158" spans="1:29">
      <c r="A158" s="104" t="s">
        <v>1467</v>
      </c>
      <c r="B158" s="104" t="s">
        <v>2030</v>
      </c>
      <c r="C158" s="104" t="s">
        <v>774</v>
      </c>
      <c r="D158" s="104" t="s">
        <v>1463</v>
      </c>
      <c r="E158" s="104" t="s">
        <v>1453</v>
      </c>
      <c r="F158" s="104" t="s">
        <v>2026</v>
      </c>
      <c r="G158" s="104" t="s">
        <v>2030</v>
      </c>
      <c r="M158" s="104" t="s">
        <v>1750</v>
      </c>
      <c r="N158" s="104" t="s">
        <v>1971</v>
      </c>
      <c r="O158" s="101">
        <v>45761</v>
      </c>
      <c r="P158" s="101">
        <v>45772</v>
      </c>
      <c r="Q158" s="101">
        <v>45767</v>
      </c>
      <c r="R158" s="101">
        <v>45773</v>
      </c>
      <c r="S158" s="184">
        <v>17</v>
      </c>
      <c r="T158" s="102">
        <v>10</v>
      </c>
      <c r="U158" s="102">
        <v>5</v>
      </c>
      <c r="V158" s="102">
        <v>0</v>
      </c>
      <c r="W158" s="102">
        <v>1</v>
      </c>
      <c r="X158" s="103">
        <v>0</v>
      </c>
      <c r="Y158" s="103">
        <v>0</v>
      </c>
      <c r="Z158" s="103">
        <v>0</v>
      </c>
      <c r="AC158" s="102">
        <v>0</v>
      </c>
    </row>
    <row r="159" spans="1:29">
      <c r="A159" s="104" t="s">
        <v>1467</v>
      </c>
      <c r="B159" s="104" t="s">
        <v>2031</v>
      </c>
      <c r="C159" s="104" t="s">
        <v>774</v>
      </c>
      <c r="D159" s="104" t="s">
        <v>1463</v>
      </c>
      <c r="E159" s="104" t="s">
        <v>1453</v>
      </c>
      <c r="F159" s="104" t="s">
        <v>2026</v>
      </c>
      <c r="G159" s="104" t="s">
        <v>2031</v>
      </c>
      <c r="M159" s="104" t="s">
        <v>1752</v>
      </c>
      <c r="N159" s="104" t="s">
        <v>1971</v>
      </c>
      <c r="O159" s="101">
        <v>45775</v>
      </c>
      <c r="P159" s="101">
        <v>45786</v>
      </c>
      <c r="Q159" s="101">
        <v>45774</v>
      </c>
      <c r="R159" s="101">
        <v>45780</v>
      </c>
      <c r="S159" s="184">
        <v>18</v>
      </c>
      <c r="T159" s="102">
        <v>11</v>
      </c>
      <c r="U159" s="102">
        <v>4</v>
      </c>
      <c r="V159" s="102">
        <v>0</v>
      </c>
      <c r="W159" s="102">
        <v>1</v>
      </c>
      <c r="X159" s="103">
        <v>0</v>
      </c>
      <c r="Y159" s="103">
        <v>0</v>
      </c>
      <c r="Z159" s="103">
        <v>0</v>
      </c>
      <c r="AC159" s="102">
        <v>0</v>
      </c>
    </row>
    <row r="160" spans="1:29">
      <c r="A160" s="104" t="s">
        <v>1467</v>
      </c>
      <c r="B160" s="104" t="s">
        <v>2031</v>
      </c>
      <c r="C160" s="104" t="s">
        <v>774</v>
      </c>
      <c r="D160" s="104" t="s">
        <v>1463</v>
      </c>
      <c r="E160" s="104" t="s">
        <v>1453</v>
      </c>
      <c r="F160" s="104" t="s">
        <v>2026</v>
      </c>
      <c r="G160" s="104" t="s">
        <v>2031</v>
      </c>
      <c r="M160" s="104" t="s">
        <v>1752</v>
      </c>
      <c r="N160" s="104" t="s">
        <v>1971</v>
      </c>
      <c r="O160" s="101">
        <v>45775</v>
      </c>
      <c r="P160" s="101">
        <v>45786</v>
      </c>
      <c r="Q160" s="101">
        <v>45781</v>
      </c>
      <c r="R160" s="101">
        <v>45787</v>
      </c>
      <c r="S160" s="184">
        <v>19</v>
      </c>
      <c r="T160" s="102">
        <v>12</v>
      </c>
      <c r="U160" s="102">
        <v>4</v>
      </c>
      <c r="V160" s="102">
        <v>0</v>
      </c>
      <c r="W160" s="102">
        <v>1</v>
      </c>
      <c r="X160" s="103">
        <v>0</v>
      </c>
      <c r="Y160" s="103">
        <v>0</v>
      </c>
      <c r="Z160" s="103">
        <v>0</v>
      </c>
      <c r="AC160" s="102">
        <v>0</v>
      </c>
    </row>
    <row r="161" spans="1:29">
      <c r="A161" s="104" t="s">
        <v>1467</v>
      </c>
      <c r="B161" s="104" t="s">
        <v>2033</v>
      </c>
      <c r="C161" s="104" t="s">
        <v>774</v>
      </c>
      <c r="D161" s="104" t="s">
        <v>1463</v>
      </c>
      <c r="E161" s="104" t="s">
        <v>1453</v>
      </c>
      <c r="F161" s="104" t="s">
        <v>2032</v>
      </c>
      <c r="G161" s="104" t="s">
        <v>2033</v>
      </c>
      <c r="M161" s="104" t="s">
        <v>1763</v>
      </c>
      <c r="N161" s="104" t="s">
        <v>1972</v>
      </c>
      <c r="O161" s="101">
        <v>45747</v>
      </c>
      <c r="P161" s="101">
        <v>45779</v>
      </c>
      <c r="Q161" s="101">
        <v>45746</v>
      </c>
      <c r="R161" s="101">
        <v>45752</v>
      </c>
      <c r="S161" s="184">
        <v>14</v>
      </c>
      <c r="T161" s="102">
        <v>7</v>
      </c>
      <c r="U161" s="102">
        <v>5</v>
      </c>
      <c r="V161" s="102">
        <v>0</v>
      </c>
      <c r="W161" s="102">
        <v>1</v>
      </c>
      <c r="X161" s="103">
        <v>0</v>
      </c>
      <c r="Y161" s="103">
        <v>0</v>
      </c>
      <c r="Z161" s="103">
        <v>0</v>
      </c>
      <c r="AC161" s="102">
        <v>0</v>
      </c>
    </row>
    <row r="162" spans="1:29">
      <c r="A162" s="104" t="s">
        <v>1467</v>
      </c>
      <c r="B162" s="104" t="s">
        <v>2033</v>
      </c>
      <c r="C162" s="104" t="s">
        <v>774</v>
      </c>
      <c r="D162" s="104" t="s">
        <v>1463</v>
      </c>
      <c r="E162" s="104" t="s">
        <v>1453</v>
      </c>
      <c r="F162" s="104" t="s">
        <v>2032</v>
      </c>
      <c r="G162" s="104" t="s">
        <v>2033</v>
      </c>
      <c r="M162" s="104" t="s">
        <v>1763</v>
      </c>
      <c r="N162" s="104" t="s">
        <v>1972</v>
      </c>
      <c r="O162" s="101">
        <v>45747</v>
      </c>
      <c r="P162" s="101">
        <v>45779</v>
      </c>
      <c r="Q162" s="101">
        <v>45753</v>
      </c>
      <c r="R162" s="101">
        <v>45759</v>
      </c>
      <c r="S162" s="184">
        <v>15</v>
      </c>
      <c r="T162" s="102">
        <v>8</v>
      </c>
      <c r="U162" s="102">
        <v>5</v>
      </c>
      <c r="V162" s="102">
        <v>0</v>
      </c>
      <c r="W162" s="102">
        <v>1</v>
      </c>
      <c r="X162" s="103">
        <v>0</v>
      </c>
      <c r="Y162" s="103">
        <v>0</v>
      </c>
      <c r="Z162" s="103">
        <v>0</v>
      </c>
      <c r="AC162" s="102">
        <v>0</v>
      </c>
    </row>
    <row r="163" spans="1:29">
      <c r="A163" s="104" t="s">
        <v>1467</v>
      </c>
      <c r="B163" s="104" t="s">
        <v>2033</v>
      </c>
      <c r="C163" s="104" t="s">
        <v>774</v>
      </c>
      <c r="D163" s="104" t="s">
        <v>1463</v>
      </c>
      <c r="E163" s="104" t="s">
        <v>1453</v>
      </c>
      <c r="F163" s="104" t="s">
        <v>2032</v>
      </c>
      <c r="G163" s="104" t="s">
        <v>2033</v>
      </c>
      <c r="M163" s="104" t="s">
        <v>1763</v>
      </c>
      <c r="N163" s="104" t="s">
        <v>1972</v>
      </c>
      <c r="O163" s="101">
        <v>45747</v>
      </c>
      <c r="P163" s="101">
        <v>45779</v>
      </c>
      <c r="Q163" s="101">
        <v>45760</v>
      </c>
      <c r="R163" s="101">
        <v>45766</v>
      </c>
      <c r="S163" s="184">
        <v>16</v>
      </c>
      <c r="T163" s="102">
        <v>9</v>
      </c>
      <c r="U163" s="102">
        <v>5</v>
      </c>
      <c r="V163" s="102">
        <v>0</v>
      </c>
      <c r="W163" s="102">
        <v>1</v>
      </c>
      <c r="X163" s="103">
        <v>0</v>
      </c>
      <c r="Y163" s="103">
        <v>0</v>
      </c>
      <c r="Z163" s="103">
        <v>0</v>
      </c>
      <c r="AC163" s="102">
        <v>0</v>
      </c>
    </row>
    <row r="164" spans="1:29">
      <c r="A164" s="104" t="s">
        <v>1467</v>
      </c>
      <c r="B164" s="104" t="s">
        <v>2033</v>
      </c>
      <c r="C164" s="104" t="s">
        <v>774</v>
      </c>
      <c r="D164" s="104" t="s">
        <v>1463</v>
      </c>
      <c r="E164" s="104" t="s">
        <v>1453</v>
      </c>
      <c r="F164" s="104" t="s">
        <v>2032</v>
      </c>
      <c r="G164" s="104" t="s">
        <v>2033</v>
      </c>
      <c r="M164" s="104" t="s">
        <v>1763</v>
      </c>
      <c r="N164" s="104" t="s">
        <v>1972</v>
      </c>
      <c r="O164" s="101">
        <v>45747</v>
      </c>
      <c r="P164" s="101">
        <v>45779</v>
      </c>
      <c r="Q164" s="101">
        <v>45767</v>
      </c>
      <c r="R164" s="101">
        <v>45773</v>
      </c>
      <c r="S164" s="184">
        <v>17</v>
      </c>
      <c r="T164" s="102">
        <v>10</v>
      </c>
      <c r="U164" s="102">
        <v>5</v>
      </c>
      <c r="V164" s="102">
        <v>0</v>
      </c>
      <c r="W164" s="102">
        <v>1</v>
      </c>
      <c r="X164" s="103">
        <v>0</v>
      </c>
      <c r="Y164" s="103">
        <v>0</v>
      </c>
      <c r="Z164" s="103">
        <v>0</v>
      </c>
      <c r="AC164" s="102">
        <v>0</v>
      </c>
    </row>
    <row r="165" spans="1:29">
      <c r="A165" s="104" t="s">
        <v>1467</v>
      </c>
      <c r="B165" s="104" t="s">
        <v>2033</v>
      </c>
      <c r="C165" s="104" t="s">
        <v>774</v>
      </c>
      <c r="D165" s="104" t="s">
        <v>1463</v>
      </c>
      <c r="E165" s="104" t="s">
        <v>1453</v>
      </c>
      <c r="F165" s="104" t="s">
        <v>2032</v>
      </c>
      <c r="G165" s="104" t="s">
        <v>2033</v>
      </c>
      <c r="M165" s="104" t="s">
        <v>1763</v>
      </c>
      <c r="N165" s="104" t="s">
        <v>1972</v>
      </c>
      <c r="O165" s="101">
        <v>45747</v>
      </c>
      <c r="P165" s="101">
        <v>45779</v>
      </c>
      <c r="Q165" s="101">
        <v>45774</v>
      </c>
      <c r="R165" s="101">
        <v>45780</v>
      </c>
      <c r="S165" s="184">
        <v>18</v>
      </c>
      <c r="T165" s="102">
        <v>11</v>
      </c>
      <c r="U165" s="102">
        <v>4</v>
      </c>
      <c r="V165" s="102">
        <v>0</v>
      </c>
      <c r="W165" s="102">
        <v>1</v>
      </c>
      <c r="X165" s="103">
        <v>0</v>
      </c>
      <c r="Y165" s="103">
        <v>0</v>
      </c>
      <c r="Z165" s="103">
        <v>0</v>
      </c>
      <c r="AC165" s="102">
        <v>0</v>
      </c>
    </row>
    <row r="166" spans="1:29">
      <c r="A166" s="104" t="s">
        <v>1467</v>
      </c>
      <c r="B166" s="104" t="s">
        <v>2034</v>
      </c>
      <c r="C166" s="104" t="s">
        <v>774</v>
      </c>
      <c r="D166" s="104" t="s">
        <v>1463</v>
      </c>
      <c r="E166" s="104" t="s">
        <v>1453</v>
      </c>
      <c r="F166" s="104" t="s">
        <v>2032</v>
      </c>
      <c r="G166" s="104" t="s">
        <v>2034</v>
      </c>
      <c r="M166" s="104" t="s">
        <v>1764</v>
      </c>
      <c r="N166" s="104" t="s">
        <v>1972</v>
      </c>
      <c r="O166" s="101">
        <v>45747</v>
      </c>
      <c r="P166" s="101">
        <v>45779</v>
      </c>
      <c r="Q166" s="101">
        <v>45746</v>
      </c>
      <c r="R166" s="101">
        <v>45752</v>
      </c>
      <c r="S166" s="184">
        <v>14</v>
      </c>
      <c r="T166" s="102">
        <v>7</v>
      </c>
      <c r="U166" s="102">
        <v>5</v>
      </c>
      <c r="V166" s="102">
        <v>0</v>
      </c>
      <c r="W166" s="102">
        <v>1</v>
      </c>
      <c r="X166" s="103">
        <v>0</v>
      </c>
      <c r="Y166" s="103">
        <v>0</v>
      </c>
      <c r="Z166" s="103">
        <v>0</v>
      </c>
      <c r="AC166" s="102">
        <v>0</v>
      </c>
    </row>
    <row r="167" spans="1:29">
      <c r="A167" s="104" t="s">
        <v>1467</v>
      </c>
      <c r="B167" s="104" t="s">
        <v>2034</v>
      </c>
      <c r="C167" s="104" t="s">
        <v>774</v>
      </c>
      <c r="D167" s="104" t="s">
        <v>1463</v>
      </c>
      <c r="E167" s="104" t="s">
        <v>1453</v>
      </c>
      <c r="F167" s="104" t="s">
        <v>2032</v>
      </c>
      <c r="G167" s="104" t="s">
        <v>2034</v>
      </c>
      <c r="M167" s="104" t="s">
        <v>1764</v>
      </c>
      <c r="N167" s="104" t="s">
        <v>1972</v>
      </c>
      <c r="O167" s="101">
        <v>45747</v>
      </c>
      <c r="P167" s="101">
        <v>45779</v>
      </c>
      <c r="Q167" s="101">
        <v>45753</v>
      </c>
      <c r="R167" s="101">
        <v>45759</v>
      </c>
      <c r="S167" s="184">
        <v>15</v>
      </c>
      <c r="T167" s="102">
        <v>8</v>
      </c>
      <c r="U167" s="102">
        <v>5</v>
      </c>
      <c r="V167" s="102">
        <v>0</v>
      </c>
      <c r="W167" s="102">
        <v>1</v>
      </c>
      <c r="X167" s="103">
        <v>0</v>
      </c>
      <c r="Y167" s="103">
        <v>0</v>
      </c>
      <c r="Z167" s="103">
        <v>0</v>
      </c>
      <c r="AC167" s="102">
        <v>0</v>
      </c>
    </row>
    <row r="168" spans="1:29">
      <c r="A168" s="104" t="s">
        <v>1467</v>
      </c>
      <c r="B168" s="104" t="s">
        <v>2034</v>
      </c>
      <c r="C168" s="104" t="s">
        <v>774</v>
      </c>
      <c r="D168" s="104" t="s">
        <v>1463</v>
      </c>
      <c r="E168" s="104" t="s">
        <v>1453</v>
      </c>
      <c r="F168" s="104" t="s">
        <v>2032</v>
      </c>
      <c r="G168" s="104" t="s">
        <v>2034</v>
      </c>
      <c r="M168" s="104" t="s">
        <v>1764</v>
      </c>
      <c r="N168" s="104" t="s">
        <v>1972</v>
      </c>
      <c r="O168" s="101">
        <v>45747</v>
      </c>
      <c r="P168" s="101">
        <v>45779</v>
      </c>
      <c r="Q168" s="101">
        <v>45760</v>
      </c>
      <c r="R168" s="101">
        <v>45766</v>
      </c>
      <c r="S168" s="184">
        <v>16</v>
      </c>
      <c r="T168" s="102">
        <v>9</v>
      </c>
      <c r="U168" s="102">
        <v>5</v>
      </c>
      <c r="V168" s="102">
        <v>0</v>
      </c>
      <c r="W168" s="102">
        <v>1</v>
      </c>
      <c r="X168" s="103">
        <v>0</v>
      </c>
      <c r="Y168" s="103">
        <v>0</v>
      </c>
      <c r="Z168" s="103">
        <v>0</v>
      </c>
      <c r="AC168" s="102">
        <v>0</v>
      </c>
    </row>
    <row r="169" spans="1:29">
      <c r="A169" s="104" t="s">
        <v>1467</v>
      </c>
      <c r="B169" s="104" t="s">
        <v>2034</v>
      </c>
      <c r="C169" s="104" t="s">
        <v>774</v>
      </c>
      <c r="D169" s="104" t="s">
        <v>1463</v>
      </c>
      <c r="E169" s="104" t="s">
        <v>1453</v>
      </c>
      <c r="F169" s="104" t="s">
        <v>2032</v>
      </c>
      <c r="G169" s="104" t="s">
        <v>2034</v>
      </c>
      <c r="M169" s="104" t="s">
        <v>1764</v>
      </c>
      <c r="N169" s="104" t="s">
        <v>1972</v>
      </c>
      <c r="O169" s="101">
        <v>45747</v>
      </c>
      <c r="P169" s="101">
        <v>45779</v>
      </c>
      <c r="Q169" s="101">
        <v>45767</v>
      </c>
      <c r="R169" s="101">
        <v>45773</v>
      </c>
      <c r="S169" s="184">
        <v>17</v>
      </c>
      <c r="T169" s="102">
        <v>10</v>
      </c>
      <c r="U169" s="102">
        <v>5</v>
      </c>
      <c r="V169" s="102">
        <v>0</v>
      </c>
      <c r="W169" s="102">
        <v>1</v>
      </c>
      <c r="X169" s="103">
        <v>0</v>
      </c>
      <c r="Y169" s="103">
        <v>0</v>
      </c>
      <c r="Z169" s="103">
        <v>0</v>
      </c>
      <c r="AC169" s="102">
        <v>0</v>
      </c>
    </row>
    <row r="170" spans="1:29">
      <c r="A170" s="104" t="s">
        <v>1467</v>
      </c>
      <c r="B170" s="104" t="s">
        <v>2034</v>
      </c>
      <c r="C170" s="104" t="s">
        <v>774</v>
      </c>
      <c r="D170" s="104" t="s">
        <v>1463</v>
      </c>
      <c r="E170" s="104" t="s">
        <v>1453</v>
      </c>
      <c r="F170" s="104" t="s">
        <v>2032</v>
      </c>
      <c r="G170" s="104" t="s">
        <v>2034</v>
      </c>
      <c r="M170" s="104" t="s">
        <v>1764</v>
      </c>
      <c r="N170" s="104" t="s">
        <v>1972</v>
      </c>
      <c r="O170" s="101">
        <v>45747</v>
      </c>
      <c r="P170" s="101">
        <v>45779</v>
      </c>
      <c r="Q170" s="101">
        <v>45774</v>
      </c>
      <c r="R170" s="101">
        <v>45780</v>
      </c>
      <c r="S170" s="184">
        <v>18</v>
      </c>
      <c r="T170" s="102">
        <v>11</v>
      </c>
      <c r="U170" s="102">
        <v>4</v>
      </c>
      <c r="V170" s="102">
        <v>0</v>
      </c>
      <c r="W170" s="102">
        <v>1</v>
      </c>
      <c r="X170" s="103">
        <v>0</v>
      </c>
      <c r="Y170" s="103">
        <v>0</v>
      </c>
      <c r="Z170" s="103">
        <v>0</v>
      </c>
      <c r="AC170" s="102">
        <v>0</v>
      </c>
    </row>
    <row r="171" spans="1:29">
      <c r="A171" s="104" t="s">
        <v>1467</v>
      </c>
      <c r="B171" s="104" t="s">
        <v>2035</v>
      </c>
      <c r="C171" s="104" t="s">
        <v>774</v>
      </c>
      <c r="D171" s="104" t="s">
        <v>1463</v>
      </c>
      <c r="E171" s="104" t="s">
        <v>1459</v>
      </c>
      <c r="F171" s="104" t="s">
        <v>1460</v>
      </c>
      <c r="G171" s="104" t="s">
        <v>2035</v>
      </c>
      <c r="M171" s="104" t="s">
        <v>1756</v>
      </c>
      <c r="N171" s="104" t="s">
        <v>1972</v>
      </c>
      <c r="O171" s="101">
        <v>45831</v>
      </c>
      <c r="P171" s="101">
        <v>45842</v>
      </c>
      <c r="Q171" s="101">
        <v>45830</v>
      </c>
      <c r="R171" s="101">
        <v>45836</v>
      </c>
      <c r="S171" s="184">
        <v>26</v>
      </c>
      <c r="T171" s="102">
        <v>19</v>
      </c>
      <c r="U171" s="102">
        <v>5</v>
      </c>
      <c r="V171" s="102">
        <v>0</v>
      </c>
      <c r="W171" s="102">
        <v>1</v>
      </c>
      <c r="X171" s="103">
        <v>0</v>
      </c>
      <c r="Y171" s="103">
        <v>0</v>
      </c>
      <c r="Z171" s="103">
        <v>0</v>
      </c>
      <c r="AC171" s="102">
        <v>0</v>
      </c>
    </row>
    <row r="172" spans="1:29">
      <c r="A172" s="104" t="s">
        <v>1467</v>
      </c>
      <c r="B172" s="104" t="s">
        <v>2035</v>
      </c>
      <c r="C172" s="104" t="s">
        <v>774</v>
      </c>
      <c r="D172" s="104" t="s">
        <v>1463</v>
      </c>
      <c r="E172" s="104" t="s">
        <v>1459</v>
      </c>
      <c r="F172" s="104" t="s">
        <v>1460</v>
      </c>
      <c r="G172" s="104" t="s">
        <v>2035</v>
      </c>
      <c r="M172" s="104" t="s">
        <v>1756</v>
      </c>
      <c r="N172" s="104" t="s">
        <v>1972</v>
      </c>
      <c r="O172" s="101">
        <v>45831</v>
      </c>
      <c r="P172" s="101">
        <v>45842</v>
      </c>
      <c r="Q172" s="101">
        <v>45837</v>
      </c>
      <c r="R172" s="101">
        <v>45843</v>
      </c>
      <c r="S172" s="184">
        <v>27</v>
      </c>
      <c r="T172" s="102">
        <v>20</v>
      </c>
      <c r="U172" s="102">
        <v>5</v>
      </c>
      <c r="V172" s="102">
        <v>0</v>
      </c>
      <c r="W172" s="102">
        <v>1</v>
      </c>
      <c r="X172" s="103">
        <v>0</v>
      </c>
      <c r="Y172" s="103">
        <v>0</v>
      </c>
      <c r="Z172" s="103">
        <v>0</v>
      </c>
      <c r="AC172" s="102">
        <v>0</v>
      </c>
    </row>
    <row r="173" spans="1:29">
      <c r="A173" s="104" t="s">
        <v>1467</v>
      </c>
      <c r="B173" s="104" t="s">
        <v>2036</v>
      </c>
      <c r="C173" s="104" t="s">
        <v>774</v>
      </c>
      <c r="D173" s="104" t="s">
        <v>1463</v>
      </c>
      <c r="E173" s="104" t="s">
        <v>1459</v>
      </c>
      <c r="F173" s="104" t="s">
        <v>1460</v>
      </c>
      <c r="G173" s="104" t="s">
        <v>2036</v>
      </c>
      <c r="M173" s="104" t="s">
        <v>1757</v>
      </c>
      <c r="N173" s="104" t="s">
        <v>1972</v>
      </c>
      <c r="O173" s="101">
        <v>45831</v>
      </c>
      <c r="P173" s="101">
        <v>45849</v>
      </c>
      <c r="Q173" s="101">
        <v>45830</v>
      </c>
      <c r="R173" s="101">
        <v>45836</v>
      </c>
      <c r="S173" s="184">
        <v>26</v>
      </c>
      <c r="T173" s="102">
        <v>19</v>
      </c>
      <c r="U173" s="102">
        <v>5</v>
      </c>
      <c r="V173" s="102">
        <v>0</v>
      </c>
      <c r="W173" s="102">
        <v>1</v>
      </c>
      <c r="X173" s="103">
        <v>0</v>
      </c>
      <c r="Y173" s="103">
        <v>0</v>
      </c>
      <c r="Z173" s="103">
        <v>0</v>
      </c>
      <c r="AC173" s="102">
        <v>0</v>
      </c>
    </row>
    <row r="174" spans="1:29">
      <c r="A174" s="104" t="s">
        <v>1467</v>
      </c>
      <c r="B174" s="104" t="s">
        <v>2036</v>
      </c>
      <c r="C174" s="104" t="s">
        <v>774</v>
      </c>
      <c r="D174" s="104" t="s">
        <v>1463</v>
      </c>
      <c r="E174" s="104" t="s">
        <v>1459</v>
      </c>
      <c r="F174" s="104" t="s">
        <v>1460</v>
      </c>
      <c r="G174" s="104" t="s">
        <v>2036</v>
      </c>
      <c r="M174" s="104" t="s">
        <v>1757</v>
      </c>
      <c r="N174" s="104" t="s">
        <v>1972</v>
      </c>
      <c r="O174" s="101">
        <v>45831</v>
      </c>
      <c r="P174" s="101">
        <v>45849</v>
      </c>
      <c r="Q174" s="101">
        <v>45837</v>
      </c>
      <c r="R174" s="101">
        <v>45843</v>
      </c>
      <c r="S174" s="184">
        <v>27</v>
      </c>
      <c r="T174" s="102">
        <v>20</v>
      </c>
      <c r="U174" s="102">
        <v>5</v>
      </c>
      <c r="V174" s="102">
        <v>0</v>
      </c>
      <c r="W174" s="102">
        <v>1</v>
      </c>
      <c r="X174" s="103">
        <v>0</v>
      </c>
      <c r="Y174" s="103">
        <v>0</v>
      </c>
      <c r="Z174" s="103">
        <v>0</v>
      </c>
      <c r="AC174" s="102">
        <v>0</v>
      </c>
    </row>
    <row r="175" spans="1:29">
      <c r="A175" s="104" t="s">
        <v>1467</v>
      </c>
      <c r="B175" s="104" t="s">
        <v>2036</v>
      </c>
      <c r="C175" s="104" t="s">
        <v>774</v>
      </c>
      <c r="D175" s="104" t="s">
        <v>1463</v>
      </c>
      <c r="E175" s="104" t="s">
        <v>1459</v>
      </c>
      <c r="F175" s="104" t="s">
        <v>1460</v>
      </c>
      <c r="G175" s="104" t="s">
        <v>2036</v>
      </c>
      <c r="M175" s="104" t="s">
        <v>1757</v>
      </c>
      <c r="N175" s="104" t="s">
        <v>1972</v>
      </c>
      <c r="O175" s="101">
        <v>45831</v>
      </c>
      <c r="P175" s="101">
        <v>45849</v>
      </c>
      <c r="Q175" s="101">
        <v>45844</v>
      </c>
      <c r="R175" s="101">
        <v>45850</v>
      </c>
      <c r="S175" s="184">
        <v>28</v>
      </c>
      <c r="T175" s="102">
        <v>21</v>
      </c>
      <c r="U175" s="102">
        <v>5</v>
      </c>
      <c r="V175" s="102">
        <v>0</v>
      </c>
      <c r="W175" s="102">
        <v>1</v>
      </c>
      <c r="X175" s="103">
        <v>0</v>
      </c>
      <c r="Y175" s="103">
        <v>0</v>
      </c>
      <c r="Z175" s="103">
        <v>0</v>
      </c>
      <c r="AC175" s="102">
        <v>0</v>
      </c>
    </row>
    <row r="176" spans="1:29">
      <c r="A176" s="104" t="s">
        <v>1467</v>
      </c>
      <c r="B176" s="104" t="s">
        <v>2037</v>
      </c>
      <c r="C176" s="104" t="s">
        <v>774</v>
      </c>
      <c r="D176" s="104" t="s">
        <v>1463</v>
      </c>
      <c r="E176" s="104" t="s">
        <v>1459</v>
      </c>
      <c r="F176" s="104" t="s">
        <v>1460</v>
      </c>
      <c r="G176" s="104" t="s">
        <v>2037</v>
      </c>
      <c r="M176" s="104" t="s">
        <v>1758</v>
      </c>
      <c r="N176" s="104" t="s">
        <v>1972</v>
      </c>
      <c r="O176" s="101">
        <v>45831</v>
      </c>
      <c r="P176" s="101">
        <v>45849</v>
      </c>
      <c r="Q176" s="101">
        <v>45830</v>
      </c>
      <c r="R176" s="101">
        <v>45836</v>
      </c>
      <c r="S176" s="184">
        <v>26</v>
      </c>
      <c r="T176" s="102">
        <v>19</v>
      </c>
      <c r="U176" s="102">
        <v>5</v>
      </c>
      <c r="V176" s="102">
        <v>0</v>
      </c>
      <c r="W176" s="102">
        <v>1</v>
      </c>
      <c r="X176" s="103">
        <v>0</v>
      </c>
      <c r="Y176" s="103">
        <v>0</v>
      </c>
      <c r="Z176" s="103">
        <v>0</v>
      </c>
      <c r="AC176" s="102">
        <v>0</v>
      </c>
    </row>
    <row r="177" spans="1:29">
      <c r="A177" s="104" t="s">
        <v>1467</v>
      </c>
      <c r="B177" s="104" t="s">
        <v>2037</v>
      </c>
      <c r="C177" s="104" t="s">
        <v>774</v>
      </c>
      <c r="D177" s="104" t="s">
        <v>1463</v>
      </c>
      <c r="E177" s="104" t="s">
        <v>1459</v>
      </c>
      <c r="F177" s="104" t="s">
        <v>1460</v>
      </c>
      <c r="G177" s="104" t="s">
        <v>2037</v>
      </c>
      <c r="M177" s="104" t="s">
        <v>1758</v>
      </c>
      <c r="N177" s="104" t="s">
        <v>1972</v>
      </c>
      <c r="O177" s="101">
        <v>45831</v>
      </c>
      <c r="P177" s="101">
        <v>45849</v>
      </c>
      <c r="Q177" s="101">
        <v>45837</v>
      </c>
      <c r="R177" s="101">
        <v>45843</v>
      </c>
      <c r="S177" s="184">
        <v>27</v>
      </c>
      <c r="T177" s="102">
        <v>20</v>
      </c>
      <c r="U177" s="102">
        <v>5</v>
      </c>
      <c r="V177" s="102">
        <v>0</v>
      </c>
      <c r="W177" s="102">
        <v>1</v>
      </c>
      <c r="X177" s="103">
        <v>0</v>
      </c>
      <c r="Y177" s="103">
        <v>0</v>
      </c>
      <c r="Z177" s="103">
        <v>0</v>
      </c>
      <c r="AC177" s="102">
        <v>0</v>
      </c>
    </row>
    <row r="178" spans="1:29">
      <c r="A178" s="104" t="s">
        <v>1467</v>
      </c>
      <c r="B178" s="104" t="s">
        <v>2037</v>
      </c>
      <c r="C178" s="104" t="s">
        <v>774</v>
      </c>
      <c r="D178" s="104" t="s">
        <v>1463</v>
      </c>
      <c r="E178" s="104" t="s">
        <v>1459</v>
      </c>
      <c r="F178" s="104" t="s">
        <v>1460</v>
      </c>
      <c r="G178" s="104" t="s">
        <v>2037</v>
      </c>
      <c r="M178" s="104" t="s">
        <v>1758</v>
      </c>
      <c r="N178" s="104" t="s">
        <v>1972</v>
      </c>
      <c r="O178" s="101">
        <v>45831</v>
      </c>
      <c r="P178" s="101">
        <v>45849</v>
      </c>
      <c r="Q178" s="101">
        <v>45844</v>
      </c>
      <c r="R178" s="101">
        <v>45850</v>
      </c>
      <c r="S178" s="184">
        <v>28</v>
      </c>
      <c r="T178" s="102">
        <v>21</v>
      </c>
      <c r="U178" s="102">
        <v>5</v>
      </c>
      <c r="V178" s="102">
        <v>0</v>
      </c>
      <c r="W178" s="102">
        <v>1</v>
      </c>
      <c r="X178" s="103">
        <v>0</v>
      </c>
      <c r="Y178" s="103">
        <v>0</v>
      </c>
      <c r="Z178" s="103">
        <v>0</v>
      </c>
      <c r="AC178" s="102">
        <v>0</v>
      </c>
    </row>
    <row r="179" spans="1:29">
      <c r="A179" s="104" t="s">
        <v>1467</v>
      </c>
      <c r="B179" s="104" t="s">
        <v>2038</v>
      </c>
      <c r="C179" s="104" t="s">
        <v>774</v>
      </c>
      <c r="D179" s="104" t="s">
        <v>1463</v>
      </c>
      <c r="E179" s="104" t="s">
        <v>1459</v>
      </c>
      <c r="F179" s="104" t="s">
        <v>1460</v>
      </c>
      <c r="G179" s="104" t="s">
        <v>2038</v>
      </c>
      <c r="M179" s="104" t="s">
        <v>1766</v>
      </c>
      <c r="N179" s="104" t="s">
        <v>1972</v>
      </c>
      <c r="O179" s="101">
        <v>45852</v>
      </c>
      <c r="P179" s="101">
        <v>45863</v>
      </c>
      <c r="Q179" s="101">
        <v>45851</v>
      </c>
      <c r="R179" s="101">
        <v>45857</v>
      </c>
      <c r="S179" s="184">
        <v>29</v>
      </c>
      <c r="T179" s="102">
        <v>22</v>
      </c>
      <c r="U179" s="102">
        <v>5</v>
      </c>
      <c r="V179" s="102">
        <v>0</v>
      </c>
      <c r="W179" s="102">
        <v>1</v>
      </c>
      <c r="X179" s="103">
        <v>0</v>
      </c>
      <c r="Y179" s="103">
        <v>0</v>
      </c>
      <c r="Z179" s="103">
        <v>0</v>
      </c>
      <c r="AC179" s="102">
        <v>0</v>
      </c>
    </row>
    <row r="180" spans="1:29">
      <c r="A180" s="104" t="s">
        <v>1467</v>
      </c>
      <c r="B180" s="104" t="s">
        <v>2038</v>
      </c>
      <c r="C180" s="104" t="s">
        <v>774</v>
      </c>
      <c r="D180" s="104" t="s">
        <v>1463</v>
      </c>
      <c r="E180" s="104" t="s">
        <v>1459</v>
      </c>
      <c r="F180" s="104" t="s">
        <v>1460</v>
      </c>
      <c r="G180" s="104" t="s">
        <v>2038</v>
      </c>
      <c r="M180" s="104" t="s">
        <v>1766</v>
      </c>
      <c r="N180" s="104" t="s">
        <v>1972</v>
      </c>
      <c r="O180" s="101">
        <v>45852</v>
      </c>
      <c r="P180" s="101">
        <v>45863</v>
      </c>
      <c r="Q180" s="101">
        <v>45858</v>
      </c>
      <c r="R180" s="101">
        <v>45864</v>
      </c>
      <c r="S180" s="184">
        <v>30</v>
      </c>
      <c r="T180" s="102">
        <v>23</v>
      </c>
      <c r="U180" s="102">
        <v>5</v>
      </c>
      <c r="V180" s="102">
        <v>0</v>
      </c>
      <c r="W180" s="102">
        <v>1</v>
      </c>
      <c r="X180" s="103">
        <v>0</v>
      </c>
      <c r="Y180" s="103">
        <v>0</v>
      </c>
      <c r="Z180" s="103">
        <v>0</v>
      </c>
      <c r="AC180" s="102">
        <v>0</v>
      </c>
    </row>
    <row r="181" spans="1:29">
      <c r="A181" s="104" t="s">
        <v>1467</v>
      </c>
      <c r="B181" s="104" t="s">
        <v>2039</v>
      </c>
      <c r="C181" s="104" t="s">
        <v>774</v>
      </c>
      <c r="D181" s="104" t="s">
        <v>1463</v>
      </c>
      <c r="E181" s="104" t="s">
        <v>1459</v>
      </c>
      <c r="F181" s="104" t="s">
        <v>1461</v>
      </c>
      <c r="G181" s="104" t="s">
        <v>2039</v>
      </c>
      <c r="M181" s="104" t="s">
        <v>1767</v>
      </c>
      <c r="N181" s="104" t="s">
        <v>1971</v>
      </c>
      <c r="O181" s="101">
        <v>45845</v>
      </c>
      <c r="P181" s="101">
        <v>45856</v>
      </c>
      <c r="Q181" s="101">
        <v>45844</v>
      </c>
      <c r="R181" s="101">
        <v>45850</v>
      </c>
      <c r="S181" s="184">
        <v>28</v>
      </c>
      <c r="T181" s="102">
        <v>21</v>
      </c>
      <c r="U181" s="102">
        <v>5</v>
      </c>
      <c r="V181" s="102">
        <v>0</v>
      </c>
      <c r="W181" s="102">
        <v>1</v>
      </c>
      <c r="X181" s="103">
        <v>0</v>
      </c>
      <c r="Y181" s="103">
        <v>0</v>
      </c>
      <c r="Z181" s="103">
        <v>0</v>
      </c>
      <c r="AC181" s="102">
        <v>0</v>
      </c>
    </row>
    <row r="182" spans="1:29">
      <c r="A182" s="104" t="s">
        <v>1467</v>
      </c>
      <c r="B182" s="104" t="s">
        <v>2039</v>
      </c>
      <c r="C182" s="104" t="s">
        <v>774</v>
      </c>
      <c r="D182" s="104" t="s">
        <v>1463</v>
      </c>
      <c r="E182" s="104" t="s">
        <v>1459</v>
      </c>
      <c r="F182" s="104" t="s">
        <v>1461</v>
      </c>
      <c r="G182" s="104" t="s">
        <v>2039</v>
      </c>
      <c r="M182" s="104" t="s">
        <v>1767</v>
      </c>
      <c r="N182" s="104" t="s">
        <v>1971</v>
      </c>
      <c r="O182" s="101">
        <v>45845</v>
      </c>
      <c r="P182" s="101">
        <v>45856</v>
      </c>
      <c r="Q182" s="101">
        <v>45851</v>
      </c>
      <c r="R182" s="101">
        <v>45857</v>
      </c>
      <c r="S182" s="184">
        <v>29</v>
      </c>
      <c r="T182" s="102">
        <v>22</v>
      </c>
      <c r="U182" s="102">
        <v>5</v>
      </c>
      <c r="V182" s="102">
        <v>0</v>
      </c>
      <c r="W182" s="102">
        <v>1</v>
      </c>
      <c r="X182" s="103">
        <v>0</v>
      </c>
      <c r="Y182" s="103">
        <v>0</v>
      </c>
      <c r="Z182" s="103">
        <v>0</v>
      </c>
      <c r="AC182" s="102">
        <v>0</v>
      </c>
    </row>
    <row r="183" spans="1:29">
      <c r="A183" s="104" t="s">
        <v>1467</v>
      </c>
      <c r="B183" s="104" t="s">
        <v>2040</v>
      </c>
      <c r="C183" s="104" t="s">
        <v>774</v>
      </c>
      <c r="D183" s="104" t="s">
        <v>1463</v>
      </c>
      <c r="E183" s="104" t="s">
        <v>1459</v>
      </c>
      <c r="F183" s="104" t="s">
        <v>1461</v>
      </c>
      <c r="G183" s="104" t="s">
        <v>2040</v>
      </c>
      <c r="M183" s="104" t="s">
        <v>1768</v>
      </c>
      <c r="N183" s="104" t="s">
        <v>1971</v>
      </c>
      <c r="O183" s="101">
        <v>45845</v>
      </c>
      <c r="P183" s="101">
        <v>45856</v>
      </c>
      <c r="Q183" s="101">
        <v>45844</v>
      </c>
      <c r="R183" s="101">
        <v>45850</v>
      </c>
      <c r="S183" s="184">
        <v>28</v>
      </c>
      <c r="T183" s="102">
        <v>21</v>
      </c>
      <c r="U183" s="102">
        <v>5</v>
      </c>
      <c r="V183" s="102">
        <v>0</v>
      </c>
      <c r="W183" s="102">
        <v>1</v>
      </c>
      <c r="X183" s="103">
        <v>0</v>
      </c>
      <c r="Y183" s="103">
        <v>0</v>
      </c>
      <c r="Z183" s="103">
        <v>0</v>
      </c>
      <c r="AC183" s="102">
        <v>0</v>
      </c>
    </row>
    <row r="184" spans="1:29">
      <c r="A184" s="104" t="s">
        <v>1467</v>
      </c>
      <c r="B184" s="104" t="s">
        <v>2040</v>
      </c>
      <c r="C184" s="104" t="s">
        <v>774</v>
      </c>
      <c r="D184" s="104" t="s">
        <v>1463</v>
      </c>
      <c r="E184" s="104" t="s">
        <v>1459</v>
      </c>
      <c r="F184" s="104" t="s">
        <v>1461</v>
      </c>
      <c r="G184" s="104" t="s">
        <v>2040</v>
      </c>
      <c r="M184" s="104" t="s">
        <v>1768</v>
      </c>
      <c r="N184" s="104" t="s">
        <v>1971</v>
      </c>
      <c r="O184" s="101">
        <v>45845</v>
      </c>
      <c r="P184" s="101">
        <v>45856</v>
      </c>
      <c r="Q184" s="101">
        <v>45851</v>
      </c>
      <c r="R184" s="101">
        <v>45857</v>
      </c>
      <c r="S184" s="184">
        <v>29</v>
      </c>
      <c r="T184" s="102">
        <v>22</v>
      </c>
      <c r="U184" s="102">
        <v>5</v>
      </c>
      <c r="V184" s="102">
        <v>0</v>
      </c>
      <c r="W184" s="102">
        <v>1</v>
      </c>
      <c r="X184" s="103">
        <v>0</v>
      </c>
      <c r="Y184" s="103">
        <v>0</v>
      </c>
      <c r="Z184" s="103">
        <v>0</v>
      </c>
      <c r="AC184" s="102">
        <v>0</v>
      </c>
    </row>
    <row r="185" spans="1:29">
      <c r="A185" s="104" t="s">
        <v>1467</v>
      </c>
      <c r="B185" s="104" t="s">
        <v>2041</v>
      </c>
      <c r="C185" s="104" t="s">
        <v>774</v>
      </c>
      <c r="D185" s="104" t="s">
        <v>1463</v>
      </c>
      <c r="E185" s="104" t="s">
        <v>1459</v>
      </c>
      <c r="F185" s="104" t="s">
        <v>1461</v>
      </c>
      <c r="G185" s="104" t="s">
        <v>2041</v>
      </c>
      <c r="M185" s="104" t="s">
        <v>1769</v>
      </c>
      <c r="N185" s="104" t="s">
        <v>1971</v>
      </c>
      <c r="O185" s="101">
        <v>45845</v>
      </c>
      <c r="P185" s="101">
        <v>45856</v>
      </c>
      <c r="Q185" s="101">
        <v>45844</v>
      </c>
      <c r="R185" s="101">
        <v>45850</v>
      </c>
      <c r="S185" s="184">
        <v>28</v>
      </c>
      <c r="T185" s="102">
        <v>21</v>
      </c>
      <c r="U185" s="102">
        <v>5</v>
      </c>
      <c r="V185" s="102">
        <v>0</v>
      </c>
      <c r="W185" s="102">
        <v>1</v>
      </c>
      <c r="X185" s="103">
        <v>0</v>
      </c>
      <c r="Y185" s="103">
        <v>0</v>
      </c>
      <c r="Z185" s="103">
        <v>0</v>
      </c>
      <c r="AC185" s="102">
        <v>0</v>
      </c>
    </row>
    <row r="186" spans="1:29">
      <c r="A186" s="104" t="s">
        <v>1467</v>
      </c>
      <c r="B186" s="104" t="s">
        <v>2041</v>
      </c>
      <c r="C186" s="104" t="s">
        <v>774</v>
      </c>
      <c r="D186" s="104" t="s">
        <v>1463</v>
      </c>
      <c r="E186" s="104" t="s">
        <v>1459</v>
      </c>
      <c r="F186" s="104" t="s">
        <v>1461</v>
      </c>
      <c r="G186" s="104" t="s">
        <v>2041</v>
      </c>
      <c r="M186" s="104" t="s">
        <v>1769</v>
      </c>
      <c r="N186" s="104" t="s">
        <v>1971</v>
      </c>
      <c r="O186" s="101">
        <v>45845</v>
      </c>
      <c r="P186" s="101">
        <v>45856</v>
      </c>
      <c r="Q186" s="101">
        <v>45851</v>
      </c>
      <c r="R186" s="101">
        <v>45857</v>
      </c>
      <c r="S186" s="184">
        <v>29</v>
      </c>
      <c r="T186" s="102">
        <v>22</v>
      </c>
      <c r="U186" s="102">
        <v>5</v>
      </c>
      <c r="V186" s="102">
        <v>0</v>
      </c>
      <c r="W186" s="102">
        <v>1</v>
      </c>
      <c r="X186" s="103">
        <v>0</v>
      </c>
      <c r="Y186" s="103">
        <v>0</v>
      </c>
      <c r="Z186" s="103">
        <v>0</v>
      </c>
      <c r="AC186" s="102">
        <v>0</v>
      </c>
    </row>
    <row r="187" spans="1:29">
      <c r="A187" s="104" t="s">
        <v>1467</v>
      </c>
      <c r="B187" s="104" t="s">
        <v>2042</v>
      </c>
      <c r="C187" s="104" t="s">
        <v>774</v>
      </c>
      <c r="D187" s="104" t="s">
        <v>1463</v>
      </c>
      <c r="E187" s="104" t="s">
        <v>1459</v>
      </c>
      <c r="F187" s="104" t="s">
        <v>1461</v>
      </c>
      <c r="G187" s="104" t="s">
        <v>2042</v>
      </c>
      <c r="M187" s="104" t="s">
        <v>1770</v>
      </c>
      <c r="N187" s="104" t="s">
        <v>1971</v>
      </c>
      <c r="O187" s="101">
        <v>45845</v>
      </c>
      <c r="P187" s="101">
        <v>45856</v>
      </c>
      <c r="Q187" s="101">
        <v>45844</v>
      </c>
      <c r="R187" s="101">
        <v>45850</v>
      </c>
      <c r="S187" s="184">
        <v>28</v>
      </c>
      <c r="T187" s="102">
        <v>21</v>
      </c>
      <c r="U187" s="102">
        <v>5</v>
      </c>
      <c r="V187" s="102">
        <v>0</v>
      </c>
      <c r="W187" s="102">
        <v>1</v>
      </c>
      <c r="X187" s="103">
        <v>0</v>
      </c>
      <c r="Y187" s="103">
        <v>0</v>
      </c>
      <c r="Z187" s="103">
        <v>0</v>
      </c>
      <c r="AC187" s="102">
        <v>0</v>
      </c>
    </row>
    <row r="188" spans="1:29">
      <c r="A188" s="104" t="s">
        <v>1467</v>
      </c>
      <c r="B188" s="104" t="s">
        <v>2042</v>
      </c>
      <c r="C188" s="104" t="s">
        <v>774</v>
      </c>
      <c r="D188" s="104" t="s">
        <v>1463</v>
      </c>
      <c r="E188" s="104" t="s">
        <v>1459</v>
      </c>
      <c r="F188" s="104" t="s">
        <v>1461</v>
      </c>
      <c r="G188" s="104" t="s">
        <v>2042</v>
      </c>
      <c r="M188" s="104" t="s">
        <v>1770</v>
      </c>
      <c r="N188" s="104" t="s">
        <v>1971</v>
      </c>
      <c r="O188" s="101">
        <v>45845</v>
      </c>
      <c r="P188" s="101">
        <v>45856</v>
      </c>
      <c r="Q188" s="101">
        <v>45851</v>
      </c>
      <c r="R188" s="101">
        <v>45857</v>
      </c>
      <c r="S188" s="184">
        <v>29</v>
      </c>
      <c r="T188" s="102">
        <v>22</v>
      </c>
      <c r="U188" s="102">
        <v>5</v>
      </c>
      <c r="V188" s="102">
        <v>0</v>
      </c>
      <c r="W188" s="102">
        <v>1</v>
      </c>
      <c r="X188" s="103">
        <v>0</v>
      </c>
      <c r="Y188" s="103">
        <v>0</v>
      </c>
      <c r="Z188" s="103">
        <v>0</v>
      </c>
      <c r="AC188" s="102">
        <v>0</v>
      </c>
    </row>
    <row r="189" spans="1:29">
      <c r="A189" s="104" t="s">
        <v>1467</v>
      </c>
      <c r="B189" s="104" t="s">
        <v>2043</v>
      </c>
      <c r="C189" s="104" t="s">
        <v>774</v>
      </c>
      <c r="D189" s="104" t="s">
        <v>1463</v>
      </c>
      <c r="E189" s="104" t="s">
        <v>1459</v>
      </c>
      <c r="F189" s="104" t="s">
        <v>1461</v>
      </c>
      <c r="G189" s="104" t="s">
        <v>2043</v>
      </c>
      <c r="M189" s="104" t="s">
        <v>1771</v>
      </c>
      <c r="N189" s="104" t="s">
        <v>1971</v>
      </c>
      <c r="O189" s="101">
        <v>45845</v>
      </c>
      <c r="P189" s="101">
        <v>45856</v>
      </c>
      <c r="Q189" s="101">
        <v>45844</v>
      </c>
      <c r="R189" s="101">
        <v>45850</v>
      </c>
      <c r="S189" s="184">
        <v>28</v>
      </c>
      <c r="T189" s="102">
        <v>21</v>
      </c>
      <c r="U189" s="102">
        <v>5</v>
      </c>
      <c r="V189" s="102">
        <v>0</v>
      </c>
      <c r="W189" s="102">
        <v>1</v>
      </c>
      <c r="X189" s="103">
        <v>0</v>
      </c>
      <c r="Y189" s="103">
        <v>0</v>
      </c>
      <c r="Z189" s="103">
        <v>0</v>
      </c>
      <c r="AC189" s="102">
        <v>0</v>
      </c>
    </row>
    <row r="190" spans="1:29">
      <c r="A190" s="104" t="s">
        <v>1467</v>
      </c>
      <c r="B190" s="104" t="s">
        <v>2043</v>
      </c>
      <c r="C190" s="104" t="s">
        <v>774</v>
      </c>
      <c r="D190" s="104" t="s">
        <v>1463</v>
      </c>
      <c r="E190" s="104" t="s">
        <v>1459</v>
      </c>
      <c r="F190" s="104" t="s">
        <v>1461</v>
      </c>
      <c r="G190" s="104" t="s">
        <v>2043</v>
      </c>
      <c r="M190" s="104" t="s">
        <v>1771</v>
      </c>
      <c r="N190" s="104" t="s">
        <v>1971</v>
      </c>
      <c r="O190" s="101">
        <v>45845</v>
      </c>
      <c r="P190" s="101">
        <v>45856</v>
      </c>
      <c r="Q190" s="101">
        <v>45851</v>
      </c>
      <c r="R190" s="101">
        <v>45857</v>
      </c>
      <c r="S190" s="184">
        <v>29</v>
      </c>
      <c r="T190" s="102">
        <v>22</v>
      </c>
      <c r="U190" s="102">
        <v>5</v>
      </c>
      <c r="V190" s="102">
        <v>0</v>
      </c>
      <c r="W190" s="102">
        <v>1</v>
      </c>
      <c r="X190" s="103">
        <v>0</v>
      </c>
      <c r="Y190" s="103">
        <v>0</v>
      </c>
      <c r="Z190" s="103">
        <v>0</v>
      </c>
      <c r="AC190" s="102">
        <v>0</v>
      </c>
    </row>
    <row r="191" spans="1:29">
      <c r="A191" s="104" t="s">
        <v>1467</v>
      </c>
      <c r="B191" s="104" t="s">
        <v>2045</v>
      </c>
      <c r="C191" s="104" t="s">
        <v>774</v>
      </c>
      <c r="D191" s="104" t="s">
        <v>1463</v>
      </c>
      <c r="E191" s="104" t="s">
        <v>1459</v>
      </c>
      <c r="F191" s="104" t="s">
        <v>2044</v>
      </c>
      <c r="G191" s="104" t="s">
        <v>2045</v>
      </c>
      <c r="M191" s="104" t="s">
        <v>1763</v>
      </c>
      <c r="N191" s="104" t="s">
        <v>1972</v>
      </c>
      <c r="O191" s="101">
        <v>45852</v>
      </c>
      <c r="P191" s="101">
        <v>45863</v>
      </c>
      <c r="Q191" s="101">
        <v>45851</v>
      </c>
      <c r="R191" s="101">
        <v>45857</v>
      </c>
      <c r="S191" s="184">
        <v>29</v>
      </c>
      <c r="T191" s="102">
        <v>22</v>
      </c>
      <c r="U191" s="102">
        <v>5</v>
      </c>
      <c r="V191" s="102">
        <v>0</v>
      </c>
      <c r="W191" s="102">
        <v>1</v>
      </c>
      <c r="X191" s="103">
        <v>0</v>
      </c>
      <c r="Y191" s="103">
        <v>0</v>
      </c>
      <c r="Z191" s="103">
        <v>0</v>
      </c>
      <c r="AC191" s="102">
        <v>0</v>
      </c>
    </row>
    <row r="192" spans="1:29">
      <c r="A192" s="104" t="s">
        <v>1467</v>
      </c>
      <c r="B192" s="104" t="s">
        <v>2045</v>
      </c>
      <c r="C192" s="104" t="s">
        <v>774</v>
      </c>
      <c r="D192" s="104" t="s">
        <v>1463</v>
      </c>
      <c r="E192" s="104" t="s">
        <v>1459</v>
      </c>
      <c r="F192" s="104" t="s">
        <v>2044</v>
      </c>
      <c r="G192" s="104" t="s">
        <v>2045</v>
      </c>
      <c r="M192" s="104" t="s">
        <v>1763</v>
      </c>
      <c r="N192" s="104" t="s">
        <v>1972</v>
      </c>
      <c r="O192" s="101">
        <v>45852</v>
      </c>
      <c r="P192" s="101">
        <v>45863</v>
      </c>
      <c r="Q192" s="101">
        <v>45858</v>
      </c>
      <c r="R192" s="101">
        <v>45864</v>
      </c>
      <c r="S192" s="184">
        <v>30</v>
      </c>
      <c r="T192" s="102">
        <v>23</v>
      </c>
      <c r="U192" s="102">
        <v>5</v>
      </c>
      <c r="V192" s="102">
        <v>0</v>
      </c>
      <c r="W192" s="102">
        <v>1</v>
      </c>
      <c r="X192" s="103">
        <v>0</v>
      </c>
      <c r="Y192" s="103">
        <v>0</v>
      </c>
      <c r="Z192" s="103">
        <v>0</v>
      </c>
      <c r="AC192" s="102">
        <v>0</v>
      </c>
    </row>
    <row r="193" spans="1:29">
      <c r="A193" s="104" t="s">
        <v>1467</v>
      </c>
      <c r="B193" s="104" t="s">
        <v>2046</v>
      </c>
      <c r="C193" s="104" t="s">
        <v>774</v>
      </c>
      <c r="D193" s="104" t="s">
        <v>1463</v>
      </c>
      <c r="E193" s="104" t="s">
        <v>1459</v>
      </c>
      <c r="F193" s="104" t="s">
        <v>2044</v>
      </c>
      <c r="G193" s="104" t="s">
        <v>2046</v>
      </c>
      <c r="M193" s="104" t="s">
        <v>1764</v>
      </c>
      <c r="N193" s="104" t="s">
        <v>1972</v>
      </c>
      <c r="O193" s="101">
        <v>45852</v>
      </c>
      <c r="P193" s="101">
        <v>45863</v>
      </c>
      <c r="Q193" s="101">
        <v>45851</v>
      </c>
      <c r="R193" s="101">
        <v>45857</v>
      </c>
      <c r="S193" s="184">
        <v>29</v>
      </c>
      <c r="T193" s="102">
        <v>22</v>
      </c>
      <c r="U193" s="102">
        <v>5</v>
      </c>
      <c r="V193" s="102">
        <v>0</v>
      </c>
      <c r="W193" s="102">
        <v>1</v>
      </c>
      <c r="X193" s="103">
        <v>0</v>
      </c>
      <c r="Y193" s="103">
        <v>0</v>
      </c>
      <c r="Z193" s="103">
        <v>0</v>
      </c>
      <c r="AC193" s="102">
        <v>0</v>
      </c>
    </row>
    <row r="194" spans="1:29">
      <c r="A194" s="104" t="s">
        <v>1467</v>
      </c>
      <c r="B194" s="104" t="s">
        <v>2046</v>
      </c>
      <c r="C194" s="104" t="s">
        <v>774</v>
      </c>
      <c r="D194" s="104" t="s">
        <v>1463</v>
      </c>
      <c r="E194" s="104" t="s">
        <v>1459</v>
      </c>
      <c r="F194" s="104" t="s">
        <v>2044</v>
      </c>
      <c r="G194" s="104" t="s">
        <v>2046</v>
      </c>
      <c r="M194" s="104" t="s">
        <v>1764</v>
      </c>
      <c r="N194" s="104" t="s">
        <v>1972</v>
      </c>
      <c r="O194" s="101">
        <v>45852</v>
      </c>
      <c r="P194" s="101">
        <v>45863</v>
      </c>
      <c r="Q194" s="101">
        <v>45858</v>
      </c>
      <c r="R194" s="101">
        <v>45864</v>
      </c>
      <c r="S194" s="184">
        <v>30</v>
      </c>
      <c r="T194" s="102">
        <v>23</v>
      </c>
      <c r="U194" s="102">
        <v>5</v>
      </c>
      <c r="V194" s="102">
        <v>0</v>
      </c>
      <c r="W194" s="102">
        <v>1</v>
      </c>
      <c r="X194" s="103">
        <v>0</v>
      </c>
      <c r="Y194" s="103">
        <v>0</v>
      </c>
      <c r="Z194" s="103">
        <v>0</v>
      </c>
      <c r="AC194" s="102">
        <v>0</v>
      </c>
    </row>
    <row r="195" spans="1:29">
      <c r="A195" s="104" t="s">
        <v>1466</v>
      </c>
      <c r="B195" s="104" t="s">
        <v>1808</v>
      </c>
      <c r="C195" s="104" t="s">
        <v>1465</v>
      </c>
      <c r="D195" s="104" t="s">
        <v>1696</v>
      </c>
      <c r="E195" s="104" t="s">
        <v>1697</v>
      </c>
      <c r="F195" s="104" t="s">
        <v>1808</v>
      </c>
      <c r="M195" s="104" t="s">
        <v>1841</v>
      </c>
      <c r="N195" s="104" t="s">
        <v>1843</v>
      </c>
      <c r="O195" s="101">
        <v>45705</v>
      </c>
      <c r="P195" s="101">
        <v>45737</v>
      </c>
      <c r="Q195" s="101">
        <v>45705</v>
      </c>
      <c r="R195" s="101">
        <v>45710</v>
      </c>
      <c r="S195" s="184">
        <v>8</v>
      </c>
      <c r="T195" s="102">
        <v>1</v>
      </c>
      <c r="U195" s="102">
        <v>10</v>
      </c>
      <c r="V195" s="102">
        <v>10</v>
      </c>
      <c r="W195" s="102">
        <v>2</v>
      </c>
      <c r="X195" s="103">
        <v>0</v>
      </c>
      <c r="Y195" s="103">
        <v>0.79166666666666663</v>
      </c>
      <c r="Z195" s="103">
        <v>0.79169999999999996</v>
      </c>
      <c r="AC195" s="102">
        <v>10</v>
      </c>
    </row>
    <row r="196" spans="1:29">
      <c r="A196" s="104" t="s">
        <v>1466</v>
      </c>
      <c r="B196" s="104" t="s">
        <v>1808</v>
      </c>
      <c r="C196" s="104" t="s">
        <v>1465</v>
      </c>
      <c r="D196" s="104" t="s">
        <v>1696</v>
      </c>
      <c r="E196" s="104" t="s">
        <v>1697</v>
      </c>
      <c r="F196" s="104" t="s">
        <v>1808</v>
      </c>
      <c r="M196" s="104" t="s">
        <v>1841</v>
      </c>
      <c r="N196" s="104" t="s">
        <v>1843</v>
      </c>
      <c r="O196" s="101">
        <v>45705</v>
      </c>
      <c r="P196" s="101">
        <v>45737</v>
      </c>
      <c r="Q196" s="101">
        <v>45711</v>
      </c>
      <c r="R196" s="101">
        <v>45717</v>
      </c>
      <c r="S196" s="184">
        <v>9</v>
      </c>
      <c r="T196" s="102">
        <v>2</v>
      </c>
      <c r="U196" s="102">
        <v>10</v>
      </c>
      <c r="V196" s="102">
        <v>10</v>
      </c>
      <c r="W196" s="102">
        <v>2</v>
      </c>
      <c r="X196" s="103">
        <v>0</v>
      </c>
      <c r="Y196" s="103">
        <v>0.79166666666666663</v>
      </c>
      <c r="Z196" s="103">
        <v>0.79169999999999996</v>
      </c>
      <c r="AC196" s="102">
        <v>10</v>
      </c>
    </row>
    <row r="197" spans="1:29">
      <c r="A197" s="104" t="s">
        <v>1466</v>
      </c>
      <c r="B197" s="104" t="s">
        <v>1808</v>
      </c>
      <c r="C197" s="104" t="s">
        <v>1465</v>
      </c>
      <c r="D197" s="104" t="s">
        <v>1696</v>
      </c>
      <c r="E197" s="104" t="s">
        <v>1697</v>
      </c>
      <c r="F197" s="104" t="s">
        <v>1808</v>
      </c>
      <c r="M197" s="104" t="s">
        <v>1841</v>
      </c>
      <c r="N197" s="104" t="s">
        <v>1843</v>
      </c>
      <c r="O197" s="101">
        <v>45705</v>
      </c>
      <c r="P197" s="101">
        <v>45737</v>
      </c>
      <c r="Q197" s="101">
        <v>45718</v>
      </c>
      <c r="R197" s="101">
        <v>45724</v>
      </c>
      <c r="S197" s="184">
        <v>10</v>
      </c>
      <c r="T197" s="102">
        <v>3</v>
      </c>
      <c r="U197" s="102">
        <v>8</v>
      </c>
      <c r="V197" s="102">
        <v>8</v>
      </c>
      <c r="W197" s="102">
        <v>2</v>
      </c>
      <c r="X197" s="103">
        <v>0</v>
      </c>
      <c r="Y197" s="103">
        <v>0.79166666666666663</v>
      </c>
      <c r="Z197" s="103">
        <v>0.79169999999999996</v>
      </c>
      <c r="AC197" s="102">
        <v>8</v>
      </c>
    </row>
    <row r="198" spans="1:29">
      <c r="A198" s="104" t="s">
        <v>1466</v>
      </c>
      <c r="B198" s="104" t="s">
        <v>1808</v>
      </c>
      <c r="C198" s="104" t="s">
        <v>1465</v>
      </c>
      <c r="D198" s="104" t="s">
        <v>1696</v>
      </c>
      <c r="E198" s="104" t="s">
        <v>1697</v>
      </c>
      <c r="F198" s="104" t="s">
        <v>1808</v>
      </c>
      <c r="M198" s="104" t="s">
        <v>1841</v>
      </c>
      <c r="N198" s="104" t="s">
        <v>1843</v>
      </c>
      <c r="O198" s="101">
        <v>45705</v>
      </c>
      <c r="P198" s="101">
        <v>45737</v>
      </c>
      <c r="Q198" s="101">
        <v>45725</v>
      </c>
      <c r="R198" s="101">
        <v>45731</v>
      </c>
      <c r="S198" s="184">
        <v>11</v>
      </c>
      <c r="T198" s="102">
        <v>4</v>
      </c>
      <c r="U198" s="102">
        <v>10</v>
      </c>
      <c r="V198" s="102">
        <v>10</v>
      </c>
      <c r="W198" s="102">
        <v>2</v>
      </c>
      <c r="X198" s="103">
        <v>0</v>
      </c>
      <c r="Y198" s="103">
        <v>0.79166666666666663</v>
      </c>
      <c r="Z198" s="103">
        <v>0.79169999999999996</v>
      </c>
      <c r="AC198" s="102">
        <v>10</v>
      </c>
    </row>
    <row r="199" spans="1:29">
      <c r="A199" s="104" t="s">
        <v>1466</v>
      </c>
      <c r="B199" s="104" t="s">
        <v>1808</v>
      </c>
      <c r="C199" s="104" t="s">
        <v>1465</v>
      </c>
      <c r="D199" s="104" t="s">
        <v>1696</v>
      </c>
      <c r="E199" s="104" t="s">
        <v>1697</v>
      </c>
      <c r="F199" s="104" t="s">
        <v>1808</v>
      </c>
      <c r="M199" s="104" t="s">
        <v>1841</v>
      </c>
      <c r="N199" s="104" t="s">
        <v>1843</v>
      </c>
      <c r="O199" s="101">
        <v>45705</v>
      </c>
      <c r="P199" s="101">
        <v>45737</v>
      </c>
      <c r="Q199" s="101">
        <v>45732</v>
      </c>
      <c r="R199" s="101">
        <v>45738</v>
      </c>
      <c r="S199" s="184">
        <v>12</v>
      </c>
      <c r="T199" s="102">
        <v>5</v>
      </c>
      <c r="U199" s="102">
        <v>10</v>
      </c>
      <c r="V199" s="102">
        <v>0</v>
      </c>
      <c r="W199" s="102">
        <v>2</v>
      </c>
      <c r="X199" s="103">
        <v>0</v>
      </c>
      <c r="Y199" s="103">
        <v>0.79166666666666663</v>
      </c>
      <c r="Z199" s="103">
        <v>0.79169999999999996</v>
      </c>
      <c r="AC199" s="102">
        <v>1.5999999999962711E-3</v>
      </c>
    </row>
    <row r="200" spans="1:29">
      <c r="A200" s="104" t="s">
        <v>1466</v>
      </c>
      <c r="B200" s="104" t="s">
        <v>1809</v>
      </c>
      <c r="C200" s="104" t="s">
        <v>1465</v>
      </c>
      <c r="D200" s="104" t="s">
        <v>1696</v>
      </c>
      <c r="E200" s="104" t="s">
        <v>1697</v>
      </c>
      <c r="F200" s="104" t="s">
        <v>1809</v>
      </c>
      <c r="M200" s="104" t="s">
        <v>1842</v>
      </c>
      <c r="N200" s="104" t="s">
        <v>1843</v>
      </c>
      <c r="O200" s="101">
        <v>45705</v>
      </c>
      <c r="P200" s="101">
        <v>45737</v>
      </c>
      <c r="Q200" s="101">
        <v>45705</v>
      </c>
      <c r="R200" s="101">
        <v>45710</v>
      </c>
      <c r="S200" s="184">
        <v>8</v>
      </c>
      <c r="T200" s="102">
        <v>1</v>
      </c>
      <c r="U200" s="102">
        <v>10</v>
      </c>
      <c r="V200" s="102">
        <v>10</v>
      </c>
      <c r="W200" s="102">
        <v>2</v>
      </c>
      <c r="X200" s="103">
        <v>0</v>
      </c>
      <c r="Y200" s="103">
        <v>0.79166666666666663</v>
      </c>
      <c r="Z200" s="103">
        <v>0.79169999999999996</v>
      </c>
      <c r="AC200" s="102">
        <v>10</v>
      </c>
    </row>
    <row r="201" spans="1:29">
      <c r="A201" s="104" t="s">
        <v>1466</v>
      </c>
      <c r="B201" s="104" t="s">
        <v>1809</v>
      </c>
      <c r="C201" s="104" t="s">
        <v>1465</v>
      </c>
      <c r="D201" s="104" t="s">
        <v>1696</v>
      </c>
      <c r="E201" s="104" t="s">
        <v>1697</v>
      </c>
      <c r="F201" s="104" t="s">
        <v>1809</v>
      </c>
      <c r="M201" s="104" t="s">
        <v>1842</v>
      </c>
      <c r="N201" s="104" t="s">
        <v>1843</v>
      </c>
      <c r="O201" s="101">
        <v>45705</v>
      </c>
      <c r="P201" s="101">
        <v>45737</v>
      </c>
      <c r="Q201" s="101">
        <v>45711</v>
      </c>
      <c r="R201" s="101">
        <v>45717</v>
      </c>
      <c r="S201" s="184">
        <v>9</v>
      </c>
      <c r="T201" s="102">
        <v>2</v>
      </c>
      <c r="U201" s="102">
        <v>10</v>
      </c>
      <c r="V201" s="102">
        <v>10</v>
      </c>
      <c r="W201" s="102">
        <v>2</v>
      </c>
      <c r="X201" s="103">
        <v>0</v>
      </c>
      <c r="Y201" s="103">
        <v>0.79166666666666663</v>
      </c>
      <c r="Z201" s="103">
        <v>0.79169999999999996</v>
      </c>
      <c r="AC201" s="102">
        <v>10</v>
      </c>
    </row>
    <row r="202" spans="1:29">
      <c r="A202" s="104" t="s">
        <v>1466</v>
      </c>
      <c r="B202" s="104" t="s">
        <v>1809</v>
      </c>
      <c r="C202" s="104" t="s">
        <v>1465</v>
      </c>
      <c r="D202" s="104" t="s">
        <v>1696</v>
      </c>
      <c r="E202" s="104" t="s">
        <v>1697</v>
      </c>
      <c r="F202" s="104" t="s">
        <v>1809</v>
      </c>
      <c r="M202" s="104" t="s">
        <v>1842</v>
      </c>
      <c r="N202" s="104" t="s">
        <v>1843</v>
      </c>
      <c r="O202" s="101">
        <v>45705</v>
      </c>
      <c r="P202" s="101">
        <v>45737</v>
      </c>
      <c r="Q202" s="101">
        <v>45718</v>
      </c>
      <c r="R202" s="101">
        <v>45724</v>
      </c>
      <c r="S202" s="184">
        <v>10</v>
      </c>
      <c r="T202" s="102">
        <v>3</v>
      </c>
      <c r="U202" s="102">
        <v>8</v>
      </c>
      <c r="V202" s="102">
        <v>8</v>
      </c>
      <c r="W202" s="102">
        <v>2</v>
      </c>
      <c r="X202" s="103">
        <v>0</v>
      </c>
      <c r="Y202" s="103">
        <v>0.79166666666666663</v>
      </c>
      <c r="Z202" s="103">
        <v>0.79169999999999996</v>
      </c>
      <c r="AC202" s="102">
        <v>8</v>
      </c>
    </row>
    <row r="203" spans="1:29">
      <c r="A203" s="104" t="s">
        <v>1466</v>
      </c>
      <c r="B203" s="104" t="s">
        <v>1809</v>
      </c>
      <c r="C203" s="104" t="s">
        <v>1465</v>
      </c>
      <c r="D203" s="104" t="s">
        <v>1696</v>
      </c>
      <c r="E203" s="104" t="s">
        <v>1697</v>
      </c>
      <c r="F203" s="104" t="s">
        <v>1809</v>
      </c>
      <c r="M203" s="104" t="s">
        <v>1842</v>
      </c>
      <c r="N203" s="104" t="s">
        <v>1843</v>
      </c>
      <c r="O203" s="101">
        <v>45705</v>
      </c>
      <c r="P203" s="101">
        <v>45737</v>
      </c>
      <c r="Q203" s="101">
        <v>45725</v>
      </c>
      <c r="R203" s="101">
        <v>45731</v>
      </c>
      <c r="S203" s="184">
        <v>11</v>
      </c>
      <c r="T203" s="102">
        <v>4</v>
      </c>
      <c r="U203" s="102">
        <v>10</v>
      </c>
      <c r="V203" s="102">
        <v>10</v>
      </c>
      <c r="W203" s="102">
        <v>2</v>
      </c>
      <c r="X203" s="103">
        <v>0</v>
      </c>
      <c r="Y203" s="103">
        <v>0.79166666666666663</v>
      </c>
      <c r="Z203" s="103">
        <v>0.79169999999999996</v>
      </c>
      <c r="AC203" s="102">
        <v>10</v>
      </c>
    </row>
    <row r="204" spans="1:29">
      <c r="A204" s="104" t="s">
        <v>1466</v>
      </c>
      <c r="B204" s="104" t="s">
        <v>1809</v>
      </c>
      <c r="C204" s="104" t="s">
        <v>1465</v>
      </c>
      <c r="D204" s="104" t="s">
        <v>1696</v>
      </c>
      <c r="E204" s="104" t="s">
        <v>1697</v>
      </c>
      <c r="F204" s="104" t="s">
        <v>1809</v>
      </c>
      <c r="M204" s="104" t="s">
        <v>1842</v>
      </c>
      <c r="N204" s="104" t="s">
        <v>1843</v>
      </c>
      <c r="O204" s="101">
        <v>45705</v>
      </c>
      <c r="P204" s="101">
        <v>45737</v>
      </c>
      <c r="Q204" s="101">
        <v>45732</v>
      </c>
      <c r="R204" s="101">
        <v>45738</v>
      </c>
      <c r="S204" s="184">
        <v>12</v>
      </c>
      <c r="T204" s="102">
        <v>5</v>
      </c>
      <c r="U204" s="102">
        <v>10</v>
      </c>
      <c r="V204" s="102">
        <v>0</v>
      </c>
      <c r="W204" s="102">
        <v>2</v>
      </c>
      <c r="X204" s="103">
        <v>0</v>
      </c>
      <c r="Y204" s="103">
        <v>0.79166666666666663</v>
      </c>
      <c r="Z204" s="103">
        <v>0.79169999999999996</v>
      </c>
      <c r="AC204" s="102">
        <v>1.5999999999962711E-3</v>
      </c>
    </row>
    <row r="205" spans="1:29">
      <c r="A205" s="104" t="s">
        <v>1466</v>
      </c>
      <c r="B205" s="104" t="s">
        <v>1810</v>
      </c>
      <c r="C205" s="104" t="s">
        <v>1465</v>
      </c>
      <c r="D205" s="104" t="s">
        <v>1696</v>
      </c>
      <c r="E205" s="104" t="s">
        <v>1697</v>
      </c>
      <c r="F205" s="104" t="s">
        <v>1810</v>
      </c>
      <c r="M205" s="104" t="s">
        <v>1832</v>
      </c>
      <c r="N205" s="104" t="s">
        <v>1845</v>
      </c>
      <c r="O205" s="101">
        <v>45705</v>
      </c>
      <c r="P205" s="101">
        <v>45737</v>
      </c>
      <c r="Q205" s="101">
        <v>45705</v>
      </c>
      <c r="R205" s="101">
        <v>45710</v>
      </c>
      <c r="S205" s="184">
        <v>8</v>
      </c>
      <c r="T205" s="102">
        <v>1</v>
      </c>
      <c r="U205" s="102">
        <v>10</v>
      </c>
      <c r="V205" s="102">
        <v>10</v>
      </c>
      <c r="W205" s="102">
        <v>2</v>
      </c>
      <c r="X205" s="103">
        <v>0</v>
      </c>
      <c r="Y205" s="103">
        <v>0.79166666666666663</v>
      </c>
      <c r="Z205" s="103">
        <v>0.79169999999999996</v>
      </c>
      <c r="AC205" s="102">
        <v>10</v>
      </c>
    </row>
    <row r="206" spans="1:29">
      <c r="A206" s="104" t="s">
        <v>1466</v>
      </c>
      <c r="B206" s="104" t="s">
        <v>1810</v>
      </c>
      <c r="C206" s="104" t="s">
        <v>1465</v>
      </c>
      <c r="D206" s="104" t="s">
        <v>1696</v>
      </c>
      <c r="E206" s="104" t="s">
        <v>1697</v>
      </c>
      <c r="F206" s="104" t="s">
        <v>1810</v>
      </c>
      <c r="M206" s="104" t="s">
        <v>1832</v>
      </c>
      <c r="N206" s="104" t="s">
        <v>1845</v>
      </c>
      <c r="O206" s="101">
        <v>45705</v>
      </c>
      <c r="P206" s="101">
        <v>45737</v>
      </c>
      <c r="Q206" s="101">
        <v>45711</v>
      </c>
      <c r="R206" s="101">
        <v>45717</v>
      </c>
      <c r="S206" s="184">
        <v>9</v>
      </c>
      <c r="T206" s="102">
        <v>2</v>
      </c>
      <c r="U206" s="102">
        <v>10</v>
      </c>
      <c r="V206" s="102">
        <v>10</v>
      </c>
      <c r="W206" s="102">
        <v>2</v>
      </c>
      <c r="X206" s="103">
        <v>0</v>
      </c>
      <c r="Y206" s="103">
        <v>0.79166666666666663</v>
      </c>
      <c r="Z206" s="103">
        <v>0.79169999999999996</v>
      </c>
      <c r="AC206" s="102">
        <v>10</v>
      </c>
    </row>
    <row r="207" spans="1:29">
      <c r="A207" s="104" t="s">
        <v>1466</v>
      </c>
      <c r="B207" s="104" t="s">
        <v>1810</v>
      </c>
      <c r="C207" s="104" t="s">
        <v>1465</v>
      </c>
      <c r="D207" s="104" t="s">
        <v>1696</v>
      </c>
      <c r="E207" s="104" t="s">
        <v>1697</v>
      </c>
      <c r="F207" s="104" t="s">
        <v>1810</v>
      </c>
      <c r="M207" s="104" t="s">
        <v>1832</v>
      </c>
      <c r="N207" s="104" t="s">
        <v>1845</v>
      </c>
      <c r="O207" s="101">
        <v>45705</v>
      </c>
      <c r="P207" s="101">
        <v>45737</v>
      </c>
      <c r="Q207" s="101">
        <v>45718</v>
      </c>
      <c r="R207" s="101">
        <v>45724</v>
      </c>
      <c r="S207" s="184">
        <v>10</v>
      </c>
      <c r="T207" s="102">
        <v>3</v>
      </c>
      <c r="U207" s="102">
        <v>8</v>
      </c>
      <c r="V207" s="102">
        <v>8</v>
      </c>
      <c r="W207" s="102">
        <v>2</v>
      </c>
      <c r="X207" s="103">
        <v>0</v>
      </c>
      <c r="Y207" s="103">
        <v>0.79166666666666663</v>
      </c>
      <c r="Z207" s="103">
        <v>0.79169999999999996</v>
      </c>
      <c r="AC207" s="102">
        <v>8</v>
      </c>
    </row>
    <row r="208" spans="1:29">
      <c r="A208" s="104" t="s">
        <v>1466</v>
      </c>
      <c r="B208" s="104" t="s">
        <v>1810</v>
      </c>
      <c r="C208" s="104" t="s">
        <v>1465</v>
      </c>
      <c r="D208" s="104" t="s">
        <v>1696</v>
      </c>
      <c r="E208" s="104" t="s">
        <v>1697</v>
      </c>
      <c r="F208" s="104" t="s">
        <v>1810</v>
      </c>
      <c r="M208" s="104" t="s">
        <v>1832</v>
      </c>
      <c r="N208" s="104" t="s">
        <v>1845</v>
      </c>
      <c r="O208" s="101">
        <v>45705</v>
      </c>
      <c r="P208" s="101">
        <v>45737</v>
      </c>
      <c r="Q208" s="101">
        <v>45725</v>
      </c>
      <c r="R208" s="101">
        <v>45731</v>
      </c>
      <c r="S208" s="184">
        <v>11</v>
      </c>
      <c r="T208" s="102">
        <v>4</v>
      </c>
      <c r="U208" s="102">
        <v>10</v>
      </c>
      <c r="V208" s="102">
        <v>10</v>
      </c>
      <c r="W208" s="102">
        <v>2</v>
      </c>
      <c r="X208" s="103">
        <v>0</v>
      </c>
      <c r="Y208" s="103">
        <v>0.79166666666666663</v>
      </c>
      <c r="Z208" s="103">
        <v>0.79169999999999996</v>
      </c>
      <c r="AC208" s="102">
        <v>10</v>
      </c>
    </row>
    <row r="209" spans="1:29">
      <c r="A209" s="104" t="s">
        <v>1466</v>
      </c>
      <c r="B209" s="104" t="s">
        <v>1810</v>
      </c>
      <c r="C209" s="104" t="s">
        <v>1465</v>
      </c>
      <c r="D209" s="104" t="s">
        <v>1696</v>
      </c>
      <c r="E209" s="104" t="s">
        <v>1697</v>
      </c>
      <c r="F209" s="104" t="s">
        <v>1810</v>
      </c>
      <c r="M209" s="104" t="s">
        <v>1832</v>
      </c>
      <c r="N209" s="104" t="s">
        <v>1845</v>
      </c>
      <c r="O209" s="101">
        <v>45705</v>
      </c>
      <c r="P209" s="101">
        <v>45737</v>
      </c>
      <c r="Q209" s="101">
        <v>45732</v>
      </c>
      <c r="R209" s="101">
        <v>45738</v>
      </c>
      <c r="S209" s="184">
        <v>12</v>
      </c>
      <c r="T209" s="102">
        <v>5</v>
      </c>
      <c r="U209" s="102">
        <v>10</v>
      </c>
      <c r="V209" s="102">
        <v>0</v>
      </c>
      <c r="W209" s="102">
        <v>2</v>
      </c>
      <c r="X209" s="103">
        <v>0</v>
      </c>
      <c r="Y209" s="103">
        <v>0.79166666666666663</v>
      </c>
      <c r="Z209" s="103">
        <v>0.79169999999999996</v>
      </c>
      <c r="AC209" s="102">
        <v>1.5999999999962711E-3</v>
      </c>
    </row>
    <row r="210" spans="1:29">
      <c r="A210" s="104" t="s">
        <v>1466</v>
      </c>
      <c r="B210" s="104" t="s">
        <v>1811</v>
      </c>
      <c r="C210" s="104" t="s">
        <v>1465</v>
      </c>
      <c r="D210" s="104" t="s">
        <v>1696</v>
      </c>
      <c r="E210" s="104" t="s">
        <v>1697</v>
      </c>
      <c r="F210" s="104" t="s">
        <v>1811</v>
      </c>
      <c r="M210" s="104" t="s">
        <v>1818</v>
      </c>
      <c r="N210" s="104" t="s">
        <v>1844</v>
      </c>
      <c r="O210" s="101">
        <v>45705</v>
      </c>
      <c r="P210" s="101">
        <v>45737</v>
      </c>
      <c r="Q210" s="101">
        <v>45705</v>
      </c>
      <c r="R210" s="101">
        <v>45710</v>
      </c>
      <c r="S210" s="184">
        <v>8</v>
      </c>
      <c r="T210" s="102">
        <v>1</v>
      </c>
      <c r="U210" s="102">
        <v>2.5</v>
      </c>
      <c r="V210" s="102">
        <v>2.5</v>
      </c>
      <c r="W210" s="102">
        <v>0.5</v>
      </c>
      <c r="X210" s="103">
        <v>0</v>
      </c>
      <c r="Y210" s="103">
        <v>0.79166666666666663</v>
      </c>
      <c r="Z210" s="103">
        <v>0.79169999999999996</v>
      </c>
      <c r="AC210" s="102">
        <v>2.5</v>
      </c>
    </row>
    <row r="211" spans="1:29">
      <c r="A211" s="104" t="s">
        <v>1466</v>
      </c>
      <c r="B211" s="104" t="s">
        <v>1811</v>
      </c>
      <c r="C211" s="104" t="s">
        <v>1465</v>
      </c>
      <c r="D211" s="104" t="s">
        <v>1696</v>
      </c>
      <c r="E211" s="104" t="s">
        <v>1697</v>
      </c>
      <c r="F211" s="104" t="s">
        <v>1811</v>
      </c>
      <c r="M211" s="104" t="s">
        <v>1818</v>
      </c>
      <c r="N211" s="104" t="s">
        <v>1844</v>
      </c>
      <c r="O211" s="101">
        <v>45705</v>
      </c>
      <c r="P211" s="101">
        <v>45737</v>
      </c>
      <c r="Q211" s="101">
        <v>45711</v>
      </c>
      <c r="R211" s="101">
        <v>45717</v>
      </c>
      <c r="S211" s="184">
        <v>9</v>
      </c>
      <c r="T211" s="102">
        <v>2</v>
      </c>
      <c r="U211" s="102">
        <v>2.5</v>
      </c>
      <c r="V211" s="102">
        <v>2.5</v>
      </c>
      <c r="W211" s="102">
        <v>0.5</v>
      </c>
      <c r="X211" s="103">
        <v>0</v>
      </c>
      <c r="Y211" s="103">
        <v>0.79166666666666663</v>
      </c>
      <c r="Z211" s="103">
        <v>0.79169999999999996</v>
      </c>
      <c r="AC211" s="102">
        <v>2.5</v>
      </c>
    </row>
    <row r="212" spans="1:29">
      <c r="A212" s="104" t="s">
        <v>1466</v>
      </c>
      <c r="B212" s="104" t="s">
        <v>1811</v>
      </c>
      <c r="C212" s="104" t="s">
        <v>1465</v>
      </c>
      <c r="D212" s="104" t="s">
        <v>1696</v>
      </c>
      <c r="E212" s="104" t="s">
        <v>1697</v>
      </c>
      <c r="F212" s="104" t="s">
        <v>1811</v>
      </c>
      <c r="M212" s="104" t="s">
        <v>1818</v>
      </c>
      <c r="N212" s="104" t="s">
        <v>1844</v>
      </c>
      <c r="O212" s="101">
        <v>45705</v>
      </c>
      <c r="P212" s="101">
        <v>45737</v>
      </c>
      <c r="Q212" s="101">
        <v>45718</v>
      </c>
      <c r="R212" s="101">
        <v>45724</v>
      </c>
      <c r="S212" s="184">
        <v>10</v>
      </c>
      <c r="T212" s="102">
        <v>3</v>
      </c>
      <c r="U212" s="102">
        <v>2</v>
      </c>
      <c r="V212" s="102">
        <v>2</v>
      </c>
      <c r="W212" s="102">
        <v>0.5</v>
      </c>
      <c r="X212" s="103">
        <v>0</v>
      </c>
      <c r="Y212" s="103">
        <v>0.79166666666666663</v>
      </c>
      <c r="Z212" s="103">
        <v>0.79169999999999996</v>
      </c>
      <c r="AC212" s="102">
        <v>2</v>
      </c>
    </row>
    <row r="213" spans="1:29">
      <c r="A213" s="104" t="s">
        <v>1466</v>
      </c>
      <c r="B213" s="104" t="s">
        <v>1811</v>
      </c>
      <c r="C213" s="104" t="s">
        <v>1465</v>
      </c>
      <c r="D213" s="104" t="s">
        <v>1696</v>
      </c>
      <c r="E213" s="104" t="s">
        <v>1697</v>
      </c>
      <c r="F213" s="104" t="s">
        <v>1811</v>
      </c>
      <c r="M213" s="104" t="s">
        <v>1818</v>
      </c>
      <c r="N213" s="104" t="s">
        <v>1844</v>
      </c>
      <c r="O213" s="101">
        <v>45705</v>
      </c>
      <c r="P213" s="101">
        <v>45737</v>
      </c>
      <c r="Q213" s="101">
        <v>45725</v>
      </c>
      <c r="R213" s="101">
        <v>45731</v>
      </c>
      <c r="S213" s="184">
        <v>11</v>
      </c>
      <c r="T213" s="102">
        <v>4</v>
      </c>
      <c r="U213" s="102">
        <v>2.5</v>
      </c>
      <c r="V213" s="102">
        <v>2.5</v>
      </c>
      <c r="W213" s="102">
        <v>0.5</v>
      </c>
      <c r="X213" s="103">
        <v>0</v>
      </c>
      <c r="Y213" s="103">
        <v>0.79166666666666663</v>
      </c>
      <c r="Z213" s="103">
        <v>0.79169999999999996</v>
      </c>
      <c r="AC213" s="102">
        <v>2.5</v>
      </c>
    </row>
    <row r="214" spans="1:29">
      <c r="A214" s="104" t="s">
        <v>1466</v>
      </c>
      <c r="B214" s="104" t="s">
        <v>1811</v>
      </c>
      <c r="C214" s="104" t="s">
        <v>1465</v>
      </c>
      <c r="D214" s="104" t="s">
        <v>1696</v>
      </c>
      <c r="E214" s="104" t="s">
        <v>1697</v>
      </c>
      <c r="F214" s="104" t="s">
        <v>1811</v>
      </c>
      <c r="M214" s="104" t="s">
        <v>1818</v>
      </c>
      <c r="N214" s="104" t="s">
        <v>1844</v>
      </c>
      <c r="O214" s="101">
        <v>45705</v>
      </c>
      <c r="P214" s="101">
        <v>45737</v>
      </c>
      <c r="Q214" s="101">
        <v>45732</v>
      </c>
      <c r="R214" s="101">
        <v>45738</v>
      </c>
      <c r="S214" s="184">
        <v>12</v>
      </c>
      <c r="T214" s="102">
        <v>5</v>
      </c>
      <c r="U214" s="102">
        <v>2.5</v>
      </c>
      <c r="V214" s="102">
        <v>0</v>
      </c>
      <c r="W214" s="102">
        <v>0.5</v>
      </c>
      <c r="X214" s="103">
        <v>0</v>
      </c>
      <c r="Y214" s="103">
        <v>0.79166666666666663</v>
      </c>
      <c r="Z214" s="103">
        <v>0.79169999999999996</v>
      </c>
      <c r="AC214" s="102">
        <v>3.9999999999906777E-4</v>
      </c>
    </row>
    <row r="215" spans="1:29">
      <c r="A215" s="104" t="s">
        <v>1466</v>
      </c>
      <c r="B215" s="104" t="s">
        <v>1812</v>
      </c>
      <c r="C215" s="104" t="s">
        <v>1465</v>
      </c>
      <c r="D215" s="104" t="s">
        <v>1696</v>
      </c>
      <c r="E215" s="104" t="s">
        <v>1697</v>
      </c>
      <c r="F215" s="104" t="s">
        <v>1812</v>
      </c>
      <c r="M215" s="104" t="s">
        <v>1833</v>
      </c>
      <c r="N215" s="104" t="s">
        <v>1844</v>
      </c>
      <c r="O215" s="101">
        <v>45705</v>
      </c>
      <c r="P215" s="101">
        <v>45737</v>
      </c>
      <c r="Q215" s="101">
        <v>45705</v>
      </c>
      <c r="R215" s="101">
        <v>45710</v>
      </c>
      <c r="S215" s="184">
        <v>8</v>
      </c>
      <c r="T215" s="102">
        <v>1</v>
      </c>
      <c r="U215" s="102">
        <v>2.5</v>
      </c>
      <c r="V215" s="102">
        <v>2.5</v>
      </c>
      <c r="W215" s="102">
        <v>0.5</v>
      </c>
      <c r="X215" s="103">
        <v>0</v>
      </c>
      <c r="Y215" s="103">
        <v>0.79166666666666663</v>
      </c>
      <c r="Z215" s="103">
        <v>0.79169999999999996</v>
      </c>
      <c r="AC215" s="102">
        <v>2.5</v>
      </c>
    </row>
    <row r="216" spans="1:29">
      <c r="A216" s="104" t="s">
        <v>1466</v>
      </c>
      <c r="B216" s="104" t="s">
        <v>1812</v>
      </c>
      <c r="C216" s="104" t="s">
        <v>1465</v>
      </c>
      <c r="D216" s="104" t="s">
        <v>1696</v>
      </c>
      <c r="E216" s="104" t="s">
        <v>1697</v>
      </c>
      <c r="F216" s="104" t="s">
        <v>1812</v>
      </c>
      <c r="M216" s="104" t="s">
        <v>1833</v>
      </c>
      <c r="N216" s="104" t="s">
        <v>1844</v>
      </c>
      <c r="O216" s="101">
        <v>45705</v>
      </c>
      <c r="P216" s="101">
        <v>45737</v>
      </c>
      <c r="Q216" s="101">
        <v>45711</v>
      </c>
      <c r="R216" s="101">
        <v>45717</v>
      </c>
      <c r="S216" s="184">
        <v>9</v>
      </c>
      <c r="T216" s="102">
        <v>2</v>
      </c>
      <c r="U216" s="102">
        <v>2.5</v>
      </c>
      <c r="V216" s="102">
        <v>2.5</v>
      </c>
      <c r="W216" s="102">
        <v>0.5</v>
      </c>
      <c r="X216" s="103">
        <v>0</v>
      </c>
      <c r="Y216" s="103">
        <v>0.79166666666666663</v>
      </c>
      <c r="Z216" s="103">
        <v>0.79169999999999996</v>
      </c>
      <c r="AC216" s="102">
        <v>2.5</v>
      </c>
    </row>
    <row r="217" spans="1:29">
      <c r="A217" s="104" t="s">
        <v>1466</v>
      </c>
      <c r="B217" s="104" t="s">
        <v>1812</v>
      </c>
      <c r="C217" s="104" t="s">
        <v>1465</v>
      </c>
      <c r="D217" s="104" t="s">
        <v>1696</v>
      </c>
      <c r="E217" s="104" t="s">
        <v>1697</v>
      </c>
      <c r="F217" s="104" t="s">
        <v>1812</v>
      </c>
      <c r="M217" s="104" t="s">
        <v>1833</v>
      </c>
      <c r="N217" s="104" t="s">
        <v>1844</v>
      </c>
      <c r="O217" s="101">
        <v>45705</v>
      </c>
      <c r="P217" s="101">
        <v>45737</v>
      </c>
      <c r="Q217" s="101">
        <v>45718</v>
      </c>
      <c r="R217" s="101">
        <v>45724</v>
      </c>
      <c r="S217" s="184">
        <v>10</v>
      </c>
      <c r="T217" s="102">
        <v>3</v>
      </c>
      <c r="U217" s="102">
        <v>2</v>
      </c>
      <c r="V217" s="102">
        <v>2</v>
      </c>
      <c r="W217" s="102">
        <v>0.5</v>
      </c>
      <c r="X217" s="103">
        <v>0</v>
      </c>
      <c r="Y217" s="103">
        <v>0.79166666666666663</v>
      </c>
      <c r="Z217" s="103">
        <v>0.79169999999999996</v>
      </c>
      <c r="AC217" s="102">
        <v>2</v>
      </c>
    </row>
    <row r="218" spans="1:29">
      <c r="A218" s="104" t="s">
        <v>1466</v>
      </c>
      <c r="B218" s="104" t="s">
        <v>1812</v>
      </c>
      <c r="C218" s="104" t="s">
        <v>1465</v>
      </c>
      <c r="D218" s="104" t="s">
        <v>1696</v>
      </c>
      <c r="E218" s="104" t="s">
        <v>1697</v>
      </c>
      <c r="F218" s="104" t="s">
        <v>1812</v>
      </c>
      <c r="M218" s="104" t="s">
        <v>1833</v>
      </c>
      <c r="N218" s="104" t="s">
        <v>1844</v>
      </c>
      <c r="O218" s="101">
        <v>45705</v>
      </c>
      <c r="P218" s="101">
        <v>45737</v>
      </c>
      <c r="Q218" s="101">
        <v>45725</v>
      </c>
      <c r="R218" s="101">
        <v>45731</v>
      </c>
      <c r="S218" s="184">
        <v>11</v>
      </c>
      <c r="T218" s="102">
        <v>4</v>
      </c>
      <c r="U218" s="102">
        <v>2.5</v>
      </c>
      <c r="V218" s="102">
        <v>2.5</v>
      </c>
      <c r="W218" s="102">
        <v>0.5</v>
      </c>
      <c r="X218" s="103">
        <v>0</v>
      </c>
      <c r="Y218" s="103">
        <v>0.79166666666666663</v>
      </c>
      <c r="Z218" s="103">
        <v>0.79169999999999996</v>
      </c>
      <c r="AC218" s="102">
        <v>2.5</v>
      </c>
    </row>
    <row r="219" spans="1:29">
      <c r="A219" s="104" t="s">
        <v>1466</v>
      </c>
      <c r="B219" s="104" t="s">
        <v>1812</v>
      </c>
      <c r="C219" s="104" t="s">
        <v>1465</v>
      </c>
      <c r="D219" s="104" t="s">
        <v>1696</v>
      </c>
      <c r="E219" s="104" t="s">
        <v>1697</v>
      </c>
      <c r="F219" s="104" t="s">
        <v>1812</v>
      </c>
      <c r="M219" s="104" t="s">
        <v>1833</v>
      </c>
      <c r="N219" s="104" t="s">
        <v>1844</v>
      </c>
      <c r="O219" s="101">
        <v>45705</v>
      </c>
      <c r="P219" s="101">
        <v>45737</v>
      </c>
      <c r="Q219" s="101">
        <v>45732</v>
      </c>
      <c r="R219" s="101">
        <v>45738</v>
      </c>
      <c r="S219" s="184">
        <v>12</v>
      </c>
      <c r="T219" s="102">
        <v>5</v>
      </c>
      <c r="U219" s="102">
        <v>2.5</v>
      </c>
      <c r="V219" s="102">
        <v>0</v>
      </c>
      <c r="W219" s="102">
        <v>0.5</v>
      </c>
      <c r="X219" s="103">
        <v>0</v>
      </c>
      <c r="Y219" s="103">
        <v>0.79166666666666663</v>
      </c>
      <c r="Z219" s="103">
        <v>0.79169999999999996</v>
      </c>
      <c r="AC219" s="102">
        <v>3.9999999999906777E-4</v>
      </c>
    </row>
    <row r="220" spans="1:29">
      <c r="A220" s="104" t="s">
        <v>1466</v>
      </c>
      <c r="B220" s="104" t="s">
        <v>1857</v>
      </c>
      <c r="C220" s="104" t="s">
        <v>1465</v>
      </c>
      <c r="D220" s="104" t="s">
        <v>1696</v>
      </c>
      <c r="E220" s="104" t="s">
        <v>1697</v>
      </c>
      <c r="F220" s="104" t="s">
        <v>1857</v>
      </c>
      <c r="M220" s="104" t="s">
        <v>1772</v>
      </c>
      <c r="N220" s="104" t="s">
        <v>1728</v>
      </c>
      <c r="O220" s="101">
        <v>45705</v>
      </c>
      <c r="P220" s="101">
        <v>45737</v>
      </c>
      <c r="Q220" s="101">
        <v>45705</v>
      </c>
      <c r="R220" s="101">
        <v>45710</v>
      </c>
      <c r="S220" s="184">
        <v>8</v>
      </c>
      <c r="T220" s="102">
        <v>1</v>
      </c>
      <c r="U220" s="102">
        <v>5</v>
      </c>
      <c r="V220" s="102">
        <v>5</v>
      </c>
      <c r="W220" s="102">
        <v>1</v>
      </c>
      <c r="X220" s="103">
        <v>0</v>
      </c>
      <c r="Y220" s="103">
        <v>0.79166666666666663</v>
      </c>
      <c r="Z220" s="103">
        <v>0.79169999999999996</v>
      </c>
      <c r="AC220" s="102">
        <v>5</v>
      </c>
    </row>
    <row r="221" spans="1:29">
      <c r="A221" s="104" t="s">
        <v>1466</v>
      </c>
      <c r="B221" s="104" t="s">
        <v>1857</v>
      </c>
      <c r="C221" s="104" t="s">
        <v>1465</v>
      </c>
      <c r="D221" s="104" t="s">
        <v>1696</v>
      </c>
      <c r="E221" s="104" t="s">
        <v>1697</v>
      </c>
      <c r="F221" s="104" t="s">
        <v>1857</v>
      </c>
      <c r="M221" s="104" t="s">
        <v>1772</v>
      </c>
      <c r="N221" s="104" t="s">
        <v>1728</v>
      </c>
      <c r="O221" s="101">
        <v>45705</v>
      </c>
      <c r="P221" s="101">
        <v>45737</v>
      </c>
      <c r="Q221" s="101">
        <v>45711</v>
      </c>
      <c r="R221" s="101">
        <v>45717</v>
      </c>
      <c r="S221" s="184">
        <v>9</v>
      </c>
      <c r="T221" s="102">
        <v>2</v>
      </c>
      <c r="U221" s="102">
        <v>5</v>
      </c>
      <c r="V221" s="102">
        <v>5</v>
      </c>
      <c r="W221" s="102">
        <v>1</v>
      </c>
      <c r="X221" s="103">
        <v>0</v>
      </c>
      <c r="Y221" s="103">
        <v>0.79166666666666663</v>
      </c>
      <c r="Z221" s="103">
        <v>0.79169999999999996</v>
      </c>
      <c r="AC221" s="102">
        <v>5</v>
      </c>
    </row>
    <row r="222" spans="1:29">
      <c r="A222" s="104" t="s">
        <v>1466</v>
      </c>
      <c r="B222" s="104" t="s">
        <v>1857</v>
      </c>
      <c r="C222" s="104" t="s">
        <v>1465</v>
      </c>
      <c r="D222" s="104" t="s">
        <v>1696</v>
      </c>
      <c r="E222" s="104" t="s">
        <v>1697</v>
      </c>
      <c r="F222" s="104" t="s">
        <v>1857</v>
      </c>
      <c r="M222" s="104" t="s">
        <v>1772</v>
      </c>
      <c r="N222" s="104" t="s">
        <v>1728</v>
      </c>
      <c r="O222" s="101">
        <v>45705</v>
      </c>
      <c r="P222" s="101">
        <v>45737</v>
      </c>
      <c r="Q222" s="101">
        <v>45718</v>
      </c>
      <c r="R222" s="101">
        <v>45724</v>
      </c>
      <c r="S222" s="184">
        <v>10</v>
      </c>
      <c r="T222" s="102">
        <v>3</v>
      </c>
      <c r="U222" s="102">
        <v>4</v>
      </c>
      <c r="V222" s="102">
        <v>4</v>
      </c>
      <c r="W222" s="102">
        <v>1</v>
      </c>
      <c r="X222" s="103">
        <v>0</v>
      </c>
      <c r="Y222" s="103">
        <v>0.79166666666666663</v>
      </c>
      <c r="Z222" s="103">
        <v>0.79169999999999996</v>
      </c>
      <c r="AC222" s="102">
        <v>4</v>
      </c>
    </row>
    <row r="223" spans="1:29">
      <c r="A223" s="104" t="s">
        <v>1466</v>
      </c>
      <c r="B223" s="104" t="s">
        <v>1857</v>
      </c>
      <c r="C223" s="104" t="s">
        <v>1465</v>
      </c>
      <c r="D223" s="104" t="s">
        <v>1696</v>
      </c>
      <c r="E223" s="104" t="s">
        <v>1697</v>
      </c>
      <c r="F223" s="104" t="s">
        <v>1857</v>
      </c>
      <c r="M223" s="104" t="s">
        <v>1772</v>
      </c>
      <c r="N223" s="104" t="s">
        <v>1728</v>
      </c>
      <c r="O223" s="101">
        <v>45705</v>
      </c>
      <c r="P223" s="101">
        <v>45737</v>
      </c>
      <c r="Q223" s="101">
        <v>45725</v>
      </c>
      <c r="R223" s="101">
        <v>45731</v>
      </c>
      <c r="S223" s="184">
        <v>11</v>
      </c>
      <c r="T223" s="102">
        <v>4</v>
      </c>
      <c r="U223" s="102">
        <v>5</v>
      </c>
      <c r="V223" s="102">
        <v>5</v>
      </c>
      <c r="W223" s="102">
        <v>1</v>
      </c>
      <c r="X223" s="103">
        <v>0</v>
      </c>
      <c r="Y223" s="103">
        <v>0.79166666666666663</v>
      </c>
      <c r="Z223" s="103">
        <v>0.79169999999999996</v>
      </c>
      <c r="AC223" s="102">
        <v>5</v>
      </c>
    </row>
    <row r="224" spans="1:29">
      <c r="A224" s="104" t="s">
        <v>1466</v>
      </c>
      <c r="B224" s="104" t="s">
        <v>1857</v>
      </c>
      <c r="C224" s="104" t="s">
        <v>1465</v>
      </c>
      <c r="D224" s="104" t="s">
        <v>1696</v>
      </c>
      <c r="E224" s="104" t="s">
        <v>1697</v>
      </c>
      <c r="F224" s="104" t="s">
        <v>1857</v>
      </c>
      <c r="M224" s="104" t="s">
        <v>1772</v>
      </c>
      <c r="N224" s="104" t="s">
        <v>1728</v>
      </c>
      <c r="O224" s="101">
        <v>45705</v>
      </c>
      <c r="P224" s="101">
        <v>45737</v>
      </c>
      <c r="Q224" s="101">
        <v>45732</v>
      </c>
      <c r="R224" s="101">
        <v>45738</v>
      </c>
      <c r="S224" s="184">
        <v>12</v>
      </c>
      <c r="T224" s="102">
        <v>5</v>
      </c>
      <c r="U224" s="102">
        <v>5</v>
      </c>
      <c r="V224" s="102">
        <v>0</v>
      </c>
      <c r="W224" s="102">
        <v>1</v>
      </c>
      <c r="X224" s="103">
        <v>0</v>
      </c>
      <c r="Y224" s="103">
        <v>0.79166666666666663</v>
      </c>
      <c r="Z224" s="103">
        <v>0.79169999999999996</v>
      </c>
      <c r="AC224" s="102">
        <v>7.9999999999813554E-4</v>
      </c>
    </row>
    <row r="225" spans="1:29">
      <c r="A225" s="104" t="s">
        <v>1466</v>
      </c>
      <c r="B225" s="104" t="s">
        <v>1858</v>
      </c>
      <c r="C225" s="104" t="s">
        <v>1465</v>
      </c>
      <c r="D225" s="104" t="s">
        <v>1696</v>
      </c>
      <c r="E225" s="104" t="s">
        <v>1697</v>
      </c>
      <c r="F225" s="104" t="s">
        <v>1858</v>
      </c>
      <c r="M225" s="104" t="s">
        <v>1587</v>
      </c>
      <c r="N225" s="104" t="s">
        <v>1728</v>
      </c>
      <c r="O225" s="101">
        <v>45733</v>
      </c>
      <c r="P225" s="101">
        <v>45758</v>
      </c>
      <c r="Q225" s="101">
        <v>45732</v>
      </c>
      <c r="R225" s="101">
        <v>45738</v>
      </c>
      <c r="S225" s="184">
        <v>12</v>
      </c>
      <c r="T225" s="102">
        <v>5</v>
      </c>
      <c r="U225" s="102">
        <v>5</v>
      </c>
      <c r="V225" s="102">
        <v>0</v>
      </c>
      <c r="W225" s="102">
        <v>1</v>
      </c>
      <c r="X225" s="103">
        <v>0</v>
      </c>
      <c r="Y225" s="103">
        <v>0</v>
      </c>
      <c r="Z225" s="103">
        <v>0</v>
      </c>
      <c r="AC225" s="102">
        <v>0</v>
      </c>
    </row>
    <row r="226" spans="1:29">
      <c r="A226" s="104" t="s">
        <v>1466</v>
      </c>
      <c r="B226" s="104" t="s">
        <v>1858</v>
      </c>
      <c r="C226" s="104" t="s">
        <v>1465</v>
      </c>
      <c r="D226" s="104" t="s">
        <v>1696</v>
      </c>
      <c r="E226" s="104" t="s">
        <v>1697</v>
      </c>
      <c r="F226" s="104" t="s">
        <v>1858</v>
      </c>
      <c r="M226" s="104" t="s">
        <v>1587</v>
      </c>
      <c r="N226" s="104" t="s">
        <v>1728</v>
      </c>
      <c r="O226" s="101">
        <v>45733</v>
      </c>
      <c r="P226" s="101">
        <v>45758</v>
      </c>
      <c r="Q226" s="101">
        <v>45739</v>
      </c>
      <c r="R226" s="101">
        <v>45745</v>
      </c>
      <c r="S226" s="184">
        <v>13</v>
      </c>
      <c r="T226" s="102">
        <v>6</v>
      </c>
      <c r="U226" s="102">
        <v>5</v>
      </c>
      <c r="V226" s="102">
        <v>0</v>
      </c>
      <c r="W226" s="102">
        <v>1</v>
      </c>
      <c r="X226" s="103">
        <v>0</v>
      </c>
      <c r="Y226" s="103">
        <v>0</v>
      </c>
      <c r="Z226" s="103">
        <v>0</v>
      </c>
      <c r="AC226" s="102">
        <v>0</v>
      </c>
    </row>
    <row r="227" spans="1:29">
      <c r="A227" s="104" t="s">
        <v>1466</v>
      </c>
      <c r="B227" s="104" t="s">
        <v>1858</v>
      </c>
      <c r="C227" s="104" t="s">
        <v>1465</v>
      </c>
      <c r="D227" s="104" t="s">
        <v>1696</v>
      </c>
      <c r="E227" s="104" t="s">
        <v>1697</v>
      </c>
      <c r="F227" s="104" t="s">
        <v>1858</v>
      </c>
      <c r="M227" s="104" t="s">
        <v>1587</v>
      </c>
      <c r="N227" s="104" t="s">
        <v>1728</v>
      </c>
      <c r="O227" s="101">
        <v>45733</v>
      </c>
      <c r="P227" s="101">
        <v>45758</v>
      </c>
      <c r="Q227" s="101">
        <v>45746</v>
      </c>
      <c r="R227" s="101">
        <v>45752</v>
      </c>
      <c r="S227" s="184">
        <v>14</v>
      </c>
      <c r="T227" s="102">
        <v>7</v>
      </c>
      <c r="U227" s="102">
        <v>5</v>
      </c>
      <c r="V227" s="102">
        <v>0</v>
      </c>
      <c r="W227" s="102">
        <v>1</v>
      </c>
      <c r="X227" s="103">
        <v>0</v>
      </c>
      <c r="Y227" s="103">
        <v>0</v>
      </c>
      <c r="Z227" s="103">
        <v>0</v>
      </c>
      <c r="AC227" s="102">
        <v>0</v>
      </c>
    </row>
    <row r="228" spans="1:29">
      <c r="A228" s="104" t="s">
        <v>1466</v>
      </c>
      <c r="B228" s="104" t="s">
        <v>1858</v>
      </c>
      <c r="C228" s="104" t="s">
        <v>1465</v>
      </c>
      <c r="D228" s="104" t="s">
        <v>1696</v>
      </c>
      <c r="E228" s="104" t="s">
        <v>1697</v>
      </c>
      <c r="F228" s="104" t="s">
        <v>1858</v>
      </c>
      <c r="M228" s="104" t="s">
        <v>1587</v>
      </c>
      <c r="N228" s="104" t="s">
        <v>1728</v>
      </c>
      <c r="O228" s="101">
        <v>45733</v>
      </c>
      <c r="P228" s="101">
        <v>45758</v>
      </c>
      <c r="Q228" s="101">
        <v>45753</v>
      </c>
      <c r="R228" s="101">
        <v>45759</v>
      </c>
      <c r="S228" s="184">
        <v>15</v>
      </c>
      <c r="T228" s="102">
        <v>8</v>
      </c>
      <c r="U228" s="102">
        <v>5</v>
      </c>
      <c r="V228" s="102">
        <v>0</v>
      </c>
      <c r="W228" s="102">
        <v>1</v>
      </c>
      <c r="X228" s="103">
        <v>0</v>
      </c>
      <c r="Y228" s="103">
        <v>0</v>
      </c>
      <c r="Z228" s="103">
        <v>0</v>
      </c>
      <c r="AC228" s="102">
        <v>0</v>
      </c>
    </row>
    <row r="229" spans="1:29">
      <c r="A229" s="104" t="s">
        <v>1466</v>
      </c>
      <c r="B229" s="104" t="s">
        <v>1859</v>
      </c>
      <c r="C229" s="104" t="s">
        <v>1465</v>
      </c>
      <c r="D229" s="104" t="s">
        <v>1696</v>
      </c>
      <c r="E229" s="104" t="s">
        <v>1697</v>
      </c>
      <c r="F229" s="104" t="s">
        <v>1859</v>
      </c>
      <c r="M229" s="104" t="s">
        <v>1588</v>
      </c>
      <c r="N229" s="104" t="s">
        <v>1727</v>
      </c>
      <c r="O229" s="101">
        <v>45740</v>
      </c>
      <c r="P229" s="101">
        <v>45765</v>
      </c>
      <c r="Q229" s="101">
        <v>45739</v>
      </c>
      <c r="R229" s="101">
        <v>45745</v>
      </c>
      <c r="S229" s="184">
        <v>13</v>
      </c>
      <c r="T229" s="102">
        <v>6</v>
      </c>
      <c r="U229" s="102">
        <v>5</v>
      </c>
      <c r="V229" s="102">
        <v>0</v>
      </c>
      <c r="W229" s="102">
        <v>1</v>
      </c>
      <c r="X229" s="103">
        <v>0</v>
      </c>
      <c r="Y229" s="103">
        <v>0</v>
      </c>
      <c r="Z229" s="103">
        <v>0</v>
      </c>
      <c r="AC229" s="102">
        <v>0</v>
      </c>
    </row>
    <row r="230" spans="1:29">
      <c r="A230" s="104" t="s">
        <v>1466</v>
      </c>
      <c r="B230" s="104" t="s">
        <v>1859</v>
      </c>
      <c r="C230" s="104" t="s">
        <v>1465</v>
      </c>
      <c r="D230" s="104" t="s">
        <v>1696</v>
      </c>
      <c r="E230" s="104" t="s">
        <v>1697</v>
      </c>
      <c r="F230" s="104" t="s">
        <v>1859</v>
      </c>
      <c r="M230" s="104" t="s">
        <v>1588</v>
      </c>
      <c r="N230" s="104" t="s">
        <v>1727</v>
      </c>
      <c r="O230" s="101">
        <v>45740</v>
      </c>
      <c r="P230" s="101">
        <v>45765</v>
      </c>
      <c r="Q230" s="101">
        <v>45746</v>
      </c>
      <c r="R230" s="101">
        <v>45752</v>
      </c>
      <c r="S230" s="184">
        <v>14</v>
      </c>
      <c r="T230" s="102">
        <v>7</v>
      </c>
      <c r="U230" s="102">
        <v>5</v>
      </c>
      <c r="V230" s="102">
        <v>0</v>
      </c>
      <c r="W230" s="102">
        <v>1</v>
      </c>
      <c r="X230" s="103">
        <v>0</v>
      </c>
      <c r="Y230" s="103">
        <v>0</v>
      </c>
      <c r="Z230" s="103">
        <v>0</v>
      </c>
      <c r="AC230" s="102">
        <v>0</v>
      </c>
    </row>
    <row r="231" spans="1:29">
      <c r="A231" s="104" t="s">
        <v>1466</v>
      </c>
      <c r="B231" s="104" t="s">
        <v>1859</v>
      </c>
      <c r="C231" s="104" t="s">
        <v>1465</v>
      </c>
      <c r="D231" s="104" t="s">
        <v>1696</v>
      </c>
      <c r="E231" s="104" t="s">
        <v>1697</v>
      </c>
      <c r="F231" s="104" t="s">
        <v>1859</v>
      </c>
      <c r="M231" s="104" t="s">
        <v>1588</v>
      </c>
      <c r="N231" s="104" t="s">
        <v>1727</v>
      </c>
      <c r="O231" s="101">
        <v>45740</v>
      </c>
      <c r="P231" s="101">
        <v>45765</v>
      </c>
      <c r="Q231" s="101">
        <v>45753</v>
      </c>
      <c r="R231" s="101">
        <v>45759</v>
      </c>
      <c r="S231" s="184">
        <v>15</v>
      </c>
      <c r="T231" s="102">
        <v>8</v>
      </c>
      <c r="U231" s="102">
        <v>5</v>
      </c>
      <c r="V231" s="102">
        <v>0</v>
      </c>
      <c r="W231" s="102">
        <v>1</v>
      </c>
      <c r="X231" s="103">
        <v>0</v>
      </c>
      <c r="Y231" s="103">
        <v>0</v>
      </c>
      <c r="Z231" s="103">
        <v>0</v>
      </c>
      <c r="AC231" s="102">
        <v>0</v>
      </c>
    </row>
    <row r="232" spans="1:29">
      <c r="A232" s="104" t="s">
        <v>1466</v>
      </c>
      <c r="B232" s="104" t="s">
        <v>1859</v>
      </c>
      <c r="C232" s="104" t="s">
        <v>1465</v>
      </c>
      <c r="D232" s="104" t="s">
        <v>1696</v>
      </c>
      <c r="E232" s="104" t="s">
        <v>1697</v>
      </c>
      <c r="F232" s="104" t="s">
        <v>1859</v>
      </c>
      <c r="M232" s="104" t="s">
        <v>1588</v>
      </c>
      <c r="N232" s="104" t="s">
        <v>1727</v>
      </c>
      <c r="O232" s="101">
        <v>45740</v>
      </c>
      <c r="P232" s="101">
        <v>45765</v>
      </c>
      <c r="Q232" s="101">
        <v>45760</v>
      </c>
      <c r="R232" s="101">
        <v>45766</v>
      </c>
      <c r="S232" s="184">
        <v>16</v>
      </c>
      <c r="T232" s="102">
        <v>9</v>
      </c>
      <c r="U232" s="102">
        <v>5</v>
      </c>
      <c r="V232" s="102">
        <v>0</v>
      </c>
      <c r="W232" s="102">
        <v>1</v>
      </c>
      <c r="X232" s="103">
        <v>0</v>
      </c>
      <c r="Y232" s="103">
        <v>0</v>
      </c>
      <c r="Z232" s="103">
        <v>0</v>
      </c>
      <c r="AC232" s="102">
        <v>0</v>
      </c>
    </row>
    <row r="233" spans="1:29">
      <c r="A233" s="104" t="s">
        <v>1466</v>
      </c>
      <c r="B233" s="104" t="s">
        <v>1860</v>
      </c>
      <c r="C233" s="104" t="s">
        <v>1465</v>
      </c>
      <c r="D233" s="104" t="s">
        <v>1696</v>
      </c>
      <c r="E233" s="104" t="s">
        <v>1698</v>
      </c>
      <c r="F233" s="104" t="s">
        <v>1860</v>
      </c>
      <c r="M233" s="104" t="s">
        <v>1814</v>
      </c>
      <c r="N233" s="104" t="s">
        <v>1843</v>
      </c>
      <c r="O233" s="101">
        <v>45720</v>
      </c>
      <c r="P233" s="101">
        <v>45751</v>
      </c>
      <c r="Q233" s="101">
        <v>45718</v>
      </c>
      <c r="R233" s="101">
        <v>45724</v>
      </c>
      <c r="S233" s="184">
        <v>10</v>
      </c>
      <c r="T233" s="102">
        <v>3</v>
      </c>
      <c r="U233" s="102">
        <v>8</v>
      </c>
      <c r="V233" s="102">
        <v>8</v>
      </c>
      <c r="W233" s="102">
        <v>2</v>
      </c>
      <c r="X233" s="103">
        <v>0</v>
      </c>
      <c r="Y233" s="103">
        <v>0.375</v>
      </c>
      <c r="Z233" s="103">
        <v>0.375</v>
      </c>
      <c r="AC233" s="102">
        <v>8</v>
      </c>
    </row>
    <row r="234" spans="1:29">
      <c r="A234" s="104" t="s">
        <v>1466</v>
      </c>
      <c r="B234" s="104" t="s">
        <v>1860</v>
      </c>
      <c r="C234" s="104" t="s">
        <v>1465</v>
      </c>
      <c r="D234" s="104" t="s">
        <v>1696</v>
      </c>
      <c r="E234" s="104" t="s">
        <v>1698</v>
      </c>
      <c r="F234" s="104" t="s">
        <v>1860</v>
      </c>
      <c r="M234" s="104" t="s">
        <v>1814</v>
      </c>
      <c r="N234" s="104" t="s">
        <v>1843</v>
      </c>
      <c r="O234" s="101">
        <v>45720</v>
      </c>
      <c r="P234" s="101">
        <v>45751</v>
      </c>
      <c r="Q234" s="101">
        <v>45725</v>
      </c>
      <c r="R234" s="101">
        <v>45731</v>
      </c>
      <c r="S234" s="184">
        <v>11</v>
      </c>
      <c r="T234" s="102">
        <v>4</v>
      </c>
      <c r="U234" s="102">
        <v>10</v>
      </c>
      <c r="V234" s="102">
        <v>10</v>
      </c>
      <c r="W234" s="102">
        <v>2</v>
      </c>
      <c r="X234" s="103">
        <v>0</v>
      </c>
      <c r="Y234" s="103">
        <v>0.375</v>
      </c>
      <c r="Z234" s="103">
        <v>0.375</v>
      </c>
      <c r="AC234" s="102">
        <v>10</v>
      </c>
    </row>
    <row r="235" spans="1:29">
      <c r="A235" s="104" t="s">
        <v>1466</v>
      </c>
      <c r="B235" s="104" t="s">
        <v>1860</v>
      </c>
      <c r="C235" s="104" t="s">
        <v>1465</v>
      </c>
      <c r="D235" s="104" t="s">
        <v>1696</v>
      </c>
      <c r="E235" s="104" t="s">
        <v>1698</v>
      </c>
      <c r="F235" s="104" t="s">
        <v>1860</v>
      </c>
      <c r="M235" s="104" t="s">
        <v>1814</v>
      </c>
      <c r="N235" s="104" t="s">
        <v>1843</v>
      </c>
      <c r="O235" s="101">
        <v>45720</v>
      </c>
      <c r="P235" s="101">
        <v>45751</v>
      </c>
      <c r="Q235" s="101">
        <v>45732</v>
      </c>
      <c r="R235" s="101">
        <v>45738</v>
      </c>
      <c r="S235" s="184">
        <v>12</v>
      </c>
      <c r="T235" s="102">
        <v>5</v>
      </c>
      <c r="U235" s="102">
        <v>10</v>
      </c>
      <c r="V235" s="102">
        <v>0</v>
      </c>
      <c r="W235" s="102">
        <v>2</v>
      </c>
      <c r="X235" s="103">
        <v>0</v>
      </c>
      <c r="Y235" s="103">
        <v>0.375</v>
      </c>
      <c r="Z235" s="103">
        <v>0.375</v>
      </c>
      <c r="AC235" s="102">
        <v>0</v>
      </c>
    </row>
    <row r="236" spans="1:29">
      <c r="A236" s="104" t="s">
        <v>1466</v>
      </c>
      <c r="B236" s="104" t="s">
        <v>1860</v>
      </c>
      <c r="C236" s="104" t="s">
        <v>1465</v>
      </c>
      <c r="D236" s="104" t="s">
        <v>1696</v>
      </c>
      <c r="E236" s="104" t="s">
        <v>1698</v>
      </c>
      <c r="F236" s="104" t="s">
        <v>1860</v>
      </c>
      <c r="M236" s="104" t="s">
        <v>1814</v>
      </c>
      <c r="N236" s="104" t="s">
        <v>1843</v>
      </c>
      <c r="O236" s="101">
        <v>45720</v>
      </c>
      <c r="P236" s="101">
        <v>45751</v>
      </c>
      <c r="Q236" s="101">
        <v>45739</v>
      </c>
      <c r="R236" s="101">
        <v>45745</v>
      </c>
      <c r="S236" s="184">
        <v>13</v>
      </c>
      <c r="T236" s="102">
        <v>6</v>
      </c>
      <c r="U236" s="102">
        <v>10</v>
      </c>
      <c r="V236" s="102">
        <v>0</v>
      </c>
      <c r="W236" s="102">
        <v>2</v>
      </c>
      <c r="X236" s="103">
        <v>0</v>
      </c>
      <c r="Y236" s="103">
        <v>0.375</v>
      </c>
      <c r="Z236" s="103">
        <v>0.375</v>
      </c>
      <c r="AC236" s="102">
        <v>0</v>
      </c>
    </row>
    <row r="237" spans="1:29">
      <c r="A237" s="104" t="s">
        <v>1466</v>
      </c>
      <c r="B237" s="104" t="s">
        <v>1860</v>
      </c>
      <c r="C237" s="104" t="s">
        <v>1465</v>
      </c>
      <c r="D237" s="104" t="s">
        <v>1696</v>
      </c>
      <c r="E237" s="104" t="s">
        <v>1698</v>
      </c>
      <c r="F237" s="104" t="s">
        <v>1860</v>
      </c>
      <c r="M237" s="104" t="s">
        <v>1814</v>
      </c>
      <c r="N237" s="104" t="s">
        <v>1843</v>
      </c>
      <c r="O237" s="101">
        <v>45720</v>
      </c>
      <c r="P237" s="101">
        <v>45751</v>
      </c>
      <c r="Q237" s="101">
        <v>45746</v>
      </c>
      <c r="R237" s="101">
        <v>45752</v>
      </c>
      <c r="S237" s="184">
        <v>14</v>
      </c>
      <c r="T237" s="102">
        <v>7</v>
      </c>
      <c r="U237" s="102">
        <v>10</v>
      </c>
      <c r="V237" s="102">
        <v>0</v>
      </c>
      <c r="W237" s="102">
        <v>2</v>
      </c>
      <c r="X237" s="103">
        <v>0</v>
      </c>
      <c r="Y237" s="103">
        <v>0.375</v>
      </c>
      <c r="Z237" s="103">
        <v>0.375</v>
      </c>
      <c r="AC237" s="102">
        <v>0</v>
      </c>
    </row>
    <row r="238" spans="1:29">
      <c r="A238" s="104" t="s">
        <v>1466</v>
      </c>
      <c r="B238" s="104" t="s">
        <v>1861</v>
      </c>
      <c r="C238" s="104" t="s">
        <v>1465</v>
      </c>
      <c r="D238" s="104" t="s">
        <v>1696</v>
      </c>
      <c r="E238" s="104" t="s">
        <v>1698</v>
      </c>
      <c r="F238" s="104" t="s">
        <v>1861</v>
      </c>
      <c r="M238" s="104" t="s">
        <v>1840</v>
      </c>
      <c r="N238" s="104" t="s">
        <v>1843</v>
      </c>
      <c r="O238" s="101">
        <v>45720</v>
      </c>
      <c r="P238" s="101">
        <v>45751</v>
      </c>
      <c r="Q238" s="101">
        <v>45718</v>
      </c>
      <c r="R238" s="101">
        <v>45724</v>
      </c>
      <c r="S238" s="184">
        <v>10</v>
      </c>
      <c r="T238" s="102">
        <v>3</v>
      </c>
      <c r="U238" s="102">
        <v>20</v>
      </c>
      <c r="V238" s="102">
        <v>20</v>
      </c>
      <c r="W238" s="102">
        <v>5</v>
      </c>
      <c r="X238" s="103">
        <v>0</v>
      </c>
      <c r="Y238" s="103">
        <v>0.375</v>
      </c>
      <c r="Z238" s="103">
        <v>0.375</v>
      </c>
      <c r="AC238" s="102">
        <v>20</v>
      </c>
    </row>
    <row r="239" spans="1:29">
      <c r="A239" s="104" t="s">
        <v>1466</v>
      </c>
      <c r="B239" s="104" t="s">
        <v>1861</v>
      </c>
      <c r="C239" s="104" t="s">
        <v>1465</v>
      </c>
      <c r="D239" s="104" t="s">
        <v>1696</v>
      </c>
      <c r="E239" s="104" t="s">
        <v>1698</v>
      </c>
      <c r="F239" s="104" t="s">
        <v>1861</v>
      </c>
      <c r="M239" s="104" t="s">
        <v>1840</v>
      </c>
      <c r="N239" s="104" t="s">
        <v>1843</v>
      </c>
      <c r="O239" s="101">
        <v>45720</v>
      </c>
      <c r="P239" s="101">
        <v>45751</v>
      </c>
      <c r="Q239" s="101">
        <v>45725</v>
      </c>
      <c r="R239" s="101">
        <v>45731</v>
      </c>
      <c r="S239" s="184">
        <v>11</v>
      </c>
      <c r="T239" s="102">
        <v>4</v>
      </c>
      <c r="U239" s="102">
        <v>25</v>
      </c>
      <c r="V239" s="102">
        <v>25</v>
      </c>
      <c r="W239" s="102">
        <v>5</v>
      </c>
      <c r="X239" s="103">
        <v>0</v>
      </c>
      <c r="Y239" s="103">
        <v>0.375</v>
      </c>
      <c r="Z239" s="103">
        <v>0.375</v>
      </c>
      <c r="AC239" s="102">
        <v>25</v>
      </c>
    </row>
    <row r="240" spans="1:29">
      <c r="A240" s="104" t="s">
        <v>1466</v>
      </c>
      <c r="B240" s="104" t="s">
        <v>1861</v>
      </c>
      <c r="C240" s="104" t="s">
        <v>1465</v>
      </c>
      <c r="D240" s="104" t="s">
        <v>1696</v>
      </c>
      <c r="E240" s="104" t="s">
        <v>1698</v>
      </c>
      <c r="F240" s="104" t="s">
        <v>1861</v>
      </c>
      <c r="M240" s="104" t="s">
        <v>1840</v>
      </c>
      <c r="N240" s="104" t="s">
        <v>1843</v>
      </c>
      <c r="O240" s="101">
        <v>45720</v>
      </c>
      <c r="P240" s="101">
        <v>45751</v>
      </c>
      <c r="Q240" s="101">
        <v>45732</v>
      </c>
      <c r="R240" s="101">
        <v>45738</v>
      </c>
      <c r="S240" s="184">
        <v>12</v>
      </c>
      <c r="T240" s="102">
        <v>5</v>
      </c>
      <c r="U240" s="102">
        <v>25</v>
      </c>
      <c r="V240" s="102">
        <v>0</v>
      </c>
      <c r="W240" s="102">
        <v>5</v>
      </c>
      <c r="X240" s="103">
        <v>0</v>
      </c>
      <c r="Y240" s="103">
        <v>0.375</v>
      </c>
      <c r="Z240" s="103">
        <v>0.375</v>
      </c>
      <c r="AC240" s="102">
        <v>0</v>
      </c>
    </row>
    <row r="241" spans="1:29">
      <c r="A241" s="104" t="s">
        <v>1466</v>
      </c>
      <c r="B241" s="104" t="s">
        <v>1861</v>
      </c>
      <c r="C241" s="104" t="s">
        <v>1465</v>
      </c>
      <c r="D241" s="104" t="s">
        <v>1696</v>
      </c>
      <c r="E241" s="104" t="s">
        <v>1698</v>
      </c>
      <c r="F241" s="104" t="s">
        <v>1861</v>
      </c>
      <c r="M241" s="104" t="s">
        <v>1840</v>
      </c>
      <c r="N241" s="104" t="s">
        <v>1843</v>
      </c>
      <c r="O241" s="101">
        <v>45720</v>
      </c>
      <c r="P241" s="101">
        <v>45751</v>
      </c>
      <c r="Q241" s="101">
        <v>45739</v>
      </c>
      <c r="R241" s="101">
        <v>45745</v>
      </c>
      <c r="S241" s="184">
        <v>13</v>
      </c>
      <c r="T241" s="102">
        <v>6</v>
      </c>
      <c r="U241" s="102">
        <v>25</v>
      </c>
      <c r="V241" s="102">
        <v>0</v>
      </c>
      <c r="W241" s="102">
        <v>5</v>
      </c>
      <c r="X241" s="103">
        <v>0</v>
      </c>
      <c r="Y241" s="103">
        <v>0.375</v>
      </c>
      <c r="Z241" s="103">
        <v>0.375</v>
      </c>
      <c r="AC241" s="102">
        <v>0</v>
      </c>
    </row>
    <row r="242" spans="1:29">
      <c r="A242" s="104" t="s">
        <v>1466</v>
      </c>
      <c r="B242" s="104" t="s">
        <v>1861</v>
      </c>
      <c r="C242" s="104" t="s">
        <v>1465</v>
      </c>
      <c r="D242" s="104" t="s">
        <v>1696</v>
      </c>
      <c r="E242" s="104" t="s">
        <v>1698</v>
      </c>
      <c r="F242" s="104" t="s">
        <v>1861</v>
      </c>
      <c r="M242" s="104" t="s">
        <v>1840</v>
      </c>
      <c r="N242" s="104" t="s">
        <v>1843</v>
      </c>
      <c r="O242" s="101">
        <v>45720</v>
      </c>
      <c r="P242" s="101">
        <v>45751</v>
      </c>
      <c r="Q242" s="101">
        <v>45746</v>
      </c>
      <c r="R242" s="101">
        <v>45752</v>
      </c>
      <c r="S242" s="184">
        <v>14</v>
      </c>
      <c r="T242" s="102">
        <v>7</v>
      </c>
      <c r="U242" s="102">
        <v>25</v>
      </c>
      <c r="V242" s="102">
        <v>0</v>
      </c>
      <c r="W242" s="102">
        <v>5</v>
      </c>
      <c r="X242" s="103">
        <v>0</v>
      </c>
      <c r="Y242" s="103">
        <v>0.375</v>
      </c>
      <c r="Z242" s="103">
        <v>0.375</v>
      </c>
      <c r="AC242" s="102">
        <v>0</v>
      </c>
    </row>
    <row r="243" spans="1:29">
      <c r="A243" s="104" t="s">
        <v>1466</v>
      </c>
      <c r="B243" s="104" t="s">
        <v>1862</v>
      </c>
      <c r="C243" s="104" t="s">
        <v>1465</v>
      </c>
      <c r="D243" s="104" t="s">
        <v>1696</v>
      </c>
      <c r="E243" s="104" t="s">
        <v>1698</v>
      </c>
      <c r="F243" s="104" t="s">
        <v>1862</v>
      </c>
      <c r="M243" s="104" t="s">
        <v>1817</v>
      </c>
      <c r="N243" s="104" t="s">
        <v>1843</v>
      </c>
      <c r="O243" s="101">
        <v>45720</v>
      </c>
      <c r="P243" s="101">
        <v>45751</v>
      </c>
      <c r="Q243" s="101">
        <v>45718</v>
      </c>
      <c r="R243" s="101">
        <v>45724</v>
      </c>
      <c r="S243" s="184">
        <v>10</v>
      </c>
      <c r="T243" s="102">
        <v>3</v>
      </c>
      <c r="U243" s="102">
        <v>8</v>
      </c>
      <c r="V243" s="102">
        <v>8</v>
      </c>
      <c r="W243" s="102">
        <v>2</v>
      </c>
      <c r="X243" s="103">
        <v>0</v>
      </c>
      <c r="Y243" s="103">
        <v>0.375</v>
      </c>
      <c r="Z243" s="103">
        <v>0.3</v>
      </c>
      <c r="AC243" s="102">
        <v>8</v>
      </c>
    </row>
    <row r="244" spans="1:29">
      <c r="A244" s="104" t="s">
        <v>1466</v>
      </c>
      <c r="B244" s="104" t="s">
        <v>1862</v>
      </c>
      <c r="C244" s="104" t="s">
        <v>1465</v>
      </c>
      <c r="D244" s="104" t="s">
        <v>1696</v>
      </c>
      <c r="E244" s="104" t="s">
        <v>1698</v>
      </c>
      <c r="F244" s="104" t="s">
        <v>1862</v>
      </c>
      <c r="M244" s="104" t="s">
        <v>1817</v>
      </c>
      <c r="N244" s="104" t="s">
        <v>1843</v>
      </c>
      <c r="O244" s="101">
        <v>45720</v>
      </c>
      <c r="P244" s="101">
        <v>45751</v>
      </c>
      <c r="Q244" s="101">
        <v>45725</v>
      </c>
      <c r="R244" s="101">
        <v>45731</v>
      </c>
      <c r="S244" s="184">
        <v>11</v>
      </c>
      <c r="T244" s="102">
        <v>4</v>
      </c>
      <c r="U244" s="102">
        <v>10</v>
      </c>
      <c r="V244" s="102">
        <v>10</v>
      </c>
      <c r="W244" s="102">
        <v>2</v>
      </c>
      <c r="X244" s="103">
        <v>0</v>
      </c>
      <c r="Y244" s="103">
        <v>0.375</v>
      </c>
      <c r="Z244" s="103">
        <v>0.3</v>
      </c>
      <c r="AC244" s="102">
        <v>6.3999999999999986</v>
      </c>
    </row>
    <row r="245" spans="1:29">
      <c r="A245" s="104" t="s">
        <v>1466</v>
      </c>
      <c r="B245" s="104" t="s">
        <v>1862</v>
      </c>
      <c r="C245" s="104" t="s">
        <v>1465</v>
      </c>
      <c r="D245" s="104" t="s">
        <v>1696</v>
      </c>
      <c r="E245" s="104" t="s">
        <v>1698</v>
      </c>
      <c r="F245" s="104" t="s">
        <v>1862</v>
      </c>
      <c r="M245" s="104" t="s">
        <v>1817</v>
      </c>
      <c r="N245" s="104" t="s">
        <v>1843</v>
      </c>
      <c r="O245" s="101">
        <v>45720</v>
      </c>
      <c r="P245" s="101">
        <v>45751</v>
      </c>
      <c r="Q245" s="101">
        <v>45732</v>
      </c>
      <c r="R245" s="101">
        <v>45738</v>
      </c>
      <c r="S245" s="184">
        <v>12</v>
      </c>
      <c r="T245" s="102">
        <v>5</v>
      </c>
      <c r="U245" s="102">
        <v>10</v>
      </c>
      <c r="V245" s="102">
        <v>0</v>
      </c>
      <c r="W245" s="102">
        <v>2</v>
      </c>
      <c r="X245" s="103">
        <v>0</v>
      </c>
      <c r="Y245" s="103">
        <v>0.375</v>
      </c>
      <c r="Z245" s="103">
        <v>0.3</v>
      </c>
      <c r="AC245" s="102">
        <v>0</v>
      </c>
    </row>
    <row r="246" spans="1:29">
      <c r="A246" s="104" t="s">
        <v>1466</v>
      </c>
      <c r="B246" s="104" t="s">
        <v>1862</v>
      </c>
      <c r="C246" s="104" t="s">
        <v>1465</v>
      </c>
      <c r="D246" s="104" t="s">
        <v>1696</v>
      </c>
      <c r="E246" s="104" t="s">
        <v>1698</v>
      </c>
      <c r="F246" s="104" t="s">
        <v>1862</v>
      </c>
      <c r="M246" s="104" t="s">
        <v>1817</v>
      </c>
      <c r="N246" s="104" t="s">
        <v>1843</v>
      </c>
      <c r="O246" s="101">
        <v>45720</v>
      </c>
      <c r="P246" s="101">
        <v>45751</v>
      </c>
      <c r="Q246" s="101">
        <v>45739</v>
      </c>
      <c r="R246" s="101">
        <v>45745</v>
      </c>
      <c r="S246" s="184">
        <v>13</v>
      </c>
      <c r="T246" s="102">
        <v>6</v>
      </c>
      <c r="U246" s="102">
        <v>10</v>
      </c>
      <c r="V246" s="102">
        <v>0</v>
      </c>
      <c r="W246" s="102">
        <v>2</v>
      </c>
      <c r="X246" s="103">
        <v>0</v>
      </c>
      <c r="Y246" s="103">
        <v>0.375</v>
      </c>
      <c r="Z246" s="103">
        <v>0.3</v>
      </c>
      <c r="AC246" s="102">
        <v>0</v>
      </c>
    </row>
    <row r="247" spans="1:29">
      <c r="A247" s="104" t="s">
        <v>1466</v>
      </c>
      <c r="B247" s="104" t="s">
        <v>1862</v>
      </c>
      <c r="C247" s="104" t="s">
        <v>1465</v>
      </c>
      <c r="D247" s="104" t="s">
        <v>1696</v>
      </c>
      <c r="E247" s="104" t="s">
        <v>1698</v>
      </c>
      <c r="F247" s="104" t="s">
        <v>1862</v>
      </c>
      <c r="M247" s="104" t="s">
        <v>1817</v>
      </c>
      <c r="N247" s="104" t="s">
        <v>1843</v>
      </c>
      <c r="O247" s="101">
        <v>45720</v>
      </c>
      <c r="P247" s="101">
        <v>45751</v>
      </c>
      <c r="Q247" s="101">
        <v>45746</v>
      </c>
      <c r="R247" s="101">
        <v>45752</v>
      </c>
      <c r="S247" s="184">
        <v>14</v>
      </c>
      <c r="T247" s="102">
        <v>7</v>
      </c>
      <c r="U247" s="102">
        <v>10</v>
      </c>
      <c r="V247" s="102">
        <v>0</v>
      </c>
      <c r="W247" s="102">
        <v>2</v>
      </c>
      <c r="X247" s="103">
        <v>0</v>
      </c>
      <c r="Y247" s="103">
        <v>0.375</v>
      </c>
      <c r="Z247" s="103">
        <v>0.3</v>
      </c>
      <c r="AC247" s="102">
        <v>0</v>
      </c>
    </row>
    <row r="248" spans="1:29">
      <c r="A248" s="104" t="s">
        <v>1466</v>
      </c>
      <c r="B248" s="104" t="s">
        <v>1863</v>
      </c>
      <c r="C248" s="104" t="s">
        <v>1465</v>
      </c>
      <c r="D248" s="104" t="s">
        <v>1696</v>
      </c>
      <c r="E248" s="104" t="s">
        <v>1698</v>
      </c>
      <c r="F248" s="104" t="s">
        <v>1863</v>
      </c>
      <c r="M248" s="104" t="s">
        <v>1818</v>
      </c>
      <c r="N248" s="104" t="s">
        <v>1845</v>
      </c>
      <c r="O248" s="101">
        <v>45720</v>
      </c>
      <c r="P248" s="101">
        <v>45751</v>
      </c>
      <c r="Q248" s="101">
        <v>45718</v>
      </c>
      <c r="R248" s="101">
        <v>45724</v>
      </c>
      <c r="S248" s="184">
        <v>10</v>
      </c>
      <c r="T248" s="102">
        <v>3</v>
      </c>
      <c r="U248" s="102">
        <v>8</v>
      </c>
      <c r="V248" s="102">
        <v>8</v>
      </c>
      <c r="W248" s="102">
        <v>2</v>
      </c>
      <c r="X248" s="103">
        <v>0</v>
      </c>
      <c r="Y248" s="103">
        <v>0.375</v>
      </c>
      <c r="Z248" s="103">
        <v>0.375</v>
      </c>
      <c r="AC248" s="102">
        <v>8</v>
      </c>
    </row>
    <row r="249" spans="1:29">
      <c r="A249" s="104" t="s">
        <v>1466</v>
      </c>
      <c r="B249" s="104" t="s">
        <v>1863</v>
      </c>
      <c r="C249" s="104" t="s">
        <v>1465</v>
      </c>
      <c r="D249" s="104" t="s">
        <v>1696</v>
      </c>
      <c r="E249" s="104" t="s">
        <v>1698</v>
      </c>
      <c r="F249" s="104" t="s">
        <v>1863</v>
      </c>
      <c r="M249" s="104" t="s">
        <v>1818</v>
      </c>
      <c r="N249" s="104" t="s">
        <v>1845</v>
      </c>
      <c r="O249" s="101">
        <v>45720</v>
      </c>
      <c r="P249" s="101">
        <v>45751</v>
      </c>
      <c r="Q249" s="101">
        <v>45725</v>
      </c>
      <c r="R249" s="101">
        <v>45731</v>
      </c>
      <c r="S249" s="184">
        <v>11</v>
      </c>
      <c r="T249" s="102">
        <v>4</v>
      </c>
      <c r="U249" s="102">
        <v>10</v>
      </c>
      <c r="V249" s="102">
        <v>10</v>
      </c>
      <c r="W249" s="102">
        <v>2</v>
      </c>
      <c r="X249" s="103">
        <v>0</v>
      </c>
      <c r="Y249" s="103">
        <v>0.375</v>
      </c>
      <c r="Z249" s="103">
        <v>0.375</v>
      </c>
      <c r="AC249" s="102">
        <v>10</v>
      </c>
    </row>
    <row r="250" spans="1:29">
      <c r="A250" s="104" t="s">
        <v>1466</v>
      </c>
      <c r="B250" s="104" t="s">
        <v>1863</v>
      </c>
      <c r="C250" s="104" t="s">
        <v>1465</v>
      </c>
      <c r="D250" s="104" t="s">
        <v>1696</v>
      </c>
      <c r="E250" s="104" t="s">
        <v>1698</v>
      </c>
      <c r="F250" s="104" t="s">
        <v>1863</v>
      </c>
      <c r="M250" s="104" t="s">
        <v>1818</v>
      </c>
      <c r="N250" s="104" t="s">
        <v>1845</v>
      </c>
      <c r="O250" s="101">
        <v>45720</v>
      </c>
      <c r="P250" s="101">
        <v>45751</v>
      </c>
      <c r="Q250" s="101">
        <v>45732</v>
      </c>
      <c r="R250" s="101">
        <v>45738</v>
      </c>
      <c r="S250" s="184">
        <v>12</v>
      </c>
      <c r="T250" s="102">
        <v>5</v>
      </c>
      <c r="U250" s="102">
        <v>10</v>
      </c>
      <c r="V250" s="102">
        <v>0</v>
      </c>
      <c r="W250" s="102">
        <v>2</v>
      </c>
      <c r="X250" s="103">
        <v>0</v>
      </c>
      <c r="Y250" s="103">
        <v>0.375</v>
      </c>
      <c r="Z250" s="103">
        <v>0.375</v>
      </c>
      <c r="AC250" s="102">
        <v>0</v>
      </c>
    </row>
    <row r="251" spans="1:29">
      <c r="A251" s="104" t="s">
        <v>1466</v>
      </c>
      <c r="B251" s="104" t="s">
        <v>1863</v>
      </c>
      <c r="C251" s="104" t="s">
        <v>1465</v>
      </c>
      <c r="D251" s="104" t="s">
        <v>1696</v>
      </c>
      <c r="E251" s="104" t="s">
        <v>1698</v>
      </c>
      <c r="F251" s="104" t="s">
        <v>1863</v>
      </c>
      <c r="M251" s="104" t="s">
        <v>1818</v>
      </c>
      <c r="N251" s="104" t="s">
        <v>1845</v>
      </c>
      <c r="O251" s="101">
        <v>45720</v>
      </c>
      <c r="P251" s="101">
        <v>45751</v>
      </c>
      <c r="Q251" s="101">
        <v>45739</v>
      </c>
      <c r="R251" s="101">
        <v>45745</v>
      </c>
      <c r="S251" s="184">
        <v>13</v>
      </c>
      <c r="T251" s="102">
        <v>6</v>
      </c>
      <c r="U251" s="102">
        <v>10</v>
      </c>
      <c r="V251" s="102">
        <v>0</v>
      </c>
      <c r="W251" s="102">
        <v>2</v>
      </c>
      <c r="X251" s="103">
        <v>0</v>
      </c>
      <c r="Y251" s="103">
        <v>0.375</v>
      </c>
      <c r="Z251" s="103">
        <v>0.375</v>
      </c>
      <c r="AC251" s="102">
        <v>0</v>
      </c>
    </row>
    <row r="252" spans="1:29">
      <c r="A252" s="104" t="s">
        <v>1466</v>
      </c>
      <c r="B252" s="104" t="s">
        <v>1863</v>
      </c>
      <c r="C252" s="104" t="s">
        <v>1465</v>
      </c>
      <c r="D252" s="104" t="s">
        <v>1696</v>
      </c>
      <c r="E252" s="104" t="s">
        <v>1698</v>
      </c>
      <c r="F252" s="104" t="s">
        <v>1863</v>
      </c>
      <c r="M252" s="104" t="s">
        <v>1818</v>
      </c>
      <c r="N252" s="104" t="s">
        <v>1845</v>
      </c>
      <c r="O252" s="101">
        <v>45720</v>
      </c>
      <c r="P252" s="101">
        <v>45751</v>
      </c>
      <c r="Q252" s="101">
        <v>45746</v>
      </c>
      <c r="R252" s="101">
        <v>45752</v>
      </c>
      <c r="S252" s="184">
        <v>14</v>
      </c>
      <c r="T252" s="102">
        <v>7</v>
      </c>
      <c r="U252" s="102">
        <v>10</v>
      </c>
      <c r="V252" s="102">
        <v>0</v>
      </c>
      <c r="W252" s="102">
        <v>2</v>
      </c>
      <c r="X252" s="103">
        <v>0</v>
      </c>
      <c r="Y252" s="103">
        <v>0.375</v>
      </c>
      <c r="Z252" s="103">
        <v>0.375</v>
      </c>
      <c r="AC252" s="102">
        <v>0</v>
      </c>
    </row>
    <row r="253" spans="1:29">
      <c r="A253" s="104" t="s">
        <v>1466</v>
      </c>
      <c r="B253" s="104" t="s">
        <v>1864</v>
      </c>
      <c r="C253" s="104" t="s">
        <v>1465</v>
      </c>
      <c r="D253" s="104" t="s">
        <v>1696</v>
      </c>
      <c r="E253" s="104" t="s">
        <v>1698</v>
      </c>
      <c r="F253" s="104" t="s">
        <v>1864</v>
      </c>
      <c r="M253" s="104" t="s">
        <v>1838</v>
      </c>
      <c r="N253" s="104" t="s">
        <v>1845</v>
      </c>
      <c r="O253" s="101">
        <v>45720</v>
      </c>
      <c r="P253" s="101">
        <v>45751</v>
      </c>
      <c r="Q253" s="101">
        <v>45718</v>
      </c>
      <c r="R253" s="101">
        <v>45724</v>
      </c>
      <c r="S253" s="184">
        <v>10</v>
      </c>
      <c r="T253" s="102">
        <v>3</v>
      </c>
      <c r="U253" s="102">
        <v>20</v>
      </c>
      <c r="V253" s="102">
        <v>20</v>
      </c>
      <c r="W253" s="102">
        <v>5</v>
      </c>
      <c r="X253" s="103">
        <v>0</v>
      </c>
      <c r="Y253" s="103">
        <v>0.375</v>
      </c>
      <c r="Z253" s="103">
        <v>0.375</v>
      </c>
      <c r="AC253" s="102">
        <v>20</v>
      </c>
    </row>
    <row r="254" spans="1:29">
      <c r="A254" s="104" t="s">
        <v>1466</v>
      </c>
      <c r="B254" s="104" t="s">
        <v>1864</v>
      </c>
      <c r="C254" s="104" t="s">
        <v>1465</v>
      </c>
      <c r="D254" s="104" t="s">
        <v>1696</v>
      </c>
      <c r="E254" s="104" t="s">
        <v>1698</v>
      </c>
      <c r="F254" s="104" t="s">
        <v>1864</v>
      </c>
      <c r="M254" s="104" t="s">
        <v>1838</v>
      </c>
      <c r="N254" s="104" t="s">
        <v>1845</v>
      </c>
      <c r="O254" s="101">
        <v>45720</v>
      </c>
      <c r="P254" s="101">
        <v>45751</v>
      </c>
      <c r="Q254" s="101">
        <v>45725</v>
      </c>
      <c r="R254" s="101">
        <v>45731</v>
      </c>
      <c r="S254" s="184">
        <v>11</v>
      </c>
      <c r="T254" s="102">
        <v>4</v>
      </c>
      <c r="U254" s="102">
        <v>25</v>
      </c>
      <c r="V254" s="102">
        <v>25</v>
      </c>
      <c r="W254" s="102">
        <v>5</v>
      </c>
      <c r="X254" s="103">
        <v>0</v>
      </c>
      <c r="Y254" s="103">
        <v>0.375</v>
      </c>
      <c r="Z254" s="103">
        <v>0.375</v>
      </c>
      <c r="AC254" s="102">
        <v>25</v>
      </c>
    </row>
    <row r="255" spans="1:29">
      <c r="A255" s="104" t="s">
        <v>1466</v>
      </c>
      <c r="B255" s="104" t="s">
        <v>1864</v>
      </c>
      <c r="C255" s="104" t="s">
        <v>1465</v>
      </c>
      <c r="D255" s="104" t="s">
        <v>1696</v>
      </c>
      <c r="E255" s="104" t="s">
        <v>1698</v>
      </c>
      <c r="F255" s="104" t="s">
        <v>1864</v>
      </c>
      <c r="M255" s="104" t="s">
        <v>1838</v>
      </c>
      <c r="N255" s="104" t="s">
        <v>1845</v>
      </c>
      <c r="O255" s="101">
        <v>45720</v>
      </c>
      <c r="P255" s="101">
        <v>45751</v>
      </c>
      <c r="Q255" s="101">
        <v>45732</v>
      </c>
      <c r="R255" s="101">
        <v>45738</v>
      </c>
      <c r="S255" s="184">
        <v>12</v>
      </c>
      <c r="T255" s="102">
        <v>5</v>
      </c>
      <c r="U255" s="102">
        <v>25</v>
      </c>
      <c r="V255" s="102">
        <v>0</v>
      </c>
      <c r="W255" s="102">
        <v>5</v>
      </c>
      <c r="X255" s="103">
        <v>0</v>
      </c>
      <c r="Y255" s="103">
        <v>0.375</v>
      </c>
      <c r="Z255" s="103">
        <v>0.375</v>
      </c>
      <c r="AC255" s="102">
        <v>0</v>
      </c>
    </row>
    <row r="256" spans="1:29">
      <c r="A256" s="104" t="s">
        <v>1466</v>
      </c>
      <c r="B256" s="104" t="s">
        <v>1864</v>
      </c>
      <c r="C256" s="104" t="s">
        <v>1465</v>
      </c>
      <c r="D256" s="104" t="s">
        <v>1696</v>
      </c>
      <c r="E256" s="104" t="s">
        <v>1698</v>
      </c>
      <c r="F256" s="104" t="s">
        <v>1864</v>
      </c>
      <c r="M256" s="104" t="s">
        <v>1838</v>
      </c>
      <c r="N256" s="104" t="s">
        <v>1845</v>
      </c>
      <c r="O256" s="101">
        <v>45720</v>
      </c>
      <c r="P256" s="101">
        <v>45751</v>
      </c>
      <c r="Q256" s="101">
        <v>45739</v>
      </c>
      <c r="R256" s="101">
        <v>45745</v>
      </c>
      <c r="S256" s="184">
        <v>13</v>
      </c>
      <c r="T256" s="102">
        <v>6</v>
      </c>
      <c r="U256" s="102">
        <v>25</v>
      </c>
      <c r="V256" s="102">
        <v>0</v>
      </c>
      <c r="W256" s="102">
        <v>5</v>
      </c>
      <c r="X256" s="103">
        <v>0</v>
      </c>
      <c r="Y256" s="103">
        <v>0.375</v>
      </c>
      <c r="Z256" s="103">
        <v>0.375</v>
      </c>
      <c r="AC256" s="102">
        <v>0</v>
      </c>
    </row>
    <row r="257" spans="1:29">
      <c r="A257" s="104" t="s">
        <v>1466</v>
      </c>
      <c r="B257" s="104" t="s">
        <v>1864</v>
      </c>
      <c r="C257" s="104" t="s">
        <v>1465</v>
      </c>
      <c r="D257" s="104" t="s">
        <v>1696</v>
      </c>
      <c r="E257" s="104" t="s">
        <v>1698</v>
      </c>
      <c r="F257" s="104" t="s">
        <v>1864</v>
      </c>
      <c r="M257" s="104" t="s">
        <v>1838</v>
      </c>
      <c r="N257" s="104" t="s">
        <v>1845</v>
      </c>
      <c r="O257" s="101">
        <v>45720</v>
      </c>
      <c r="P257" s="101">
        <v>45751</v>
      </c>
      <c r="Q257" s="101">
        <v>45746</v>
      </c>
      <c r="R257" s="101">
        <v>45752</v>
      </c>
      <c r="S257" s="184">
        <v>14</v>
      </c>
      <c r="T257" s="102">
        <v>7</v>
      </c>
      <c r="U257" s="102">
        <v>25</v>
      </c>
      <c r="V257" s="102">
        <v>0</v>
      </c>
      <c r="W257" s="102">
        <v>5</v>
      </c>
      <c r="X257" s="103">
        <v>0</v>
      </c>
      <c r="Y257" s="103">
        <v>0.375</v>
      </c>
      <c r="Z257" s="103">
        <v>0.375</v>
      </c>
      <c r="AC257" s="102">
        <v>0</v>
      </c>
    </row>
    <row r="258" spans="1:29">
      <c r="A258" s="104" t="s">
        <v>1466</v>
      </c>
      <c r="B258" s="104" t="s">
        <v>1865</v>
      </c>
      <c r="C258" s="104" t="s">
        <v>1465</v>
      </c>
      <c r="D258" s="104" t="s">
        <v>1696</v>
      </c>
      <c r="E258" s="104" t="s">
        <v>1698</v>
      </c>
      <c r="F258" s="104" t="s">
        <v>1865</v>
      </c>
      <c r="M258" s="104" t="s">
        <v>1839</v>
      </c>
      <c r="N258" s="104" t="s">
        <v>1845</v>
      </c>
      <c r="O258" s="101">
        <v>45720</v>
      </c>
      <c r="P258" s="101">
        <v>45751</v>
      </c>
      <c r="Q258" s="101">
        <v>45718</v>
      </c>
      <c r="R258" s="101">
        <v>45724</v>
      </c>
      <c r="S258" s="184">
        <v>10</v>
      </c>
      <c r="T258" s="102">
        <v>3</v>
      </c>
      <c r="U258" s="102">
        <v>8</v>
      </c>
      <c r="V258" s="102">
        <v>8</v>
      </c>
      <c r="W258" s="102">
        <v>2</v>
      </c>
      <c r="X258" s="103">
        <v>0</v>
      </c>
      <c r="Y258" s="103">
        <v>0.375</v>
      </c>
      <c r="Z258" s="103">
        <v>0.375</v>
      </c>
      <c r="AC258" s="102">
        <v>8</v>
      </c>
    </row>
    <row r="259" spans="1:29">
      <c r="A259" s="104" t="s">
        <v>1466</v>
      </c>
      <c r="B259" s="104" t="s">
        <v>1865</v>
      </c>
      <c r="C259" s="104" t="s">
        <v>1465</v>
      </c>
      <c r="D259" s="104" t="s">
        <v>1696</v>
      </c>
      <c r="E259" s="104" t="s">
        <v>1698</v>
      </c>
      <c r="F259" s="104" t="s">
        <v>1865</v>
      </c>
      <c r="M259" s="104" t="s">
        <v>1839</v>
      </c>
      <c r="N259" s="104" t="s">
        <v>1845</v>
      </c>
      <c r="O259" s="101">
        <v>45720</v>
      </c>
      <c r="P259" s="101">
        <v>45751</v>
      </c>
      <c r="Q259" s="101">
        <v>45725</v>
      </c>
      <c r="R259" s="101">
        <v>45731</v>
      </c>
      <c r="S259" s="184">
        <v>11</v>
      </c>
      <c r="T259" s="102">
        <v>4</v>
      </c>
      <c r="U259" s="102">
        <v>10</v>
      </c>
      <c r="V259" s="102">
        <v>10</v>
      </c>
      <c r="W259" s="102">
        <v>2</v>
      </c>
      <c r="X259" s="103">
        <v>0</v>
      </c>
      <c r="Y259" s="103">
        <v>0.375</v>
      </c>
      <c r="Z259" s="103">
        <v>0.375</v>
      </c>
      <c r="AC259" s="102">
        <v>10</v>
      </c>
    </row>
    <row r="260" spans="1:29">
      <c r="A260" s="104" t="s">
        <v>1466</v>
      </c>
      <c r="B260" s="104" t="s">
        <v>1865</v>
      </c>
      <c r="C260" s="104" t="s">
        <v>1465</v>
      </c>
      <c r="D260" s="104" t="s">
        <v>1696</v>
      </c>
      <c r="E260" s="104" t="s">
        <v>1698</v>
      </c>
      <c r="F260" s="104" t="s">
        <v>1865</v>
      </c>
      <c r="M260" s="104" t="s">
        <v>1839</v>
      </c>
      <c r="N260" s="104" t="s">
        <v>1845</v>
      </c>
      <c r="O260" s="101">
        <v>45720</v>
      </c>
      <c r="P260" s="101">
        <v>45751</v>
      </c>
      <c r="Q260" s="101">
        <v>45732</v>
      </c>
      <c r="R260" s="101">
        <v>45738</v>
      </c>
      <c r="S260" s="184">
        <v>12</v>
      </c>
      <c r="T260" s="102">
        <v>5</v>
      </c>
      <c r="U260" s="102">
        <v>10</v>
      </c>
      <c r="V260" s="102">
        <v>0</v>
      </c>
      <c r="W260" s="102">
        <v>2</v>
      </c>
      <c r="X260" s="103">
        <v>0</v>
      </c>
      <c r="Y260" s="103">
        <v>0.375</v>
      </c>
      <c r="Z260" s="103">
        <v>0.375</v>
      </c>
      <c r="AC260" s="102">
        <v>0</v>
      </c>
    </row>
    <row r="261" spans="1:29">
      <c r="A261" s="104" t="s">
        <v>1466</v>
      </c>
      <c r="B261" s="104" t="s">
        <v>1865</v>
      </c>
      <c r="C261" s="104" t="s">
        <v>1465</v>
      </c>
      <c r="D261" s="104" t="s">
        <v>1696</v>
      </c>
      <c r="E261" s="104" t="s">
        <v>1698</v>
      </c>
      <c r="F261" s="104" t="s">
        <v>1865</v>
      </c>
      <c r="M261" s="104" t="s">
        <v>1839</v>
      </c>
      <c r="N261" s="104" t="s">
        <v>1845</v>
      </c>
      <c r="O261" s="101">
        <v>45720</v>
      </c>
      <c r="P261" s="101">
        <v>45751</v>
      </c>
      <c r="Q261" s="101">
        <v>45739</v>
      </c>
      <c r="R261" s="101">
        <v>45745</v>
      </c>
      <c r="S261" s="184">
        <v>13</v>
      </c>
      <c r="T261" s="102">
        <v>6</v>
      </c>
      <c r="U261" s="102">
        <v>10</v>
      </c>
      <c r="V261" s="102">
        <v>0</v>
      </c>
      <c r="W261" s="102">
        <v>2</v>
      </c>
      <c r="X261" s="103">
        <v>0</v>
      </c>
      <c r="Y261" s="103">
        <v>0.375</v>
      </c>
      <c r="Z261" s="103">
        <v>0.375</v>
      </c>
      <c r="AC261" s="102">
        <v>0</v>
      </c>
    </row>
    <row r="262" spans="1:29">
      <c r="A262" s="104" t="s">
        <v>1466</v>
      </c>
      <c r="B262" s="104" t="s">
        <v>1865</v>
      </c>
      <c r="C262" s="104" t="s">
        <v>1465</v>
      </c>
      <c r="D262" s="104" t="s">
        <v>1696</v>
      </c>
      <c r="E262" s="104" t="s">
        <v>1698</v>
      </c>
      <c r="F262" s="104" t="s">
        <v>1865</v>
      </c>
      <c r="M262" s="104" t="s">
        <v>1839</v>
      </c>
      <c r="N262" s="104" t="s">
        <v>1845</v>
      </c>
      <c r="O262" s="101">
        <v>45720</v>
      </c>
      <c r="P262" s="101">
        <v>45751</v>
      </c>
      <c r="Q262" s="101">
        <v>45746</v>
      </c>
      <c r="R262" s="101">
        <v>45752</v>
      </c>
      <c r="S262" s="184">
        <v>14</v>
      </c>
      <c r="T262" s="102">
        <v>7</v>
      </c>
      <c r="U262" s="102">
        <v>10</v>
      </c>
      <c r="V262" s="102">
        <v>0</v>
      </c>
      <c r="W262" s="102">
        <v>2</v>
      </c>
      <c r="X262" s="103">
        <v>0</v>
      </c>
      <c r="Y262" s="103">
        <v>0.375</v>
      </c>
      <c r="Z262" s="103">
        <v>0.375</v>
      </c>
      <c r="AC262" s="102">
        <v>0</v>
      </c>
    </row>
    <row r="263" spans="1:29">
      <c r="A263" s="104" t="s">
        <v>1466</v>
      </c>
      <c r="B263" s="104" t="s">
        <v>1866</v>
      </c>
      <c r="C263" s="104" t="s">
        <v>1465</v>
      </c>
      <c r="D263" s="104" t="s">
        <v>1696</v>
      </c>
      <c r="E263" s="104" t="s">
        <v>1698</v>
      </c>
      <c r="F263" s="104" t="s">
        <v>1866</v>
      </c>
      <c r="M263" s="104" t="s">
        <v>1815</v>
      </c>
      <c r="N263" s="104" t="s">
        <v>1844</v>
      </c>
      <c r="O263" s="101">
        <v>45720</v>
      </c>
      <c r="P263" s="101">
        <v>45751</v>
      </c>
      <c r="Q263" s="101">
        <v>45718</v>
      </c>
      <c r="R263" s="101">
        <v>45724</v>
      </c>
      <c r="S263" s="184">
        <v>10</v>
      </c>
      <c r="T263" s="102">
        <v>3</v>
      </c>
      <c r="U263" s="102">
        <v>20</v>
      </c>
      <c r="V263" s="102">
        <v>20</v>
      </c>
      <c r="W263" s="102">
        <v>5</v>
      </c>
      <c r="X263" s="103">
        <v>0</v>
      </c>
      <c r="Y263" s="103">
        <v>0.375</v>
      </c>
      <c r="Z263" s="103">
        <v>0.375</v>
      </c>
      <c r="AC263" s="102">
        <v>20</v>
      </c>
    </row>
    <row r="264" spans="1:29">
      <c r="A264" s="104" t="s">
        <v>1466</v>
      </c>
      <c r="B264" s="104" t="s">
        <v>1866</v>
      </c>
      <c r="C264" s="104" t="s">
        <v>1465</v>
      </c>
      <c r="D264" s="104" t="s">
        <v>1696</v>
      </c>
      <c r="E264" s="104" t="s">
        <v>1698</v>
      </c>
      <c r="F264" s="104" t="s">
        <v>1866</v>
      </c>
      <c r="M264" s="104" t="s">
        <v>1815</v>
      </c>
      <c r="N264" s="104" t="s">
        <v>1844</v>
      </c>
      <c r="O264" s="101">
        <v>45720</v>
      </c>
      <c r="P264" s="101">
        <v>45751</v>
      </c>
      <c r="Q264" s="101">
        <v>45725</v>
      </c>
      <c r="R264" s="101">
        <v>45731</v>
      </c>
      <c r="S264" s="184">
        <v>11</v>
      </c>
      <c r="T264" s="102">
        <v>4</v>
      </c>
      <c r="U264" s="102">
        <v>25</v>
      </c>
      <c r="V264" s="102">
        <v>25</v>
      </c>
      <c r="W264" s="102">
        <v>5</v>
      </c>
      <c r="X264" s="103">
        <v>0</v>
      </c>
      <c r="Y264" s="103">
        <v>0.375</v>
      </c>
      <c r="Z264" s="103">
        <v>0.375</v>
      </c>
      <c r="AC264" s="102">
        <v>25</v>
      </c>
    </row>
    <row r="265" spans="1:29">
      <c r="A265" s="104" t="s">
        <v>1466</v>
      </c>
      <c r="B265" s="104" t="s">
        <v>1866</v>
      </c>
      <c r="C265" s="104" t="s">
        <v>1465</v>
      </c>
      <c r="D265" s="104" t="s">
        <v>1696</v>
      </c>
      <c r="E265" s="104" t="s">
        <v>1698</v>
      </c>
      <c r="F265" s="104" t="s">
        <v>1866</v>
      </c>
      <c r="M265" s="104" t="s">
        <v>1815</v>
      </c>
      <c r="N265" s="104" t="s">
        <v>1844</v>
      </c>
      <c r="O265" s="101">
        <v>45720</v>
      </c>
      <c r="P265" s="101">
        <v>45751</v>
      </c>
      <c r="Q265" s="101">
        <v>45732</v>
      </c>
      <c r="R265" s="101">
        <v>45738</v>
      </c>
      <c r="S265" s="184">
        <v>12</v>
      </c>
      <c r="T265" s="102">
        <v>5</v>
      </c>
      <c r="U265" s="102">
        <v>25</v>
      </c>
      <c r="V265" s="102">
        <v>0</v>
      </c>
      <c r="W265" s="102">
        <v>5</v>
      </c>
      <c r="X265" s="103">
        <v>0</v>
      </c>
      <c r="Y265" s="103">
        <v>0.375</v>
      </c>
      <c r="Z265" s="103">
        <v>0.375</v>
      </c>
      <c r="AC265" s="102">
        <v>0</v>
      </c>
    </row>
    <row r="266" spans="1:29">
      <c r="A266" s="104" t="s">
        <v>1466</v>
      </c>
      <c r="B266" s="104" t="s">
        <v>1866</v>
      </c>
      <c r="C266" s="104" t="s">
        <v>1465</v>
      </c>
      <c r="D266" s="104" t="s">
        <v>1696</v>
      </c>
      <c r="E266" s="104" t="s">
        <v>1698</v>
      </c>
      <c r="F266" s="104" t="s">
        <v>1866</v>
      </c>
      <c r="M266" s="104" t="s">
        <v>1815</v>
      </c>
      <c r="N266" s="104" t="s">
        <v>1844</v>
      </c>
      <c r="O266" s="101">
        <v>45720</v>
      </c>
      <c r="P266" s="101">
        <v>45751</v>
      </c>
      <c r="Q266" s="101">
        <v>45739</v>
      </c>
      <c r="R266" s="101">
        <v>45745</v>
      </c>
      <c r="S266" s="184">
        <v>13</v>
      </c>
      <c r="T266" s="102">
        <v>6</v>
      </c>
      <c r="U266" s="102">
        <v>25</v>
      </c>
      <c r="V266" s="102">
        <v>0</v>
      </c>
      <c r="W266" s="102">
        <v>5</v>
      </c>
      <c r="X266" s="103">
        <v>0</v>
      </c>
      <c r="Y266" s="103">
        <v>0.375</v>
      </c>
      <c r="Z266" s="103">
        <v>0.375</v>
      </c>
      <c r="AC266" s="102">
        <v>0</v>
      </c>
    </row>
    <row r="267" spans="1:29">
      <c r="A267" s="104" t="s">
        <v>1466</v>
      </c>
      <c r="B267" s="104" t="s">
        <v>1866</v>
      </c>
      <c r="C267" s="104" t="s">
        <v>1465</v>
      </c>
      <c r="D267" s="104" t="s">
        <v>1696</v>
      </c>
      <c r="E267" s="104" t="s">
        <v>1698</v>
      </c>
      <c r="F267" s="104" t="s">
        <v>1866</v>
      </c>
      <c r="M267" s="104" t="s">
        <v>1815</v>
      </c>
      <c r="N267" s="104" t="s">
        <v>1844</v>
      </c>
      <c r="O267" s="101">
        <v>45720</v>
      </c>
      <c r="P267" s="101">
        <v>45751</v>
      </c>
      <c r="Q267" s="101">
        <v>45746</v>
      </c>
      <c r="R267" s="101">
        <v>45752</v>
      </c>
      <c r="S267" s="184">
        <v>14</v>
      </c>
      <c r="T267" s="102">
        <v>7</v>
      </c>
      <c r="U267" s="102">
        <v>25</v>
      </c>
      <c r="V267" s="102">
        <v>0</v>
      </c>
      <c r="W267" s="102">
        <v>5</v>
      </c>
      <c r="X267" s="103">
        <v>0</v>
      </c>
      <c r="Y267" s="103">
        <v>0.375</v>
      </c>
      <c r="Z267" s="103">
        <v>0.375</v>
      </c>
      <c r="AC267" s="102">
        <v>0</v>
      </c>
    </row>
    <row r="268" spans="1:29">
      <c r="A268" s="104" t="s">
        <v>1466</v>
      </c>
      <c r="B268" s="104" t="s">
        <v>1867</v>
      </c>
      <c r="C268" s="104" t="s">
        <v>1465</v>
      </c>
      <c r="D268" s="104" t="s">
        <v>1696</v>
      </c>
      <c r="E268" s="104" t="s">
        <v>1698</v>
      </c>
      <c r="F268" s="104" t="s">
        <v>1867</v>
      </c>
      <c r="M268" s="104" t="s">
        <v>1816</v>
      </c>
      <c r="N268" s="104" t="s">
        <v>1844</v>
      </c>
      <c r="O268" s="101">
        <v>45720</v>
      </c>
      <c r="P268" s="101">
        <v>45751</v>
      </c>
      <c r="Q268" s="101">
        <v>45718</v>
      </c>
      <c r="R268" s="101">
        <v>45724</v>
      </c>
      <c r="S268" s="184">
        <v>10</v>
      </c>
      <c r="T268" s="102">
        <v>3</v>
      </c>
      <c r="U268" s="102">
        <v>8</v>
      </c>
      <c r="V268" s="102">
        <v>8</v>
      </c>
      <c r="W268" s="102">
        <v>2</v>
      </c>
      <c r="X268" s="103">
        <v>0</v>
      </c>
      <c r="Y268" s="103">
        <v>0.375</v>
      </c>
      <c r="Z268" s="103">
        <v>0.375</v>
      </c>
      <c r="AC268" s="102">
        <v>8</v>
      </c>
    </row>
    <row r="269" spans="1:29">
      <c r="A269" s="104" t="s">
        <v>1466</v>
      </c>
      <c r="B269" s="104" t="s">
        <v>1867</v>
      </c>
      <c r="C269" s="104" t="s">
        <v>1465</v>
      </c>
      <c r="D269" s="104" t="s">
        <v>1696</v>
      </c>
      <c r="E269" s="104" t="s">
        <v>1698</v>
      </c>
      <c r="F269" s="104" t="s">
        <v>1867</v>
      </c>
      <c r="M269" s="104" t="s">
        <v>1816</v>
      </c>
      <c r="N269" s="104" t="s">
        <v>1844</v>
      </c>
      <c r="O269" s="101">
        <v>45720</v>
      </c>
      <c r="P269" s="101">
        <v>45751</v>
      </c>
      <c r="Q269" s="101">
        <v>45725</v>
      </c>
      <c r="R269" s="101">
        <v>45731</v>
      </c>
      <c r="S269" s="184">
        <v>11</v>
      </c>
      <c r="T269" s="102">
        <v>4</v>
      </c>
      <c r="U269" s="102">
        <v>10</v>
      </c>
      <c r="V269" s="102">
        <v>10</v>
      </c>
      <c r="W269" s="102">
        <v>2</v>
      </c>
      <c r="X269" s="103">
        <v>0</v>
      </c>
      <c r="Y269" s="103">
        <v>0.375</v>
      </c>
      <c r="Z269" s="103">
        <v>0.375</v>
      </c>
      <c r="AC269" s="102">
        <v>10</v>
      </c>
    </row>
    <row r="270" spans="1:29">
      <c r="A270" s="104" t="s">
        <v>1466</v>
      </c>
      <c r="B270" s="104" t="s">
        <v>1867</v>
      </c>
      <c r="C270" s="104" t="s">
        <v>1465</v>
      </c>
      <c r="D270" s="104" t="s">
        <v>1696</v>
      </c>
      <c r="E270" s="104" t="s">
        <v>1698</v>
      </c>
      <c r="F270" s="104" t="s">
        <v>1867</v>
      </c>
      <c r="M270" s="104" t="s">
        <v>1816</v>
      </c>
      <c r="N270" s="104" t="s">
        <v>1844</v>
      </c>
      <c r="O270" s="101">
        <v>45720</v>
      </c>
      <c r="P270" s="101">
        <v>45751</v>
      </c>
      <c r="Q270" s="101">
        <v>45732</v>
      </c>
      <c r="R270" s="101">
        <v>45738</v>
      </c>
      <c r="S270" s="184">
        <v>12</v>
      </c>
      <c r="T270" s="102">
        <v>5</v>
      </c>
      <c r="U270" s="102">
        <v>10</v>
      </c>
      <c r="V270" s="102">
        <v>0</v>
      </c>
      <c r="W270" s="102">
        <v>2</v>
      </c>
      <c r="X270" s="103">
        <v>0</v>
      </c>
      <c r="Y270" s="103">
        <v>0.375</v>
      </c>
      <c r="Z270" s="103">
        <v>0.375</v>
      </c>
      <c r="AC270" s="102">
        <v>0</v>
      </c>
    </row>
    <row r="271" spans="1:29">
      <c r="A271" s="104" t="s">
        <v>1466</v>
      </c>
      <c r="B271" s="104" t="s">
        <v>1867</v>
      </c>
      <c r="C271" s="104" t="s">
        <v>1465</v>
      </c>
      <c r="D271" s="104" t="s">
        <v>1696</v>
      </c>
      <c r="E271" s="104" t="s">
        <v>1698</v>
      </c>
      <c r="F271" s="104" t="s">
        <v>1867</v>
      </c>
      <c r="M271" s="104" t="s">
        <v>1816</v>
      </c>
      <c r="N271" s="104" t="s">
        <v>1844</v>
      </c>
      <c r="O271" s="101">
        <v>45720</v>
      </c>
      <c r="P271" s="101">
        <v>45751</v>
      </c>
      <c r="Q271" s="101">
        <v>45739</v>
      </c>
      <c r="R271" s="101">
        <v>45745</v>
      </c>
      <c r="S271" s="184">
        <v>13</v>
      </c>
      <c r="T271" s="102">
        <v>6</v>
      </c>
      <c r="U271" s="102">
        <v>10</v>
      </c>
      <c r="V271" s="102">
        <v>0</v>
      </c>
      <c r="W271" s="102">
        <v>2</v>
      </c>
      <c r="X271" s="103">
        <v>0</v>
      </c>
      <c r="Y271" s="103">
        <v>0.375</v>
      </c>
      <c r="Z271" s="103">
        <v>0.375</v>
      </c>
      <c r="AC271" s="102">
        <v>0</v>
      </c>
    </row>
    <row r="272" spans="1:29">
      <c r="A272" s="104" t="s">
        <v>1466</v>
      </c>
      <c r="B272" s="104" t="s">
        <v>1867</v>
      </c>
      <c r="C272" s="104" t="s">
        <v>1465</v>
      </c>
      <c r="D272" s="104" t="s">
        <v>1696</v>
      </c>
      <c r="E272" s="104" t="s">
        <v>1698</v>
      </c>
      <c r="F272" s="104" t="s">
        <v>1867</v>
      </c>
      <c r="M272" s="104" t="s">
        <v>1816</v>
      </c>
      <c r="N272" s="104" t="s">
        <v>1844</v>
      </c>
      <c r="O272" s="101">
        <v>45720</v>
      </c>
      <c r="P272" s="101">
        <v>45751</v>
      </c>
      <c r="Q272" s="101">
        <v>45746</v>
      </c>
      <c r="R272" s="101">
        <v>45752</v>
      </c>
      <c r="S272" s="184">
        <v>14</v>
      </c>
      <c r="T272" s="102">
        <v>7</v>
      </c>
      <c r="U272" s="102">
        <v>10</v>
      </c>
      <c r="V272" s="102">
        <v>0</v>
      </c>
      <c r="W272" s="102">
        <v>2</v>
      </c>
      <c r="X272" s="103">
        <v>0</v>
      </c>
      <c r="Y272" s="103">
        <v>0.375</v>
      </c>
      <c r="Z272" s="103">
        <v>0.375</v>
      </c>
      <c r="AC272" s="102">
        <v>0</v>
      </c>
    </row>
    <row r="273" spans="1:29">
      <c r="A273" s="104" t="s">
        <v>1466</v>
      </c>
      <c r="B273" s="104" t="s">
        <v>1868</v>
      </c>
      <c r="C273" s="104" t="s">
        <v>1465</v>
      </c>
      <c r="D273" s="104" t="s">
        <v>1696</v>
      </c>
      <c r="E273" s="104" t="s">
        <v>1698</v>
      </c>
      <c r="F273" s="104" t="s">
        <v>1868</v>
      </c>
      <c r="M273" s="104" t="s">
        <v>1813</v>
      </c>
      <c r="N273" s="104" t="s">
        <v>1844</v>
      </c>
      <c r="O273" s="101">
        <v>45733</v>
      </c>
      <c r="P273" s="101">
        <v>45779</v>
      </c>
      <c r="Q273" s="101">
        <v>45732</v>
      </c>
      <c r="R273" s="101">
        <v>45738</v>
      </c>
      <c r="S273" s="184">
        <v>12</v>
      </c>
      <c r="T273" s="102">
        <v>5</v>
      </c>
      <c r="U273" s="102">
        <v>25</v>
      </c>
      <c r="V273" s="102">
        <v>0</v>
      </c>
      <c r="W273" s="102">
        <v>5</v>
      </c>
      <c r="X273" s="103">
        <v>0</v>
      </c>
      <c r="Y273" s="103">
        <v>0</v>
      </c>
      <c r="Z273" s="103">
        <v>0</v>
      </c>
      <c r="AC273" s="102">
        <v>0</v>
      </c>
    </row>
    <row r="274" spans="1:29">
      <c r="A274" s="104" t="s">
        <v>1466</v>
      </c>
      <c r="B274" s="104" t="s">
        <v>1868</v>
      </c>
      <c r="C274" s="104" t="s">
        <v>1465</v>
      </c>
      <c r="D274" s="104" t="s">
        <v>1696</v>
      </c>
      <c r="E274" s="104" t="s">
        <v>1698</v>
      </c>
      <c r="F274" s="104" t="s">
        <v>1868</v>
      </c>
      <c r="M274" s="104" t="s">
        <v>1813</v>
      </c>
      <c r="N274" s="104" t="s">
        <v>1844</v>
      </c>
      <c r="O274" s="101">
        <v>45733</v>
      </c>
      <c r="P274" s="101">
        <v>45779</v>
      </c>
      <c r="Q274" s="101">
        <v>45739</v>
      </c>
      <c r="R274" s="101">
        <v>45745</v>
      </c>
      <c r="S274" s="184">
        <v>13</v>
      </c>
      <c r="T274" s="102">
        <v>6</v>
      </c>
      <c r="U274" s="102">
        <v>25</v>
      </c>
      <c r="V274" s="102">
        <v>0</v>
      </c>
      <c r="W274" s="102">
        <v>5</v>
      </c>
      <c r="X274" s="103">
        <v>0</v>
      </c>
      <c r="Y274" s="103">
        <v>0</v>
      </c>
      <c r="Z274" s="103">
        <v>0</v>
      </c>
      <c r="AC274" s="102">
        <v>0</v>
      </c>
    </row>
    <row r="275" spans="1:29">
      <c r="A275" s="104" t="s">
        <v>1466</v>
      </c>
      <c r="B275" s="104" t="s">
        <v>1868</v>
      </c>
      <c r="C275" s="104" t="s">
        <v>1465</v>
      </c>
      <c r="D275" s="104" t="s">
        <v>1696</v>
      </c>
      <c r="E275" s="104" t="s">
        <v>1698</v>
      </c>
      <c r="F275" s="104" t="s">
        <v>1868</v>
      </c>
      <c r="M275" s="104" t="s">
        <v>1813</v>
      </c>
      <c r="N275" s="104" t="s">
        <v>1844</v>
      </c>
      <c r="O275" s="101">
        <v>45733</v>
      </c>
      <c r="P275" s="101">
        <v>45779</v>
      </c>
      <c r="Q275" s="101">
        <v>45746</v>
      </c>
      <c r="R275" s="101">
        <v>45752</v>
      </c>
      <c r="S275" s="184">
        <v>14</v>
      </c>
      <c r="T275" s="102">
        <v>7</v>
      </c>
      <c r="U275" s="102">
        <v>25</v>
      </c>
      <c r="V275" s="102">
        <v>0</v>
      </c>
      <c r="W275" s="102">
        <v>5</v>
      </c>
      <c r="X275" s="103">
        <v>0</v>
      </c>
      <c r="Y275" s="103">
        <v>0</v>
      </c>
      <c r="Z275" s="103">
        <v>0</v>
      </c>
      <c r="AC275" s="102">
        <v>0</v>
      </c>
    </row>
    <row r="276" spans="1:29">
      <c r="A276" s="104" t="s">
        <v>1466</v>
      </c>
      <c r="B276" s="104" t="s">
        <v>1868</v>
      </c>
      <c r="C276" s="104" t="s">
        <v>1465</v>
      </c>
      <c r="D276" s="104" t="s">
        <v>1696</v>
      </c>
      <c r="E276" s="104" t="s">
        <v>1698</v>
      </c>
      <c r="F276" s="104" t="s">
        <v>1868</v>
      </c>
      <c r="M276" s="104" t="s">
        <v>1813</v>
      </c>
      <c r="N276" s="104" t="s">
        <v>1844</v>
      </c>
      <c r="O276" s="101">
        <v>45733</v>
      </c>
      <c r="P276" s="101">
        <v>45779</v>
      </c>
      <c r="Q276" s="101">
        <v>45753</v>
      </c>
      <c r="R276" s="101">
        <v>45759</v>
      </c>
      <c r="S276" s="184">
        <v>15</v>
      </c>
      <c r="T276" s="102">
        <v>8</v>
      </c>
      <c r="U276" s="102">
        <v>25</v>
      </c>
      <c r="V276" s="102">
        <v>0</v>
      </c>
      <c r="W276" s="102">
        <v>5</v>
      </c>
      <c r="X276" s="103">
        <v>0</v>
      </c>
      <c r="Y276" s="103">
        <v>0</v>
      </c>
      <c r="Z276" s="103">
        <v>0</v>
      </c>
      <c r="AC276" s="102">
        <v>0</v>
      </c>
    </row>
    <row r="277" spans="1:29">
      <c r="A277" s="104" t="s">
        <v>1466</v>
      </c>
      <c r="B277" s="104" t="s">
        <v>1868</v>
      </c>
      <c r="C277" s="104" t="s">
        <v>1465</v>
      </c>
      <c r="D277" s="104" t="s">
        <v>1696</v>
      </c>
      <c r="E277" s="104" t="s">
        <v>1698</v>
      </c>
      <c r="F277" s="104" t="s">
        <v>1868</v>
      </c>
      <c r="M277" s="104" t="s">
        <v>1813</v>
      </c>
      <c r="N277" s="104" t="s">
        <v>1844</v>
      </c>
      <c r="O277" s="101">
        <v>45733</v>
      </c>
      <c r="P277" s="101">
        <v>45779</v>
      </c>
      <c r="Q277" s="101">
        <v>45760</v>
      </c>
      <c r="R277" s="101">
        <v>45766</v>
      </c>
      <c r="S277" s="184">
        <v>16</v>
      </c>
      <c r="T277" s="102">
        <v>9</v>
      </c>
      <c r="U277" s="102">
        <v>25</v>
      </c>
      <c r="V277" s="102">
        <v>0</v>
      </c>
      <c r="W277" s="102">
        <v>5</v>
      </c>
      <c r="X277" s="103">
        <v>0</v>
      </c>
      <c r="Y277" s="103">
        <v>0</v>
      </c>
      <c r="Z277" s="103">
        <v>0</v>
      </c>
      <c r="AC277" s="102">
        <v>0</v>
      </c>
    </row>
    <row r="278" spans="1:29">
      <c r="A278" s="104" t="s">
        <v>1466</v>
      </c>
      <c r="B278" s="104" t="s">
        <v>1868</v>
      </c>
      <c r="C278" s="104" t="s">
        <v>1465</v>
      </c>
      <c r="D278" s="104" t="s">
        <v>1696</v>
      </c>
      <c r="E278" s="104" t="s">
        <v>1698</v>
      </c>
      <c r="F278" s="104" t="s">
        <v>1868</v>
      </c>
      <c r="M278" s="104" t="s">
        <v>1813</v>
      </c>
      <c r="N278" s="104" t="s">
        <v>1844</v>
      </c>
      <c r="O278" s="101">
        <v>45733</v>
      </c>
      <c r="P278" s="101">
        <v>45779</v>
      </c>
      <c r="Q278" s="101">
        <v>45767</v>
      </c>
      <c r="R278" s="101">
        <v>45773</v>
      </c>
      <c r="S278" s="184">
        <v>17</v>
      </c>
      <c r="T278" s="102">
        <v>10</v>
      </c>
      <c r="U278" s="102">
        <v>25</v>
      </c>
      <c r="V278" s="102">
        <v>0</v>
      </c>
      <c r="W278" s="102">
        <v>5</v>
      </c>
      <c r="X278" s="103">
        <v>0</v>
      </c>
      <c r="Y278" s="103">
        <v>0</v>
      </c>
      <c r="Z278" s="103">
        <v>0</v>
      </c>
      <c r="AC278" s="102">
        <v>0</v>
      </c>
    </row>
    <row r="279" spans="1:29">
      <c r="A279" s="104" t="s">
        <v>1466</v>
      </c>
      <c r="B279" s="104" t="s">
        <v>1868</v>
      </c>
      <c r="C279" s="104" t="s">
        <v>1465</v>
      </c>
      <c r="D279" s="104" t="s">
        <v>1696</v>
      </c>
      <c r="E279" s="104" t="s">
        <v>1698</v>
      </c>
      <c r="F279" s="104" t="s">
        <v>1868</v>
      </c>
      <c r="M279" s="104" t="s">
        <v>1813</v>
      </c>
      <c r="N279" s="104" t="s">
        <v>1844</v>
      </c>
      <c r="O279" s="101">
        <v>45733</v>
      </c>
      <c r="P279" s="101">
        <v>45779</v>
      </c>
      <c r="Q279" s="101">
        <v>45774</v>
      </c>
      <c r="R279" s="101">
        <v>45780</v>
      </c>
      <c r="S279" s="184">
        <v>18</v>
      </c>
      <c r="T279" s="102">
        <v>11</v>
      </c>
      <c r="U279" s="102">
        <v>20</v>
      </c>
      <c r="V279" s="102">
        <v>0</v>
      </c>
      <c r="W279" s="102">
        <v>5</v>
      </c>
      <c r="X279" s="103">
        <v>0</v>
      </c>
      <c r="Y279" s="103">
        <v>0</v>
      </c>
      <c r="Z279" s="103">
        <v>0</v>
      </c>
      <c r="AC279" s="102">
        <v>0</v>
      </c>
    </row>
    <row r="280" spans="1:29">
      <c r="A280" s="104" t="s">
        <v>1467</v>
      </c>
      <c r="B280" s="104" t="s">
        <v>1870</v>
      </c>
      <c r="C280" s="104" t="s">
        <v>1465</v>
      </c>
      <c r="D280" s="104" t="s">
        <v>1696</v>
      </c>
      <c r="E280" s="104" t="s">
        <v>1779</v>
      </c>
      <c r="F280" s="104" t="s">
        <v>1869</v>
      </c>
      <c r="G280" s="104" t="s">
        <v>1870</v>
      </c>
      <c r="M280" s="104" t="s">
        <v>1820</v>
      </c>
      <c r="N280" s="104" t="s">
        <v>1851</v>
      </c>
      <c r="O280" s="101">
        <v>45754</v>
      </c>
      <c r="P280" s="101">
        <v>45779</v>
      </c>
      <c r="Q280" s="101">
        <v>45753</v>
      </c>
      <c r="R280" s="101">
        <v>45759</v>
      </c>
      <c r="S280" s="184">
        <v>15</v>
      </c>
      <c r="T280" s="102">
        <v>8</v>
      </c>
      <c r="U280" s="102">
        <v>25</v>
      </c>
      <c r="V280" s="102">
        <v>0</v>
      </c>
      <c r="W280" s="102">
        <v>5</v>
      </c>
      <c r="X280" s="103">
        <v>0</v>
      </c>
      <c r="Y280" s="103">
        <v>0</v>
      </c>
      <c r="Z280" s="103">
        <v>0</v>
      </c>
      <c r="AC280" s="102">
        <v>0</v>
      </c>
    </row>
    <row r="281" spans="1:29">
      <c r="A281" s="104" t="s">
        <v>1467</v>
      </c>
      <c r="B281" s="104" t="s">
        <v>1870</v>
      </c>
      <c r="C281" s="104" t="s">
        <v>1465</v>
      </c>
      <c r="D281" s="104" t="s">
        <v>1696</v>
      </c>
      <c r="E281" s="104" t="s">
        <v>1779</v>
      </c>
      <c r="F281" s="104" t="s">
        <v>1869</v>
      </c>
      <c r="G281" s="104" t="s">
        <v>1870</v>
      </c>
      <c r="M281" s="104" t="s">
        <v>1820</v>
      </c>
      <c r="N281" s="104" t="s">
        <v>1851</v>
      </c>
      <c r="O281" s="101">
        <v>45754</v>
      </c>
      <c r="P281" s="101">
        <v>45779</v>
      </c>
      <c r="Q281" s="101">
        <v>45760</v>
      </c>
      <c r="R281" s="101">
        <v>45766</v>
      </c>
      <c r="S281" s="184">
        <v>16</v>
      </c>
      <c r="T281" s="102">
        <v>9</v>
      </c>
      <c r="U281" s="102">
        <v>25</v>
      </c>
      <c r="V281" s="102">
        <v>0</v>
      </c>
      <c r="W281" s="102">
        <v>5</v>
      </c>
      <c r="X281" s="103">
        <v>0</v>
      </c>
      <c r="Y281" s="103">
        <v>0</v>
      </c>
      <c r="Z281" s="103">
        <v>0</v>
      </c>
      <c r="AC281" s="102">
        <v>0</v>
      </c>
    </row>
    <row r="282" spans="1:29">
      <c r="A282" s="104" t="s">
        <v>1467</v>
      </c>
      <c r="B282" s="104" t="s">
        <v>1870</v>
      </c>
      <c r="C282" s="104" t="s">
        <v>1465</v>
      </c>
      <c r="D282" s="104" t="s">
        <v>1696</v>
      </c>
      <c r="E282" s="104" t="s">
        <v>1779</v>
      </c>
      <c r="F282" s="104" t="s">
        <v>1869</v>
      </c>
      <c r="G282" s="104" t="s">
        <v>1870</v>
      </c>
      <c r="M282" s="104" t="s">
        <v>1820</v>
      </c>
      <c r="N282" s="104" t="s">
        <v>1851</v>
      </c>
      <c r="O282" s="101">
        <v>45754</v>
      </c>
      <c r="P282" s="101">
        <v>45779</v>
      </c>
      <c r="Q282" s="101">
        <v>45767</v>
      </c>
      <c r="R282" s="101">
        <v>45773</v>
      </c>
      <c r="S282" s="184">
        <v>17</v>
      </c>
      <c r="T282" s="102">
        <v>10</v>
      </c>
      <c r="U282" s="102">
        <v>25</v>
      </c>
      <c r="V282" s="102">
        <v>0</v>
      </c>
      <c r="W282" s="102">
        <v>5</v>
      </c>
      <c r="X282" s="103">
        <v>0</v>
      </c>
      <c r="Y282" s="103">
        <v>0</v>
      </c>
      <c r="Z282" s="103">
        <v>0</v>
      </c>
      <c r="AC282" s="102">
        <v>0</v>
      </c>
    </row>
    <row r="283" spans="1:29">
      <c r="A283" s="104" t="s">
        <v>1467</v>
      </c>
      <c r="B283" s="104" t="s">
        <v>1870</v>
      </c>
      <c r="C283" s="104" t="s">
        <v>1465</v>
      </c>
      <c r="D283" s="104" t="s">
        <v>1696</v>
      </c>
      <c r="E283" s="104" t="s">
        <v>1779</v>
      </c>
      <c r="F283" s="104" t="s">
        <v>1869</v>
      </c>
      <c r="G283" s="104" t="s">
        <v>1870</v>
      </c>
      <c r="M283" s="104" t="s">
        <v>1820</v>
      </c>
      <c r="N283" s="104" t="s">
        <v>1851</v>
      </c>
      <c r="O283" s="101">
        <v>45754</v>
      </c>
      <c r="P283" s="101">
        <v>45779</v>
      </c>
      <c r="Q283" s="101">
        <v>45774</v>
      </c>
      <c r="R283" s="101">
        <v>45780</v>
      </c>
      <c r="S283" s="184">
        <v>18</v>
      </c>
      <c r="T283" s="102">
        <v>11</v>
      </c>
      <c r="U283" s="102">
        <v>20</v>
      </c>
      <c r="V283" s="102">
        <v>0</v>
      </c>
      <c r="W283" s="102">
        <v>5</v>
      </c>
      <c r="X283" s="103">
        <v>0</v>
      </c>
      <c r="Y283" s="103">
        <v>0</v>
      </c>
      <c r="Z283" s="103">
        <v>0</v>
      </c>
      <c r="AC283" s="102">
        <v>0</v>
      </c>
    </row>
    <row r="284" spans="1:29">
      <c r="A284" s="104" t="s">
        <v>1467</v>
      </c>
      <c r="B284" s="104" t="s">
        <v>1871</v>
      </c>
      <c r="C284" s="104" t="s">
        <v>1465</v>
      </c>
      <c r="D284" s="104" t="s">
        <v>1696</v>
      </c>
      <c r="E284" s="104" t="s">
        <v>1779</v>
      </c>
      <c r="F284" s="104" t="s">
        <v>1869</v>
      </c>
      <c r="G284" s="104" t="s">
        <v>1871</v>
      </c>
      <c r="M284" s="104" t="s">
        <v>1828</v>
      </c>
      <c r="N284" s="104" t="s">
        <v>1851</v>
      </c>
      <c r="O284" s="101">
        <v>45754</v>
      </c>
      <c r="P284" s="101">
        <v>45786</v>
      </c>
      <c r="Q284" s="101">
        <v>45753</v>
      </c>
      <c r="R284" s="101">
        <v>45759</v>
      </c>
      <c r="S284" s="184">
        <v>15</v>
      </c>
      <c r="T284" s="102">
        <v>8</v>
      </c>
      <c r="U284" s="102">
        <v>25</v>
      </c>
      <c r="V284" s="102">
        <v>0</v>
      </c>
      <c r="W284" s="102">
        <v>5</v>
      </c>
      <c r="X284" s="103">
        <v>0</v>
      </c>
      <c r="Y284" s="103">
        <v>0</v>
      </c>
      <c r="Z284" s="103">
        <v>0</v>
      </c>
      <c r="AC284" s="102">
        <v>0</v>
      </c>
    </row>
    <row r="285" spans="1:29">
      <c r="A285" s="104" t="s">
        <v>1467</v>
      </c>
      <c r="B285" s="104" t="s">
        <v>1871</v>
      </c>
      <c r="C285" s="104" t="s">
        <v>1465</v>
      </c>
      <c r="D285" s="104" t="s">
        <v>1696</v>
      </c>
      <c r="E285" s="104" t="s">
        <v>1779</v>
      </c>
      <c r="F285" s="104" t="s">
        <v>1869</v>
      </c>
      <c r="G285" s="104" t="s">
        <v>1871</v>
      </c>
      <c r="M285" s="104" t="s">
        <v>1828</v>
      </c>
      <c r="N285" s="104" t="s">
        <v>1851</v>
      </c>
      <c r="O285" s="101">
        <v>45754</v>
      </c>
      <c r="P285" s="101">
        <v>45786</v>
      </c>
      <c r="Q285" s="101">
        <v>45760</v>
      </c>
      <c r="R285" s="101">
        <v>45766</v>
      </c>
      <c r="S285" s="184">
        <v>16</v>
      </c>
      <c r="T285" s="102">
        <v>9</v>
      </c>
      <c r="U285" s="102">
        <v>25</v>
      </c>
      <c r="V285" s="102">
        <v>0</v>
      </c>
      <c r="W285" s="102">
        <v>5</v>
      </c>
      <c r="X285" s="103">
        <v>0</v>
      </c>
      <c r="Y285" s="103">
        <v>0</v>
      </c>
      <c r="Z285" s="103">
        <v>0</v>
      </c>
      <c r="AC285" s="102">
        <v>0</v>
      </c>
    </row>
    <row r="286" spans="1:29">
      <c r="A286" s="104" t="s">
        <v>1467</v>
      </c>
      <c r="B286" s="104" t="s">
        <v>1871</v>
      </c>
      <c r="C286" s="104" t="s">
        <v>1465</v>
      </c>
      <c r="D286" s="104" t="s">
        <v>1696</v>
      </c>
      <c r="E286" s="104" t="s">
        <v>1779</v>
      </c>
      <c r="F286" s="104" t="s">
        <v>1869</v>
      </c>
      <c r="G286" s="104" t="s">
        <v>1871</v>
      </c>
      <c r="M286" s="104" t="s">
        <v>1828</v>
      </c>
      <c r="N286" s="104" t="s">
        <v>1851</v>
      </c>
      <c r="O286" s="101">
        <v>45754</v>
      </c>
      <c r="P286" s="101">
        <v>45786</v>
      </c>
      <c r="Q286" s="101">
        <v>45767</v>
      </c>
      <c r="R286" s="101">
        <v>45773</v>
      </c>
      <c r="S286" s="184">
        <v>17</v>
      </c>
      <c r="T286" s="102">
        <v>10</v>
      </c>
      <c r="U286" s="102">
        <v>25</v>
      </c>
      <c r="V286" s="102">
        <v>0</v>
      </c>
      <c r="W286" s="102">
        <v>5</v>
      </c>
      <c r="X286" s="103">
        <v>0</v>
      </c>
      <c r="Y286" s="103">
        <v>0</v>
      </c>
      <c r="Z286" s="103">
        <v>0</v>
      </c>
      <c r="AC286" s="102">
        <v>0</v>
      </c>
    </row>
    <row r="287" spans="1:29">
      <c r="A287" s="104" t="s">
        <v>1467</v>
      </c>
      <c r="B287" s="104" t="s">
        <v>1871</v>
      </c>
      <c r="C287" s="104" t="s">
        <v>1465</v>
      </c>
      <c r="D287" s="104" t="s">
        <v>1696</v>
      </c>
      <c r="E287" s="104" t="s">
        <v>1779</v>
      </c>
      <c r="F287" s="104" t="s">
        <v>1869</v>
      </c>
      <c r="G287" s="104" t="s">
        <v>1871</v>
      </c>
      <c r="M287" s="104" t="s">
        <v>1828</v>
      </c>
      <c r="N287" s="104" t="s">
        <v>1851</v>
      </c>
      <c r="O287" s="101">
        <v>45754</v>
      </c>
      <c r="P287" s="101">
        <v>45786</v>
      </c>
      <c r="Q287" s="101">
        <v>45774</v>
      </c>
      <c r="R287" s="101">
        <v>45780</v>
      </c>
      <c r="S287" s="184">
        <v>18</v>
      </c>
      <c r="T287" s="102">
        <v>11</v>
      </c>
      <c r="U287" s="102">
        <v>20</v>
      </c>
      <c r="V287" s="102">
        <v>0</v>
      </c>
      <c r="W287" s="102">
        <v>5</v>
      </c>
      <c r="X287" s="103">
        <v>0</v>
      </c>
      <c r="Y287" s="103">
        <v>0</v>
      </c>
      <c r="Z287" s="103">
        <v>0</v>
      </c>
      <c r="AC287" s="102">
        <v>0</v>
      </c>
    </row>
    <row r="288" spans="1:29">
      <c r="A288" s="104" t="s">
        <v>1467</v>
      </c>
      <c r="B288" s="104" t="s">
        <v>1871</v>
      </c>
      <c r="C288" s="104" t="s">
        <v>1465</v>
      </c>
      <c r="D288" s="104" t="s">
        <v>1696</v>
      </c>
      <c r="E288" s="104" t="s">
        <v>1779</v>
      </c>
      <c r="F288" s="104" t="s">
        <v>1869</v>
      </c>
      <c r="G288" s="104" t="s">
        <v>1871</v>
      </c>
      <c r="M288" s="104" t="s">
        <v>1828</v>
      </c>
      <c r="N288" s="104" t="s">
        <v>1851</v>
      </c>
      <c r="O288" s="101">
        <v>45754</v>
      </c>
      <c r="P288" s="101">
        <v>45786</v>
      </c>
      <c r="Q288" s="101">
        <v>45781</v>
      </c>
      <c r="R288" s="101">
        <v>45787</v>
      </c>
      <c r="S288" s="184">
        <v>19</v>
      </c>
      <c r="T288" s="102">
        <v>12</v>
      </c>
      <c r="U288" s="102">
        <v>20</v>
      </c>
      <c r="V288" s="102">
        <v>0</v>
      </c>
      <c r="W288" s="102">
        <v>5</v>
      </c>
      <c r="X288" s="103">
        <v>0</v>
      </c>
      <c r="Y288" s="103">
        <v>0</v>
      </c>
      <c r="Z288" s="103">
        <v>0</v>
      </c>
      <c r="AC288" s="102">
        <v>0</v>
      </c>
    </row>
    <row r="289" spans="1:29">
      <c r="A289" s="104" t="s">
        <v>1467</v>
      </c>
      <c r="B289" s="104" t="s">
        <v>1872</v>
      </c>
      <c r="C289" s="104" t="s">
        <v>1465</v>
      </c>
      <c r="D289" s="104" t="s">
        <v>1696</v>
      </c>
      <c r="E289" s="104" t="s">
        <v>1779</v>
      </c>
      <c r="F289" s="104" t="s">
        <v>1869</v>
      </c>
      <c r="G289" s="104" t="s">
        <v>1872</v>
      </c>
      <c r="M289" s="104" t="s">
        <v>1816</v>
      </c>
      <c r="N289" s="104" t="s">
        <v>1851</v>
      </c>
      <c r="O289" s="101">
        <v>45754</v>
      </c>
      <c r="P289" s="101">
        <v>45758</v>
      </c>
      <c r="Q289" s="101">
        <v>45753</v>
      </c>
      <c r="R289" s="101">
        <v>45759</v>
      </c>
      <c r="S289" s="184">
        <v>15</v>
      </c>
      <c r="T289" s="102">
        <v>8</v>
      </c>
      <c r="U289" s="102">
        <v>10</v>
      </c>
      <c r="V289" s="102">
        <v>0</v>
      </c>
      <c r="W289" s="102">
        <v>2</v>
      </c>
      <c r="X289" s="103">
        <v>0</v>
      </c>
      <c r="Y289" s="103">
        <v>0</v>
      </c>
      <c r="Z289" s="103">
        <v>0</v>
      </c>
      <c r="AC289" s="102">
        <v>0</v>
      </c>
    </row>
    <row r="290" spans="1:29">
      <c r="A290" s="104" t="s">
        <v>1467</v>
      </c>
      <c r="B290" s="104" t="s">
        <v>1873</v>
      </c>
      <c r="C290" s="104" t="s">
        <v>1465</v>
      </c>
      <c r="D290" s="104" t="s">
        <v>1696</v>
      </c>
      <c r="E290" s="104" t="s">
        <v>1779</v>
      </c>
      <c r="F290" s="104" t="s">
        <v>1869</v>
      </c>
      <c r="G290" s="104" t="s">
        <v>1873</v>
      </c>
      <c r="M290" s="104" t="s">
        <v>1847</v>
      </c>
      <c r="N290" s="104" t="s">
        <v>1851</v>
      </c>
      <c r="O290" s="101">
        <v>45754</v>
      </c>
      <c r="P290" s="101">
        <v>45807</v>
      </c>
      <c r="Q290" s="101">
        <v>45753</v>
      </c>
      <c r="R290" s="101">
        <v>45759</v>
      </c>
      <c r="S290" s="184">
        <v>15</v>
      </c>
      <c r="T290" s="102">
        <v>8</v>
      </c>
      <c r="U290" s="102">
        <v>32.5</v>
      </c>
      <c r="V290" s="102">
        <v>0</v>
      </c>
      <c r="W290" s="102">
        <v>6.5</v>
      </c>
      <c r="X290" s="103">
        <v>0</v>
      </c>
      <c r="Y290" s="103">
        <v>0</v>
      </c>
      <c r="Z290" s="103">
        <v>0</v>
      </c>
      <c r="AC290" s="102">
        <v>0</v>
      </c>
    </row>
    <row r="291" spans="1:29">
      <c r="A291" s="104" t="s">
        <v>1467</v>
      </c>
      <c r="B291" s="104" t="s">
        <v>1873</v>
      </c>
      <c r="C291" s="104" t="s">
        <v>1465</v>
      </c>
      <c r="D291" s="104" t="s">
        <v>1696</v>
      </c>
      <c r="E291" s="104" t="s">
        <v>1779</v>
      </c>
      <c r="F291" s="104" t="s">
        <v>1869</v>
      </c>
      <c r="G291" s="104" t="s">
        <v>1873</v>
      </c>
      <c r="M291" s="104" t="s">
        <v>1847</v>
      </c>
      <c r="N291" s="104" t="s">
        <v>1851</v>
      </c>
      <c r="O291" s="101">
        <v>45754</v>
      </c>
      <c r="P291" s="101">
        <v>45807</v>
      </c>
      <c r="Q291" s="101">
        <v>45760</v>
      </c>
      <c r="R291" s="101">
        <v>45766</v>
      </c>
      <c r="S291" s="184">
        <v>16</v>
      </c>
      <c r="T291" s="102">
        <v>9</v>
      </c>
      <c r="U291" s="102">
        <v>32.5</v>
      </c>
      <c r="V291" s="102">
        <v>0</v>
      </c>
      <c r="W291" s="102">
        <v>6.5</v>
      </c>
      <c r="X291" s="103">
        <v>0</v>
      </c>
      <c r="Y291" s="103">
        <v>0</v>
      </c>
      <c r="Z291" s="103">
        <v>0</v>
      </c>
      <c r="AC291" s="102">
        <v>0</v>
      </c>
    </row>
    <row r="292" spans="1:29">
      <c r="A292" s="104" t="s">
        <v>1467</v>
      </c>
      <c r="B292" s="104" t="s">
        <v>1873</v>
      </c>
      <c r="C292" s="104" t="s">
        <v>1465</v>
      </c>
      <c r="D292" s="104" t="s">
        <v>1696</v>
      </c>
      <c r="E292" s="104" t="s">
        <v>1779</v>
      </c>
      <c r="F292" s="104" t="s">
        <v>1869</v>
      </c>
      <c r="G292" s="104" t="s">
        <v>1873</v>
      </c>
      <c r="M292" s="104" t="s">
        <v>1847</v>
      </c>
      <c r="N292" s="104" t="s">
        <v>1851</v>
      </c>
      <c r="O292" s="101">
        <v>45754</v>
      </c>
      <c r="P292" s="101">
        <v>45807</v>
      </c>
      <c r="Q292" s="101">
        <v>45767</v>
      </c>
      <c r="R292" s="101">
        <v>45773</v>
      </c>
      <c r="S292" s="184">
        <v>17</v>
      </c>
      <c r="T292" s="102">
        <v>10</v>
      </c>
      <c r="U292" s="102">
        <v>32.5</v>
      </c>
      <c r="V292" s="102">
        <v>0</v>
      </c>
      <c r="W292" s="102">
        <v>6.5</v>
      </c>
      <c r="X292" s="103">
        <v>0</v>
      </c>
      <c r="Y292" s="103">
        <v>0</v>
      </c>
      <c r="Z292" s="103">
        <v>0</v>
      </c>
      <c r="AC292" s="102">
        <v>0</v>
      </c>
    </row>
    <row r="293" spans="1:29">
      <c r="A293" s="104" t="s">
        <v>1467</v>
      </c>
      <c r="B293" s="104" t="s">
        <v>1873</v>
      </c>
      <c r="C293" s="104" t="s">
        <v>1465</v>
      </c>
      <c r="D293" s="104" t="s">
        <v>1696</v>
      </c>
      <c r="E293" s="104" t="s">
        <v>1779</v>
      </c>
      <c r="F293" s="104" t="s">
        <v>1869</v>
      </c>
      <c r="G293" s="104" t="s">
        <v>1873</v>
      </c>
      <c r="M293" s="104" t="s">
        <v>1847</v>
      </c>
      <c r="N293" s="104" t="s">
        <v>1851</v>
      </c>
      <c r="O293" s="101">
        <v>45754</v>
      </c>
      <c r="P293" s="101">
        <v>45807</v>
      </c>
      <c r="Q293" s="101">
        <v>45774</v>
      </c>
      <c r="R293" s="101">
        <v>45780</v>
      </c>
      <c r="S293" s="184">
        <v>18</v>
      </c>
      <c r="T293" s="102">
        <v>11</v>
      </c>
      <c r="U293" s="102">
        <v>26</v>
      </c>
      <c r="V293" s="102">
        <v>0</v>
      </c>
      <c r="W293" s="102">
        <v>6.5</v>
      </c>
      <c r="X293" s="103">
        <v>0</v>
      </c>
      <c r="Y293" s="103">
        <v>0</v>
      </c>
      <c r="Z293" s="103">
        <v>0</v>
      </c>
      <c r="AC293" s="102">
        <v>0</v>
      </c>
    </row>
    <row r="294" spans="1:29">
      <c r="A294" s="104" t="s">
        <v>1467</v>
      </c>
      <c r="B294" s="104" t="s">
        <v>1873</v>
      </c>
      <c r="C294" s="104" t="s">
        <v>1465</v>
      </c>
      <c r="D294" s="104" t="s">
        <v>1696</v>
      </c>
      <c r="E294" s="104" t="s">
        <v>1779</v>
      </c>
      <c r="F294" s="104" t="s">
        <v>1869</v>
      </c>
      <c r="G294" s="104" t="s">
        <v>1873</v>
      </c>
      <c r="M294" s="104" t="s">
        <v>1847</v>
      </c>
      <c r="N294" s="104" t="s">
        <v>1851</v>
      </c>
      <c r="O294" s="101">
        <v>45754</v>
      </c>
      <c r="P294" s="101">
        <v>45807</v>
      </c>
      <c r="Q294" s="101">
        <v>45781</v>
      </c>
      <c r="R294" s="101">
        <v>45787</v>
      </c>
      <c r="S294" s="184">
        <v>19</v>
      </c>
      <c r="T294" s="102">
        <v>12</v>
      </c>
      <c r="U294" s="102">
        <v>26</v>
      </c>
      <c r="V294" s="102">
        <v>0</v>
      </c>
      <c r="W294" s="102">
        <v>6.5</v>
      </c>
      <c r="X294" s="103">
        <v>0</v>
      </c>
      <c r="Y294" s="103">
        <v>0</v>
      </c>
      <c r="Z294" s="103">
        <v>0</v>
      </c>
      <c r="AC294" s="102">
        <v>0</v>
      </c>
    </row>
    <row r="295" spans="1:29">
      <c r="A295" s="104" t="s">
        <v>1467</v>
      </c>
      <c r="B295" s="104" t="s">
        <v>1873</v>
      </c>
      <c r="C295" s="104" t="s">
        <v>1465</v>
      </c>
      <c r="D295" s="104" t="s">
        <v>1696</v>
      </c>
      <c r="E295" s="104" t="s">
        <v>1779</v>
      </c>
      <c r="F295" s="104" t="s">
        <v>1869</v>
      </c>
      <c r="G295" s="104" t="s">
        <v>1873</v>
      </c>
      <c r="M295" s="104" t="s">
        <v>1847</v>
      </c>
      <c r="N295" s="104" t="s">
        <v>1851</v>
      </c>
      <c r="O295" s="101">
        <v>45754</v>
      </c>
      <c r="P295" s="101">
        <v>45807</v>
      </c>
      <c r="Q295" s="101">
        <v>45788</v>
      </c>
      <c r="R295" s="101">
        <v>45794</v>
      </c>
      <c r="S295" s="184">
        <v>20</v>
      </c>
      <c r="T295" s="102">
        <v>13</v>
      </c>
      <c r="U295" s="102">
        <v>32.5</v>
      </c>
      <c r="V295" s="102">
        <v>0</v>
      </c>
      <c r="W295" s="102">
        <v>6.5</v>
      </c>
      <c r="X295" s="103">
        <v>0</v>
      </c>
      <c r="Y295" s="103">
        <v>0</v>
      </c>
      <c r="Z295" s="103">
        <v>0</v>
      </c>
      <c r="AC295" s="102">
        <v>0</v>
      </c>
    </row>
    <row r="296" spans="1:29">
      <c r="A296" s="104" t="s">
        <v>1467</v>
      </c>
      <c r="B296" s="104" t="s">
        <v>1873</v>
      </c>
      <c r="C296" s="104" t="s">
        <v>1465</v>
      </c>
      <c r="D296" s="104" t="s">
        <v>1696</v>
      </c>
      <c r="E296" s="104" t="s">
        <v>1779</v>
      </c>
      <c r="F296" s="104" t="s">
        <v>1869</v>
      </c>
      <c r="G296" s="104" t="s">
        <v>1873</v>
      </c>
      <c r="M296" s="104" t="s">
        <v>1847</v>
      </c>
      <c r="N296" s="104" t="s">
        <v>1851</v>
      </c>
      <c r="O296" s="101">
        <v>45754</v>
      </c>
      <c r="P296" s="101">
        <v>45807</v>
      </c>
      <c r="Q296" s="101">
        <v>45795</v>
      </c>
      <c r="R296" s="101">
        <v>45801</v>
      </c>
      <c r="S296" s="184">
        <v>21</v>
      </c>
      <c r="T296" s="102">
        <v>14</v>
      </c>
      <c r="U296" s="102">
        <v>32.5</v>
      </c>
      <c r="V296" s="102">
        <v>0</v>
      </c>
      <c r="W296" s="102">
        <v>6.5</v>
      </c>
      <c r="X296" s="103">
        <v>0</v>
      </c>
      <c r="Y296" s="103">
        <v>0</v>
      </c>
      <c r="Z296" s="103">
        <v>0</v>
      </c>
      <c r="AC296" s="102">
        <v>0</v>
      </c>
    </row>
    <row r="297" spans="1:29">
      <c r="A297" s="104" t="s">
        <v>1467</v>
      </c>
      <c r="B297" s="104" t="s">
        <v>1873</v>
      </c>
      <c r="C297" s="104" t="s">
        <v>1465</v>
      </c>
      <c r="D297" s="104" t="s">
        <v>1696</v>
      </c>
      <c r="E297" s="104" t="s">
        <v>1779</v>
      </c>
      <c r="F297" s="104" t="s">
        <v>1869</v>
      </c>
      <c r="G297" s="104" t="s">
        <v>1873</v>
      </c>
      <c r="M297" s="104" t="s">
        <v>1847</v>
      </c>
      <c r="N297" s="104" t="s">
        <v>1851</v>
      </c>
      <c r="O297" s="101">
        <v>45754</v>
      </c>
      <c r="P297" s="101">
        <v>45807</v>
      </c>
      <c r="Q297" s="101">
        <v>45802</v>
      </c>
      <c r="R297" s="101">
        <v>45808</v>
      </c>
      <c r="S297" s="184">
        <v>22</v>
      </c>
      <c r="T297" s="102">
        <v>15</v>
      </c>
      <c r="U297" s="102">
        <v>32.5</v>
      </c>
      <c r="V297" s="102">
        <v>0</v>
      </c>
      <c r="W297" s="102">
        <v>6.5</v>
      </c>
      <c r="X297" s="103">
        <v>0</v>
      </c>
      <c r="Y297" s="103">
        <v>0</v>
      </c>
      <c r="Z297" s="103">
        <v>0</v>
      </c>
      <c r="AC297" s="102">
        <v>0</v>
      </c>
    </row>
    <row r="298" spans="1:29">
      <c r="A298" s="104" t="s">
        <v>1467</v>
      </c>
      <c r="B298" s="104" t="s">
        <v>1874</v>
      </c>
      <c r="C298" s="104" t="s">
        <v>1465</v>
      </c>
      <c r="D298" s="104" t="s">
        <v>1696</v>
      </c>
      <c r="E298" s="104" t="s">
        <v>1779</v>
      </c>
      <c r="F298" s="104" t="s">
        <v>1869</v>
      </c>
      <c r="G298" s="104" t="s">
        <v>1874</v>
      </c>
      <c r="M298" s="104" t="s">
        <v>1818</v>
      </c>
      <c r="N298" s="104" t="s">
        <v>1851</v>
      </c>
      <c r="O298" s="101">
        <v>45754</v>
      </c>
      <c r="P298" s="101">
        <v>45807</v>
      </c>
      <c r="Q298" s="101">
        <v>45753</v>
      </c>
      <c r="R298" s="101">
        <v>45759</v>
      </c>
      <c r="S298" s="184">
        <v>15</v>
      </c>
      <c r="T298" s="102">
        <v>8</v>
      </c>
      <c r="U298" s="102">
        <v>32.5</v>
      </c>
      <c r="V298" s="102">
        <v>0</v>
      </c>
      <c r="W298" s="102">
        <v>6.5</v>
      </c>
      <c r="X298" s="103">
        <v>0</v>
      </c>
      <c r="Y298" s="103">
        <v>0</v>
      </c>
      <c r="Z298" s="103">
        <v>0</v>
      </c>
      <c r="AC298" s="102">
        <v>0</v>
      </c>
    </row>
    <row r="299" spans="1:29">
      <c r="A299" s="104" t="s">
        <v>1467</v>
      </c>
      <c r="B299" s="104" t="s">
        <v>1874</v>
      </c>
      <c r="C299" s="104" t="s">
        <v>1465</v>
      </c>
      <c r="D299" s="104" t="s">
        <v>1696</v>
      </c>
      <c r="E299" s="104" t="s">
        <v>1779</v>
      </c>
      <c r="F299" s="104" t="s">
        <v>1869</v>
      </c>
      <c r="G299" s="104" t="s">
        <v>1874</v>
      </c>
      <c r="M299" s="104" t="s">
        <v>1818</v>
      </c>
      <c r="N299" s="104" t="s">
        <v>1851</v>
      </c>
      <c r="O299" s="101">
        <v>45754</v>
      </c>
      <c r="P299" s="101">
        <v>45807</v>
      </c>
      <c r="Q299" s="101">
        <v>45760</v>
      </c>
      <c r="R299" s="101">
        <v>45766</v>
      </c>
      <c r="S299" s="184">
        <v>16</v>
      </c>
      <c r="T299" s="102">
        <v>9</v>
      </c>
      <c r="U299" s="102">
        <v>32.5</v>
      </c>
      <c r="V299" s="102">
        <v>0</v>
      </c>
      <c r="W299" s="102">
        <v>6.5</v>
      </c>
      <c r="X299" s="103">
        <v>0</v>
      </c>
      <c r="Y299" s="103">
        <v>0</v>
      </c>
      <c r="Z299" s="103">
        <v>0</v>
      </c>
      <c r="AC299" s="102">
        <v>0</v>
      </c>
    </row>
    <row r="300" spans="1:29">
      <c r="A300" s="104" t="s">
        <v>1467</v>
      </c>
      <c r="B300" s="104" t="s">
        <v>1874</v>
      </c>
      <c r="C300" s="104" t="s">
        <v>1465</v>
      </c>
      <c r="D300" s="104" t="s">
        <v>1696</v>
      </c>
      <c r="E300" s="104" t="s">
        <v>1779</v>
      </c>
      <c r="F300" s="104" t="s">
        <v>1869</v>
      </c>
      <c r="G300" s="104" t="s">
        <v>1874</v>
      </c>
      <c r="M300" s="104" t="s">
        <v>1818</v>
      </c>
      <c r="N300" s="104" t="s">
        <v>1851</v>
      </c>
      <c r="O300" s="101">
        <v>45754</v>
      </c>
      <c r="P300" s="101">
        <v>45807</v>
      </c>
      <c r="Q300" s="101">
        <v>45767</v>
      </c>
      <c r="R300" s="101">
        <v>45773</v>
      </c>
      <c r="S300" s="184">
        <v>17</v>
      </c>
      <c r="T300" s="102">
        <v>10</v>
      </c>
      <c r="U300" s="102">
        <v>32.5</v>
      </c>
      <c r="V300" s="102">
        <v>0</v>
      </c>
      <c r="W300" s="102">
        <v>6.5</v>
      </c>
      <c r="X300" s="103">
        <v>0</v>
      </c>
      <c r="Y300" s="103">
        <v>0</v>
      </c>
      <c r="Z300" s="103">
        <v>0</v>
      </c>
      <c r="AC300" s="102">
        <v>0</v>
      </c>
    </row>
    <row r="301" spans="1:29">
      <c r="A301" s="104" t="s">
        <v>1467</v>
      </c>
      <c r="B301" s="104" t="s">
        <v>1874</v>
      </c>
      <c r="C301" s="104" t="s">
        <v>1465</v>
      </c>
      <c r="D301" s="104" t="s">
        <v>1696</v>
      </c>
      <c r="E301" s="104" t="s">
        <v>1779</v>
      </c>
      <c r="F301" s="104" t="s">
        <v>1869</v>
      </c>
      <c r="G301" s="104" t="s">
        <v>1874</v>
      </c>
      <c r="M301" s="104" t="s">
        <v>1818</v>
      </c>
      <c r="N301" s="104" t="s">
        <v>1851</v>
      </c>
      <c r="O301" s="101">
        <v>45754</v>
      </c>
      <c r="P301" s="101">
        <v>45807</v>
      </c>
      <c r="Q301" s="101">
        <v>45774</v>
      </c>
      <c r="R301" s="101">
        <v>45780</v>
      </c>
      <c r="S301" s="184">
        <v>18</v>
      </c>
      <c r="T301" s="102">
        <v>11</v>
      </c>
      <c r="U301" s="102">
        <v>26</v>
      </c>
      <c r="V301" s="102">
        <v>0</v>
      </c>
      <c r="W301" s="102">
        <v>6.5</v>
      </c>
      <c r="X301" s="103">
        <v>0</v>
      </c>
      <c r="Y301" s="103">
        <v>0</v>
      </c>
      <c r="Z301" s="103">
        <v>0</v>
      </c>
      <c r="AC301" s="102">
        <v>0</v>
      </c>
    </row>
    <row r="302" spans="1:29">
      <c r="A302" s="104" t="s">
        <v>1467</v>
      </c>
      <c r="B302" s="104" t="s">
        <v>1874</v>
      </c>
      <c r="C302" s="104" t="s">
        <v>1465</v>
      </c>
      <c r="D302" s="104" t="s">
        <v>1696</v>
      </c>
      <c r="E302" s="104" t="s">
        <v>1779</v>
      </c>
      <c r="F302" s="104" t="s">
        <v>1869</v>
      </c>
      <c r="G302" s="104" t="s">
        <v>1874</v>
      </c>
      <c r="M302" s="104" t="s">
        <v>1818</v>
      </c>
      <c r="N302" s="104" t="s">
        <v>1851</v>
      </c>
      <c r="O302" s="101">
        <v>45754</v>
      </c>
      <c r="P302" s="101">
        <v>45807</v>
      </c>
      <c r="Q302" s="101">
        <v>45781</v>
      </c>
      <c r="R302" s="101">
        <v>45787</v>
      </c>
      <c r="S302" s="184">
        <v>19</v>
      </c>
      <c r="T302" s="102">
        <v>12</v>
      </c>
      <c r="U302" s="102">
        <v>26</v>
      </c>
      <c r="V302" s="102">
        <v>0</v>
      </c>
      <c r="W302" s="102">
        <v>6.5</v>
      </c>
      <c r="X302" s="103">
        <v>0</v>
      </c>
      <c r="Y302" s="103">
        <v>0</v>
      </c>
      <c r="Z302" s="103">
        <v>0</v>
      </c>
      <c r="AC302" s="102">
        <v>0</v>
      </c>
    </row>
    <row r="303" spans="1:29">
      <c r="A303" s="104" t="s">
        <v>1467</v>
      </c>
      <c r="B303" s="104" t="s">
        <v>1874</v>
      </c>
      <c r="C303" s="104" t="s">
        <v>1465</v>
      </c>
      <c r="D303" s="104" t="s">
        <v>1696</v>
      </c>
      <c r="E303" s="104" t="s">
        <v>1779</v>
      </c>
      <c r="F303" s="104" t="s">
        <v>1869</v>
      </c>
      <c r="G303" s="104" t="s">
        <v>1874</v>
      </c>
      <c r="M303" s="104" t="s">
        <v>1818</v>
      </c>
      <c r="N303" s="104" t="s">
        <v>1851</v>
      </c>
      <c r="O303" s="101">
        <v>45754</v>
      </c>
      <c r="P303" s="101">
        <v>45807</v>
      </c>
      <c r="Q303" s="101">
        <v>45788</v>
      </c>
      <c r="R303" s="101">
        <v>45794</v>
      </c>
      <c r="S303" s="184">
        <v>20</v>
      </c>
      <c r="T303" s="102">
        <v>13</v>
      </c>
      <c r="U303" s="102">
        <v>32.5</v>
      </c>
      <c r="V303" s="102">
        <v>0</v>
      </c>
      <c r="W303" s="102">
        <v>6.5</v>
      </c>
      <c r="X303" s="103">
        <v>0</v>
      </c>
      <c r="Y303" s="103">
        <v>0</v>
      </c>
      <c r="Z303" s="103">
        <v>0</v>
      </c>
      <c r="AC303" s="102">
        <v>0</v>
      </c>
    </row>
    <row r="304" spans="1:29">
      <c r="A304" s="104" t="s">
        <v>1467</v>
      </c>
      <c r="B304" s="104" t="s">
        <v>1874</v>
      </c>
      <c r="C304" s="104" t="s">
        <v>1465</v>
      </c>
      <c r="D304" s="104" t="s">
        <v>1696</v>
      </c>
      <c r="E304" s="104" t="s">
        <v>1779</v>
      </c>
      <c r="F304" s="104" t="s">
        <v>1869</v>
      </c>
      <c r="G304" s="104" t="s">
        <v>1874</v>
      </c>
      <c r="M304" s="104" t="s">
        <v>1818</v>
      </c>
      <c r="N304" s="104" t="s">
        <v>1851</v>
      </c>
      <c r="O304" s="101">
        <v>45754</v>
      </c>
      <c r="P304" s="101">
        <v>45807</v>
      </c>
      <c r="Q304" s="101">
        <v>45795</v>
      </c>
      <c r="R304" s="101">
        <v>45801</v>
      </c>
      <c r="S304" s="184">
        <v>21</v>
      </c>
      <c r="T304" s="102">
        <v>14</v>
      </c>
      <c r="U304" s="102">
        <v>32.5</v>
      </c>
      <c r="V304" s="102">
        <v>0</v>
      </c>
      <c r="W304" s="102">
        <v>6.5</v>
      </c>
      <c r="X304" s="103">
        <v>0</v>
      </c>
      <c r="Y304" s="103">
        <v>0</v>
      </c>
      <c r="Z304" s="103">
        <v>0</v>
      </c>
      <c r="AC304" s="102">
        <v>0</v>
      </c>
    </row>
    <row r="305" spans="1:29">
      <c r="A305" s="104" t="s">
        <v>1467</v>
      </c>
      <c r="B305" s="104" t="s">
        <v>1874</v>
      </c>
      <c r="C305" s="104" t="s">
        <v>1465</v>
      </c>
      <c r="D305" s="104" t="s">
        <v>1696</v>
      </c>
      <c r="E305" s="104" t="s">
        <v>1779</v>
      </c>
      <c r="F305" s="104" t="s">
        <v>1869</v>
      </c>
      <c r="G305" s="104" t="s">
        <v>1874</v>
      </c>
      <c r="M305" s="104" t="s">
        <v>1818</v>
      </c>
      <c r="N305" s="104" t="s">
        <v>1851</v>
      </c>
      <c r="O305" s="101">
        <v>45754</v>
      </c>
      <c r="P305" s="101">
        <v>45807</v>
      </c>
      <c r="Q305" s="101">
        <v>45802</v>
      </c>
      <c r="R305" s="101">
        <v>45808</v>
      </c>
      <c r="S305" s="184">
        <v>22</v>
      </c>
      <c r="T305" s="102">
        <v>15</v>
      </c>
      <c r="U305" s="102">
        <v>32.5</v>
      </c>
      <c r="V305" s="102">
        <v>0</v>
      </c>
      <c r="W305" s="102">
        <v>6.5</v>
      </c>
      <c r="X305" s="103">
        <v>0</v>
      </c>
      <c r="Y305" s="103">
        <v>0</v>
      </c>
      <c r="Z305" s="103">
        <v>0</v>
      </c>
      <c r="AC305" s="102">
        <v>0</v>
      </c>
    </row>
    <row r="306" spans="1:29">
      <c r="A306" s="104" t="s">
        <v>1467</v>
      </c>
      <c r="B306" s="104" t="s">
        <v>1875</v>
      </c>
      <c r="C306" s="104" t="s">
        <v>1465</v>
      </c>
      <c r="D306" s="104" t="s">
        <v>1696</v>
      </c>
      <c r="E306" s="104" t="s">
        <v>1779</v>
      </c>
      <c r="F306" s="104" t="s">
        <v>1869</v>
      </c>
      <c r="G306" s="104" t="s">
        <v>1875</v>
      </c>
      <c r="M306" s="104" t="s">
        <v>1819</v>
      </c>
      <c r="N306" s="104" t="s">
        <v>1851</v>
      </c>
      <c r="O306" s="101">
        <v>45754</v>
      </c>
      <c r="P306" s="101">
        <v>45807</v>
      </c>
      <c r="Q306" s="101">
        <v>45753</v>
      </c>
      <c r="R306" s="101">
        <v>45759</v>
      </c>
      <c r="S306" s="184">
        <v>15</v>
      </c>
      <c r="T306" s="102">
        <v>8</v>
      </c>
      <c r="U306" s="102">
        <v>25</v>
      </c>
      <c r="V306" s="102">
        <v>0</v>
      </c>
      <c r="W306" s="102">
        <v>5</v>
      </c>
      <c r="X306" s="103">
        <v>0</v>
      </c>
      <c r="Y306" s="103">
        <v>0</v>
      </c>
      <c r="Z306" s="103">
        <v>0</v>
      </c>
      <c r="AC306" s="102">
        <v>0</v>
      </c>
    </row>
    <row r="307" spans="1:29">
      <c r="A307" s="104" t="s">
        <v>1467</v>
      </c>
      <c r="B307" s="104" t="s">
        <v>1875</v>
      </c>
      <c r="C307" s="104" t="s">
        <v>1465</v>
      </c>
      <c r="D307" s="104" t="s">
        <v>1696</v>
      </c>
      <c r="E307" s="104" t="s">
        <v>1779</v>
      </c>
      <c r="F307" s="104" t="s">
        <v>1869</v>
      </c>
      <c r="G307" s="104" t="s">
        <v>1875</v>
      </c>
      <c r="M307" s="104" t="s">
        <v>1819</v>
      </c>
      <c r="N307" s="104" t="s">
        <v>1851</v>
      </c>
      <c r="O307" s="101">
        <v>45754</v>
      </c>
      <c r="P307" s="101">
        <v>45807</v>
      </c>
      <c r="Q307" s="101">
        <v>45760</v>
      </c>
      <c r="R307" s="101">
        <v>45766</v>
      </c>
      <c r="S307" s="184">
        <v>16</v>
      </c>
      <c r="T307" s="102">
        <v>9</v>
      </c>
      <c r="U307" s="102">
        <v>25</v>
      </c>
      <c r="V307" s="102">
        <v>0</v>
      </c>
      <c r="W307" s="102">
        <v>5</v>
      </c>
      <c r="X307" s="103">
        <v>0</v>
      </c>
      <c r="Y307" s="103">
        <v>0</v>
      </c>
      <c r="Z307" s="103">
        <v>0</v>
      </c>
      <c r="AC307" s="102">
        <v>0</v>
      </c>
    </row>
    <row r="308" spans="1:29">
      <c r="A308" s="104" t="s">
        <v>1467</v>
      </c>
      <c r="B308" s="104" t="s">
        <v>1875</v>
      </c>
      <c r="C308" s="104" t="s">
        <v>1465</v>
      </c>
      <c r="D308" s="104" t="s">
        <v>1696</v>
      </c>
      <c r="E308" s="104" t="s">
        <v>1779</v>
      </c>
      <c r="F308" s="104" t="s">
        <v>1869</v>
      </c>
      <c r="G308" s="104" t="s">
        <v>1875</v>
      </c>
      <c r="M308" s="104" t="s">
        <v>1819</v>
      </c>
      <c r="N308" s="104" t="s">
        <v>1851</v>
      </c>
      <c r="O308" s="101">
        <v>45754</v>
      </c>
      <c r="P308" s="101">
        <v>45807</v>
      </c>
      <c r="Q308" s="101">
        <v>45767</v>
      </c>
      <c r="R308" s="101">
        <v>45773</v>
      </c>
      <c r="S308" s="184">
        <v>17</v>
      </c>
      <c r="T308" s="102">
        <v>10</v>
      </c>
      <c r="U308" s="102">
        <v>25</v>
      </c>
      <c r="V308" s="102">
        <v>0</v>
      </c>
      <c r="W308" s="102">
        <v>5</v>
      </c>
      <c r="X308" s="103">
        <v>0</v>
      </c>
      <c r="Y308" s="103">
        <v>0</v>
      </c>
      <c r="Z308" s="103">
        <v>0</v>
      </c>
      <c r="AC308" s="102">
        <v>0</v>
      </c>
    </row>
    <row r="309" spans="1:29">
      <c r="A309" s="104" t="s">
        <v>1467</v>
      </c>
      <c r="B309" s="104" t="s">
        <v>1875</v>
      </c>
      <c r="C309" s="104" t="s">
        <v>1465</v>
      </c>
      <c r="D309" s="104" t="s">
        <v>1696</v>
      </c>
      <c r="E309" s="104" t="s">
        <v>1779</v>
      </c>
      <c r="F309" s="104" t="s">
        <v>1869</v>
      </c>
      <c r="G309" s="104" t="s">
        <v>1875</v>
      </c>
      <c r="M309" s="104" t="s">
        <v>1819</v>
      </c>
      <c r="N309" s="104" t="s">
        <v>1851</v>
      </c>
      <c r="O309" s="101">
        <v>45754</v>
      </c>
      <c r="P309" s="101">
        <v>45807</v>
      </c>
      <c r="Q309" s="101">
        <v>45774</v>
      </c>
      <c r="R309" s="101">
        <v>45780</v>
      </c>
      <c r="S309" s="184">
        <v>18</v>
      </c>
      <c r="T309" s="102">
        <v>11</v>
      </c>
      <c r="U309" s="102">
        <v>20</v>
      </c>
      <c r="V309" s="102">
        <v>0</v>
      </c>
      <c r="W309" s="102">
        <v>5</v>
      </c>
      <c r="X309" s="103">
        <v>0</v>
      </c>
      <c r="Y309" s="103">
        <v>0</v>
      </c>
      <c r="Z309" s="103">
        <v>0</v>
      </c>
      <c r="AC309" s="102">
        <v>0</v>
      </c>
    </row>
    <row r="310" spans="1:29">
      <c r="A310" s="104" t="s">
        <v>1467</v>
      </c>
      <c r="B310" s="104" t="s">
        <v>1875</v>
      </c>
      <c r="C310" s="104" t="s">
        <v>1465</v>
      </c>
      <c r="D310" s="104" t="s">
        <v>1696</v>
      </c>
      <c r="E310" s="104" t="s">
        <v>1779</v>
      </c>
      <c r="F310" s="104" t="s">
        <v>1869</v>
      </c>
      <c r="G310" s="104" t="s">
        <v>1875</v>
      </c>
      <c r="M310" s="104" t="s">
        <v>1819</v>
      </c>
      <c r="N310" s="104" t="s">
        <v>1851</v>
      </c>
      <c r="O310" s="101">
        <v>45754</v>
      </c>
      <c r="P310" s="101">
        <v>45807</v>
      </c>
      <c r="Q310" s="101">
        <v>45781</v>
      </c>
      <c r="R310" s="101">
        <v>45787</v>
      </c>
      <c r="S310" s="184">
        <v>19</v>
      </c>
      <c r="T310" s="102">
        <v>12</v>
      </c>
      <c r="U310" s="102">
        <v>20</v>
      </c>
      <c r="V310" s="102">
        <v>0</v>
      </c>
      <c r="W310" s="102">
        <v>5</v>
      </c>
      <c r="X310" s="103">
        <v>0</v>
      </c>
      <c r="Y310" s="103">
        <v>0</v>
      </c>
      <c r="Z310" s="103">
        <v>0</v>
      </c>
      <c r="AC310" s="102">
        <v>0</v>
      </c>
    </row>
    <row r="311" spans="1:29">
      <c r="A311" s="104" t="s">
        <v>1467</v>
      </c>
      <c r="B311" s="104" t="s">
        <v>1875</v>
      </c>
      <c r="C311" s="104" t="s">
        <v>1465</v>
      </c>
      <c r="D311" s="104" t="s">
        <v>1696</v>
      </c>
      <c r="E311" s="104" t="s">
        <v>1779</v>
      </c>
      <c r="F311" s="104" t="s">
        <v>1869</v>
      </c>
      <c r="G311" s="104" t="s">
        <v>1875</v>
      </c>
      <c r="M311" s="104" t="s">
        <v>1819</v>
      </c>
      <c r="N311" s="104" t="s">
        <v>1851</v>
      </c>
      <c r="O311" s="101">
        <v>45754</v>
      </c>
      <c r="P311" s="101">
        <v>45807</v>
      </c>
      <c r="Q311" s="101">
        <v>45788</v>
      </c>
      <c r="R311" s="101">
        <v>45794</v>
      </c>
      <c r="S311" s="184">
        <v>20</v>
      </c>
      <c r="T311" s="102">
        <v>13</v>
      </c>
      <c r="U311" s="102">
        <v>25</v>
      </c>
      <c r="V311" s="102">
        <v>0</v>
      </c>
      <c r="W311" s="102">
        <v>5</v>
      </c>
      <c r="X311" s="103">
        <v>0</v>
      </c>
      <c r="Y311" s="103">
        <v>0</v>
      </c>
      <c r="Z311" s="103">
        <v>0</v>
      </c>
      <c r="AC311" s="102">
        <v>0</v>
      </c>
    </row>
    <row r="312" spans="1:29">
      <c r="A312" s="104" t="s">
        <v>1467</v>
      </c>
      <c r="B312" s="104" t="s">
        <v>1875</v>
      </c>
      <c r="C312" s="104" t="s">
        <v>1465</v>
      </c>
      <c r="D312" s="104" t="s">
        <v>1696</v>
      </c>
      <c r="E312" s="104" t="s">
        <v>1779</v>
      </c>
      <c r="F312" s="104" t="s">
        <v>1869</v>
      </c>
      <c r="G312" s="104" t="s">
        <v>1875</v>
      </c>
      <c r="M312" s="104" t="s">
        <v>1819</v>
      </c>
      <c r="N312" s="104" t="s">
        <v>1851</v>
      </c>
      <c r="O312" s="101">
        <v>45754</v>
      </c>
      <c r="P312" s="101">
        <v>45807</v>
      </c>
      <c r="Q312" s="101">
        <v>45795</v>
      </c>
      <c r="R312" s="101">
        <v>45801</v>
      </c>
      <c r="S312" s="184">
        <v>21</v>
      </c>
      <c r="T312" s="102">
        <v>14</v>
      </c>
      <c r="U312" s="102">
        <v>25</v>
      </c>
      <c r="V312" s="102">
        <v>0</v>
      </c>
      <c r="W312" s="102">
        <v>5</v>
      </c>
      <c r="X312" s="103">
        <v>0</v>
      </c>
      <c r="Y312" s="103">
        <v>0</v>
      </c>
      <c r="Z312" s="103">
        <v>0</v>
      </c>
      <c r="AC312" s="102">
        <v>0</v>
      </c>
    </row>
    <row r="313" spans="1:29">
      <c r="A313" s="104" t="s">
        <v>1467</v>
      </c>
      <c r="B313" s="104" t="s">
        <v>1875</v>
      </c>
      <c r="C313" s="104" t="s">
        <v>1465</v>
      </c>
      <c r="D313" s="104" t="s">
        <v>1696</v>
      </c>
      <c r="E313" s="104" t="s">
        <v>1779</v>
      </c>
      <c r="F313" s="104" t="s">
        <v>1869</v>
      </c>
      <c r="G313" s="104" t="s">
        <v>1875</v>
      </c>
      <c r="M313" s="104" t="s">
        <v>1819</v>
      </c>
      <c r="N313" s="104" t="s">
        <v>1851</v>
      </c>
      <c r="O313" s="101">
        <v>45754</v>
      </c>
      <c r="P313" s="101">
        <v>45807</v>
      </c>
      <c r="Q313" s="101">
        <v>45802</v>
      </c>
      <c r="R313" s="101">
        <v>45808</v>
      </c>
      <c r="S313" s="184">
        <v>22</v>
      </c>
      <c r="T313" s="102">
        <v>15</v>
      </c>
      <c r="U313" s="102">
        <v>25</v>
      </c>
      <c r="V313" s="102">
        <v>0</v>
      </c>
      <c r="W313" s="102">
        <v>5</v>
      </c>
      <c r="X313" s="103">
        <v>0</v>
      </c>
      <c r="Y313" s="103">
        <v>0</v>
      </c>
      <c r="Z313" s="103">
        <v>0</v>
      </c>
      <c r="AC313" s="102">
        <v>0</v>
      </c>
    </row>
    <row r="314" spans="1:29">
      <c r="A314" s="104" t="s">
        <v>1467</v>
      </c>
      <c r="B314" s="104" t="s">
        <v>1876</v>
      </c>
      <c r="C314" s="104" t="s">
        <v>1465</v>
      </c>
      <c r="D314" s="104" t="s">
        <v>1696</v>
      </c>
      <c r="E314" s="104" t="s">
        <v>1779</v>
      </c>
      <c r="F314" s="104" t="s">
        <v>1869</v>
      </c>
      <c r="G314" s="104" t="s">
        <v>1876</v>
      </c>
      <c r="M314" s="104" t="s">
        <v>1815</v>
      </c>
      <c r="N314" s="104" t="s">
        <v>1851</v>
      </c>
      <c r="O314" s="101">
        <v>45754</v>
      </c>
      <c r="P314" s="101">
        <v>45807</v>
      </c>
      <c r="Q314" s="101">
        <v>45753</v>
      </c>
      <c r="R314" s="101">
        <v>45759</v>
      </c>
      <c r="S314" s="184">
        <v>15</v>
      </c>
      <c r="T314" s="102">
        <v>8</v>
      </c>
      <c r="U314" s="102">
        <v>30</v>
      </c>
      <c r="V314" s="102">
        <v>0</v>
      </c>
      <c r="W314" s="102">
        <v>6</v>
      </c>
      <c r="X314" s="103">
        <v>0</v>
      </c>
      <c r="Y314" s="103">
        <v>0</v>
      </c>
      <c r="Z314" s="103">
        <v>0</v>
      </c>
      <c r="AC314" s="102">
        <v>0</v>
      </c>
    </row>
    <row r="315" spans="1:29">
      <c r="A315" s="104" t="s">
        <v>1467</v>
      </c>
      <c r="B315" s="104" t="s">
        <v>1876</v>
      </c>
      <c r="C315" s="104" t="s">
        <v>1465</v>
      </c>
      <c r="D315" s="104" t="s">
        <v>1696</v>
      </c>
      <c r="E315" s="104" t="s">
        <v>1779</v>
      </c>
      <c r="F315" s="104" t="s">
        <v>1869</v>
      </c>
      <c r="G315" s="104" t="s">
        <v>1876</v>
      </c>
      <c r="M315" s="104" t="s">
        <v>1815</v>
      </c>
      <c r="N315" s="104" t="s">
        <v>1851</v>
      </c>
      <c r="O315" s="101">
        <v>45754</v>
      </c>
      <c r="P315" s="101">
        <v>45807</v>
      </c>
      <c r="Q315" s="101">
        <v>45760</v>
      </c>
      <c r="R315" s="101">
        <v>45766</v>
      </c>
      <c r="S315" s="184">
        <v>16</v>
      </c>
      <c r="T315" s="102">
        <v>9</v>
      </c>
      <c r="U315" s="102">
        <v>30</v>
      </c>
      <c r="V315" s="102">
        <v>0</v>
      </c>
      <c r="W315" s="102">
        <v>6</v>
      </c>
      <c r="X315" s="103">
        <v>0</v>
      </c>
      <c r="Y315" s="103">
        <v>0</v>
      </c>
      <c r="Z315" s="103">
        <v>0</v>
      </c>
      <c r="AC315" s="102">
        <v>0</v>
      </c>
    </row>
    <row r="316" spans="1:29">
      <c r="A316" s="104" t="s">
        <v>1467</v>
      </c>
      <c r="B316" s="104" t="s">
        <v>1876</v>
      </c>
      <c r="C316" s="104" t="s">
        <v>1465</v>
      </c>
      <c r="D316" s="104" t="s">
        <v>1696</v>
      </c>
      <c r="E316" s="104" t="s">
        <v>1779</v>
      </c>
      <c r="F316" s="104" t="s">
        <v>1869</v>
      </c>
      <c r="G316" s="104" t="s">
        <v>1876</v>
      </c>
      <c r="M316" s="104" t="s">
        <v>1815</v>
      </c>
      <c r="N316" s="104" t="s">
        <v>1851</v>
      </c>
      <c r="O316" s="101">
        <v>45754</v>
      </c>
      <c r="P316" s="101">
        <v>45807</v>
      </c>
      <c r="Q316" s="101">
        <v>45767</v>
      </c>
      <c r="R316" s="101">
        <v>45773</v>
      </c>
      <c r="S316" s="184">
        <v>17</v>
      </c>
      <c r="T316" s="102">
        <v>10</v>
      </c>
      <c r="U316" s="102">
        <v>30</v>
      </c>
      <c r="V316" s="102">
        <v>0</v>
      </c>
      <c r="W316" s="102">
        <v>6</v>
      </c>
      <c r="X316" s="103">
        <v>0</v>
      </c>
      <c r="Y316" s="103">
        <v>0</v>
      </c>
      <c r="Z316" s="103">
        <v>0</v>
      </c>
      <c r="AC316" s="102">
        <v>0</v>
      </c>
    </row>
    <row r="317" spans="1:29">
      <c r="A317" s="104" t="s">
        <v>1467</v>
      </c>
      <c r="B317" s="104" t="s">
        <v>1876</v>
      </c>
      <c r="C317" s="104" t="s">
        <v>1465</v>
      </c>
      <c r="D317" s="104" t="s">
        <v>1696</v>
      </c>
      <c r="E317" s="104" t="s">
        <v>1779</v>
      </c>
      <c r="F317" s="104" t="s">
        <v>1869</v>
      </c>
      <c r="G317" s="104" t="s">
        <v>1876</v>
      </c>
      <c r="M317" s="104" t="s">
        <v>1815</v>
      </c>
      <c r="N317" s="104" t="s">
        <v>1851</v>
      </c>
      <c r="O317" s="101">
        <v>45754</v>
      </c>
      <c r="P317" s="101">
        <v>45807</v>
      </c>
      <c r="Q317" s="101">
        <v>45774</v>
      </c>
      <c r="R317" s="101">
        <v>45780</v>
      </c>
      <c r="S317" s="184">
        <v>18</v>
      </c>
      <c r="T317" s="102">
        <v>11</v>
      </c>
      <c r="U317" s="102">
        <v>24</v>
      </c>
      <c r="V317" s="102">
        <v>0</v>
      </c>
      <c r="W317" s="102">
        <v>6</v>
      </c>
      <c r="X317" s="103">
        <v>0</v>
      </c>
      <c r="Y317" s="103">
        <v>0</v>
      </c>
      <c r="Z317" s="103">
        <v>0</v>
      </c>
      <c r="AC317" s="102">
        <v>0</v>
      </c>
    </row>
    <row r="318" spans="1:29">
      <c r="A318" s="104" t="s">
        <v>1467</v>
      </c>
      <c r="B318" s="104" t="s">
        <v>1876</v>
      </c>
      <c r="C318" s="104" t="s">
        <v>1465</v>
      </c>
      <c r="D318" s="104" t="s">
        <v>1696</v>
      </c>
      <c r="E318" s="104" t="s">
        <v>1779</v>
      </c>
      <c r="F318" s="104" t="s">
        <v>1869</v>
      </c>
      <c r="G318" s="104" t="s">
        <v>1876</v>
      </c>
      <c r="M318" s="104" t="s">
        <v>1815</v>
      </c>
      <c r="N318" s="104" t="s">
        <v>1851</v>
      </c>
      <c r="O318" s="101">
        <v>45754</v>
      </c>
      <c r="P318" s="101">
        <v>45807</v>
      </c>
      <c r="Q318" s="101">
        <v>45781</v>
      </c>
      <c r="R318" s="101">
        <v>45787</v>
      </c>
      <c r="S318" s="184">
        <v>19</v>
      </c>
      <c r="T318" s="102">
        <v>12</v>
      </c>
      <c r="U318" s="102">
        <v>24</v>
      </c>
      <c r="V318" s="102">
        <v>0</v>
      </c>
      <c r="W318" s="102">
        <v>6</v>
      </c>
      <c r="X318" s="103">
        <v>0</v>
      </c>
      <c r="Y318" s="103">
        <v>0</v>
      </c>
      <c r="Z318" s="103">
        <v>0</v>
      </c>
      <c r="AC318" s="102">
        <v>0</v>
      </c>
    </row>
    <row r="319" spans="1:29">
      <c r="A319" s="104" t="s">
        <v>1467</v>
      </c>
      <c r="B319" s="104" t="s">
        <v>1876</v>
      </c>
      <c r="C319" s="104" t="s">
        <v>1465</v>
      </c>
      <c r="D319" s="104" t="s">
        <v>1696</v>
      </c>
      <c r="E319" s="104" t="s">
        <v>1779</v>
      </c>
      <c r="F319" s="104" t="s">
        <v>1869</v>
      </c>
      <c r="G319" s="104" t="s">
        <v>1876</v>
      </c>
      <c r="M319" s="104" t="s">
        <v>1815</v>
      </c>
      <c r="N319" s="104" t="s">
        <v>1851</v>
      </c>
      <c r="O319" s="101">
        <v>45754</v>
      </c>
      <c r="P319" s="101">
        <v>45807</v>
      </c>
      <c r="Q319" s="101">
        <v>45788</v>
      </c>
      <c r="R319" s="101">
        <v>45794</v>
      </c>
      <c r="S319" s="184">
        <v>20</v>
      </c>
      <c r="T319" s="102">
        <v>13</v>
      </c>
      <c r="U319" s="102">
        <v>30</v>
      </c>
      <c r="V319" s="102">
        <v>0</v>
      </c>
      <c r="W319" s="102">
        <v>6</v>
      </c>
      <c r="X319" s="103">
        <v>0</v>
      </c>
      <c r="Y319" s="103">
        <v>0</v>
      </c>
      <c r="Z319" s="103">
        <v>0</v>
      </c>
      <c r="AC319" s="102">
        <v>0</v>
      </c>
    </row>
    <row r="320" spans="1:29">
      <c r="A320" s="104" t="s">
        <v>1467</v>
      </c>
      <c r="B320" s="104" t="s">
        <v>1876</v>
      </c>
      <c r="C320" s="104" t="s">
        <v>1465</v>
      </c>
      <c r="D320" s="104" t="s">
        <v>1696</v>
      </c>
      <c r="E320" s="104" t="s">
        <v>1779</v>
      </c>
      <c r="F320" s="104" t="s">
        <v>1869</v>
      </c>
      <c r="G320" s="104" t="s">
        <v>1876</v>
      </c>
      <c r="M320" s="104" t="s">
        <v>1815</v>
      </c>
      <c r="N320" s="104" t="s">
        <v>1851</v>
      </c>
      <c r="O320" s="101">
        <v>45754</v>
      </c>
      <c r="P320" s="101">
        <v>45807</v>
      </c>
      <c r="Q320" s="101">
        <v>45795</v>
      </c>
      <c r="R320" s="101">
        <v>45801</v>
      </c>
      <c r="S320" s="184">
        <v>21</v>
      </c>
      <c r="T320" s="102">
        <v>14</v>
      </c>
      <c r="U320" s="102">
        <v>30</v>
      </c>
      <c r="V320" s="102">
        <v>0</v>
      </c>
      <c r="W320" s="102">
        <v>6</v>
      </c>
      <c r="X320" s="103">
        <v>0</v>
      </c>
      <c r="Y320" s="103">
        <v>0</v>
      </c>
      <c r="Z320" s="103">
        <v>0</v>
      </c>
      <c r="AC320" s="102">
        <v>0</v>
      </c>
    </row>
    <row r="321" spans="1:29">
      <c r="A321" s="104" t="s">
        <v>1467</v>
      </c>
      <c r="B321" s="104" t="s">
        <v>1876</v>
      </c>
      <c r="C321" s="104" t="s">
        <v>1465</v>
      </c>
      <c r="D321" s="104" t="s">
        <v>1696</v>
      </c>
      <c r="E321" s="104" t="s">
        <v>1779</v>
      </c>
      <c r="F321" s="104" t="s">
        <v>1869</v>
      </c>
      <c r="G321" s="104" t="s">
        <v>1876</v>
      </c>
      <c r="M321" s="104" t="s">
        <v>1815</v>
      </c>
      <c r="N321" s="104" t="s">
        <v>1851</v>
      </c>
      <c r="O321" s="101">
        <v>45754</v>
      </c>
      <c r="P321" s="101">
        <v>45807</v>
      </c>
      <c r="Q321" s="101">
        <v>45802</v>
      </c>
      <c r="R321" s="101">
        <v>45808</v>
      </c>
      <c r="S321" s="184">
        <v>22</v>
      </c>
      <c r="T321" s="102">
        <v>15</v>
      </c>
      <c r="U321" s="102">
        <v>30</v>
      </c>
      <c r="V321" s="102">
        <v>0</v>
      </c>
      <c r="W321" s="102">
        <v>6</v>
      </c>
      <c r="X321" s="103">
        <v>0</v>
      </c>
      <c r="Y321" s="103">
        <v>0</v>
      </c>
      <c r="Z321" s="103">
        <v>0</v>
      </c>
      <c r="AC321" s="102">
        <v>0</v>
      </c>
    </row>
    <row r="322" spans="1:29">
      <c r="A322" s="104" t="s">
        <v>1467</v>
      </c>
      <c r="B322" s="104" t="s">
        <v>1877</v>
      </c>
      <c r="C322" s="104" t="s">
        <v>1465</v>
      </c>
      <c r="D322" s="104" t="s">
        <v>1696</v>
      </c>
      <c r="E322" s="104" t="s">
        <v>1779</v>
      </c>
      <c r="F322" s="104" t="s">
        <v>1869</v>
      </c>
      <c r="G322" s="104" t="s">
        <v>1877</v>
      </c>
      <c r="M322" s="104" t="s">
        <v>1825</v>
      </c>
      <c r="N322" s="104" t="s">
        <v>1851</v>
      </c>
      <c r="O322" s="101">
        <v>45761</v>
      </c>
      <c r="P322" s="101">
        <v>45821</v>
      </c>
      <c r="Q322" s="101">
        <v>45760</v>
      </c>
      <c r="R322" s="101">
        <v>45766</v>
      </c>
      <c r="S322" s="184">
        <v>16</v>
      </c>
      <c r="T322" s="102">
        <v>9</v>
      </c>
      <c r="U322" s="102">
        <v>35</v>
      </c>
      <c r="V322" s="102">
        <v>0</v>
      </c>
      <c r="W322" s="102">
        <v>7</v>
      </c>
      <c r="X322" s="103">
        <v>0</v>
      </c>
      <c r="Y322" s="103">
        <v>0</v>
      </c>
      <c r="Z322" s="103">
        <v>0</v>
      </c>
      <c r="AC322" s="102">
        <v>0</v>
      </c>
    </row>
    <row r="323" spans="1:29">
      <c r="A323" s="104" t="s">
        <v>1467</v>
      </c>
      <c r="B323" s="104" t="s">
        <v>1877</v>
      </c>
      <c r="C323" s="104" t="s">
        <v>1465</v>
      </c>
      <c r="D323" s="104" t="s">
        <v>1696</v>
      </c>
      <c r="E323" s="104" t="s">
        <v>1779</v>
      </c>
      <c r="F323" s="104" t="s">
        <v>1869</v>
      </c>
      <c r="G323" s="104" t="s">
        <v>1877</v>
      </c>
      <c r="M323" s="104" t="s">
        <v>1825</v>
      </c>
      <c r="N323" s="104" t="s">
        <v>1851</v>
      </c>
      <c r="O323" s="101">
        <v>45761</v>
      </c>
      <c r="P323" s="101">
        <v>45821</v>
      </c>
      <c r="Q323" s="101">
        <v>45767</v>
      </c>
      <c r="R323" s="101">
        <v>45773</v>
      </c>
      <c r="S323" s="184">
        <v>17</v>
      </c>
      <c r="T323" s="102">
        <v>10</v>
      </c>
      <c r="U323" s="102">
        <v>35</v>
      </c>
      <c r="V323" s="102">
        <v>0</v>
      </c>
      <c r="W323" s="102">
        <v>7</v>
      </c>
      <c r="X323" s="103">
        <v>0</v>
      </c>
      <c r="Y323" s="103">
        <v>0</v>
      </c>
      <c r="Z323" s="103">
        <v>0</v>
      </c>
      <c r="AC323" s="102">
        <v>0</v>
      </c>
    </row>
    <row r="324" spans="1:29">
      <c r="A324" s="104" t="s">
        <v>1467</v>
      </c>
      <c r="B324" s="104" t="s">
        <v>1877</v>
      </c>
      <c r="C324" s="104" t="s">
        <v>1465</v>
      </c>
      <c r="D324" s="104" t="s">
        <v>1696</v>
      </c>
      <c r="E324" s="104" t="s">
        <v>1779</v>
      </c>
      <c r="F324" s="104" t="s">
        <v>1869</v>
      </c>
      <c r="G324" s="104" t="s">
        <v>1877</v>
      </c>
      <c r="M324" s="104" t="s">
        <v>1825</v>
      </c>
      <c r="N324" s="104" t="s">
        <v>1851</v>
      </c>
      <c r="O324" s="101">
        <v>45761</v>
      </c>
      <c r="P324" s="101">
        <v>45821</v>
      </c>
      <c r="Q324" s="101">
        <v>45774</v>
      </c>
      <c r="R324" s="101">
        <v>45780</v>
      </c>
      <c r="S324" s="184">
        <v>18</v>
      </c>
      <c r="T324" s="102">
        <v>11</v>
      </c>
      <c r="U324" s="102">
        <v>28</v>
      </c>
      <c r="V324" s="102">
        <v>0</v>
      </c>
      <c r="W324" s="102">
        <v>7</v>
      </c>
      <c r="X324" s="103">
        <v>0</v>
      </c>
      <c r="Y324" s="103">
        <v>0</v>
      </c>
      <c r="Z324" s="103">
        <v>0</v>
      </c>
      <c r="AC324" s="102">
        <v>0</v>
      </c>
    </row>
    <row r="325" spans="1:29">
      <c r="A325" s="104" t="s">
        <v>1467</v>
      </c>
      <c r="B325" s="104" t="s">
        <v>1877</v>
      </c>
      <c r="C325" s="104" t="s">
        <v>1465</v>
      </c>
      <c r="D325" s="104" t="s">
        <v>1696</v>
      </c>
      <c r="E325" s="104" t="s">
        <v>1779</v>
      </c>
      <c r="F325" s="104" t="s">
        <v>1869</v>
      </c>
      <c r="G325" s="104" t="s">
        <v>1877</v>
      </c>
      <c r="M325" s="104" t="s">
        <v>1825</v>
      </c>
      <c r="N325" s="104" t="s">
        <v>1851</v>
      </c>
      <c r="O325" s="101">
        <v>45761</v>
      </c>
      <c r="P325" s="101">
        <v>45821</v>
      </c>
      <c r="Q325" s="101">
        <v>45781</v>
      </c>
      <c r="R325" s="101">
        <v>45787</v>
      </c>
      <c r="S325" s="184">
        <v>19</v>
      </c>
      <c r="T325" s="102">
        <v>12</v>
      </c>
      <c r="U325" s="102">
        <v>28</v>
      </c>
      <c r="V325" s="102">
        <v>0</v>
      </c>
      <c r="W325" s="102">
        <v>7</v>
      </c>
      <c r="X325" s="103">
        <v>0</v>
      </c>
      <c r="Y325" s="103">
        <v>0</v>
      </c>
      <c r="Z325" s="103">
        <v>0</v>
      </c>
      <c r="AC325" s="102">
        <v>0</v>
      </c>
    </row>
    <row r="326" spans="1:29">
      <c r="A326" s="104" t="s">
        <v>1467</v>
      </c>
      <c r="B326" s="104" t="s">
        <v>1877</v>
      </c>
      <c r="C326" s="104" t="s">
        <v>1465</v>
      </c>
      <c r="D326" s="104" t="s">
        <v>1696</v>
      </c>
      <c r="E326" s="104" t="s">
        <v>1779</v>
      </c>
      <c r="F326" s="104" t="s">
        <v>1869</v>
      </c>
      <c r="G326" s="104" t="s">
        <v>1877</v>
      </c>
      <c r="M326" s="104" t="s">
        <v>1825</v>
      </c>
      <c r="N326" s="104" t="s">
        <v>1851</v>
      </c>
      <c r="O326" s="101">
        <v>45761</v>
      </c>
      <c r="P326" s="101">
        <v>45821</v>
      </c>
      <c r="Q326" s="101">
        <v>45788</v>
      </c>
      <c r="R326" s="101">
        <v>45794</v>
      </c>
      <c r="S326" s="184">
        <v>20</v>
      </c>
      <c r="T326" s="102">
        <v>13</v>
      </c>
      <c r="U326" s="102">
        <v>35</v>
      </c>
      <c r="V326" s="102">
        <v>0</v>
      </c>
      <c r="W326" s="102">
        <v>7</v>
      </c>
      <c r="X326" s="103">
        <v>0</v>
      </c>
      <c r="Y326" s="103">
        <v>0</v>
      </c>
      <c r="Z326" s="103">
        <v>0</v>
      </c>
      <c r="AC326" s="102">
        <v>0</v>
      </c>
    </row>
    <row r="327" spans="1:29">
      <c r="A327" s="104" t="s">
        <v>1467</v>
      </c>
      <c r="B327" s="104" t="s">
        <v>1877</v>
      </c>
      <c r="C327" s="104" t="s">
        <v>1465</v>
      </c>
      <c r="D327" s="104" t="s">
        <v>1696</v>
      </c>
      <c r="E327" s="104" t="s">
        <v>1779</v>
      </c>
      <c r="F327" s="104" t="s">
        <v>1869</v>
      </c>
      <c r="G327" s="104" t="s">
        <v>1877</v>
      </c>
      <c r="M327" s="104" t="s">
        <v>1825</v>
      </c>
      <c r="N327" s="104" t="s">
        <v>1851</v>
      </c>
      <c r="O327" s="101">
        <v>45761</v>
      </c>
      <c r="P327" s="101">
        <v>45821</v>
      </c>
      <c r="Q327" s="101">
        <v>45795</v>
      </c>
      <c r="R327" s="101">
        <v>45801</v>
      </c>
      <c r="S327" s="184">
        <v>21</v>
      </c>
      <c r="T327" s="102">
        <v>14</v>
      </c>
      <c r="U327" s="102">
        <v>35</v>
      </c>
      <c r="V327" s="102">
        <v>0</v>
      </c>
      <c r="W327" s="102">
        <v>7</v>
      </c>
      <c r="X327" s="103">
        <v>0</v>
      </c>
      <c r="Y327" s="103">
        <v>0</v>
      </c>
      <c r="Z327" s="103">
        <v>0</v>
      </c>
      <c r="AC327" s="102">
        <v>0</v>
      </c>
    </row>
    <row r="328" spans="1:29">
      <c r="A328" s="104" t="s">
        <v>1467</v>
      </c>
      <c r="B328" s="104" t="s">
        <v>1877</v>
      </c>
      <c r="C328" s="104" t="s">
        <v>1465</v>
      </c>
      <c r="D328" s="104" t="s">
        <v>1696</v>
      </c>
      <c r="E328" s="104" t="s">
        <v>1779</v>
      </c>
      <c r="F328" s="104" t="s">
        <v>1869</v>
      </c>
      <c r="G328" s="104" t="s">
        <v>1877</v>
      </c>
      <c r="M328" s="104" t="s">
        <v>1825</v>
      </c>
      <c r="N328" s="104" t="s">
        <v>1851</v>
      </c>
      <c r="O328" s="101">
        <v>45761</v>
      </c>
      <c r="P328" s="101">
        <v>45821</v>
      </c>
      <c r="Q328" s="101">
        <v>45802</v>
      </c>
      <c r="R328" s="101">
        <v>45808</v>
      </c>
      <c r="S328" s="184">
        <v>22</v>
      </c>
      <c r="T328" s="102">
        <v>15</v>
      </c>
      <c r="U328" s="102">
        <v>35</v>
      </c>
      <c r="V328" s="102">
        <v>0</v>
      </c>
      <c r="W328" s="102">
        <v>7</v>
      </c>
      <c r="X328" s="103">
        <v>0</v>
      </c>
      <c r="Y328" s="103">
        <v>0</v>
      </c>
      <c r="Z328" s="103">
        <v>0</v>
      </c>
      <c r="AC328" s="102">
        <v>0</v>
      </c>
    </row>
    <row r="329" spans="1:29">
      <c r="A329" s="104" t="s">
        <v>1467</v>
      </c>
      <c r="B329" s="104" t="s">
        <v>1877</v>
      </c>
      <c r="C329" s="104" t="s">
        <v>1465</v>
      </c>
      <c r="D329" s="104" t="s">
        <v>1696</v>
      </c>
      <c r="E329" s="104" t="s">
        <v>1779</v>
      </c>
      <c r="F329" s="104" t="s">
        <v>1869</v>
      </c>
      <c r="G329" s="104" t="s">
        <v>1877</v>
      </c>
      <c r="M329" s="104" t="s">
        <v>1825</v>
      </c>
      <c r="N329" s="104" t="s">
        <v>1851</v>
      </c>
      <c r="O329" s="101">
        <v>45761</v>
      </c>
      <c r="P329" s="101">
        <v>45821</v>
      </c>
      <c r="Q329" s="101">
        <v>45809</v>
      </c>
      <c r="R329" s="101">
        <v>45815</v>
      </c>
      <c r="S329" s="184">
        <v>23</v>
      </c>
      <c r="T329" s="102">
        <v>16</v>
      </c>
      <c r="U329" s="102">
        <v>28</v>
      </c>
      <c r="V329" s="102">
        <v>0</v>
      </c>
      <c r="W329" s="102">
        <v>7</v>
      </c>
      <c r="X329" s="103">
        <v>0</v>
      </c>
      <c r="Y329" s="103">
        <v>0</v>
      </c>
      <c r="Z329" s="103">
        <v>0</v>
      </c>
      <c r="AC329" s="102">
        <v>0</v>
      </c>
    </row>
    <row r="330" spans="1:29">
      <c r="A330" s="104" t="s">
        <v>1467</v>
      </c>
      <c r="B330" s="104" t="s">
        <v>1877</v>
      </c>
      <c r="C330" s="104" t="s">
        <v>1465</v>
      </c>
      <c r="D330" s="104" t="s">
        <v>1696</v>
      </c>
      <c r="E330" s="104" t="s">
        <v>1779</v>
      </c>
      <c r="F330" s="104" t="s">
        <v>1869</v>
      </c>
      <c r="G330" s="104" t="s">
        <v>1877</v>
      </c>
      <c r="M330" s="104" t="s">
        <v>1825</v>
      </c>
      <c r="N330" s="104" t="s">
        <v>1851</v>
      </c>
      <c r="O330" s="101">
        <v>45761</v>
      </c>
      <c r="P330" s="101">
        <v>45821</v>
      </c>
      <c r="Q330" s="101">
        <v>45816</v>
      </c>
      <c r="R330" s="101">
        <v>45822</v>
      </c>
      <c r="S330" s="184">
        <v>24</v>
      </c>
      <c r="T330" s="102">
        <v>17</v>
      </c>
      <c r="U330" s="102">
        <v>35</v>
      </c>
      <c r="V330" s="102">
        <v>0</v>
      </c>
      <c r="W330" s="102">
        <v>7</v>
      </c>
      <c r="X330" s="103">
        <v>0</v>
      </c>
      <c r="Y330" s="103">
        <v>0</v>
      </c>
      <c r="Z330" s="103">
        <v>0</v>
      </c>
      <c r="AC330" s="102">
        <v>0</v>
      </c>
    </row>
    <row r="331" spans="1:29">
      <c r="A331" s="104" t="s">
        <v>1467</v>
      </c>
      <c r="B331" s="104" t="s">
        <v>1878</v>
      </c>
      <c r="C331" s="104" t="s">
        <v>1465</v>
      </c>
      <c r="D331" s="104" t="s">
        <v>1696</v>
      </c>
      <c r="E331" s="104" t="s">
        <v>1779</v>
      </c>
      <c r="F331" s="104" t="s">
        <v>1869</v>
      </c>
      <c r="G331" s="104" t="s">
        <v>1878</v>
      </c>
      <c r="M331" s="104" t="s">
        <v>1827</v>
      </c>
      <c r="N331" s="104" t="s">
        <v>1851</v>
      </c>
      <c r="O331" s="101">
        <v>45789</v>
      </c>
      <c r="P331" s="101">
        <v>45821</v>
      </c>
      <c r="Q331" s="101">
        <v>45788</v>
      </c>
      <c r="R331" s="101">
        <v>45794</v>
      </c>
      <c r="S331" s="184">
        <v>20</v>
      </c>
      <c r="T331" s="102">
        <v>13</v>
      </c>
      <c r="U331" s="102">
        <v>25</v>
      </c>
      <c r="V331" s="102">
        <v>0</v>
      </c>
      <c r="W331" s="102">
        <v>5</v>
      </c>
      <c r="X331" s="103">
        <v>0</v>
      </c>
      <c r="Y331" s="103">
        <v>0</v>
      </c>
      <c r="Z331" s="103">
        <v>0</v>
      </c>
      <c r="AC331" s="102">
        <v>0</v>
      </c>
    </row>
    <row r="332" spans="1:29">
      <c r="A332" s="104" t="s">
        <v>1467</v>
      </c>
      <c r="B332" s="104" t="s">
        <v>1878</v>
      </c>
      <c r="C332" s="104" t="s">
        <v>1465</v>
      </c>
      <c r="D332" s="104" t="s">
        <v>1696</v>
      </c>
      <c r="E332" s="104" t="s">
        <v>1779</v>
      </c>
      <c r="F332" s="104" t="s">
        <v>1869</v>
      </c>
      <c r="G332" s="104" t="s">
        <v>1878</v>
      </c>
      <c r="M332" s="104" t="s">
        <v>1827</v>
      </c>
      <c r="N332" s="104" t="s">
        <v>1851</v>
      </c>
      <c r="O332" s="101">
        <v>45789</v>
      </c>
      <c r="P332" s="101">
        <v>45821</v>
      </c>
      <c r="Q332" s="101">
        <v>45795</v>
      </c>
      <c r="R332" s="101">
        <v>45801</v>
      </c>
      <c r="S332" s="184">
        <v>21</v>
      </c>
      <c r="T332" s="102">
        <v>14</v>
      </c>
      <c r="U332" s="102">
        <v>25</v>
      </c>
      <c r="V332" s="102">
        <v>0</v>
      </c>
      <c r="W332" s="102">
        <v>5</v>
      </c>
      <c r="X332" s="103">
        <v>0</v>
      </c>
      <c r="Y332" s="103">
        <v>0</v>
      </c>
      <c r="Z332" s="103">
        <v>0</v>
      </c>
      <c r="AC332" s="102">
        <v>0</v>
      </c>
    </row>
    <row r="333" spans="1:29">
      <c r="A333" s="104" t="s">
        <v>1467</v>
      </c>
      <c r="B333" s="104" t="s">
        <v>1878</v>
      </c>
      <c r="C333" s="104" t="s">
        <v>1465</v>
      </c>
      <c r="D333" s="104" t="s">
        <v>1696</v>
      </c>
      <c r="E333" s="104" t="s">
        <v>1779</v>
      </c>
      <c r="F333" s="104" t="s">
        <v>1869</v>
      </c>
      <c r="G333" s="104" t="s">
        <v>1878</v>
      </c>
      <c r="M333" s="104" t="s">
        <v>1827</v>
      </c>
      <c r="N333" s="104" t="s">
        <v>1851</v>
      </c>
      <c r="O333" s="101">
        <v>45789</v>
      </c>
      <c r="P333" s="101">
        <v>45821</v>
      </c>
      <c r="Q333" s="101">
        <v>45802</v>
      </c>
      <c r="R333" s="101">
        <v>45808</v>
      </c>
      <c r="S333" s="184">
        <v>22</v>
      </c>
      <c r="T333" s="102">
        <v>15</v>
      </c>
      <c r="U333" s="102">
        <v>25</v>
      </c>
      <c r="V333" s="102">
        <v>0</v>
      </c>
      <c r="W333" s="102">
        <v>5</v>
      </c>
      <c r="X333" s="103">
        <v>0</v>
      </c>
      <c r="Y333" s="103">
        <v>0</v>
      </c>
      <c r="Z333" s="103">
        <v>0</v>
      </c>
      <c r="AC333" s="102">
        <v>0</v>
      </c>
    </row>
    <row r="334" spans="1:29">
      <c r="A334" s="104" t="s">
        <v>1467</v>
      </c>
      <c r="B334" s="104" t="s">
        <v>1878</v>
      </c>
      <c r="C334" s="104" t="s">
        <v>1465</v>
      </c>
      <c r="D334" s="104" t="s">
        <v>1696</v>
      </c>
      <c r="E334" s="104" t="s">
        <v>1779</v>
      </c>
      <c r="F334" s="104" t="s">
        <v>1869</v>
      </c>
      <c r="G334" s="104" t="s">
        <v>1878</v>
      </c>
      <c r="M334" s="104" t="s">
        <v>1827</v>
      </c>
      <c r="N334" s="104" t="s">
        <v>1851</v>
      </c>
      <c r="O334" s="101">
        <v>45789</v>
      </c>
      <c r="P334" s="101">
        <v>45821</v>
      </c>
      <c r="Q334" s="101">
        <v>45809</v>
      </c>
      <c r="R334" s="101">
        <v>45815</v>
      </c>
      <c r="S334" s="184">
        <v>23</v>
      </c>
      <c r="T334" s="102">
        <v>16</v>
      </c>
      <c r="U334" s="102">
        <v>20</v>
      </c>
      <c r="V334" s="102">
        <v>0</v>
      </c>
      <c r="W334" s="102">
        <v>5</v>
      </c>
      <c r="X334" s="103">
        <v>0</v>
      </c>
      <c r="Y334" s="103">
        <v>0</v>
      </c>
      <c r="Z334" s="103">
        <v>0</v>
      </c>
      <c r="AC334" s="102">
        <v>0</v>
      </c>
    </row>
    <row r="335" spans="1:29">
      <c r="A335" s="104" t="s">
        <v>1467</v>
      </c>
      <c r="B335" s="104" t="s">
        <v>1878</v>
      </c>
      <c r="C335" s="104" t="s">
        <v>1465</v>
      </c>
      <c r="D335" s="104" t="s">
        <v>1696</v>
      </c>
      <c r="E335" s="104" t="s">
        <v>1779</v>
      </c>
      <c r="F335" s="104" t="s">
        <v>1869</v>
      </c>
      <c r="G335" s="104" t="s">
        <v>1878</v>
      </c>
      <c r="M335" s="104" t="s">
        <v>1827</v>
      </c>
      <c r="N335" s="104" t="s">
        <v>1851</v>
      </c>
      <c r="O335" s="101">
        <v>45789</v>
      </c>
      <c r="P335" s="101">
        <v>45821</v>
      </c>
      <c r="Q335" s="101">
        <v>45816</v>
      </c>
      <c r="R335" s="101">
        <v>45822</v>
      </c>
      <c r="S335" s="184">
        <v>24</v>
      </c>
      <c r="T335" s="102">
        <v>17</v>
      </c>
      <c r="U335" s="102">
        <v>25</v>
      </c>
      <c r="V335" s="102">
        <v>0</v>
      </c>
      <c r="W335" s="102">
        <v>5</v>
      </c>
      <c r="X335" s="103">
        <v>0</v>
      </c>
      <c r="Y335" s="103">
        <v>0</v>
      </c>
      <c r="Z335" s="103">
        <v>0</v>
      </c>
      <c r="AC335" s="102">
        <v>0</v>
      </c>
    </row>
    <row r="336" spans="1:29">
      <c r="A336" s="104" t="s">
        <v>1467</v>
      </c>
      <c r="B336" s="104" t="s">
        <v>1879</v>
      </c>
      <c r="C336" s="104" t="s">
        <v>1465</v>
      </c>
      <c r="D336" s="104" t="s">
        <v>1696</v>
      </c>
      <c r="E336" s="104" t="s">
        <v>1779</v>
      </c>
      <c r="F336" s="104" t="s">
        <v>1869</v>
      </c>
      <c r="G336" s="104" t="s">
        <v>1879</v>
      </c>
      <c r="M336" s="104" t="s">
        <v>1826</v>
      </c>
      <c r="N336" s="104" t="s">
        <v>1851</v>
      </c>
      <c r="O336" s="101">
        <v>45789</v>
      </c>
      <c r="P336" s="101">
        <v>45835</v>
      </c>
      <c r="Q336" s="101">
        <v>45788</v>
      </c>
      <c r="R336" s="101">
        <v>45794</v>
      </c>
      <c r="S336" s="184">
        <v>20</v>
      </c>
      <c r="T336" s="102">
        <v>13</v>
      </c>
      <c r="U336" s="102">
        <v>32.5</v>
      </c>
      <c r="V336" s="102">
        <v>0</v>
      </c>
      <c r="W336" s="102">
        <v>6.5</v>
      </c>
      <c r="X336" s="103">
        <v>0</v>
      </c>
      <c r="Y336" s="103">
        <v>0</v>
      </c>
      <c r="Z336" s="103">
        <v>0</v>
      </c>
      <c r="AC336" s="102">
        <v>0</v>
      </c>
    </row>
    <row r="337" spans="1:29">
      <c r="A337" s="104" t="s">
        <v>1467</v>
      </c>
      <c r="B337" s="104" t="s">
        <v>1879</v>
      </c>
      <c r="C337" s="104" t="s">
        <v>1465</v>
      </c>
      <c r="D337" s="104" t="s">
        <v>1696</v>
      </c>
      <c r="E337" s="104" t="s">
        <v>1779</v>
      </c>
      <c r="F337" s="104" t="s">
        <v>1869</v>
      </c>
      <c r="G337" s="104" t="s">
        <v>1879</v>
      </c>
      <c r="M337" s="104" t="s">
        <v>1826</v>
      </c>
      <c r="N337" s="104" t="s">
        <v>1851</v>
      </c>
      <c r="O337" s="101">
        <v>45789</v>
      </c>
      <c r="P337" s="101">
        <v>45835</v>
      </c>
      <c r="Q337" s="101">
        <v>45795</v>
      </c>
      <c r="R337" s="101">
        <v>45801</v>
      </c>
      <c r="S337" s="184">
        <v>21</v>
      </c>
      <c r="T337" s="102">
        <v>14</v>
      </c>
      <c r="U337" s="102">
        <v>32.5</v>
      </c>
      <c r="V337" s="102">
        <v>0</v>
      </c>
      <c r="W337" s="102">
        <v>6.5</v>
      </c>
      <c r="X337" s="103">
        <v>0</v>
      </c>
      <c r="Y337" s="103">
        <v>0</v>
      </c>
      <c r="Z337" s="103">
        <v>0</v>
      </c>
      <c r="AC337" s="102">
        <v>0</v>
      </c>
    </row>
    <row r="338" spans="1:29">
      <c r="A338" s="104" t="s">
        <v>1467</v>
      </c>
      <c r="B338" s="104" t="s">
        <v>1879</v>
      </c>
      <c r="C338" s="104" t="s">
        <v>1465</v>
      </c>
      <c r="D338" s="104" t="s">
        <v>1696</v>
      </c>
      <c r="E338" s="104" t="s">
        <v>1779</v>
      </c>
      <c r="F338" s="104" t="s">
        <v>1869</v>
      </c>
      <c r="G338" s="104" t="s">
        <v>1879</v>
      </c>
      <c r="M338" s="104" t="s">
        <v>1826</v>
      </c>
      <c r="N338" s="104" t="s">
        <v>1851</v>
      </c>
      <c r="O338" s="101">
        <v>45789</v>
      </c>
      <c r="P338" s="101">
        <v>45835</v>
      </c>
      <c r="Q338" s="101">
        <v>45802</v>
      </c>
      <c r="R338" s="101">
        <v>45808</v>
      </c>
      <c r="S338" s="184">
        <v>22</v>
      </c>
      <c r="T338" s="102">
        <v>15</v>
      </c>
      <c r="U338" s="102">
        <v>32.5</v>
      </c>
      <c r="V338" s="102">
        <v>0</v>
      </c>
      <c r="W338" s="102">
        <v>6.5</v>
      </c>
      <c r="X338" s="103">
        <v>0</v>
      </c>
      <c r="Y338" s="103">
        <v>0</v>
      </c>
      <c r="Z338" s="103">
        <v>0</v>
      </c>
      <c r="AC338" s="102">
        <v>0</v>
      </c>
    </row>
    <row r="339" spans="1:29">
      <c r="A339" s="104" t="s">
        <v>1467</v>
      </c>
      <c r="B339" s="104" t="s">
        <v>1879</v>
      </c>
      <c r="C339" s="104" t="s">
        <v>1465</v>
      </c>
      <c r="D339" s="104" t="s">
        <v>1696</v>
      </c>
      <c r="E339" s="104" t="s">
        <v>1779</v>
      </c>
      <c r="F339" s="104" t="s">
        <v>1869</v>
      </c>
      <c r="G339" s="104" t="s">
        <v>1879</v>
      </c>
      <c r="M339" s="104" t="s">
        <v>1826</v>
      </c>
      <c r="N339" s="104" t="s">
        <v>1851</v>
      </c>
      <c r="O339" s="101">
        <v>45789</v>
      </c>
      <c r="P339" s="101">
        <v>45835</v>
      </c>
      <c r="Q339" s="101">
        <v>45809</v>
      </c>
      <c r="R339" s="101">
        <v>45815</v>
      </c>
      <c r="S339" s="184">
        <v>23</v>
      </c>
      <c r="T339" s="102">
        <v>16</v>
      </c>
      <c r="U339" s="102">
        <v>26</v>
      </c>
      <c r="V339" s="102">
        <v>0</v>
      </c>
      <c r="W339" s="102">
        <v>6.5</v>
      </c>
      <c r="X339" s="103">
        <v>0</v>
      </c>
      <c r="Y339" s="103">
        <v>0</v>
      </c>
      <c r="Z339" s="103">
        <v>0</v>
      </c>
      <c r="AC339" s="102">
        <v>0</v>
      </c>
    </row>
    <row r="340" spans="1:29">
      <c r="A340" s="104" t="s">
        <v>1467</v>
      </c>
      <c r="B340" s="104" t="s">
        <v>1879</v>
      </c>
      <c r="C340" s="104" t="s">
        <v>1465</v>
      </c>
      <c r="D340" s="104" t="s">
        <v>1696</v>
      </c>
      <c r="E340" s="104" t="s">
        <v>1779</v>
      </c>
      <c r="F340" s="104" t="s">
        <v>1869</v>
      </c>
      <c r="G340" s="104" t="s">
        <v>1879</v>
      </c>
      <c r="M340" s="104" t="s">
        <v>1826</v>
      </c>
      <c r="N340" s="104" t="s">
        <v>1851</v>
      </c>
      <c r="O340" s="101">
        <v>45789</v>
      </c>
      <c r="P340" s="101">
        <v>45835</v>
      </c>
      <c r="Q340" s="101">
        <v>45816</v>
      </c>
      <c r="R340" s="101">
        <v>45822</v>
      </c>
      <c r="S340" s="184">
        <v>24</v>
      </c>
      <c r="T340" s="102">
        <v>17</v>
      </c>
      <c r="U340" s="102">
        <v>32.5</v>
      </c>
      <c r="V340" s="102">
        <v>0</v>
      </c>
      <c r="W340" s="102">
        <v>6.5</v>
      </c>
      <c r="X340" s="103">
        <v>0</v>
      </c>
      <c r="Y340" s="103">
        <v>0</v>
      </c>
      <c r="Z340" s="103">
        <v>0</v>
      </c>
      <c r="AC340" s="102">
        <v>0</v>
      </c>
    </row>
    <row r="341" spans="1:29">
      <c r="A341" s="104" t="s">
        <v>1467</v>
      </c>
      <c r="B341" s="104" t="s">
        <v>1879</v>
      </c>
      <c r="C341" s="104" t="s">
        <v>1465</v>
      </c>
      <c r="D341" s="104" t="s">
        <v>1696</v>
      </c>
      <c r="E341" s="104" t="s">
        <v>1779</v>
      </c>
      <c r="F341" s="104" t="s">
        <v>1869</v>
      </c>
      <c r="G341" s="104" t="s">
        <v>1879</v>
      </c>
      <c r="M341" s="104" t="s">
        <v>1826</v>
      </c>
      <c r="N341" s="104" t="s">
        <v>1851</v>
      </c>
      <c r="O341" s="101">
        <v>45789</v>
      </c>
      <c r="P341" s="101">
        <v>45835</v>
      </c>
      <c r="Q341" s="101">
        <v>45823</v>
      </c>
      <c r="R341" s="101">
        <v>45829</v>
      </c>
      <c r="S341" s="184">
        <v>25</v>
      </c>
      <c r="T341" s="102">
        <v>18</v>
      </c>
      <c r="U341" s="102">
        <v>32.5</v>
      </c>
      <c r="V341" s="102">
        <v>0</v>
      </c>
      <c r="W341" s="102">
        <v>6.5</v>
      </c>
      <c r="X341" s="103">
        <v>0</v>
      </c>
      <c r="Y341" s="103">
        <v>0</v>
      </c>
      <c r="Z341" s="103">
        <v>0</v>
      </c>
      <c r="AC341" s="102">
        <v>0</v>
      </c>
    </row>
    <row r="342" spans="1:29">
      <c r="A342" s="104" t="s">
        <v>1467</v>
      </c>
      <c r="B342" s="104" t="s">
        <v>1879</v>
      </c>
      <c r="C342" s="104" t="s">
        <v>1465</v>
      </c>
      <c r="D342" s="104" t="s">
        <v>1696</v>
      </c>
      <c r="E342" s="104" t="s">
        <v>1779</v>
      </c>
      <c r="F342" s="104" t="s">
        <v>1869</v>
      </c>
      <c r="G342" s="104" t="s">
        <v>1879</v>
      </c>
      <c r="M342" s="104" t="s">
        <v>1826</v>
      </c>
      <c r="N342" s="104" t="s">
        <v>1851</v>
      </c>
      <c r="O342" s="101">
        <v>45789</v>
      </c>
      <c r="P342" s="101">
        <v>45835</v>
      </c>
      <c r="Q342" s="101">
        <v>45830</v>
      </c>
      <c r="R342" s="101">
        <v>45836</v>
      </c>
      <c r="S342" s="184">
        <v>26</v>
      </c>
      <c r="T342" s="102">
        <v>19</v>
      </c>
      <c r="U342" s="102">
        <v>32.5</v>
      </c>
      <c r="V342" s="102">
        <v>0</v>
      </c>
      <c r="W342" s="102">
        <v>6.5</v>
      </c>
      <c r="X342" s="103">
        <v>0</v>
      </c>
      <c r="Y342" s="103">
        <v>0</v>
      </c>
      <c r="Z342" s="103">
        <v>0</v>
      </c>
      <c r="AC342" s="102">
        <v>0</v>
      </c>
    </row>
    <row r="343" spans="1:29">
      <c r="A343" s="104" t="s">
        <v>1467</v>
      </c>
      <c r="B343" s="104" t="s">
        <v>1880</v>
      </c>
      <c r="C343" s="104" t="s">
        <v>1465</v>
      </c>
      <c r="D343" s="104" t="s">
        <v>1696</v>
      </c>
      <c r="E343" s="104" t="s">
        <v>1779</v>
      </c>
      <c r="F343" s="104" t="s">
        <v>1869</v>
      </c>
      <c r="G343" s="104" t="s">
        <v>1880</v>
      </c>
      <c r="M343" s="104" t="s">
        <v>1850</v>
      </c>
      <c r="N343" s="104" t="s">
        <v>1851</v>
      </c>
      <c r="O343" s="101">
        <v>45754</v>
      </c>
      <c r="P343" s="101">
        <v>45849</v>
      </c>
      <c r="Q343" s="101">
        <v>45753</v>
      </c>
      <c r="R343" s="101">
        <v>45759</v>
      </c>
      <c r="S343" s="184">
        <v>15</v>
      </c>
      <c r="T343" s="102">
        <v>8</v>
      </c>
      <c r="U343" s="102">
        <v>32.5</v>
      </c>
      <c r="V343" s="102">
        <v>0</v>
      </c>
      <c r="W343" s="102">
        <v>6.5</v>
      </c>
      <c r="X343" s="103">
        <v>0</v>
      </c>
      <c r="Y343" s="103">
        <v>0</v>
      </c>
      <c r="Z343" s="103">
        <v>0</v>
      </c>
      <c r="AC343" s="102">
        <v>0</v>
      </c>
    </row>
    <row r="344" spans="1:29">
      <c r="A344" s="104" t="s">
        <v>1467</v>
      </c>
      <c r="B344" s="104" t="s">
        <v>1880</v>
      </c>
      <c r="C344" s="104" t="s">
        <v>1465</v>
      </c>
      <c r="D344" s="104" t="s">
        <v>1696</v>
      </c>
      <c r="E344" s="104" t="s">
        <v>1779</v>
      </c>
      <c r="F344" s="104" t="s">
        <v>1869</v>
      </c>
      <c r="G344" s="104" t="s">
        <v>1880</v>
      </c>
      <c r="M344" s="104" t="s">
        <v>1850</v>
      </c>
      <c r="N344" s="104" t="s">
        <v>1851</v>
      </c>
      <c r="O344" s="101">
        <v>45754</v>
      </c>
      <c r="P344" s="101">
        <v>45849</v>
      </c>
      <c r="Q344" s="101">
        <v>45760</v>
      </c>
      <c r="R344" s="101">
        <v>45766</v>
      </c>
      <c r="S344" s="184">
        <v>16</v>
      </c>
      <c r="T344" s="102">
        <v>9</v>
      </c>
      <c r="U344" s="102">
        <v>32.5</v>
      </c>
      <c r="V344" s="102">
        <v>0</v>
      </c>
      <c r="W344" s="102">
        <v>6.5</v>
      </c>
      <c r="X344" s="103">
        <v>0</v>
      </c>
      <c r="Y344" s="103">
        <v>0</v>
      </c>
      <c r="Z344" s="103">
        <v>0</v>
      </c>
      <c r="AC344" s="102">
        <v>0</v>
      </c>
    </row>
    <row r="345" spans="1:29">
      <c r="A345" s="104" t="s">
        <v>1467</v>
      </c>
      <c r="B345" s="104" t="s">
        <v>1880</v>
      </c>
      <c r="C345" s="104" t="s">
        <v>1465</v>
      </c>
      <c r="D345" s="104" t="s">
        <v>1696</v>
      </c>
      <c r="E345" s="104" t="s">
        <v>1779</v>
      </c>
      <c r="F345" s="104" t="s">
        <v>1869</v>
      </c>
      <c r="G345" s="104" t="s">
        <v>1880</v>
      </c>
      <c r="M345" s="104" t="s">
        <v>1850</v>
      </c>
      <c r="N345" s="104" t="s">
        <v>1851</v>
      </c>
      <c r="O345" s="101">
        <v>45754</v>
      </c>
      <c r="P345" s="101">
        <v>45849</v>
      </c>
      <c r="Q345" s="101">
        <v>45767</v>
      </c>
      <c r="R345" s="101">
        <v>45773</v>
      </c>
      <c r="S345" s="184">
        <v>17</v>
      </c>
      <c r="T345" s="102">
        <v>10</v>
      </c>
      <c r="U345" s="102">
        <v>32.5</v>
      </c>
      <c r="V345" s="102">
        <v>0</v>
      </c>
      <c r="W345" s="102">
        <v>6.5</v>
      </c>
      <c r="X345" s="103">
        <v>0</v>
      </c>
      <c r="Y345" s="103">
        <v>0</v>
      </c>
      <c r="Z345" s="103">
        <v>0</v>
      </c>
      <c r="AC345" s="102">
        <v>0</v>
      </c>
    </row>
    <row r="346" spans="1:29">
      <c r="A346" s="104" t="s">
        <v>1467</v>
      </c>
      <c r="B346" s="104" t="s">
        <v>1880</v>
      </c>
      <c r="C346" s="104" t="s">
        <v>1465</v>
      </c>
      <c r="D346" s="104" t="s">
        <v>1696</v>
      </c>
      <c r="E346" s="104" t="s">
        <v>1779</v>
      </c>
      <c r="F346" s="104" t="s">
        <v>1869</v>
      </c>
      <c r="G346" s="104" t="s">
        <v>1880</v>
      </c>
      <c r="M346" s="104" t="s">
        <v>1850</v>
      </c>
      <c r="N346" s="104" t="s">
        <v>1851</v>
      </c>
      <c r="O346" s="101">
        <v>45754</v>
      </c>
      <c r="P346" s="101">
        <v>45849</v>
      </c>
      <c r="Q346" s="101">
        <v>45774</v>
      </c>
      <c r="R346" s="101">
        <v>45780</v>
      </c>
      <c r="S346" s="184">
        <v>18</v>
      </c>
      <c r="T346" s="102">
        <v>11</v>
      </c>
      <c r="U346" s="102">
        <v>26</v>
      </c>
      <c r="V346" s="102">
        <v>0</v>
      </c>
      <c r="W346" s="102">
        <v>6.5</v>
      </c>
      <c r="X346" s="103">
        <v>0</v>
      </c>
      <c r="Y346" s="103">
        <v>0</v>
      </c>
      <c r="Z346" s="103">
        <v>0</v>
      </c>
      <c r="AC346" s="102">
        <v>0</v>
      </c>
    </row>
    <row r="347" spans="1:29">
      <c r="A347" s="104" t="s">
        <v>1467</v>
      </c>
      <c r="B347" s="104" t="s">
        <v>1880</v>
      </c>
      <c r="C347" s="104" t="s">
        <v>1465</v>
      </c>
      <c r="D347" s="104" t="s">
        <v>1696</v>
      </c>
      <c r="E347" s="104" t="s">
        <v>1779</v>
      </c>
      <c r="F347" s="104" t="s">
        <v>1869</v>
      </c>
      <c r="G347" s="104" t="s">
        <v>1880</v>
      </c>
      <c r="M347" s="104" t="s">
        <v>1850</v>
      </c>
      <c r="N347" s="104" t="s">
        <v>1851</v>
      </c>
      <c r="O347" s="101">
        <v>45754</v>
      </c>
      <c r="P347" s="101">
        <v>45849</v>
      </c>
      <c r="Q347" s="101">
        <v>45781</v>
      </c>
      <c r="R347" s="101">
        <v>45787</v>
      </c>
      <c r="S347" s="184">
        <v>19</v>
      </c>
      <c r="T347" s="102">
        <v>12</v>
      </c>
      <c r="U347" s="102">
        <v>26</v>
      </c>
      <c r="V347" s="102">
        <v>0</v>
      </c>
      <c r="W347" s="102">
        <v>6.5</v>
      </c>
      <c r="X347" s="103">
        <v>0</v>
      </c>
      <c r="Y347" s="103">
        <v>0</v>
      </c>
      <c r="Z347" s="103">
        <v>0</v>
      </c>
      <c r="AC347" s="102">
        <v>0</v>
      </c>
    </row>
    <row r="348" spans="1:29">
      <c r="A348" s="104" t="s">
        <v>1467</v>
      </c>
      <c r="B348" s="104" t="s">
        <v>1880</v>
      </c>
      <c r="C348" s="104" t="s">
        <v>1465</v>
      </c>
      <c r="D348" s="104" t="s">
        <v>1696</v>
      </c>
      <c r="E348" s="104" t="s">
        <v>1779</v>
      </c>
      <c r="F348" s="104" t="s">
        <v>1869</v>
      </c>
      <c r="G348" s="104" t="s">
        <v>1880</v>
      </c>
      <c r="M348" s="104" t="s">
        <v>1850</v>
      </c>
      <c r="N348" s="104" t="s">
        <v>1851</v>
      </c>
      <c r="O348" s="101">
        <v>45754</v>
      </c>
      <c r="P348" s="101">
        <v>45849</v>
      </c>
      <c r="Q348" s="101">
        <v>45788</v>
      </c>
      <c r="R348" s="101">
        <v>45794</v>
      </c>
      <c r="S348" s="184">
        <v>20</v>
      </c>
      <c r="T348" s="102">
        <v>13</v>
      </c>
      <c r="U348" s="102">
        <v>32.5</v>
      </c>
      <c r="V348" s="102">
        <v>0</v>
      </c>
      <c r="W348" s="102">
        <v>6.5</v>
      </c>
      <c r="X348" s="103">
        <v>0</v>
      </c>
      <c r="Y348" s="103">
        <v>0</v>
      </c>
      <c r="Z348" s="103">
        <v>0</v>
      </c>
      <c r="AC348" s="102">
        <v>0</v>
      </c>
    </row>
    <row r="349" spans="1:29">
      <c r="A349" s="104" t="s">
        <v>1467</v>
      </c>
      <c r="B349" s="104" t="s">
        <v>1880</v>
      </c>
      <c r="C349" s="104" t="s">
        <v>1465</v>
      </c>
      <c r="D349" s="104" t="s">
        <v>1696</v>
      </c>
      <c r="E349" s="104" t="s">
        <v>1779</v>
      </c>
      <c r="F349" s="104" t="s">
        <v>1869</v>
      </c>
      <c r="G349" s="104" t="s">
        <v>1880</v>
      </c>
      <c r="M349" s="104" t="s">
        <v>1850</v>
      </c>
      <c r="N349" s="104" t="s">
        <v>1851</v>
      </c>
      <c r="O349" s="101">
        <v>45754</v>
      </c>
      <c r="P349" s="101">
        <v>45849</v>
      </c>
      <c r="Q349" s="101">
        <v>45795</v>
      </c>
      <c r="R349" s="101">
        <v>45801</v>
      </c>
      <c r="S349" s="184">
        <v>21</v>
      </c>
      <c r="T349" s="102">
        <v>14</v>
      </c>
      <c r="U349" s="102">
        <v>32.5</v>
      </c>
      <c r="V349" s="102">
        <v>0</v>
      </c>
      <c r="W349" s="102">
        <v>6.5</v>
      </c>
      <c r="X349" s="103">
        <v>0</v>
      </c>
      <c r="Y349" s="103">
        <v>0</v>
      </c>
      <c r="Z349" s="103">
        <v>0</v>
      </c>
      <c r="AC349" s="102">
        <v>0</v>
      </c>
    </row>
    <row r="350" spans="1:29">
      <c r="A350" s="104" t="s">
        <v>1467</v>
      </c>
      <c r="B350" s="104" t="s">
        <v>1880</v>
      </c>
      <c r="C350" s="104" t="s">
        <v>1465</v>
      </c>
      <c r="D350" s="104" t="s">
        <v>1696</v>
      </c>
      <c r="E350" s="104" t="s">
        <v>1779</v>
      </c>
      <c r="F350" s="104" t="s">
        <v>1869</v>
      </c>
      <c r="G350" s="104" t="s">
        <v>1880</v>
      </c>
      <c r="M350" s="104" t="s">
        <v>1850</v>
      </c>
      <c r="N350" s="104" t="s">
        <v>1851</v>
      </c>
      <c r="O350" s="101">
        <v>45754</v>
      </c>
      <c r="P350" s="101">
        <v>45849</v>
      </c>
      <c r="Q350" s="101">
        <v>45802</v>
      </c>
      <c r="R350" s="101">
        <v>45808</v>
      </c>
      <c r="S350" s="184">
        <v>22</v>
      </c>
      <c r="T350" s="102">
        <v>15</v>
      </c>
      <c r="U350" s="102">
        <v>32.5</v>
      </c>
      <c r="V350" s="102">
        <v>0</v>
      </c>
      <c r="W350" s="102">
        <v>6.5</v>
      </c>
      <c r="X350" s="103">
        <v>0</v>
      </c>
      <c r="Y350" s="103">
        <v>0</v>
      </c>
      <c r="Z350" s="103">
        <v>0</v>
      </c>
      <c r="AC350" s="102">
        <v>0</v>
      </c>
    </row>
    <row r="351" spans="1:29">
      <c r="A351" s="104" t="s">
        <v>1467</v>
      </c>
      <c r="B351" s="104" t="s">
        <v>1880</v>
      </c>
      <c r="C351" s="104" t="s">
        <v>1465</v>
      </c>
      <c r="D351" s="104" t="s">
        <v>1696</v>
      </c>
      <c r="E351" s="104" t="s">
        <v>1779</v>
      </c>
      <c r="F351" s="104" t="s">
        <v>1869</v>
      </c>
      <c r="G351" s="104" t="s">
        <v>1880</v>
      </c>
      <c r="M351" s="104" t="s">
        <v>1850</v>
      </c>
      <c r="N351" s="104" t="s">
        <v>1851</v>
      </c>
      <c r="O351" s="101">
        <v>45754</v>
      </c>
      <c r="P351" s="101">
        <v>45849</v>
      </c>
      <c r="Q351" s="101">
        <v>45809</v>
      </c>
      <c r="R351" s="101">
        <v>45815</v>
      </c>
      <c r="S351" s="184">
        <v>23</v>
      </c>
      <c r="T351" s="102">
        <v>16</v>
      </c>
      <c r="U351" s="102">
        <v>26</v>
      </c>
      <c r="V351" s="102">
        <v>0</v>
      </c>
      <c r="W351" s="102">
        <v>6.5</v>
      </c>
      <c r="X351" s="103">
        <v>0</v>
      </c>
      <c r="Y351" s="103">
        <v>0</v>
      </c>
      <c r="Z351" s="103">
        <v>0</v>
      </c>
      <c r="AC351" s="102">
        <v>0</v>
      </c>
    </row>
    <row r="352" spans="1:29">
      <c r="A352" s="104" t="s">
        <v>1467</v>
      </c>
      <c r="B352" s="104" t="s">
        <v>1880</v>
      </c>
      <c r="C352" s="104" t="s">
        <v>1465</v>
      </c>
      <c r="D352" s="104" t="s">
        <v>1696</v>
      </c>
      <c r="E352" s="104" t="s">
        <v>1779</v>
      </c>
      <c r="F352" s="104" t="s">
        <v>1869</v>
      </c>
      <c r="G352" s="104" t="s">
        <v>1880</v>
      </c>
      <c r="M352" s="104" t="s">
        <v>1850</v>
      </c>
      <c r="N352" s="104" t="s">
        <v>1851</v>
      </c>
      <c r="O352" s="101">
        <v>45754</v>
      </c>
      <c r="P352" s="101">
        <v>45849</v>
      </c>
      <c r="Q352" s="101">
        <v>45816</v>
      </c>
      <c r="R352" s="101">
        <v>45822</v>
      </c>
      <c r="S352" s="184">
        <v>24</v>
      </c>
      <c r="T352" s="102">
        <v>17</v>
      </c>
      <c r="U352" s="102">
        <v>32.5</v>
      </c>
      <c r="V352" s="102">
        <v>0</v>
      </c>
      <c r="W352" s="102">
        <v>6.5</v>
      </c>
      <c r="X352" s="103">
        <v>0</v>
      </c>
      <c r="Y352" s="103">
        <v>0</v>
      </c>
      <c r="Z352" s="103">
        <v>0</v>
      </c>
      <c r="AC352" s="102">
        <v>0</v>
      </c>
    </row>
    <row r="353" spans="1:29">
      <c r="A353" s="104" t="s">
        <v>1467</v>
      </c>
      <c r="B353" s="104" t="s">
        <v>1880</v>
      </c>
      <c r="C353" s="104" t="s">
        <v>1465</v>
      </c>
      <c r="D353" s="104" t="s">
        <v>1696</v>
      </c>
      <c r="E353" s="104" t="s">
        <v>1779</v>
      </c>
      <c r="F353" s="104" t="s">
        <v>1869</v>
      </c>
      <c r="G353" s="104" t="s">
        <v>1880</v>
      </c>
      <c r="M353" s="104" t="s">
        <v>1850</v>
      </c>
      <c r="N353" s="104" t="s">
        <v>1851</v>
      </c>
      <c r="O353" s="101">
        <v>45754</v>
      </c>
      <c r="P353" s="101">
        <v>45849</v>
      </c>
      <c r="Q353" s="101">
        <v>45823</v>
      </c>
      <c r="R353" s="101">
        <v>45829</v>
      </c>
      <c r="S353" s="184">
        <v>25</v>
      </c>
      <c r="T353" s="102">
        <v>18</v>
      </c>
      <c r="U353" s="102">
        <v>32.5</v>
      </c>
      <c r="V353" s="102">
        <v>0</v>
      </c>
      <c r="W353" s="102">
        <v>6.5</v>
      </c>
      <c r="X353" s="103">
        <v>0</v>
      </c>
      <c r="Y353" s="103">
        <v>0</v>
      </c>
      <c r="Z353" s="103">
        <v>0</v>
      </c>
      <c r="AC353" s="102">
        <v>0</v>
      </c>
    </row>
    <row r="354" spans="1:29">
      <c r="A354" s="104" t="s">
        <v>1467</v>
      </c>
      <c r="B354" s="104" t="s">
        <v>1880</v>
      </c>
      <c r="C354" s="104" t="s">
        <v>1465</v>
      </c>
      <c r="D354" s="104" t="s">
        <v>1696</v>
      </c>
      <c r="E354" s="104" t="s">
        <v>1779</v>
      </c>
      <c r="F354" s="104" t="s">
        <v>1869</v>
      </c>
      <c r="G354" s="104" t="s">
        <v>1880</v>
      </c>
      <c r="M354" s="104" t="s">
        <v>1850</v>
      </c>
      <c r="N354" s="104" t="s">
        <v>1851</v>
      </c>
      <c r="O354" s="101">
        <v>45754</v>
      </c>
      <c r="P354" s="101">
        <v>45849</v>
      </c>
      <c r="Q354" s="101">
        <v>45830</v>
      </c>
      <c r="R354" s="101">
        <v>45836</v>
      </c>
      <c r="S354" s="184">
        <v>26</v>
      </c>
      <c r="T354" s="102">
        <v>19</v>
      </c>
      <c r="U354" s="102">
        <v>32.5</v>
      </c>
      <c r="V354" s="102">
        <v>0</v>
      </c>
      <c r="W354" s="102">
        <v>6.5</v>
      </c>
      <c r="X354" s="103">
        <v>0</v>
      </c>
      <c r="Y354" s="103">
        <v>0</v>
      </c>
      <c r="Z354" s="103">
        <v>0</v>
      </c>
      <c r="AC354" s="102">
        <v>0</v>
      </c>
    </row>
    <row r="355" spans="1:29">
      <c r="A355" s="104" t="s">
        <v>1467</v>
      </c>
      <c r="B355" s="104" t="s">
        <v>1880</v>
      </c>
      <c r="C355" s="104" t="s">
        <v>1465</v>
      </c>
      <c r="D355" s="104" t="s">
        <v>1696</v>
      </c>
      <c r="E355" s="104" t="s">
        <v>1779</v>
      </c>
      <c r="F355" s="104" t="s">
        <v>1869</v>
      </c>
      <c r="G355" s="104" t="s">
        <v>1880</v>
      </c>
      <c r="M355" s="104" t="s">
        <v>1850</v>
      </c>
      <c r="N355" s="104" t="s">
        <v>1851</v>
      </c>
      <c r="O355" s="101">
        <v>45754</v>
      </c>
      <c r="P355" s="101">
        <v>45849</v>
      </c>
      <c r="Q355" s="101">
        <v>45837</v>
      </c>
      <c r="R355" s="101">
        <v>45843</v>
      </c>
      <c r="S355" s="184">
        <v>27</v>
      </c>
      <c r="T355" s="102">
        <v>20</v>
      </c>
      <c r="U355" s="102">
        <v>32.5</v>
      </c>
      <c r="V355" s="102">
        <v>0</v>
      </c>
      <c r="W355" s="102">
        <v>6.5</v>
      </c>
      <c r="X355" s="103">
        <v>0</v>
      </c>
      <c r="Y355" s="103">
        <v>0</v>
      </c>
      <c r="Z355" s="103">
        <v>0</v>
      </c>
      <c r="AC355" s="102">
        <v>0</v>
      </c>
    </row>
    <row r="356" spans="1:29">
      <c r="A356" s="104" t="s">
        <v>1467</v>
      </c>
      <c r="B356" s="104" t="s">
        <v>1880</v>
      </c>
      <c r="C356" s="104" t="s">
        <v>1465</v>
      </c>
      <c r="D356" s="104" t="s">
        <v>1696</v>
      </c>
      <c r="E356" s="104" t="s">
        <v>1779</v>
      </c>
      <c r="F356" s="104" t="s">
        <v>1869</v>
      </c>
      <c r="G356" s="104" t="s">
        <v>1880</v>
      </c>
      <c r="M356" s="104" t="s">
        <v>1850</v>
      </c>
      <c r="N356" s="104" t="s">
        <v>1851</v>
      </c>
      <c r="O356" s="101">
        <v>45754</v>
      </c>
      <c r="P356" s="101">
        <v>45849</v>
      </c>
      <c r="Q356" s="101">
        <v>45844</v>
      </c>
      <c r="R356" s="101">
        <v>45850</v>
      </c>
      <c r="S356" s="184">
        <v>28</v>
      </c>
      <c r="T356" s="102">
        <v>21</v>
      </c>
      <c r="U356" s="102">
        <v>32.5</v>
      </c>
      <c r="V356" s="102">
        <v>0</v>
      </c>
      <c r="W356" s="102">
        <v>6.5</v>
      </c>
      <c r="X356" s="103">
        <v>0</v>
      </c>
      <c r="Y356" s="103">
        <v>0</v>
      </c>
      <c r="Z356" s="103">
        <v>0</v>
      </c>
      <c r="AC356" s="102">
        <v>0</v>
      </c>
    </row>
    <row r="357" spans="1:29">
      <c r="A357" s="104" t="s">
        <v>1467</v>
      </c>
      <c r="B357" s="104" t="s">
        <v>1881</v>
      </c>
      <c r="C357" s="104" t="s">
        <v>1465</v>
      </c>
      <c r="D357" s="104" t="s">
        <v>1696</v>
      </c>
      <c r="E357" s="104" t="s">
        <v>1779</v>
      </c>
      <c r="F357" s="104" t="s">
        <v>1869</v>
      </c>
      <c r="G357" s="104" t="s">
        <v>1881</v>
      </c>
      <c r="M357" s="104" t="s">
        <v>1846</v>
      </c>
      <c r="N357" s="104" t="s">
        <v>1851</v>
      </c>
      <c r="O357" s="101">
        <v>45810</v>
      </c>
      <c r="P357" s="101">
        <v>45828</v>
      </c>
      <c r="Q357" s="101">
        <v>45809</v>
      </c>
      <c r="R357" s="101">
        <v>45815</v>
      </c>
      <c r="S357" s="184">
        <v>23</v>
      </c>
      <c r="T357" s="102">
        <v>16</v>
      </c>
      <c r="U357" s="102">
        <v>4</v>
      </c>
      <c r="V357" s="102">
        <v>0</v>
      </c>
      <c r="W357" s="102">
        <v>1</v>
      </c>
      <c r="X357" s="103">
        <v>0</v>
      </c>
      <c r="Y357" s="103">
        <v>0</v>
      </c>
      <c r="Z357" s="103">
        <v>0</v>
      </c>
      <c r="AC357" s="102">
        <v>0</v>
      </c>
    </row>
    <row r="358" spans="1:29">
      <c r="A358" s="104" t="s">
        <v>1467</v>
      </c>
      <c r="B358" s="104" t="s">
        <v>1881</v>
      </c>
      <c r="C358" s="104" t="s">
        <v>1465</v>
      </c>
      <c r="D358" s="104" t="s">
        <v>1696</v>
      </c>
      <c r="E358" s="104" t="s">
        <v>1779</v>
      </c>
      <c r="F358" s="104" t="s">
        <v>1869</v>
      </c>
      <c r="G358" s="104" t="s">
        <v>1881</v>
      </c>
      <c r="M358" s="104" t="s">
        <v>1846</v>
      </c>
      <c r="N358" s="104" t="s">
        <v>1851</v>
      </c>
      <c r="O358" s="101">
        <v>45810</v>
      </c>
      <c r="P358" s="101">
        <v>45828</v>
      </c>
      <c r="Q358" s="101">
        <v>45816</v>
      </c>
      <c r="R358" s="101">
        <v>45822</v>
      </c>
      <c r="S358" s="184">
        <v>24</v>
      </c>
      <c r="T358" s="102">
        <v>17</v>
      </c>
      <c r="U358" s="102">
        <v>5</v>
      </c>
      <c r="V358" s="102">
        <v>0</v>
      </c>
      <c r="W358" s="102">
        <v>1</v>
      </c>
      <c r="X358" s="103">
        <v>0</v>
      </c>
      <c r="Y358" s="103">
        <v>0</v>
      </c>
      <c r="Z358" s="103">
        <v>0</v>
      </c>
      <c r="AC358" s="102">
        <v>0</v>
      </c>
    </row>
    <row r="359" spans="1:29">
      <c r="A359" s="104" t="s">
        <v>1467</v>
      </c>
      <c r="B359" s="104" t="s">
        <v>1881</v>
      </c>
      <c r="C359" s="104" t="s">
        <v>1465</v>
      </c>
      <c r="D359" s="104" t="s">
        <v>1696</v>
      </c>
      <c r="E359" s="104" t="s">
        <v>1779</v>
      </c>
      <c r="F359" s="104" t="s">
        <v>1869</v>
      </c>
      <c r="G359" s="104" t="s">
        <v>1881</v>
      </c>
      <c r="M359" s="104" t="s">
        <v>1846</v>
      </c>
      <c r="N359" s="104" t="s">
        <v>1851</v>
      </c>
      <c r="O359" s="101">
        <v>45810</v>
      </c>
      <c r="P359" s="101">
        <v>45828</v>
      </c>
      <c r="Q359" s="101">
        <v>45823</v>
      </c>
      <c r="R359" s="101">
        <v>45829</v>
      </c>
      <c r="S359" s="184">
        <v>25</v>
      </c>
      <c r="T359" s="102">
        <v>18</v>
      </c>
      <c r="U359" s="102">
        <v>5</v>
      </c>
      <c r="V359" s="102">
        <v>0</v>
      </c>
      <c r="W359" s="102">
        <v>1</v>
      </c>
      <c r="X359" s="103">
        <v>0</v>
      </c>
      <c r="Y359" s="103">
        <v>0</v>
      </c>
      <c r="Z359" s="103">
        <v>0</v>
      </c>
      <c r="AC359" s="102">
        <v>0</v>
      </c>
    </row>
    <row r="360" spans="1:29">
      <c r="A360" s="104" t="s">
        <v>1467</v>
      </c>
      <c r="B360" s="104" t="s">
        <v>1882</v>
      </c>
      <c r="C360" s="104" t="s">
        <v>1465</v>
      </c>
      <c r="D360" s="104" t="s">
        <v>1696</v>
      </c>
      <c r="E360" s="104" t="s">
        <v>1779</v>
      </c>
      <c r="F360" s="104" t="s">
        <v>1869</v>
      </c>
      <c r="G360" s="104" t="s">
        <v>1882</v>
      </c>
      <c r="M360" s="104" t="s">
        <v>1829</v>
      </c>
      <c r="N360" s="104" t="s">
        <v>1851</v>
      </c>
      <c r="O360" s="101">
        <v>45810</v>
      </c>
      <c r="P360" s="101">
        <v>45849</v>
      </c>
      <c r="Q360" s="101">
        <v>45809</v>
      </c>
      <c r="R360" s="101">
        <v>45815</v>
      </c>
      <c r="S360" s="184">
        <v>23</v>
      </c>
      <c r="T360" s="102">
        <v>16</v>
      </c>
      <c r="U360" s="102">
        <v>20</v>
      </c>
      <c r="V360" s="102">
        <v>0</v>
      </c>
      <c r="W360" s="102">
        <v>5</v>
      </c>
      <c r="X360" s="103">
        <v>0</v>
      </c>
      <c r="Y360" s="103">
        <v>0</v>
      </c>
      <c r="Z360" s="103">
        <v>0</v>
      </c>
      <c r="AC360" s="102">
        <v>0</v>
      </c>
    </row>
    <row r="361" spans="1:29">
      <c r="A361" s="104" t="s">
        <v>1467</v>
      </c>
      <c r="B361" s="104" t="s">
        <v>1882</v>
      </c>
      <c r="C361" s="104" t="s">
        <v>1465</v>
      </c>
      <c r="D361" s="104" t="s">
        <v>1696</v>
      </c>
      <c r="E361" s="104" t="s">
        <v>1779</v>
      </c>
      <c r="F361" s="104" t="s">
        <v>1869</v>
      </c>
      <c r="G361" s="104" t="s">
        <v>1882</v>
      </c>
      <c r="M361" s="104" t="s">
        <v>1829</v>
      </c>
      <c r="N361" s="104" t="s">
        <v>1851</v>
      </c>
      <c r="O361" s="101">
        <v>45810</v>
      </c>
      <c r="P361" s="101">
        <v>45849</v>
      </c>
      <c r="Q361" s="101">
        <v>45816</v>
      </c>
      <c r="R361" s="101">
        <v>45822</v>
      </c>
      <c r="S361" s="184">
        <v>24</v>
      </c>
      <c r="T361" s="102">
        <v>17</v>
      </c>
      <c r="U361" s="102">
        <v>25</v>
      </c>
      <c r="V361" s="102">
        <v>0</v>
      </c>
      <c r="W361" s="102">
        <v>5</v>
      </c>
      <c r="X361" s="103">
        <v>0</v>
      </c>
      <c r="Y361" s="103">
        <v>0</v>
      </c>
      <c r="Z361" s="103">
        <v>0</v>
      </c>
      <c r="AC361" s="102">
        <v>0</v>
      </c>
    </row>
    <row r="362" spans="1:29">
      <c r="A362" s="104" t="s">
        <v>1467</v>
      </c>
      <c r="B362" s="104" t="s">
        <v>1882</v>
      </c>
      <c r="C362" s="104" t="s">
        <v>1465</v>
      </c>
      <c r="D362" s="104" t="s">
        <v>1696</v>
      </c>
      <c r="E362" s="104" t="s">
        <v>1779</v>
      </c>
      <c r="F362" s="104" t="s">
        <v>1869</v>
      </c>
      <c r="G362" s="104" t="s">
        <v>1882</v>
      </c>
      <c r="M362" s="104" t="s">
        <v>1829</v>
      </c>
      <c r="N362" s="104" t="s">
        <v>1851</v>
      </c>
      <c r="O362" s="101">
        <v>45810</v>
      </c>
      <c r="P362" s="101">
        <v>45849</v>
      </c>
      <c r="Q362" s="101">
        <v>45823</v>
      </c>
      <c r="R362" s="101">
        <v>45829</v>
      </c>
      <c r="S362" s="184">
        <v>25</v>
      </c>
      <c r="T362" s="102">
        <v>18</v>
      </c>
      <c r="U362" s="102">
        <v>25</v>
      </c>
      <c r="V362" s="102">
        <v>0</v>
      </c>
      <c r="W362" s="102">
        <v>5</v>
      </c>
      <c r="X362" s="103">
        <v>0</v>
      </c>
      <c r="Y362" s="103">
        <v>0</v>
      </c>
      <c r="Z362" s="103">
        <v>0</v>
      </c>
      <c r="AC362" s="102">
        <v>0</v>
      </c>
    </row>
    <row r="363" spans="1:29">
      <c r="A363" s="104" t="s">
        <v>1467</v>
      </c>
      <c r="B363" s="104" t="s">
        <v>1882</v>
      </c>
      <c r="C363" s="104" t="s">
        <v>1465</v>
      </c>
      <c r="D363" s="104" t="s">
        <v>1696</v>
      </c>
      <c r="E363" s="104" t="s">
        <v>1779</v>
      </c>
      <c r="F363" s="104" t="s">
        <v>1869</v>
      </c>
      <c r="G363" s="104" t="s">
        <v>1882</v>
      </c>
      <c r="M363" s="104" t="s">
        <v>1829</v>
      </c>
      <c r="N363" s="104" t="s">
        <v>1851</v>
      </c>
      <c r="O363" s="101">
        <v>45810</v>
      </c>
      <c r="P363" s="101">
        <v>45849</v>
      </c>
      <c r="Q363" s="101">
        <v>45830</v>
      </c>
      <c r="R363" s="101">
        <v>45836</v>
      </c>
      <c r="S363" s="184">
        <v>26</v>
      </c>
      <c r="T363" s="102">
        <v>19</v>
      </c>
      <c r="U363" s="102">
        <v>25</v>
      </c>
      <c r="V363" s="102">
        <v>0</v>
      </c>
      <c r="W363" s="102">
        <v>5</v>
      </c>
      <c r="X363" s="103">
        <v>0</v>
      </c>
      <c r="Y363" s="103">
        <v>0</v>
      </c>
      <c r="Z363" s="103">
        <v>0</v>
      </c>
      <c r="AC363" s="102">
        <v>0</v>
      </c>
    </row>
    <row r="364" spans="1:29">
      <c r="A364" s="104" t="s">
        <v>1467</v>
      </c>
      <c r="B364" s="104" t="s">
        <v>1882</v>
      </c>
      <c r="C364" s="104" t="s">
        <v>1465</v>
      </c>
      <c r="D364" s="104" t="s">
        <v>1696</v>
      </c>
      <c r="E364" s="104" t="s">
        <v>1779</v>
      </c>
      <c r="F364" s="104" t="s">
        <v>1869</v>
      </c>
      <c r="G364" s="104" t="s">
        <v>1882</v>
      </c>
      <c r="M364" s="104" t="s">
        <v>1829</v>
      </c>
      <c r="N364" s="104" t="s">
        <v>1851</v>
      </c>
      <c r="O364" s="101">
        <v>45810</v>
      </c>
      <c r="P364" s="101">
        <v>45849</v>
      </c>
      <c r="Q364" s="101">
        <v>45837</v>
      </c>
      <c r="R364" s="101">
        <v>45843</v>
      </c>
      <c r="S364" s="184">
        <v>27</v>
      </c>
      <c r="T364" s="102">
        <v>20</v>
      </c>
      <c r="U364" s="102">
        <v>25</v>
      </c>
      <c r="V364" s="102">
        <v>0</v>
      </c>
      <c r="W364" s="102">
        <v>5</v>
      </c>
      <c r="X364" s="103">
        <v>0</v>
      </c>
      <c r="Y364" s="103">
        <v>0</v>
      </c>
      <c r="Z364" s="103">
        <v>0</v>
      </c>
      <c r="AC364" s="102">
        <v>0</v>
      </c>
    </row>
    <row r="365" spans="1:29">
      <c r="A365" s="104" t="s">
        <v>1467</v>
      </c>
      <c r="B365" s="104" t="s">
        <v>1882</v>
      </c>
      <c r="C365" s="104" t="s">
        <v>1465</v>
      </c>
      <c r="D365" s="104" t="s">
        <v>1696</v>
      </c>
      <c r="E365" s="104" t="s">
        <v>1779</v>
      </c>
      <c r="F365" s="104" t="s">
        <v>1869</v>
      </c>
      <c r="G365" s="104" t="s">
        <v>1882</v>
      </c>
      <c r="M365" s="104" t="s">
        <v>1829</v>
      </c>
      <c r="N365" s="104" t="s">
        <v>1851</v>
      </c>
      <c r="O365" s="101">
        <v>45810</v>
      </c>
      <c r="P365" s="101">
        <v>45849</v>
      </c>
      <c r="Q365" s="101">
        <v>45844</v>
      </c>
      <c r="R365" s="101">
        <v>45850</v>
      </c>
      <c r="S365" s="184">
        <v>28</v>
      </c>
      <c r="T365" s="102">
        <v>21</v>
      </c>
      <c r="U365" s="102">
        <v>25</v>
      </c>
      <c r="V365" s="102">
        <v>0</v>
      </c>
      <c r="W365" s="102">
        <v>5</v>
      </c>
      <c r="X365" s="103">
        <v>0</v>
      </c>
      <c r="Y365" s="103">
        <v>0</v>
      </c>
      <c r="Z365" s="103">
        <v>0</v>
      </c>
      <c r="AC365" s="102">
        <v>0</v>
      </c>
    </row>
    <row r="366" spans="1:29">
      <c r="A366" s="104" t="s">
        <v>1467</v>
      </c>
      <c r="B366" s="104" t="s">
        <v>1883</v>
      </c>
      <c r="C366" s="104" t="s">
        <v>1465</v>
      </c>
      <c r="D366" s="104" t="s">
        <v>1696</v>
      </c>
      <c r="E366" s="104" t="s">
        <v>1779</v>
      </c>
      <c r="F366" s="104" t="s">
        <v>1869</v>
      </c>
      <c r="G366" s="104" t="s">
        <v>1883</v>
      </c>
      <c r="M366" s="104" t="s">
        <v>1792</v>
      </c>
      <c r="N366" s="104" t="s">
        <v>1851</v>
      </c>
      <c r="O366" s="101">
        <v>45810</v>
      </c>
      <c r="P366" s="101">
        <v>45821</v>
      </c>
      <c r="Q366" s="101">
        <v>45809</v>
      </c>
      <c r="R366" s="101">
        <v>45815</v>
      </c>
      <c r="S366" s="184">
        <v>23</v>
      </c>
      <c r="T366" s="102">
        <v>16</v>
      </c>
      <c r="U366" s="102">
        <v>4</v>
      </c>
      <c r="V366" s="102">
        <v>0</v>
      </c>
      <c r="W366" s="102">
        <v>1</v>
      </c>
      <c r="X366" s="103">
        <v>0</v>
      </c>
      <c r="Y366" s="103">
        <v>0</v>
      </c>
      <c r="Z366" s="103">
        <v>0</v>
      </c>
      <c r="AC366" s="102">
        <v>0</v>
      </c>
    </row>
    <row r="367" spans="1:29">
      <c r="A367" s="104" t="s">
        <v>1467</v>
      </c>
      <c r="B367" s="104" t="s">
        <v>1883</v>
      </c>
      <c r="C367" s="104" t="s">
        <v>1465</v>
      </c>
      <c r="D367" s="104" t="s">
        <v>1696</v>
      </c>
      <c r="E367" s="104" t="s">
        <v>1779</v>
      </c>
      <c r="F367" s="104" t="s">
        <v>1869</v>
      </c>
      <c r="G367" s="104" t="s">
        <v>1883</v>
      </c>
      <c r="M367" s="104" t="s">
        <v>1792</v>
      </c>
      <c r="N367" s="104" t="s">
        <v>1851</v>
      </c>
      <c r="O367" s="101">
        <v>45810</v>
      </c>
      <c r="P367" s="101">
        <v>45821</v>
      </c>
      <c r="Q367" s="101">
        <v>45816</v>
      </c>
      <c r="R367" s="101">
        <v>45822</v>
      </c>
      <c r="S367" s="184">
        <v>24</v>
      </c>
      <c r="T367" s="102">
        <v>17</v>
      </c>
      <c r="U367" s="102">
        <v>5</v>
      </c>
      <c r="V367" s="102">
        <v>0</v>
      </c>
      <c r="W367" s="102">
        <v>1</v>
      </c>
      <c r="X367" s="103">
        <v>0</v>
      </c>
      <c r="Y367" s="103">
        <v>0</v>
      </c>
      <c r="Z367" s="103">
        <v>0</v>
      </c>
      <c r="AC367" s="102">
        <v>0</v>
      </c>
    </row>
    <row r="368" spans="1:29">
      <c r="A368" s="104" t="s">
        <v>1467</v>
      </c>
      <c r="B368" s="104" t="s">
        <v>1884</v>
      </c>
      <c r="C368" s="104" t="s">
        <v>1465</v>
      </c>
      <c r="D368" s="104" t="s">
        <v>1696</v>
      </c>
      <c r="E368" s="104" t="s">
        <v>1779</v>
      </c>
      <c r="F368" s="104" t="s">
        <v>1869</v>
      </c>
      <c r="G368" s="104" t="s">
        <v>1884</v>
      </c>
      <c r="M368" s="104" t="s">
        <v>1793</v>
      </c>
      <c r="N368" s="104" t="s">
        <v>1851</v>
      </c>
      <c r="O368" s="101">
        <v>45838</v>
      </c>
      <c r="P368" s="101">
        <v>45849</v>
      </c>
      <c r="Q368" s="101">
        <v>45837</v>
      </c>
      <c r="R368" s="101">
        <v>45843</v>
      </c>
      <c r="S368" s="184">
        <v>27</v>
      </c>
      <c r="T368" s="102">
        <v>20</v>
      </c>
      <c r="U368" s="102">
        <v>25</v>
      </c>
      <c r="V368" s="102">
        <v>0</v>
      </c>
      <c r="W368" s="102">
        <v>5</v>
      </c>
      <c r="X368" s="103">
        <v>0</v>
      </c>
      <c r="Y368" s="103">
        <v>0</v>
      </c>
      <c r="Z368" s="103">
        <v>0</v>
      </c>
      <c r="AC368" s="102">
        <v>0</v>
      </c>
    </row>
    <row r="369" spans="1:29">
      <c r="A369" s="104" t="s">
        <v>1467</v>
      </c>
      <c r="B369" s="104" t="s">
        <v>1884</v>
      </c>
      <c r="C369" s="104" t="s">
        <v>1465</v>
      </c>
      <c r="D369" s="104" t="s">
        <v>1696</v>
      </c>
      <c r="E369" s="104" t="s">
        <v>1779</v>
      </c>
      <c r="F369" s="104" t="s">
        <v>1869</v>
      </c>
      <c r="G369" s="104" t="s">
        <v>1884</v>
      </c>
      <c r="M369" s="104" t="s">
        <v>1793</v>
      </c>
      <c r="N369" s="104" t="s">
        <v>1851</v>
      </c>
      <c r="O369" s="101">
        <v>45838</v>
      </c>
      <c r="P369" s="101">
        <v>45849</v>
      </c>
      <c r="Q369" s="101">
        <v>45844</v>
      </c>
      <c r="R369" s="101">
        <v>45850</v>
      </c>
      <c r="S369" s="184">
        <v>28</v>
      </c>
      <c r="T369" s="102">
        <v>21</v>
      </c>
      <c r="U369" s="102">
        <v>25</v>
      </c>
      <c r="V369" s="102">
        <v>0</v>
      </c>
      <c r="W369" s="102">
        <v>5</v>
      </c>
      <c r="X369" s="103">
        <v>0</v>
      </c>
      <c r="Y369" s="103">
        <v>0</v>
      </c>
      <c r="Z369" s="103">
        <v>0</v>
      </c>
      <c r="AC369" s="102">
        <v>0</v>
      </c>
    </row>
    <row r="370" spans="1:29">
      <c r="A370" s="104" t="s">
        <v>1467</v>
      </c>
      <c r="B370" s="104" t="s">
        <v>1885</v>
      </c>
      <c r="C370" s="104" t="s">
        <v>1465</v>
      </c>
      <c r="D370" s="104" t="s">
        <v>1696</v>
      </c>
      <c r="E370" s="104" t="s">
        <v>1779</v>
      </c>
      <c r="F370" s="104" t="s">
        <v>1869</v>
      </c>
      <c r="G370" s="104" t="s">
        <v>1885</v>
      </c>
      <c r="M370" s="104" t="s">
        <v>1848</v>
      </c>
      <c r="N370" s="104" t="s">
        <v>1851</v>
      </c>
      <c r="O370" s="101">
        <v>45852</v>
      </c>
      <c r="P370" s="101">
        <v>45898</v>
      </c>
      <c r="Q370" s="101">
        <v>45851</v>
      </c>
      <c r="R370" s="101">
        <v>45857</v>
      </c>
      <c r="S370" s="184">
        <v>29</v>
      </c>
      <c r="T370" s="102">
        <v>22</v>
      </c>
      <c r="U370" s="102">
        <v>30</v>
      </c>
      <c r="V370" s="102">
        <v>0</v>
      </c>
      <c r="W370" s="102">
        <v>6</v>
      </c>
      <c r="X370" s="103">
        <v>0</v>
      </c>
      <c r="Y370" s="103">
        <v>0</v>
      </c>
      <c r="Z370" s="103">
        <v>0</v>
      </c>
      <c r="AC370" s="102">
        <v>0</v>
      </c>
    </row>
    <row r="371" spans="1:29">
      <c r="A371" s="104" t="s">
        <v>1467</v>
      </c>
      <c r="B371" s="104" t="s">
        <v>1885</v>
      </c>
      <c r="C371" s="104" t="s">
        <v>1465</v>
      </c>
      <c r="D371" s="104" t="s">
        <v>1696</v>
      </c>
      <c r="E371" s="104" t="s">
        <v>1779</v>
      </c>
      <c r="F371" s="104" t="s">
        <v>1869</v>
      </c>
      <c r="G371" s="104" t="s">
        <v>1885</v>
      </c>
      <c r="M371" s="104" t="s">
        <v>1848</v>
      </c>
      <c r="N371" s="104" t="s">
        <v>1851</v>
      </c>
      <c r="O371" s="101">
        <v>45852</v>
      </c>
      <c r="P371" s="101">
        <v>45898</v>
      </c>
      <c r="Q371" s="101">
        <v>45858</v>
      </c>
      <c r="R371" s="101">
        <v>45864</v>
      </c>
      <c r="S371" s="184">
        <v>30</v>
      </c>
      <c r="T371" s="102">
        <v>23</v>
      </c>
      <c r="U371" s="102">
        <v>30</v>
      </c>
      <c r="V371" s="102">
        <v>0</v>
      </c>
      <c r="W371" s="102">
        <v>6</v>
      </c>
      <c r="X371" s="103">
        <v>0</v>
      </c>
      <c r="Y371" s="103">
        <v>0</v>
      </c>
      <c r="Z371" s="103">
        <v>0</v>
      </c>
      <c r="AC371" s="102">
        <v>0</v>
      </c>
    </row>
    <row r="372" spans="1:29">
      <c r="A372" s="104" t="s">
        <v>1467</v>
      </c>
      <c r="B372" s="104" t="s">
        <v>1885</v>
      </c>
      <c r="C372" s="104" t="s">
        <v>1465</v>
      </c>
      <c r="D372" s="104" t="s">
        <v>1696</v>
      </c>
      <c r="E372" s="104" t="s">
        <v>1779</v>
      </c>
      <c r="F372" s="104" t="s">
        <v>1869</v>
      </c>
      <c r="G372" s="104" t="s">
        <v>1885</v>
      </c>
      <c r="M372" s="104" t="s">
        <v>1848</v>
      </c>
      <c r="N372" s="104" t="s">
        <v>1851</v>
      </c>
      <c r="O372" s="101">
        <v>45852</v>
      </c>
      <c r="P372" s="101">
        <v>45898</v>
      </c>
      <c r="Q372" s="101">
        <v>45865</v>
      </c>
      <c r="R372" s="101">
        <v>45871</v>
      </c>
      <c r="S372" s="184">
        <v>31</v>
      </c>
      <c r="T372" s="102">
        <v>24</v>
      </c>
      <c r="U372" s="102">
        <v>30</v>
      </c>
      <c r="V372" s="102">
        <v>0</v>
      </c>
      <c r="W372" s="102">
        <v>6</v>
      </c>
      <c r="X372" s="103">
        <v>0</v>
      </c>
      <c r="Y372" s="103">
        <v>0</v>
      </c>
      <c r="Z372" s="103">
        <v>0</v>
      </c>
      <c r="AC372" s="102">
        <v>0</v>
      </c>
    </row>
    <row r="373" spans="1:29">
      <c r="A373" s="104" t="s">
        <v>1467</v>
      </c>
      <c r="B373" s="104" t="s">
        <v>1885</v>
      </c>
      <c r="C373" s="104" t="s">
        <v>1465</v>
      </c>
      <c r="D373" s="104" t="s">
        <v>1696</v>
      </c>
      <c r="E373" s="104" t="s">
        <v>1779</v>
      </c>
      <c r="F373" s="104" t="s">
        <v>1869</v>
      </c>
      <c r="G373" s="104" t="s">
        <v>1885</v>
      </c>
      <c r="M373" s="104" t="s">
        <v>1848</v>
      </c>
      <c r="N373" s="104" t="s">
        <v>1851</v>
      </c>
      <c r="O373" s="101">
        <v>45852</v>
      </c>
      <c r="P373" s="101">
        <v>45898</v>
      </c>
      <c r="Q373" s="101">
        <v>45872</v>
      </c>
      <c r="R373" s="101">
        <v>45878</v>
      </c>
      <c r="S373" s="184">
        <v>32</v>
      </c>
      <c r="T373" s="102">
        <v>25</v>
      </c>
      <c r="U373" s="102">
        <v>30</v>
      </c>
      <c r="V373" s="102">
        <v>0</v>
      </c>
      <c r="W373" s="102">
        <v>6</v>
      </c>
      <c r="X373" s="103">
        <v>0</v>
      </c>
      <c r="Y373" s="103">
        <v>0</v>
      </c>
      <c r="Z373" s="103">
        <v>0</v>
      </c>
      <c r="AC373" s="102">
        <v>0</v>
      </c>
    </row>
    <row r="374" spans="1:29">
      <c r="A374" s="104" t="s">
        <v>1467</v>
      </c>
      <c r="B374" s="104" t="s">
        <v>1885</v>
      </c>
      <c r="C374" s="104" t="s">
        <v>1465</v>
      </c>
      <c r="D374" s="104" t="s">
        <v>1696</v>
      </c>
      <c r="E374" s="104" t="s">
        <v>1779</v>
      </c>
      <c r="F374" s="104" t="s">
        <v>1869</v>
      </c>
      <c r="G374" s="104" t="s">
        <v>1885</v>
      </c>
      <c r="M374" s="104" t="s">
        <v>1848</v>
      </c>
      <c r="N374" s="104" t="s">
        <v>1851</v>
      </c>
      <c r="O374" s="101">
        <v>45852</v>
      </c>
      <c r="P374" s="101">
        <v>45898</v>
      </c>
      <c r="Q374" s="101">
        <v>45879</v>
      </c>
      <c r="R374" s="101">
        <v>45885</v>
      </c>
      <c r="S374" s="184">
        <v>33</v>
      </c>
      <c r="T374" s="102">
        <v>26</v>
      </c>
      <c r="U374" s="102">
        <v>24</v>
      </c>
      <c r="V374" s="102">
        <v>0</v>
      </c>
      <c r="W374" s="102">
        <v>6</v>
      </c>
      <c r="X374" s="103">
        <v>0</v>
      </c>
      <c r="Y374" s="103">
        <v>0</v>
      </c>
      <c r="Z374" s="103">
        <v>0</v>
      </c>
      <c r="AC374" s="102">
        <v>0</v>
      </c>
    </row>
    <row r="375" spans="1:29">
      <c r="A375" s="104" t="s">
        <v>1467</v>
      </c>
      <c r="B375" s="104" t="s">
        <v>1885</v>
      </c>
      <c r="C375" s="104" t="s">
        <v>1465</v>
      </c>
      <c r="D375" s="104" t="s">
        <v>1696</v>
      </c>
      <c r="E375" s="104" t="s">
        <v>1779</v>
      </c>
      <c r="F375" s="104" t="s">
        <v>1869</v>
      </c>
      <c r="G375" s="104" t="s">
        <v>1885</v>
      </c>
      <c r="M375" s="104" t="s">
        <v>1848</v>
      </c>
      <c r="N375" s="104" t="s">
        <v>1851</v>
      </c>
      <c r="O375" s="101">
        <v>45852</v>
      </c>
      <c r="P375" s="101">
        <v>45898</v>
      </c>
      <c r="Q375" s="101">
        <v>45886</v>
      </c>
      <c r="R375" s="101">
        <v>45892</v>
      </c>
      <c r="S375" s="184">
        <v>34</v>
      </c>
      <c r="T375" s="102">
        <v>27</v>
      </c>
      <c r="U375" s="102">
        <v>30</v>
      </c>
      <c r="V375" s="102">
        <v>0</v>
      </c>
      <c r="W375" s="102">
        <v>6</v>
      </c>
      <c r="X375" s="103">
        <v>0</v>
      </c>
      <c r="Y375" s="103">
        <v>0</v>
      </c>
      <c r="Z375" s="103">
        <v>0</v>
      </c>
      <c r="AC375" s="102">
        <v>0</v>
      </c>
    </row>
    <row r="376" spans="1:29">
      <c r="A376" s="104" t="s">
        <v>1467</v>
      </c>
      <c r="B376" s="104" t="s">
        <v>1885</v>
      </c>
      <c r="C376" s="104" t="s">
        <v>1465</v>
      </c>
      <c r="D376" s="104" t="s">
        <v>1696</v>
      </c>
      <c r="E376" s="104" t="s">
        <v>1779</v>
      </c>
      <c r="F376" s="104" t="s">
        <v>1869</v>
      </c>
      <c r="G376" s="104" t="s">
        <v>1885</v>
      </c>
      <c r="M376" s="104" t="s">
        <v>1848</v>
      </c>
      <c r="N376" s="104" t="s">
        <v>1851</v>
      </c>
      <c r="O376" s="101">
        <v>45852</v>
      </c>
      <c r="P376" s="101">
        <v>45898</v>
      </c>
      <c r="Q376" s="101">
        <v>45893</v>
      </c>
      <c r="R376" s="101">
        <v>45899</v>
      </c>
      <c r="S376" s="184">
        <v>35</v>
      </c>
      <c r="T376" s="102">
        <v>28</v>
      </c>
      <c r="U376" s="102">
        <v>30</v>
      </c>
      <c r="V376" s="102">
        <v>0</v>
      </c>
      <c r="W376" s="102">
        <v>6</v>
      </c>
      <c r="X376" s="103">
        <v>0</v>
      </c>
      <c r="Y376" s="103">
        <v>0</v>
      </c>
      <c r="Z376" s="103">
        <v>0</v>
      </c>
      <c r="AC376" s="102">
        <v>0</v>
      </c>
    </row>
    <row r="377" spans="1:29">
      <c r="A377" s="104" t="s">
        <v>1467</v>
      </c>
      <c r="B377" s="104" t="s">
        <v>1886</v>
      </c>
      <c r="C377" s="104" t="s">
        <v>1465</v>
      </c>
      <c r="D377" s="104" t="s">
        <v>1696</v>
      </c>
      <c r="E377" s="104" t="s">
        <v>1779</v>
      </c>
      <c r="F377" s="104" t="s">
        <v>1869</v>
      </c>
      <c r="G377" s="104" t="s">
        <v>1886</v>
      </c>
      <c r="M377" s="104" t="s">
        <v>1849</v>
      </c>
      <c r="N377" s="104" t="s">
        <v>1851</v>
      </c>
      <c r="O377" s="101">
        <v>45852</v>
      </c>
      <c r="P377" s="101">
        <v>45898</v>
      </c>
      <c r="Q377" s="101">
        <v>45851</v>
      </c>
      <c r="R377" s="101">
        <v>45857</v>
      </c>
      <c r="S377" s="184">
        <v>29</v>
      </c>
      <c r="T377" s="102">
        <v>22</v>
      </c>
      <c r="U377" s="102">
        <v>30</v>
      </c>
      <c r="V377" s="102">
        <v>0</v>
      </c>
      <c r="W377" s="102">
        <v>6</v>
      </c>
      <c r="X377" s="103">
        <v>0</v>
      </c>
      <c r="Y377" s="103">
        <v>0</v>
      </c>
      <c r="Z377" s="103">
        <v>0</v>
      </c>
      <c r="AC377" s="102">
        <v>0</v>
      </c>
    </row>
    <row r="378" spans="1:29">
      <c r="A378" s="104" t="s">
        <v>1467</v>
      </c>
      <c r="B378" s="104" t="s">
        <v>1886</v>
      </c>
      <c r="C378" s="104" t="s">
        <v>1465</v>
      </c>
      <c r="D378" s="104" t="s">
        <v>1696</v>
      </c>
      <c r="E378" s="104" t="s">
        <v>1779</v>
      </c>
      <c r="F378" s="104" t="s">
        <v>1869</v>
      </c>
      <c r="G378" s="104" t="s">
        <v>1886</v>
      </c>
      <c r="M378" s="104" t="s">
        <v>1849</v>
      </c>
      <c r="N378" s="104" t="s">
        <v>1851</v>
      </c>
      <c r="O378" s="101">
        <v>45852</v>
      </c>
      <c r="P378" s="101">
        <v>45898</v>
      </c>
      <c r="Q378" s="101">
        <v>45858</v>
      </c>
      <c r="R378" s="101">
        <v>45864</v>
      </c>
      <c r="S378" s="184">
        <v>30</v>
      </c>
      <c r="T378" s="102">
        <v>23</v>
      </c>
      <c r="U378" s="102">
        <v>30</v>
      </c>
      <c r="V378" s="102">
        <v>0</v>
      </c>
      <c r="W378" s="102">
        <v>6</v>
      </c>
      <c r="X378" s="103">
        <v>0</v>
      </c>
      <c r="Y378" s="103">
        <v>0</v>
      </c>
      <c r="Z378" s="103">
        <v>0</v>
      </c>
      <c r="AC378" s="102">
        <v>0</v>
      </c>
    </row>
    <row r="379" spans="1:29">
      <c r="A379" s="104" t="s">
        <v>1467</v>
      </c>
      <c r="B379" s="104" t="s">
        <v>1886</v>
      </c>
      <c r="C379" s="104" t="s">
        <v>1465</v>
      </c>
      <c r="D379" s="104" t="s">
        <v>1696</v>
      </c>
      <c r="E379" s="104" t="s">
        <v>1779</v>
      </c>
      <c r="F379" s="104" t="s">
        <v>1869</v>
      </c>
      <c r="G379" s="104" t="s">
        <v>1886</v>
      </c>
      <c r="M379" s="104" t="s">
        <v>1849</v>
      </c>
      <c r="N379" s="104" t="s">
        <v>1851</v>
      </c>
      <c r="O379" s="101">
        <v>45852</v>
      </c>
      <c r="P379" s="101">
        <v>45898</v>
      </c>
      <c r="Q379" s="101">
        <v>45865</v>
      </c>
      <c r="R379" s="101">
        <v>45871</v>
      </c>
      <c r="S379" s="184">
        <v>31</v>
      </c>
      <c r="T379" s="102">
        <v>24</v>
      </c>
      <c r="U379" s="102">
        <v>30</v>
      </c>
      <c r="V379" s="102">
        <v>0</v>
      </c>
      <c r="W379" s="102">
        <v>6</v>
      </c>
      <c r="X379" s="103">
        <v>0</v>
      </c>
      <c r="Y379" s="103">
        <v>0</v>
      </c>
      <c r="Z379" s="103">
        <v>0</v>
      </c>
      <c r="AC379" s="102">
        <v>0</v>
      </c>
    </row>
    <row r="380" spans="1:29">
      <c r="A380" s="104" t="s">
        <v>1467</v>
      </c>
      <c r="B380" s="104" t="s">
        <v>1886</v>
      </c>
      <c r="C380" s="104" t="s">
        <v>1465</v>
      </c>
      <c r="D380" s="104" t="s">
        <v>1696</v>
      </c>
      <c r="E380" s="104" t="s">
        <v>1779</v>
      </c>
      <c r="F380" s="104" t="s">
        <v>1869</v>
      </c>
      <c r="G380" s="104" t="s">
        <v>1886</v>
      </c>
      <c r="M380" s="104" t="s">
        <v>1849</v>
      </c>
      <c r="N380" s="104" t="s">
        <v>1851</v>
      </c>
      <c r="O380" s="101">
        <v>45852</v>
      </c>
      <c r="P380" s="101">
        <v>45898</v>
      </c>
      <c r="Q380" s="101">
        <v>45872</v>
      </c>
      <c r="R380" s="101">
        <v>45878</v>
      </c>
      <c r="S380" s="184">
        <v>32</v>
      </c>
      <c r="T380" s="102">
        <v>25</v>
      </c>
      <c r="U380" s="102">
        <v>30</v>
      </c>
      <c r="V380" s="102">
        <v>0</v>
      </c>
      <c r="W380" s="102">
        <v>6</v>
      </c>
      <c r="X380" s="103">
        <v>0</v>
      </c>
      <c r="Y380" s="103">
        <v>0</v>
      </c>
      <c r="Z380" s="103">
        <v>0</v>
      </c>
      <c r="AC380" s="102">
        <v>0</v>
      </c>
    </row>
    <row r="381" spans="1:29">
      <c r="A381" s="104" t="s">
        <v>1467</v>
      </c>
      <c r="B381" s="104" t="s">
        <v>1886</v>
      </c>
      <c r="C381" s="104" t="s">
        <v>1465</v>
      </c>
      <c r="D381" s="104" t="s">
        <v>1696</v>
      </c>
      <c r="E381" s="104" t="s">
        <v>1779</v>
      </c>
      <c r="F381" s="104" t="s">
        <v>1869</v>
      </c>
      <c r="G381" s="104" t="s">
        <v>1886</v>
      </c>
      <c r="M381" s="104" t="s">
        <v>1849</v>
      </c>
      <c r="N381" s="104" t="s">
        <v>1851</v>
      </c>
      <c r="O381" s="101">
        <v>45852</v>
      </c>
      <c r="P381" s="101">
        <v>45898</v>
      </c>
      <c r="Q381" s="101">
        <v>45879</v>
      </c>
      <c r="R381" s="101">
        <v>45885</v>
      </c>
      <c r="S381" s="184">
        <v>33</v>
      </c>
      <c r="T381" s="102">
        <v>26</v>
      </c>
      <c r="U381" s="102">
        <v>24</v>
      </c>
      <c r="V381" s="102">
        <v>0</v>
      </c>
      <c r="W381" s="102">
        <v>6</v>
      </c>
      <c r="X381" s="103">
        <v>0</v>
      </c>
      <c r="Y381" s="103">
        <v>0</v>
      </c>
      <c r="Z381" s="103">
        <v>0</v>
      </c>
      <c r="AC381" s="102">
        <v>0</v>
      </c>
    </row>
    <row r="382" spans="1:29">
      <c r="A382" s="104" t="s">
        <v>1467</v>
      </c>
      <c r="B382" s="104" t="s">
        <v>1886</v>
      </c>
      <c r="C382" s="104" t="s">
        <v>1465</v>
      </c>
      <c r="D382" s="104" t="s">
        <v>1696</v>
      </c>
      <c r="E382" s="104" t="s">
        <v>1779</v>
      </c>
      <c r="F382" s="104" t="s">
        <v>1869</v>
      </c>
      <c r="G382" s="104" t="s">
        <v>1886</v>
      </c>
      <c r="M382" s="104" t="s">
        <v>1849</v>
      </c>
      <c r="N382" s="104" t="s">
        <v>1851</v>
      </c>
      <c r="O382" s="101">
        <v>45852</v>
      </c>
      <c r="P382" s="101">
        <v>45898</v>
      </c>
      <c r="Q382" s="101">
        <v>45886</v>
      </c>
      <c r="R382" s="101">
        <v>45892</v>
      </c>
      <c r="S382" s="184">
        <v>34</v>
      </c>
      <c r="T382" s="102">
        <v>27</v>
      </c>
      <c r="U382" s="102">
        <v>30</v>
      </c>
      <c r="V382" s="102">
        <v>0</v>
      </c>
      <c r="W382" s="102">
        <v>6</v>
      </c>
      <c r="X382" s="103">
        <v>0</v>
      </c>
      <c r="Y382" s="103">
        <v>0</v>
      </c>
      <c r="Z382" s="103">
        <v>0</v>
      </c>
      <c r="AC382" s="102">
        <v>0</v>
      </c>
    </row>
    <row r="383" spans="1:29">
      <c r="A383" s="104" t="s">
        <v>1467</v>
      </c>
      <c r="B383" s="104" t="s">
        <v>1886</v>
      </c>
      <c r="C383" s="104" t="s">
        <v>1465</v>
      </c>
      <c r="D383" s="104" t="s">
        <v>1696</v>
      </c>
      <c r="E383" s="104" t="s">
        <v>1779</v>
      </c>
      <c r="F383" s="104" t="s">
        <v>1869</v>
      </c>
      <c r="G383" s="104" t="s">
        <v>1886</v>
      </c>
      <c r="M383" s="104" t="s">
        <v>1849</v>
      </c>
      <c r="N383" s="104" t="s">
        <v>1851</v>
      </c>
      <c r="O383" s="101">
        <v>45852</v>
      </c>
      <c r="P383" s="101">
        <v>45898</v>
      </c>
      <c r="Q383" s="101">
        <v>45893</v>
      </c>
      <c r="R383" s="101">
        <v>45899</v>
      </c>
      <c r="S383" s="184">
        <v>35</v>
      </c>
      <c r="T383" s="102">
        <v>28</v>
      </c>
      <c r="U383" s="102">
        <v>30</v>
      </c>
      <c r="V383" s="102">
        <v>0</v>
      </c>
      <c r="W383" s="102">
        <v>6</v>
      </c>
      <c r="X383" s="103">
        <v>0</v>
      </c>
      <c r="Y383" s="103">
        <v>0</v>
      </c>
      <c r="Z383" s="103">
        <v>0</v>
      </c>
      <c r="AC383" s="102">
        <v>0</v>
      </c>
    </row>
    <row r="384" spans="1:29">
      <c r="A384" s="104" t="s">
        <v>1467</v>
      </c>
      <c r="B384" s="104" t="s">
        <v>1888</v>
      </c>
      <c r="C384" s="104" t="s">
        <v>1465</v>
      </c>
      <c r="D384" s="104" t="s">
        <v>1696</v>
      </c>
      <c r="E384" s="104" t="s">
        <v>1779</v>
      </c>
      <c r="F384" s="104" t="s">
        <v>1887</v>
      </c>
      <c r="G384" s="104" t="s">
        <v>1888</v>
      </c>
      <c r="M384" s="104" t="s">
        <v>1852</v>
      </c>
      <c r="N384" s="104" t="s">
        <v>1845</v>
      </c>
      <c r="O384" s="101">
        <v>45824</v>
      </c>
      <c r="P384" s="101">
        <v>45856</v>
      </c>
      <c r="Q384" s="101">
        <v>45823</v>
      </c>
      <c r="R384" s="101">
        <v>45829</v>
      </c>
      <c r="S384" s="184">
        <v>25</v>
      </c>
      <c r="T384" s="102">
        <v>18</v>
      </c>
      <c r="U384" s="102">
        <v>27.5</v>
      </c>
      <c r="V384" s="102">
        <v>0</v>
      </c>
      <c r="W384" s="102">
        <v>5.5</v>
      </c>
      <c r="X384" s="103">
        <v>0</v>
      </c>
      <c r="Y384" s="103">
        <v>0</v>
      </c>
      <c r="Z384" s="103">
        <v>0</v>
      </c>
      <c r="AC384" s="102">
        <v>0</v>
      </c>
    </row>
    <row r="385" spans="1:29">
      <c r="A385" s="104" t="s">
        <v>1467</v>
      </c>
      <c r="B385" s="104" t="s">
        <v>1888</v>
      </c>
      <c r="C385" s="104" t="s">
        <v>1465</v>
      </c>
      <c r="D385" s="104" t="s">
        <v>1696</v>
      </c>
      <c r="E385" s="104" t="s">
        <v>1779</v>
      </c>
      <c r="F385" s="104" t="s">
        <v>1887</v>
      </c>
      <c r="G385" s="104" t="s">
        <v>1888</v>
      </c>
      <c r="M385" s="104" t="s">
        <v>1852</v>
      </c>
      <c r="N385" s="104" t="s">
        <v>1845</v>
      </c>
      <c r="O385" s="101">
        <v>45824</v>
      </c>
      <c r="P385" s="101">
        <v>45856</v>
      </c>
      <c r="Q385" s="101">
        <v>45830</v>
      </c>
      <c r="R385" s="101">
        <v>45836</v>
      </c>
      <c r="S385" s="184">
        <v>26</v>
      </c>
      <c r="T385" s="102">
        <v>19</v>
      </c>
      <c r="U385" s="102">
        <v>27.5</v>
      </c>
      <c r="V385" s="102">
        <v>0</v>
      </c>
      <c r="W385" s="102">
        <v>5.5</v>
      </c>
      <c r="X385" s="103">
        <v>0</v>
      </c>
      <c r="Y385" s="103">
        <v>0</v>
      </c>
      <c r="Z385" s="103">
        <v>0</v>
      </c>
      <c r="AC385" s="102">
        <v>0</v>
      </c>
    </row>
    <row r="386" spans="1:29">
      <c r="A386" s="104" t="s">
        <v>1467</v>
      </c>
      <c r="B386" s="104" t="s">
        <v>1888</v>
      </c>
      <c r="C386" s="104" t="s">
        <v>1465</v>
      </c>
      <c r="D386" s="104" t="s">
        <v>1696</v>
      </c>
      <c r="E386" s="104" t="s">
        <v>1779</v>
      </c>
      <c r="F386" s="104" t="s">
        <v>1887</v>
      </c>
      <c r="G386" s="104" t="s">
        <v>1888</v>
      </c>
      <c r="M386" s="104" t="s">
        <v>1852</v>
      </c>
      <c r="N386" s="104" t="s">
        <v>1845</v>
      </c>
      <c r="O386" s="101">
        <v>45824</v>
      </c>
      <c r="P386" s="101">
        <v>45856</v>
      </c>
      <c r="Q386" s="101">
        <v>45837</v>
      </c>
      <c r="R386" s="101">
        <v>45843</v>
      </c>
      <c r="S386" s="184">
        <v>27</v>
      </c>
      <c r="T386" s="102">
        <v>20</v>
      </c>
      <c r="U386" s="102">
        <v>27.5</v>
      </c>
      <c r="V386" s="102">
        <v>0</v>
      </c>
      <c r="W386" s="102">
        <v>5.5</v>
      </c>
      <c r="X386" s="103">
        <v>0</v>
      </c>
      <c r="Y386" s="103">
        <v>0</v>
      </c>
      <c r="Z386" s="103">
        <v>0</v>
      </c>
      <c r="AC386" s="102">
        <v>0</v>
      </c>
    </row>
    <row r="387" spans="1:29">
      <c r="A387" s="104" t="s">
        <v>1467</v>
      </c>
      <c r="B387" s="104" t="s">
        <v>1888</v>
      </c>
      <c r="C387" s="104" t="s">
        <v>1465</v>
      </c>
      <c r="D387" s="104" t="s">
        <v>1696</v>
      </c>
      <c r="E387" s="104" t="s">
        <v>1779</v>
      </c>
      <c r="F387" s="104" t="s">
        <v>1887</v>
      </c>
      <c r="G387" s="104" t="s">
        <v>1888</v>
      </c>
      <c r="M387" s="104" t="s">
        <v>1852</v>
      </c>
      <c r="N387" s="104" t="s">
        <v>1845</v>
      </c>
      <c r="O387" s="101">
        <v>45824</v>
      </c>
      <c r="P387" s="101">
        <v>45856</v>
      </c>
      <c r="Q387" s="101">
        <v>45844</v>
      </c>
      <c r="R387" s="101">
        <v>45850</v>
      </c>
      <c r="S387" s="184">
        <v>28</v>
      </c>
      <c r="T387" s="102">
        <v>21</v>
      </c>
      <c r="U387" s="102">
        <v>27.5</v>
      </c>
      <c r="V387" s="102">
        <v>0</v>
      </c>
      <c r="W387" s="102">
        <v>5.5</v>
      </c>
      <c r="X387" s="103">
        <v>0</v>
      </c>
      <c r="Y387" s="103">
        <v>0</v>
      </c>
      <c r="Z387" s="103">
        <v>0</v>
      </c>
      <c r="AC387" s="102">
        <v>0</v>
      </c>
    </row>
    <row r="388" spans="1:29">
      <c r="A388" s="104" t="s">
        <v>1467</v>
      </c>
      <c r="B388" s="104" t="s">
        <v>1888</v>
      </c>
      <c r="C388" s="104" t="s">
        <v>1465</v>
      </c>
      <c r="D388" s="104" t="s">
        <v>1696</v>
      </c>
      <c r="E388" s="104" t="s">
        <v>1779</v>
      </c>
      <c r="F388" s="104" t="s">
        <v>1887</v>
      </c>
      <c r="G388" s="104" t="s">
        <v>1888</v>
      </c>
      <c r="M388" s="104" t="s">
        <v>1852</v>
      </c>
      <c r="N388" s="104" t="s">
        <v>1845</v>
      </c>
      <c r="O388" s="101">
        <v>45824</v>
      </c>
      <c r="P388" s="101">
        <v>45856</v>
      </c>
      <c r="Q388" s="101">
        <v>45851</v>
      </c>
      <c r="R388" s="101">
        <v>45857</v>
      </c>
      <c r="S388" s="184">
        <v>29</v>
      </c>
      <c r="T388" s="102">
        <v>22</v>
      </c>
      <c r="U388" s="102">
        <v>27.5</v>
      </c>
      <c r="V388" s="102">
        <v>0</v>
      </c>
      <c r="W388" s="102">
        <v>5.5</v>
      </c>
      <c r="X388" s="103">
        <v>0</v>
      </c>
      <c r="Y388" s="103">
        <v>0</v>
      </c>
      <c r="Z388" s="103">
        <v>0</v>
      </c>
      <c r="AC388" s="102">
        <v>0</v>
      </c>
    </row>
    <row r="389" spans="1:29">
      <c r="A389" s="104" t="s">
        <v>1467</v>
      </c>
      <c r="B389" s="104" t="s">
        <v>1889</v>
      </c>
      <c r="C389" s="104" t="s">
        <v>1465</v>
      </c>
      <c r="D389" s="104" t="s">
        <v>1696</v>
      </c>
      <c r="E389" s="104" t="s">
        <v>1779</v>
      </c>
      <c r="F389" s="104" t="s">
        <v>1887</v>
      </c>
      <c r="G389" s="104" t="s">
        <v>1889</v>
      </c>
      <c r="M389" s="104" t="s">
        <v>1853</v>
      </c>
      <c r="N389" s="104" t="s">
        <v>1845</v>
      </c>
      <c r="O389" s="101">
        <v>45887</v>
      </c>
      <c r="P389" s="101">
        <v>45897</v>
      </c>
      <c r="Q389" s="101">
        <v>45886</v>
      </c>
      <c r="R389" s="101">
        <v>45892</v>
      </c>
      <c r="S389" s="184">
        <v>34</v>
      </c>
      <c r="T389" s="102">
        <v>27</v>
      </c>
      <c r="U389" s="102">
        <v>25</v>
      </c>
      <c r="V389" s="102">
        <v>0</v>
      </c>
      <c r="W389" s="102">
        <v>5</v>
      </c>
      <c r="X389" s="103">
        <v>0</v>
      </c>
      <c r="Y389" s="103">
        <v>0</v>
      </c>
      <c r="Z389" s="103">
        <v>0</v>
      </c>
      <c r="AC389" s="102">
        <v>0</v>
      </c>
    </row>
    <row r="390" spans="1:29">
      <c r="A390" s="104" t="s">
        <v>1467</v>
      </c>
      <c r="B390" s="104" t="s">
        <v>1889</v>
      </c>
      <c r="C390" s="104" t="s">
        <v>1465</v>
      </c>
      <c r="D390" s="104" t="s">
        <v>1696</v>
      </c>
      <c r="E390" s="104" t="s">
        <v>1779</v>
      </c>
      <c r="F390" s="104" t="s">
        <v>1887</v>
      </c>
      <c r="G390" s="104" t="s">
        <v>1889</v>
      </c>
      <c r="M390" s="104" t="s">
        <v>1853</v>
      </c>
      <c r="N390" s="104" t="s">
        <v>1845</v>
      </c>
      <c r="O390" s="101">
        <v>45887</v>
      </c>
      <c r="P390" s="101">
        <v>45897</v>
      </c>
      <c r="Q390" s="101">
        <v>45893</v>
      </c>
      <c r="R390" s="101">
        <v>45899</v>
      </c>
      <c r="S390" s="184">
        <v>35</v>
      </c>
      <c r="T390" s="102">
        <v>28</v>
      </c>
      <c r="U390" s="102">
        <v>20</v>
      </c>
      <c r="V390" s="102">
        <v>0</v>
      </c>
      <c r="W390" s="102">
        <v>5</v>
      </c>
      <c r="X390" s="103">
        <v>0</v>
      </c>
      <c r="Y390" s="103">
        <v>0</v>
      </c>
      <c r="Z390" s="103">
        <v>0</v>
      </c>
      <c r="AC390" s="102">
        <v>0</v>
      </c>
    </row>
    <row r="391" spans="1:29">
      <c r="A391" s="104" t="s">
        <v>1466</v>
      </c>
      <c r="B391" s="104" t="s">
        <v>1835</v>
      </c>
      <c r="C391" s="104" t="s">
        <v>1465</v>
      </c>
      <c r="D391" s="104" t="s">
        <v>1699</v>
      </c>
      <c r="E391" s="104" t="s">
        <v>1700</v>
      </c>
      <c r="F391" s="104" t="s">
        <v>1835</v>
      </c>
      <c r="M391" s="104" t="s">
        <v>1832</v>
      </c>
      <c r="N391" s="104" t="s">
        <v>1844</v>
      </c>
      <c r="O391" s="101">
        <v>45705</v>
      </c>
      <c r="P391" s="101">
        <v>45737</v>
      </c>
      <c r="Q391" s="101">
        <v>45705</v>
      </c>
      <c r="R391" s="101">
        <v>45710</v>
      </c>
      <c r="S391" s="184">
        <v>8</v>
      </c>
      <c r="T391" s="102">
        <v>1</v>
      </c>
      <c r="U391" s="102">
        <v>15</v>
      </c>
      <c r="V391" s="102">
        <v>15</v>
      </c>
      <c r="W391" s="102">
        <v>3</v>
      </c>
      <c r="X391" s="103">
        <v>0</v>
      </c>
      <c r="Y391" s="103">
        <v>0.79166666666666663</v>
      </c>
      <c r="Z391" s="103">
        <v>1</v>
      </c>
      <c r="AC391" s="102">
        <v>15</v>
      </c>
    </row>
    <row r="392" spans="1:29">
      <c r="A392" s="104" t="s">
        <v>1466</v>
      </c>
      <c r="B392" s="104" t="s">
        <v>1835</v>
      </c>
      <c r="C392" s="104" t="s">
        <v>1465</v>
      </c>
      <c r="D392" s="104" t="s">
        <v>1699</v>
      </c>
      <c r="E392" s="104" t="s">
        <v>1700</v>
      </c>
      <c r="F392" s="104" t="s">
        <v>1835</v>
      </c>
      <c r="M392" s="104" t="s">
        <v>1832</v>
      </c>
      <c r="N392" s="104" t="s">
        <v>1844</v>
      </c>
      <c r="O392" s="101">
        <v>45705</v>
      </c>
      <c r="P392" s="101">
        <v>45737</v>
      </c>
      <c r="Q392" s="101">
        <v>45711</v>
      </c>
      <c r="R392" s="101">
        <v>45717</v>
      </c>
      <c r="S392" s="184">
        <v>9</v>
      </c>
      <c r="T392" s="102">
        <v>2</v>
      </c>
      <c r="U392" s="102">
        <v>15</v>
      </c>
      <c r="V392" s="102">
        <v>15</v>
      </c>
      <c r="W392" s="102">
        <v>3</v>
      </c>
      <c r="X392" s="103">
        <v>0</v>
      </c>
      <c r="Y392" s="103">
        <v>0.79166666666666663</v>
      </c>
      <c r="Z392" s="103">
        <v>1</v>
      </c>
      <c r="AC392" s="102">
        <v>15</v>
      </c>
    </row>
    <row r="393" spans="1:29">
      <c r="A393" s="104" t="s">
        <v>1466</v>
      </c>
      <c r="B393" s="104" t="s">
        <v>1835</v>
      </c>
      <c r="C393" s="104" t="s">
        <v>1465</v>
      </c>
      <c r="D393" s="104" t="s">
        <v>1699</v>
      </c>
      <c r="E393" s="104" t="s">
        <v>1700</v>
      </c>
      <c r="F393" s="104" t="s">
        <v>1835</v>
      </c>
      <c r="M393" s="104" t="s">
        <v>1832</v>
      </c>
      <c r="N393" s="104" t="s">
        <v>1844</v>
      </c>
      <c r="O393" s="101">
        <v>45705</v>
      </c>
      <c r="P393" s="101">
        <v>45737</v>
      </c>
      <c r="Q393" s="101">
        <v>45718</v>
      </c>
      <c r="R393" s="101">
        <v>45724</v>
      </c>
      <c r="S393" s="184">
        <v>10</v>
      </c>
      <c r="T393" s="102">
        <v>3</v>
      </c>
      <c r="U393" s="102">
        <v>12</v>
      </c>
      <c r="V393" s="102">
        <v>12</v>
      </c>
      <c r="W393" s="102">
        <v>3</v>
      </c>
      <c r="X393" s="103">
        <v>0</v>
      </c>
      <c r="Y393" s="103">
        <v>0.79166666666666663</v>
      </c>
      <c r="Z393" s="103">
        <v>1</v>
      </c>
      <c r="AC393" s="102">
        <v>12</v>
      </c>
    </row>
    <row r="394" spans="1:29">
      <c r="A394" s="104" t="s">
        <v>1466</v>
      </c>
      <c r="B394" s="104" t="s">
        <v>1835</v>
      </c>
      <c r="C394" s="104" t="s">
        <v>1465</v>
      </c>
      <c r="D394" s="104" t="s">
        <v>1699</v>
      </c>
      <c r="E394" s="104" t="s">
        <v>1700</v>
      </c>
      <c r="F394" s="104" t="s">
        <v>1835</v>
      </c>
      <c r="M394" s="104" t="s">
        <v>1832</v>
      </c>
      <c r="N394" s="104" t="s">
        <v>1844</v>
      </c>
      <c r="O394" s="101">
        <v>45705</v>
      </c>
      <c r="P394" s="101">
        <v>45737</v>
      </c>
      <c r="Q394" s="101">
        <v>45725</v>
      </c>
      <c r="R394" s="101">
        <v>45731</v>
      </c>
      <c r="S394" s="184">
        <v>11</v>
      </c>
      <c r="T394" s="102">
        <v>4</v>
      </c>
      <c r="U394" s="102">
        <v>15</v>
      </c>
      <c r="V394" s="102">
        <v>15</v>
      </c>
      <c r="W394" s="102">
        <v>3</v>
      </c>
      <c r="X394" s="103">
        <v>0</v>
      </c>
      <c r="Y394" s="103">
        <v>0.79166666666666663</v>
      </c>
      <c r="Z394" s="103">
        <v>1</v>
      </c>
      <c r="AC394" s="102">
        <v>15</v>
      </c>
    </row>
    <row r="395" spans="1:29">
      <c r="A395" s="104" t="s">
        <v>1466</v>
      </c>
      <c r="B395" s="104" t="s">
        <v>1835</v>
      </c>
      <c r="C395" s="104" t="s">
        <v>1465</v>
      </c>
      <c r="D395" s="104" t="s">
        <v>1699</v>
      </c>
      <c r="E395" s="104" t="s">
        <v>1700</v>
      </c>
      <c r="F395" s="104" t="s">
        <v>1835</v>
      </c>
      <c r="M395" s="104" t="s">
        <v>1832</v>
      </c>
      <c r="N395" s="104" t="s">
        <v>1844</v>
      </c>
      <c r="O395" s="101">
        <v>45705</v>
      </c>
      <c r="P395" s="101">
        <v>45737</v>
      </c>
      <c r="Q395" s="101">
        <v>45732</v>
      </c>
      <c r="R395" s="101">
        <v>45738</v>
      </c>
      <c r="S395" s="184">
        <v>12</v>
      </c>
      <c r="T395" s="102">
        <v>5</v>
      </c>
      <c r="U395" s="102">
        <v>15</v>
      </c>
      <c r="V395" s="102">
        <v>0</v>
      </c>
      <c r="W395" s="102">
        <v>3</v>
      </c>
      <c r="X395" s="103">
        <v>0</v>
      </c>
      <c r="Y395" s="103">
        <v>0.79166666666666663</v>
      </c>
      <c r="Z395" s="103">
        <v>1</v>
      </c>
      <c r="AC395" s="102">
        <v>15</v>
      </c>
    </row>
    <row r="396" spans="1:29">
      <c r="A396" s="104" t="s">
        <v>1466</v>
      </c>
      <c r="B396" s="104" t="s">
        <v>1836</v>
      </c>
      <c r="C396" s="104" t="s">
        <v>1465</v>
      </c>
      <c r="D396" s="104" t="s">
        <v>1699</v>
      </c>
      <c r="E396" s="104" t="s">
        <v>1700</v>
      </c>
      <c r="F396" s="104" t="s">
        <v>1836</v>
      </c>
      <c r="M396" s="104" t="s">
        <v>1818</v>
      </c>
      <c r="N396" s="104" t="s">
        <v>1844</v>
      </c>
      <c r="O396" s="101">
        <v>45705</v>
      </c>
      <c r="P396" s="101">
        <v>45737</v>
      </c>
      <c r="Q396" s="101">
        <v>45705</v>
      </c>
      <c r="R396" s="101">
        <v>45710</v>
      </c>
      <c r="S396" s="184">
        <v>8</v>
      </c>
      <c r="T396" s="102">
        <v>1</v>
      </c>
      <c r="U396" s="102">
        <v>2.5</v>
      </c>
      <c r="V396" s="102">
        <v>2.5</v>
      </c>
      <c r="W396" s="102">
        <v>0.5</v>
      </c>
      <c r="X396" s="103">
        <v>0</v>
      </c>
      <c r="Y396" s="103">
        <v>0.79166666666666663</v>
      </c>
      <c r="Z396" s="103">
        <v>0.73684210526315796</v>
      </c>
      <c r="AC396" s="102">
        <v>2.5</v>
      </c>
    </row>
    <row r="397" spans="1:29">
      <c r="A397" s="104" t="s">
        <v>1466</v>
      </c>
      <c r="B397" s="104" t="s">
        <v>1836</v>
      </c>
      <c r="C397" s="104" t="s">
        <v>1465</v>
      </c>
      <c r="D397" s="104" t="s">
        <v>1699</v>
      </c>
      <c r="E397" s="104" t="s">
        <v>1700</v>
      </c>
      <c r="F397" s="104" t="s">
        <v>1836</v>
      </c>
      <c r="M397" s="104" t="s">
        <v>1818</v>
      </c>
      <c r="N397" s="104" t="s">
        <v>1844</v>
      </c>
      <c r="O397" s="101">
        <v>45705</v>
      </c>
      <c r="P397" s="101">
        <v>45737</v>
      </c>
      <c r="Q397" s="101">
        <v>45711</v>
      </c>
      <c r="R397" s="101">
        <v>45717</v>
      </c>
      <c r="S397" s="184">
        <v>9</v>
      </c>
      <c r="T397" s="102">
        <v>2</v>
      </c>
      <c r="U397" s="102">
        <v>2.5</v>
      </c>
      <c r="V397" s="102">
        <v>2.5</v>
      </c>
      <c r="W397" s="102">
        <v>0.5</v>
      </c>
      <c r="X397" s="103">
        <v>0</v>
      </c>
      <c r="Y397" s="103">
        <v>0.79166666666666663</v>
      </c>
      <c r="Z397" s="103">
        <v>0.73684210526315796</v>
      </c>
      <c r="AC397" s="102">
        <v>2.5</v>
      </c>
    </row>
    <row r="398" spans="1:29">
      <c r="A398" s="104" t="s">
        <v>1466</v>
      </c>
      <c r="B398" s="104" t="s">
        <v>1836</v>
      </c>
      <c r="C398" s="104" t="s">
        <v>1465</v>
      </c>
      <c r="D398" s="104" t="s">
        <v>1699</v>
      </c>
      <c r="E398" s="104" t="s">
        <v>1700</v>
      </c>
      <c r="F398" s="104" t="s">
        <v>1836</v>
      </c>
      <c r="M398" s="104" t="s">
        <v>1818</v>
      </c>
      <c r="N398" s="104" t="s">
        <v>1844</v>
      </c>
      <c r="O398" s="101">
        <v>45705</v>
      </c>
      <c r="P398" s="101">
        <v>45737</v>
      </c>
      <c r="Q398" s="101">
        <v>45718</v>
      </c>
      <c r="R398" s="101">
        <v>45724</v>
      </c>
      <c r="S398" s="184">
        <v>10</v>
      </c>
      <c r="T398" s="102">
        <v>3</v>
      </c>
      <c r="U398" s="102">
        <v>2</v>
      </c>
      <c r="V398" s="102">
        <v>2</v>
      </c>
      <c r="W398" s="102">
        <v>0.5</v>
      </c>
      <c r="X398" s="103">
        <v>0</v>
      </c>
      <c r="Y398" s="103">
        <v>0.79166666666666663</v>
      </c>
      <c r="Z398" s="103">
        <v>0.73684210526315796</v>
      </c>
      <c r="AC398" s="102">
        <v>2</v>
      </c>
    </row>
    <row r="399" spans="1:29">
      <c r="A399" s="104" t="s">
        <v>1466</v>
      </c>
      <c r="B399" s="104" t="s">
        <v>1836</v>
      </c>
      <c r="C399" s="104" t="s">
        <v>1465</v>
      </c>
      <c r="D399" s="104" t="s">
        <v>1699</v>
      </c>
      <c r="E399" s="104" t="s">
        <v>1700</v>
      </c>
      <c r="F399" s="104" t="s">
        <v>1836</v>
      </c>
      <c r="M399" s="104" t="s">
        <v>1818</v>
      </c>
      <c r="N399" s="104" t="s">
        <v>1844</v>
      </c>
      <c r="O399" s="101">
        <v>45705</v>
      </c>
      <c r="P399" s="101">
        <v>45737</v>
      </c>
      <c r="Q399" s="101">
        <v>45725</v>
      </c>
      <c r="R399" s="101">
        <v>45731</v>
      </c>
      <c r="S399" s="184">
        <v>11</v>
      </c>
      <c r="T399" s="102">
        <v>4</v>
      </c>
      <c r="U399" s="102">
        <v>2.5</v>
      </c>
      <c r="V399" s="102">
        <v>2.5</v>
      </c>
      <c r="W399" s="102">
        <v>0.5</v>
      </c>
      <c r="X399" s="103">
        <v>0</v>
      </c>
      <c r="Y399" s="103">
        <v>0.79166666666666663</v>
      </c>
      <c r="Z399" s="103">
        <v>0.73684210526315796</v>
      </c>
      <c r="AC399" s="102">
        <v>1.8421052631578956</v>
      </c>
    </row>
    <row r="400" spans="1:29">
      <c r="A400" s="104" t="s">
        <v>1466</v>
      </c>
      <c r="B400" s="104" t="s">
        <v>1836</v>
      </c>
      <c r="C400" s="104" t="s">
        <v>1465</v>
      </c>
      <c r="D400" s="104" t="s">
        <v>1699</v>
      </c>
      <c r="E400" s="104" t="s">
        <v>1700</v>
      </c>
      <c r="F400" s="104" t="s">
        <v>1836</v>
      </c>
      <c r="M400" s="104" t="s">
        <v>1818</v>
      </c>
      <c r="N400" s="104" t="s">
        <v>1844</v>
      </c>
      <c r="O400" s="101">
        <v>45705</v>
      </c>
      <c r="P400" s="101">
        <v>45737</v>
      </c>
      <c r="Q400" s="101">
        <v>45732</v>
      </c>
      <c r="R400" s="101">
        <v>45738</v>
      </c>
      <c r="S400" s="184">
        <v>12</v>
      </c>
      <c r="T400" s="102">
        <v>5</v>
      </c>
      <c r="U400" s="102">
        <v>2.5</v>
      </c>
      <c r="V400" s="102">
        <v>0</v>
      </c>
      <c r="W400" s="102">
        <v>0.5</v>
      </c>
      <c r="X400" s="103">
        <v>0</v>
      </c>
      <c r="Y400" s="103">
        <v>0.79166666666666663</v>
      </c>
      <c r="Z400" s="103">
        <v>0.73684210526315796</v>
      </c>
      <c r="AC400" s="102">
        <v>0</v>
      </c>
    </row>
    <row r="401" spans="1:29">
      <c r="A401" s="104" t="s">
        <v>1466</v>
      </c>
      <c r="B401" s="104" t="s">
        <v>1837</v>
      </c>
      <c r="C401" s="104" t="s">
        <v>1465</v>
      </c>
      <c r="D401" s="104" t="s">
        <v>1699</v>
      </c>
      <c r="E401" s="104" t="s">
        <v>1700</v>
      </c>
      <c r="F401" s="104" t="s">
        <v>1837</v>
      </c>
      <c r="M401" s="104" t="s">
        <v>1834</v>
      </c>
      <c r="N401" s="104" t="s">
        <v>1844</v>
      </c>
      <c r="O401" s="101">
        <v>45705</v>
      </c>
      <c r="P401" s="101">
        <v>45737</v>
      </c>
      <c r="Q401" s="101">
        <v>45705</v>
      </c>
      <c r="R401" s="101">
        <v>45710</v>
      </c>
      <c r="S401" s="184">
        <v>8</v>
      </c>
      <c r="T401" s="102">
        <v>1</v>
      </c>
      <c r="U401" s="102">
        <v>15</v>
      </c>
      <c r="V401" s="102">
        <v>15</v>
      </c>
      <c r="W401" s="102">
        <v>3</v>
      </c>
      <c r="X401" s="103">
        <v>0</v>
      </c>
      <c r="Y401" s="103">
        <v>0.79166666666666663</v>
      </c>
      <c r="Z401" s="103">
        <v>0.73684210526315796</v>
      </c>
      <c r="AC401" s="102">
        <v>15</v>
      </c>
    </row>
    <row r="402" spans="1:29">
      <c r="A402" s="104" t="s">
        <v>1466</v>
      </c>
      <c r="B402" s="104" t="s">
        <v>1837</v>
      </c>
      <c r="C402" s="104" t="s">
        <v>1465</v>
      </c>
      <c r="D402" s="104" t="s">
        <v>1699</v>
      </c>
      <c r="E402" s="104" t="s">
        <v>1700</v>
      </c>
      <c r="F402" s="104" t="s">
        <v>1837</v>
      </c>
      <c r="M402" s="104" t="s">
        <v>1834</v>
      </c>
      <c r="N402" s="104" t="s">
        <v>1844</v>
      </c>
      <c r="O402" s="101">
        <v>45705</v>
      </c>
      <c r="P402" s="101">
        <v>45737</v>
      </c>
      <c r="Q402" s="101">
        <v>45711</v>
      </c>
      <c r="R402" s="101">
        <v>45717</v>
      </c>
      <c r="S402" s="184">
        <v>9</v>
      </c>
      <c r="T402" s="102">
        <v>2</v>
      </c>
      <c r="U402" s="102">
        <v>15</v>
      </c>
      <c r="V402" s="102">
        <v>15</v>
      </c>
      <c r="W402" s="102">
        <v>3</v>
      </c>
      <c r="X402" s="103">
        <v>0</v>
      </c>
      <c r="Y402" s="103">
        <v>0.79166666666666663</v>
      </c>
      <c r="Z402" s="103">
        <v>0.73684210526315796</v>
      </c>
      <c r="AC402" s="102">
        <v>15</v>
      </c>
    </row>
    <row r="403" spans="1:29">
      <c r="A403" s="104" t="s">
        <v>1466</v>
      </c>
      <c r="B403" s="104" t="s">
        <v>1837</v>
      </c>
      <c r="C403" s="104" t="s">
        <v>1465</v>
      </c>
      <c r="D403" s="104" t="s">
        <v>1699</v>
      </c>
      <c r="E403" s="104" t="s">
        <v>1700</v>
      </c>
      <c r="F403" s="104" t="s">
        <v>1837</v>
      </c>
      <c r="M403" s="104" t="s">
        <v>1834</v>
      </c>
      <c r="N403" s="104" t="s">
        <v>1844</v>
      </c>
      <c r="O403" s="101">
        <v>45705</v>
      </c>
      <c r="P403" s="101">
        <v>45737</v>
      </c>
      <c r="Q403" s="101">
        <v>45718</v>
      </c>
      <c r="R403" s="101">
        <v>45724</v>
      </c>
      <c r="S403" s="184">
        <v>10</v>
      </c>
      <c r="T403" s="102">
        <v>3</v>
      </c>
      <c r="U403" s="102">
        <v>12</v>
      </c>
      <c r="V403" s="102">
        <v>12</v>
      </c>
      <c r="W403" s="102">
        <v>3</v>
      </c>
      <c r="X403" s="103">
        <v>0</v>
      </c>
      <c r="Y403" s="103">
        <v>0.79166666666666663</v>
      </c>
      <c r="Z403" s="103">
        <v>0.73684210526315796</v>
      </c>
      <c r="AC403" s="102">
        <v>12</v>
      </c>
    </row>
    <row r="404" spans="1:29">
      <c r="A404" s="104" t="s">
        <v>1466</v>
      </c>
      <c r="B404" s="104" t="s">
        <v>1837</v>
      </c>
      <c r="C404" s="104" t="s">
        <v>1465</v>
      </c>
      <c r="D404" s="104" t="s">
        <v>1699</v>
      </c>
      <c r="E404" s="104" t="s">
        <v>1700</v>
      </c>
      <c r="F404" s="104" t="s">
        <v>1837</v>
      </c>
      <c r="M404" s="104" t="s">
        <v>1834</v>
      </c>
      <c r="N404" s="104" t="s">
        <v>1844</v>
      </c>
      <c r="O404" s="101">
        <v>45705</v>
      </c>
      <c r="P404" s="101">
        <v>45737</v>
      </c>
      <c r="Q404" s="101">
        <v>45725</v>
      </c>
      <c r="R404" s="101">
        <v>45731</v>
      </c>
      <c r="S404" s="184">
        <v>11</v>
      </c>
      <c r="T404" s="102">
        <v>4</v>
      </c>
      <c r="U404" s="102">
        <v>15</v>
      </c>
      <c r="V404" s="102">
        <v>15</v>
      </c>
      <c r="W404" s="102">
        <v>3</v>
      </c>
      <c r="X404" s="103">
        <v>0</v>
      </c>
      <c r="Y404" s="103">
        <v>0.79166666666666663</v>
      </c>
      <c r="Z404" s="103">
        <v>0.73684210526315796</v>
      </c>
      <c r="AC404" s="102">
        <v>11.05263157894737</v>
      </c>
    </row>
    <row r="405" spans="1:29">
      <c r="A405" s="104" t="s">
        <v>1466</v>
      </c>
      <c r="B405" s="104" t="s">
        <v>1837</v>
      </c>
      <c r="C405" s="104" t="s">
        <v>1465</v>
      </c>
      <c r="D405" s="104" t="s">
        <v>1699</v>
      </c>
      <c r="E405" s="104" t="s">
        <v>1700</v>
      </c>
      <c r="F405" s="104" t="s">
        <v>1837</v>
      </c>
      <c r="M405" s="104" t="s">
        <v>1834</v>
      </c>
      <c r="N405" s="104" t="s">
        <v>1844</v>
      </c>
      <c r="O405" s="101">
        <v>45705</v>
      </c>
      <c r="P405" s="101">
        <v>45737</v>
      </c>
      <c r="Q405" s="101">
        <v>45732</v>
      </c>
      <c r="R405" s="101">
        <v>45738</v>
      </c>
      <c r="S405" s="184">
        <v>12</v>
      </c>
      <c r="T405" s="102">
        <v>5</v>
      </c>
      <c r="U405" s="102">
        <v>15</v>
      </c>
      <c r="V405" s="102">
        <v>0</v>
      </c>
      <c r="W405" s="102">
        <v>3</v>
      </c>
      <c r="X405" s="103">
        <v>0</v>
      </c>
      <c r="Y405" s="103">
        <v>0.79166666666666663</v>
      </c>
      <c r="Z405" s="103">
        <v>0.73684210526315796</v>
      </c>
      <c r="AC405" s="102">
        <v>0</v>
      </c>
    </row>
    <row r="406" spans="1:29">
      <c r="A406" s="104" t="s">
        <v>1466</v>
      </c>
      <c r="B406" s="104" t="s">
        <v>1890</v>
      </c>
      <c r="C406" s="104" t="s">
        <v>1465</v>
      </c>
      <c r="D406" s="104" t="s">
        <v>1699</v>
      </c>
      <c r="E406" s="104" t="s">
        <v>1700</v>
      </c>
      <c r="F406" s="104" t="s">
        <v>1890</v>
      </c>
      <c r="M406" s="104" t="s">
        <v>1772</v>
      </c>
      <c r="N406" s="104" t="s">
        <v>1728</v>
      </c>
      <c r="O406" s="101">
        <v>45778</v>
      </c>
      <c r="P406" s="101">
        <v>45779</v>
      </c>
      <c r="Q406" s="101">
        <v>45774</v>
      </c>
      <c r="R406" s="101">
        <v>45780</v>
      </c>
      <c r="S406" s="184">
        <v>18</v>
      </c>
      <c r="T406" s="102">
        <v>11</v>
      </c>
      <c r="U406" s="102">
        <v>1</v>
      </c>
      <c r="V406" s="102">
        <v>0</v>
      </c>
      <c r="W406" s="102">
        <v>1</v>
      </c>
      <c r="X406" s="103">
        <v>0</v>
      </c>
      <c r="Y406" s="103">
        <v>0</v>
      </c>
      <c r="Z406" s="103">
        <v>0</v>
      </c>
      <c r="AC406" s="102">
        <v>0</v>
      </c>
    </row>
    <row r="407" spans="1:29">
      <c r="A407" s="104" t="s">
        <v>1466</v>
      </c>
      <c r="B407" s="104" t="s">
        <v>1891</v>
      </c>
      <c r="C407" s="104" t="s">
        <v>1465</v>
      </c>
      <c r="D407" s="104" t="s">
        <v>1699</v>
      </c>
      <c r="E407" s="104" t="s">
        <v>1700</v>
      </c>
      <c r="F407" s="104" t="s">
        <v>1891</v>
      </c>
      <c r="M407" s="104" t="s">
        <v>1587</v>
      </c>
      <c r="N407" s="104" t="s">
        <v>1728</v>
      </c>
      <c r="O407" s="101">
        <v>45778</v>
      </c>
      <c r="P407" s="101">
        <v>45793</v>
      </c>
      <c r="Q407" s="101">
        <v>45774</v>
      </c>
      <c r="R407" s="101">
        <v>45780</v>
      </c>
      <c r="S407" s="184">
        <v>18</v>
      </c>
      <c r="T407" s="102">
        <v>11</v>
      </c>
      <c r="U407" s="102">
        <v>1</v>
      </c>
      <c r="V407" s="102">
        <v>0</v>
      </c>
      <c r="W407" s="102">
        <v>1</v>
      </c>
      <c r="X407" s="103">
        <v>0</v>
      </c>
      <c r="Y407" s="103">
        <v>0</v>
      </c>
      <c r="Z407" s="103">
        <v>0</v>
      </c>
      <c r="AC407" s="102">
        <v>0</v>
      </c>
    </row>
    <row r="408" spans="1:29">
      <c r="A408" s="104" t="s">
        <v>1466</v>
      </c>
      <c r="B408" s="104" t="s">
        <v>1891</v>
      </c>
      <c r="C408" s="104" t="s">
        <v>1465</v>
      </c>
      <c r="D408" s="104" t="s">
        <v>1699</v>
      </c>
      <c r="E408" s="104" t="s">
        <v>1700</v>
      </c>
      <c r="F408" s="104" t="s">
        <v>1891</v>
      </c>
      <c r="M408" s="104" t="s">
        <v>1587</v>
      </c>
      <c r="N408" s="104" t="s">
        <v>1728</v>
      </c>
      <c r="O408" s="101">
        <v>45778</v>
      </c>
      <c r="P408" s="101">
        <v>45793</v>
      </c>
      <c r="Q408" s="101">
        <v>45781</v>
      </c>
      <c r="R408" s="101">
        <v>45787</v>
      </c>
      <c r="S408" s="184">
        <v>19</v>
      </c>
      <c r="T408" s="102">
        <v>12</v>
      </c>
      <c r="U408" s="102">
        <v>4</v>
      </c>
      <c r="V408" s="102">
        <v>0</v>
      </c>
      <c r="W408" s="102">
        <v>1</v>
      </c>
      <c r="X408" s="103">
        <v>0</v>
      </c>
      <c r="Y408" s="103">
        <v>0</v>
      </c>
      <c r="Z408" s="103">
        <v>0</v>
      </c>
      <c r="AC408" s="102">
        <v>0</v>
      </c>
    </row>
    <row r="409" spans="1:29">
      <c r="A409" s="104" t="s">
        <v>1466</v>
      </c>
      <c r="B409" s="104" t="s">
        <v>1891</v>
      </c>
      <c r="C409" s="104" t="s">
        <v>1465</v>
      </c>
      <c r="D409" s="104" t="s">
        <v>1699</v>
      </c>
      <c r="E409" s="104" t="s">
        <v>1700</v>
      </c>
      <c r="F409" s="104" t="s">
        <v>1891</v>
      </c>
      <c r="M409" s="104" t="s">
        <v>1587</v>
      </c>
      <c r="N409" s="104" t="s">
        <v>1728</v>
      </c>
      <c r="O409" s="101">
        <v>45778</v>
      </c>
      <c r="P409" s="101">
        <v>45793</v>
      </c>
      <c r="Q409" s="101">
        <v>45788</v>
      </c>
      <c r="R409" s="101">
        <v>45794</v>
      </c>
      <c r="S409" s="184">
        <v>20</v>
      </c>
      <c r="T409" s="102">
        <v>13</v>
      </c>
      <c r="U409" s="102">
        <v>5</v>
      </c>
      <c r="V409" s="102">
        <v>0</v>
      </c>
      <c r="W409" s="102">
        <v>1</v>
      </c>
      <c r="X409" s="103">
        <v>0</v>
      </c>
      <c r="Y409" s="103">
        <v>0</v>
      </c>
      <c r="Z409" s="103">
        <v>0</v>
      </c>
      <c r="AC409" s="102">
        <v>0</v>
      </c>
    </row>
    <row r="410" spans="1:29">
      <c r="A410" s="104" t="s">
        <v>1466</v>
      </c>
      <c r="B410" s="104" t="s">
        <v>1892</v>
      </c>
      <c r="C410" s="104" t="s">
        <v>1465</v>
      </c>
      <c r="D410" s="104" t="s">
        <v>1699</v>
      </c>
      <c r="E410" s="104" t="s">
        <v>1700</v>
      </c>
      <c r="F410" s="104" t="s">
        <v>1892</v>
      </c>
      <c r="M410" s="104" t="s">
        <v>1588</v>
      </c>
      <c r="N410" s="104" t="s">
        <v>1727</v>
      </c>
      <c r="O410" s="101">
        <v>45789</v>
      </c>
      <c r="P410" s="101">
        <v>45807</v>
      </c>
      <c r="Q410" s="101">
        <v>45788</v>
      </c>
      <c r="R410" s="101">
        <v>45794</v>
      </c>
      <c r="S410" s="184">
        <v>20</v>
      </c>
      <c r="T410" s="102">
        <v>13</v>
      </c>
      <c r="U410" s="102">
        <v>5</v>
      </c>
      <c r="V410" s="102">
        <v>0</v>
      </c>
      <c r="W410" s="102">
        <v>1</v>
      </c>
      <c r="X410" s="103">
        <v>0</v>
      </c>
      <c r="Y410" s="103">
        <v>0</v>
      </c>
      <c r="Z410" s="103">
        <v>0</v>
      </c>
      <c r="AC410" s="102">
        <v>0</v>
      </c>
    </row>
    <row r="411" spans="1:29">
      <c r="A411" s="104" t="s">
        <v>1466</v>
      </c>
      <c r="B411" s="104" t="s">
        <v>1892</v>
      </c>
      <c r="C411" s="104" t="s">
        <v>1465</v>
      </c>
      <c r="D411" s="104" t="s">
        <v>1699</v>
      </c>
      <c r="E411" s="104" t="s">
        <v>1700</v>
      </c>
      <c r="F411" s="104" t="s">
        <v>1892</v>
      </c>
      <c r="M411" s="104" t="s">
        <v>1588</v>
      </c>
      <c r="N411" s="104" t="s">
        <v>1727</v>
      </c>
      <c r="O411" s="101">
        <v>45789</v>
      </c>
      <c r="P411" s="101">
        <v>45807</v>
      </c>
      <c r="Q411" s="101">
        <v>45795</v>
      </c>
      <c r="R411" s="101">
        <v>45801</v>
      </c>
      <c r="S411" s="184">
        <v>21</v>
      </c>
      <c r="T411" s="102">
        <v>14</v>
      </c>
      <c r="U411" s="102">
        <v>5</v>
      </c>
      <c r="V411" s="102">
        <v>0</v>
      </c>
      <c r="W411" s="102">
        <v>1</v>
      </c>
      <c r="X411" s="103">
        <v>0</v>
      </c>
      <c r="Y411" s="103">
        <v>0</v>
      </c>
      <c r="Z411" s="103">
        <v>0</v>
      </c>
      <c r="AC411" s="102">
        <v>0</v>
      </c>
    </row>
    <row r="412" spans="1:29">
      <c r="A412" s="104" t="s">
        <v>1466</v>
      </c>
      <c r="B412" s="104" t="s">
        <v>1892</v>
      </c>
      <c r="C412" s="104" t="s">
        <v>1465</v>
      </c>
      <c r="D412" s="104" t="s">
        <v>1699</v>
      </c>
      <c r="E412" s="104" t="s">
        <v>1700</v>
      </c>
      <c r="F412" s="104" t="s">
        <v>1892</v>
      </c>
      <c r="M412" s="104" t="s">
        <v>1588</v>
      </c>
      <c r="N412" s="104" t="s">
        <v>1727</v>
      </c>
      <c r="O412" s="101">
        <v>45789</v>
      </c>
      <c r="P412" s="101">
        <v>45807</v>
      </c>
      <c r="Q412" s="101">
        <v>45802</v>
      </c>
      <c r="R412" s="101">
        <v>45808</v>
      </c>
      <c r="S412" s="184">
        <v>22</v>
      </c>
      <c r="T412" s="102">
        <v>15</v>
      </c>
      <c r="U412" s="102">
        <v>5</v>
      </c>
      <c r="V412" s="102">
        <v>0</v>
      </c>
      <c r="W412" s="102">
        <v>1</v>
      </c>
      <c r="X412" s="103">
        <v>0</v>
      </c>
      <c r="Y412" s="103">
        <v>0</v>
      </c>
      <c r="Z412" s="103">
        <v>0</v>
      </c>
      <c r="AC412" s="102">
        <v>0</v>
      </c>
    </row>
    <row r="413" spans="1:29">
      <c r="A413" s="104" t="s">
        <v>1466</v>
      </c>
      <c r="B413" s="104" t="s">
        <v>1893</v>
      </c>
      <c r="C413" s="104" t="s">
        <v>1465</v>
      </c>
      <c r="D413" s="104" t="s">
        <v>1699</v>
      </c>
      <c r="E413" s="104" t="s">
        <v>1701</v>
      </c>
      <c r="F413" s="104" t="s">
        <v>1893</v>
      </c>
      <c r="M413" s="104" t="s">
        <v>1807</v>
      </c>
      <c r="N413" s="104" t="s">
        <v>1844</v>
      </c>
      <c r="O413" s="101">
        <v>45720</v>
      </c>
      <c r="P413" s="101">
        <v>45751</v>
      </c>
      <c r="Q413" s="101">
        <v>45718</v>
      </c>
      <c r="R413" s="101">
        <v>45724</v>
      </c>
      <c r="S413" s="184">
        <v>10</v>
      </c>
      <c r="T413" s="102">
        <v>3</v>
      </c>
      <c r="U413" s="102">
        <v>4</v>
      </c>
      <c r="V413" s="102">
        <v>4</v>
      </c>
      <c r="W413" s="102">
        <v>1</v>
      </c>
      <c r="X413" s="103">
        <v>0</v>
      </c>
      <c r="Y413" s="103">
        <v>0.375</v>
      </c>
      <c r="Z413" s="103">
        <v>0.2</v>
      </c>
      <c r="AC413" s="102">
        <v>4</v>
      </c>
    </row>
    <row r="414" spans="1:29">
      <c r="A414" s="104" t="s">
        <v>1466</v>
      </c>
      <c r="B414" s="104" t="s">
        <v>1893</v>
      </c>
      <c r="C414" s="104" t="s">
        <v>1465</v>
      </c>
      <c r="D414" s="104" t="s">
        <v>1699</v>
      </c>
      <c r="E414" s="104" t="s">
        <v>1701</v>
      </c>
      <c r="F414" s="104" t="s">
        <v>1893</v>
      </c>
      <c r="M414" s="104" t="s">
        <v>1807</v>
      </c>
      <c r="N414" s="104" t="s">
        <v>1844</v>
      </c>
      <c r="O414" s="101">
        <v>45720</v>
      </c>
      <c r="P414" s="101">
        <v>45751</v>
      </c>
      <c r="Q414" s="101">
        <v>45725</v>
      </c>
      <c r="R414" s="101">
        <v>45731</v>
      </c>
      <c r="S414" s="184">
        <v>11</v>
      </c>
      <c r="T414" s="102">
        <v>4</v>
      </c>
      <c r="U414" s="102">
        <v>5</v>
      </c>
      <c r="V414" s="102">
        <v>5</v>
      </c>
      <c r="W414" s="102">
        <v>1</v>
      </c>
      <c r="X414" s="103">
        <v>0</v>
      </c>
      <c r="Y414" s="103">
        <v>0.375</v>
      </c>
      <c r="Z414" s="103">
        <v>0.2</v>
      </c>
      <c r="AC414" s="102">
        <v>0.80000000000000071</v>
      </c>
    </row>
    <row r="415" spans="1:29">
      <c r="A415" s="104" t="s">
        <v>1466</v>
      </c>
      <c r="B415" s="104" t="s">
        <v>1893</v>
      </c>
      <c r="C415" s="104" t="s">
        <v>1465</v>
      </c>
      <c r="D415" s="104" t="s">
        <v>1699</v>
      </c>
      <c r="E415" s="104" t="s">
        <v>1701</v>
      </c>
      <c r="F415" s="104" t="s">
        <v>1893</v>
      </c>
      <c r="M415" s="104" t="s">
        <v>1807</v>
      </c>
      <c r="N415" s="104" t="s">
        <v>1844</v>
      </c>
      <c r="O415" s="101">
        <v>45720</v>
      </c>
      <c r="P415" s="101">
        <v>45751</v>
      </c>
      <c r="Q415" s="101">
        <v>45732</v>
      </c>
      <c r="R415" s="101">
        <v>45738</v>
      </c>
      <c r="S415" s="184">
        <v>12</v>
      </c>
      <c r="T415" s="102">
        <v>5</v>
      </c>
      <c r="U415" s="102">
        <v>5</v>
      </c>
      <c r="V415" s="102">
        <v>0</v>
      </c>
      <c r="W415" s="102">
        <v>1</v>
      </c>
      <c r="X415" s="103">
        <v>0</v>
      </c>
      <c r="Y415" s="103">
        <v>0.375</v>
      </c>
      <c r="Z415" s="103">
        <v>0.2</v>
      </c>
      <c r="AC415" s="102">
        <v>0</v>
      </c>
    </row>
    <row r="416" spans="1:29">
      <c r="A416" s="104" t="s">
        <v>1466</v>
      </c>
      <c r="B416" s="104" t="s">
        <v>1893</v>
      </c>
      <c r="C416" s="104" t="s">
        <v>1465</v>
      </c>
      <c r="D416" s="104" t="s">
        <v>1699</v>
      </c>
      <c r="E416" s="104" t="s">
        <v>1701</v>
      </c>
      <c r="F416" s="104" t="s">
        <v>1893</v>
      </c>
      <c r="M416" s="104" t="s">
        <v>1807</v>
      </c>
      <c r="N416" s="104" t="s">
        <v>1844</v>
      </c>
      <c r="O416" s="101">
        <v>45720</v>
      </c>
      <c r="P416" s="101">
        <v>45751</v>
      </c>
      <c r="Q416" s="101">
        <v>45739</v>
      </c>
      <c r="R416" s="101">
        <v>45745</v>
      </c>
      <c r="S416" s="184">
        <v>13</v>
      </c>
      <c r="T416" s="102">
        <v>6</v>
      </c>
      <c r="U416" s="102">
        <v>5</v>
      </c>
      <c r="V416" s="102">
        <v>0</v>
      </c>
      <c r="W416" s="102">
        <v>1</v>
      </c>
      <c r="X416" s="103">
        <v>0</v>
      </c>
      <c r="Y416" s="103">
        <v>0.375</v>
      </c>
      <c r="Z416" s="103">
        <v>0.2</v>
      </c>
      <c r="AC416" s="102">
        <v>0</v>
      </c>
    </row>
    <row r="417" spans="1:29">
      <c r="A417" s="104" t="s">
        <v>1466</v>
      </c>
      <c r="B417" s="104" t="s">
        <v>1893</v>
      </c>
      <c r="C417" s="104" t="s">
        <v>1465</v>
      </c>
      <c r="D417" s="104" t="s">
        <v>1699</v>
      </c>
      <c r="E417" s="104" t="s">
        <v>1701</v>
      </c>
      <c r="F417" s="104" t="s">
        <v>1893</v>
      </c>
      <c r="M417" s="104" t="s">
        <v>1807</v>
      </c>
      <c r="N417" s="104" t="s">
        <v>1844</v>
      </c>
      <c r="O417" s="101">
        <v>45720</v>
      </c>
      <c r="P417" s="101">
        <v>45751</v>
      </c>
      <c r="Q417" s="101">
        <v>45746</v>
      </c>
      <c r="R417" s="101">
        <v>45752</v>
      </c>
      <c r="S417" s="184">
        <v>14</v>
      </c>
      <c r="T417" s="102">
        <v>7</v>
      </c>
      <c r="U417" s="102">
        <v>5</v>
      </c>
      <c r="V417" s="102">
        <v>0</v>
      </c>
      <c r="W417" s="102">
        <v>1</v>
      </c>
      <c r="X417" s="103">
        <v>0</v>
      </c>
      <c r="Y417" s="103">
        <v>0.375</v>
      </c>
      <c r="Z417" s="103">
        <v>0.2</v>
      </c>
      <c r="AC417" s="102">
        <v>0</v>
      </c>
    </row>
    <row r="418" spans="1:29">
      <c r="A418" s="104" t="s">
        <v>1466</v>
      </c>
      <c r="B418" s="104" t="s">
        <v>1894</v>
      </c>
      <c r="C418" s="104" t="s">
        <v>1465</v>
      </c>
      <c r="D418" s="104" t="s">
        <v>1699</v>
      </c>
      <c r="E418" s="104" t="s">
        <v>1701</v>
      </c>
      <c r="F418" s="104" t="s">
        <v>1894</v>
      </c>
      <c r="M418" s="104" t="s">
        <v>1813</v>
      </c>
      <c r="N418" s="104" t="s">
        <v>1844</v>
      </c>
      <c r="O418" s="101">
        <v>45733</v>
      </c>
      <c r="P418" s="101">
        <v>45758</v>
      </c>
      <c r="Q418" s="101">
        <v>45732</v>
      </c>
      <c r="R418" s="101">
        <v>45738</v>
      </c>
      <c r="S418" s="184">
        <v>12</v>
      </c>
      <c r="T418" s="102">
        <v>5</v>
      </c>
      <c r="U418" s="102">
        <v>15</v>
      </c>
      <c r="V418" s="102">
        <v>0</v>
      </c>
      <c r="W418" s="102">
        <v>3</v>
      </c>
      <c r="X418" s="103">
        <v>0</v>
      </c>
      <c r="Y418" s="103">
        <v>0</v>
      </c>
      <c r="Z418" s="103">
        <v>0</v>
      </c>
      <c r="AC418" s="102">
        <v>0</v>
      </c>
    </row>
    <row r="419" spans="1:29">
      <c r="A419" s="104" t="s">
        <v>1466</v>
      </c>
      <c r="B419" s="104" t="s">
        <v>1894</v>
      </c>
      <c r="C419" s="104" t="s">
        <v>1465</v>
      </c>
      <c r="D419" s="104" t="s">
        <v>1699</v>
      </c>
      <c r="E419" s="104" t="s">
        <v>1701</v>
      </c>
      <c r="F419" s="104" t="s">
        <v>1894</v>
      </c>
      <c r="M419" s="104" t="s">
        <v>1813</v>
      </c>
      <c r="N419" s="104" t="s">
        <v>1844</v>
      </c>
      <c r="O419" s="101">
        <v>45733</v>
      </c>
      <c r="P419" s="101">
        <v>45758</v>
      </c>
      <c r="Q419" s="101">
        <v>45739</v>
      </c>
      <c r="R419" s="101">
        <v>45745</v>
      </c>
      <c r="S419" s="184">
        <v>13</v>
      </c>
      <c r="T419" s="102">
        <v>6</v>
      </c>
      <c r="U419" s="102">
        <v>15</v>
      </c>
      <c r="V419" s="102">
        <v>0</v>
      </c>
      <c r="W419" s="102">
        <v>3</v>
      </c>
      <c r="X419" s="103">
        <v>0</v>
      </c>
      <c r="Y419" s="103">
        <v>0</v>
      </c>
      <c r="Z419" s="103">
        <v>0</v>
      </c>
      <c r="AC419" s="102">
        <v>0</v>
      </c>
    </row>
    <row r="420" spans="1:29">
      <c r="A420" s="104" t="s">
        <v>1466</v>
      </c>
      <c r="B420" s="104" t="s">
        <v>1894</v>
      </c>
      <c r="C420" s="104" t="s">
        <v>1465</v>
      </c>
      <c r="D420" s="104" t="s">
        <v>1699</v>
      </c>
      <c r="E420" s="104" t="s">
        <v>1701</v>
      </c>
      <c r="F420" s="104" t="s">
        <v>1894</v>
      </c>
      <c r="M420" s="104" t="s">
        <v>1813</v>
      </c>
      <c r="N420" s="104" t="s">
        <v>1844</v>
      </c>
      <c r="O420" s="101">
        <v>45733</v>
      </c>
      <c r="P420" s="101">
        <v>45758</v>
      </c>
      <c r="Q420" s="101">
        <v>45746</v>
      </c>
      <c r="R420" s="101">
        <v>45752</v>
      </c>
      <c r="S420" s="184">
        <v>14</v>
      </c>
      <c r="T420" s="102">
        <v>7</v>
      </c>
      <c r="U420" s="102">
        <v>15</v>
      </c>
      <c r="V420" s="102">
        <v>0</v>
      </c>
      <c r="W420" s="102">
        <v>3</v>
      </c>
      <c r="X420" s="103">
        <v>0</v>
      </c>
      <c r="Y420" s="103">
        <v>0</v>
      </c>
      <c r="Z420" s="103">
        <v>0</v>
      </c>
      <c r="AC420" s="102">
        <v>0</v>
      </c>
    </row>
    <row r="421" spans="1:29">
      <c r="A421" s="104" t="s">
        <v>1466</v>
      </c>
      <c r="B421" s="104" t="s">
        <v>1894</v>
      </c>
      <c r="C421" s="104" t="s">
        <v>1465</v>
      </c>
      <c r="D421" s="104" t="s">
        <v>1699</v>
      </c>
      <c r="E421" s="104" t="s">
        <v>1701</v>
      </c>
      <c r="F421" s="104" t="s">
        <v>1894</v>
      </c>
      <c r="M421" s="104" t="s">
        <v>1813</v>
      </c>
      <c r="N421" s="104" t="s">
        <v>1844</v>
      </c>
      <c r="O421" s="101">
        <v>45733</v>
      </c>
      <c r="P421" s="101">
        <v>45758</v>
      </c>
      <c r="Q421" s="101">
        <v>45753</v>
      </c>
      <c r="R421" s="101">
        <v>45759</v>
      </c>
      <c r="S421" s="184">
        <v>15</v>
      </c>
      <c r="T421" s="102">
        <v>8</v>
      </c>
      <c r="U421" s="102">
        <v>15</v>
      </c>
      <c r="V421" s="102">
        <v>0</v>
      </c>
      <c r="W421" s="102">
        <v>3</v>
      </c>
      <c r="X421" s="103">
        <v>0</v>
      </c>
      <c r="Y421" s="103">
        <v>0</v>
      </c>
      <c r="Z421" s="103">
        <v>0</v>
      </c>
      <c r="AC421" s="102">
        <v>0</v>
      </c>
    </row>
    <row r="422" spans="1:29">
      <c r="A422" s="104" t="s">
        <v>1467</v>
      </c>
      <c r="B422" s="104" t="s">
        <v>1896</v>
      </c>
      <c r="C422" s="104" t="s">
        <v>1465</v>
      </c>
      <c r="D422" s="104" t="s">
        <v>1699</v>
      </c>
      <c r="E422" s="104" t="s">
        <v>1780</v>
      </c>
      <c r="F422" s="104" t="s">
        <v>1895</v>
      </c>
      <c r="G422" s="104" t="s">
        <v>1896</v>
      </c>
      <c r="M422" s="104" t="s">
        <v>1818</v>
      </c>
      <c r="N422" s="104" t="s">
        <v>1851</v>
      </c>
      <c r="O422" s="101">
        <v>45754</v>
      </c>
      <c r="P422" s="101">
        <v>45807</v>
      </c>
      <c r="Q422" s="101">
        <v>45753</v>
      </c>
      <c r="R422" s="101">
        <v>45759</v>
      </c>
      <c r="S422" s="184">
        <v>15</v>
      </c>
      <c r="T422" s="102">
        <v>8</v>
      </c>
      <c r="U422" s="102">
        <v>25</v>
      </c>
      <c r="V422" s="102">
        <v>0</v>
      </c>
      <c r="W422" s="102">
        <v>5</v>
      </c>
      <c r="X422" s="103">
        <v>0</v>
      </c>
      <c r="Y422" s="103">
        <v>0</v>
      </c>
      <c r="Z422" s="103">
        <v>0</v>
      </c>
      <c r="AC422" s="102">
        <v>0</v>
      </c>
    </row>
    <row r="423" spans="1:29">
      <c r="A423" s="104" t="s">
        <v>1467</v>
      </c>
      <c r="B423" s="104" t="s">
        <v>1896</v>
      </c>
      <c r="C423" s="104" t="s">
        <v>1465</v>
      </c>
      <c r="D423" s="104" t="s">
        <v>1699</v>
      </c>
      <c r="E423" s="104" t="s">
        <v>1780</v>
      </c>
      <c r="F423" s="104" t="s">
        <v>1895</v>
      </c>
      <c r="G423" s="104" t="s">
        <v>1896</v>
      </c>
      <c r="M423" s="104" t="s">
        <v>1818</v>
      </c>
      <c r="N423" s="104" t="s">
        <v>1851</v>
      </c>
      <c r="O423" s="101">
        <v>45754</v>
      </c>
      <c r="P423" s="101">
        <v>45807</v>
      </c>
      <c r="Q423" s="101">
        <v>45760</v>
      </c>
      <c r="R423" s="101">
        <v>45766</v>
      </c>
      <c r="S423" s="184">
        <v>16</v>
      </c>
      <c r="T423" s="102">
        <v>9</v>
      </c>
      <c r="U423" s="102">
        <v>25</v>
      </c>
      <c r="V423" s="102">
        <v>0</v>
      </c>
      <c r="W423" s="102">
        <v>5</v>
      </c>
      <c r="X423" s="103">
        <v>0</v>
      </c>
      <c r="Y423" s="103">
        <v>0</v>
      </c>
      <c r="Z423" s="103">
        <v>0</v>
      </c>
      <c r="AC423" s="102">
        <v>0</v>
      </c>
    </row>
    <row r="424" spans="1:29">
      <c r="A424" s="104" t="s">
        <v>1467</v>
      </c>
      <c r="B424" s="104" t="s">
        <v>1896</v>
      </c>
      <c r="C424" s="104" t="s">
        <v>1465</v>
      </c>
      <c r="D424" s="104" t="s">
        <v>1699</v>
      </c>
      <c r="E424" s="104" t="s">
        <v>1780</v>
      </c>
      <c r="F424" s="104" t="s">
        <v>1895</v>
      </c>
      <c r="G424" s="104" t="s">
        <v>1896</v>
      </c>
      <c r="M424" s="104" t="s">
        <v>1818</v>
      </c>
      <c r="N424" s="104" t="s">
        <v>1851</v>
      </c>
      <c r="O424" s="101">
        <v>45754</v>
      </c>
      <c r="P424" s="101">
        <v>45807</v>
      </c>
      <c r="Q424" s="101">
        <v>45767</v>
      </c>
      <c r="R424" s="101">
        <v>45773</v>
      </c>
      <c r="S424" s="184">
        <v>17</v>
      </c>
      <c r="T424" s="102">
        <v>10</v>
      </c>
      <c r="U424" s="102">
        <v>25</v>
      </c>
      <c r="V424" s="102">
        <v>0</v>
      </c>
      <c r="W424" s="102">
        <v>5</v>
      </c>
      <c r="X424" s="103">
        <v>0</v>
      </c>
      <c r="Y424" s="103">
        <v>0</v>
      </c>
      <c r="Z424" s="103">
        <v>0</v>
      </c>
      <c r="AC424" s="102">
        <v>0</v>
      </c>
    </row>
    <row r="425" spans="1:29">
      <c r="A425" s="104" t="s">
        <v>1467</v>
      </c>
      <c r="B425" s="104" t="s">
        <v>1896</v>
      </c>
      <c r="C425" s="104" t="s">
        <v>1465</v>
      </c>
      <c r="D425" s="104" t="s">
        <v>1699</v>
      </c>
      <c r="E425" s="104" t="s">
        <v>1780</v>
      </c>
      <c r="F425" s="104" t="s">
        <v>1895</v>
      </c>
      <c r="G425" s="104" t="s">
        <v>1896</v>
      </c>
      <c r="M425" s="104" t="s">
        <v>1818</v>
      </c>
      <c r="N425" s="104" t="s">
        <v>1851</v>
      </c>
      <c r="O425" s="101">
        <v>45754</v>
      </c>
      <c r="P425" s="101">
        <v>45807</v>
      </c>
      <c r="Q425" s="101">
        <v>45774</v>
      </c>
      <c r="R425" s="101">
        <v>45780</v>
      </c>
      <c r="S425" s="184">
        <v>18</v>
      </c>
      <c r="T425" s="102">
        <v>11</v>
      </c>
      <c r="U425" s="102">
        <v>20</v>
      </c>
      <c r="V425" s="102">
        <v>0</v>
      </c>
      <c r="W425" s="102">
        <v>5</v>
      </c>
      <c r="X425" s="103">
        <v>0</v>
      </c>
      <c r="Y425" s="103">
        <v>0</v>
      </c>
      <c r="Z425" s="103">
        <v>0</v>
      </c>
      <c r="AC425" s="102">
        <v>0</v>
      </c>
    </row>
    <row r="426" spans="1:29">
      <c r="A426" s="104" t="s">
        <v>1467</v>
      </c>
      <c r="B426" s="104" t="s">
        <v>1896</v>
      </c>
      <c r="C426" s="104" t="s">
        <v>1465</v>
      </c>
      <c r="D426" s="104" t="s">
        <v>1699</v>
      </c>
      <c r="E426" s="104" t="s">
        <v>1780</v>
      </c>
      <c r="F426" s="104" t="s">
        <v>1895</v>
      </c>
      <c r="G426" s="104" t="s">
        <v>1896</v>
      </c>
      <c r="M426" s="104" t="s">
        <v>1818</v>
      </c>
      <c r="N426" s="104" t="s">
        <v>1851</v>
      </c>
      <c r="O426" s="101">
        <v>45754</v>
      </c>
      <c r="P426" s="101">
        <v>45807</v>
      </c>
      <c r="Q426" s="101">
        <v>45781</v>
      </c>
      <c r="R426" s="101">
        <v>45787</v>
      </c>
      <c r="S426" s="184">
        <v>19</v>
      </c>
      <c r="T426" s="102">
        <v>12</v>
      </c>
      <c r="U426" s="102">
        <v>20</v>
      </c>
      <c r="V426" s="102">
        <v>0</v>
      </c>
      <c r="W426" s="102">
        <v>5</v>
      </c>
      <c r="X426" s="103">
        <v>0</v>
      </c>
      <c r="Y426" s="103">
        <v>0</v>
      </c>
      <c r="Z426" s="103">
        <v>0</v>
      </c>
      <c r="AC426" s="102">
        <v>0</v>
      </c>
    </row>
    <row r="427" spans="1:29">
      <c r="A427" s="104" t="s">
        <v>1467</v>
      </c>
      <c r="B427" s="104" t="s">
        <v>1896</v>
      </c>
      <c r="C427" s="104" t="s">
        <v>1465</v>
      </c>
      <c r="D427" s="104" t="s">
        <v>1699</v>
      </c>
      <c r="E427" s="104" t="s">
        <v>1780</v>
      </c>
      <c r="F427" s="104" t="s">
        <v>1895</v>
      </c>
      <c r="G427" s="104" t="s">
        <v>1896</v>
      </c>
      <c r="M427" s="104" t="s">
        <v>1818</v>
      </c>
      <c r="N427" s="104" t="s">
        <v>1851</v>
      </c>
      <c r="O427" s="101">
        <v>45754</v>
      </c>
      <c r="P427" s="101">
        <v>45807</v>
      </c>
      <c r="Q427" s="101">
        <v>45788</v>
      </c>
      <c r="R427" s="101">
        <v>45794</v>
      </c>
      <c r="S427" s="184">
        <v>20</v>
      </c>
      <c r="T427" s="102">
        <v>13</v>
      </c>
      <c r="U427" s="102">
        <v>25</v>
      </c>
      <c r="V427" s="102">
        <v>0</v>
      </c>
      <c r="W427" s="102">
        <v>5</v>
      </c>
      <c r="X427" s="103">
        <v>0</v>
      </c>
      <c r="Y427" s="103">
        <v>0</v>
      </c>
      <c r="Z427" s="103">
        <v>0</v>
      </c>
      <c r="AC427" s="102">
        <v>0</v>
      </c>
    </row>
    <row r="428" spans="1:29">
      <c r="A428" s="104" t="s">
        <v>1467</v>
      </c>
      <c r="B428" s="104" t="s">
        <v>1896</v>
      </c>
      <c r="C428" s="104" t="s">
        <v>1465</v>
      </c>
      <c r="D428" s="104" t="s">
        <v>1699</v>
      </c>
      <c r="E428" s="104" t="s">
        <v>1780</v>
      </c>
      <c r="F428" s="104" t="s">
        <v>1895</v>
      </c>
      <c r="G428" s="104" t="s">
        <v>1896</v>
      </c>
      <c r="M428" s="104" t="s">
        <v>1818</v>
      </c>
      <c r="N428" s="104" t="s">
        <v>1851</v>
      </c>
      <c r="O428" s="101">
        <v>45754</v>
      </c>
      <c r="P428" s="101">
        <v>45807</v>
      </c>
      <c r="Q428" s="101">
        <v>45795</v>
      </c>
      <c r="R428" s="101">
        <v>45801</v>
      </c>
      <c r="S428" s="184">
        <v>21</v>
      </c>
      <c r="T428" s="102">
        <v>14</v>
      </c>
      <c r="U428" s="102">
        <v>25</v>
      </c>
      <c r="V428" s="102">
        <v>0</v>
      </c>
      <c r="W428" s="102">
        <v>5</v>
      </c>
      <c r="X428" s="103">
        <v>0</v>
      </c>
      <c r="Y428" s="103">
        <v>0</v>
      </c>
      <c r="Z428" s="103">
        <v>0</v>
      </c>
      <c r="AC428" s="102">
        <v>0</v>
      </c>
    </row>
    <row r="429" spans="1:29">
      <c r="A429" s="104" t="s">
        <v>1467</v>
      </c>
      <c r="B429" s="104" t="s">
        <v>1896</v>
      </c>
      <c r="C429" s="104" t="s">
        <v>1465</v>
      </c>
      <c r="D429" s="104" t="s">
        <v>1699</v>
      </c>
      <c r="E429" s="104" t="s">
        <v>1780</v>
      </c>
      <c r="F429" s="104" t="s">
        <v>1895</v>
      </c>
      <c r="G429" s="104" t="s">
        <v>1896</v>
      </c>
      <c r="M429" s="104" t="s">
        <v>1818</v>
      </c>
      <c r="N429" s="104" t="s">
        <v>1851</v>
      </c>
      <c r="O429" s="101">
        <v>45754</v>
      </c>
      <c r="P429" s="101">
        <v>45807</v>
      </c>
      <c r="Q429" s="101">
        <v>45802</v>
      </c>
      <c r="R429" s="101">
        <v>45808</v>
      </c>
      <c r="S429" s="184">
        <v>22</v>
      </c>
      <c r="T429" s="102">
        <v>15</v>
      </c>
      <c r="U429" s="102">
        <v>25</v>
      </c>
      <c r="V429" s="102">
        <v>0</v>
      </c>
      <c r="W429" s="102">
        <v>5</v>
      </c>
      <c r="X429" s="103">
        <v>0</v>
      </c>
      <c r="Y429" s="103">
        <v>0</v>
      </c>
      <c r="Z429" s="103">
        <v>0</v>
      </c>
      <c r="AC429" s="102">
        <v>0</v>
      </c>
    </row>
    <row r="430" spans="1:29">
      <c r="A430" s="104" t="s">
        <v>1467</v>
      </c>
      <c r="B430" s="104" t="s">
        <v>1897</v>
      </c>
      <c r="C430" s="104" t="s">
        <v>1465</v>
      </c>
      <c r="D430" s="104" t="s">
        <v>1699</v>
      </c>
      <c r="E430" s="104" t="s">
        <v>1780</v>
      </c>
      <c r="F430" s="104" t="s">
        <v>1895</v>
      </c>
      <c r="G430" s="104" t="s">
        <v>1897</v>
      </c>
      <c r="M430" s="104" t="s">
        <v>1824</v>
      </c>
      <c r="N430" s="104" t="s">
        <v>1851</v>
      </c>
      <c r="O430" s="101">
        <v>45783</v>
      </c>
      <c r="P430" s="101">
        <v>45821</v>
      </c>
      <c r="Q430" s="101">
        <v>45781</v>
      </c>
      <c r="R430" s="101">
        <v>45787</v>
      </c>
      <c r="S430" s="184">
        <v>19</v>
      </c>
      <c r="T430" s="102">
        <v>12</v>
      </c>
      <c r="U430" s="102">
        <v>22</v>
      </c>
      <c r="V430" s="102">
        <v>0</v>
      </c>
      <c r="W430" s="102">
        <v>5.5</v>
      </c>
      <c r="X430" s="103">
        <v>0</v>
      </c>
      <c r="Y430" s="103">
        <v>0</v>
      </c>
      <c r="Z430" s="103">
        <v>0</v>
      </c>
      <c r="AC430" s="102">
        <v>0</v>
      </c>
    </row>
    <row r="431" spans="1:29">
      <c r="A431" s="104" t="s">
        <v>1467</v>
      </c>
      <c r="B431" s="104" t="s">
        <v>1897</v>
      </c>
      <c r="C431" s="104" t="s">
        <v>1465</v>
      </c>
      <c r="D431" s="104" t="s">
        <v>1699</v>
      </c>
      <c r="E431" s="104" t="s">
        <v>1780</v>
      </c>
      <c r="F431" s="104" t="s">
        <v>1895</v>
      </c>
      <c r="G431" s="104" t="s">
        <v>1897</v>
      </c>
      <c r="M431" s="104" t="s">
        <v>1824</v>
      </c>
      <c r="N431" s="104" t="s">
        <v>1851</v>
      </c>
      <c r="O431" s="101">
        <v>45783</v>
      </c>
      <c r="P431" s="101">
        <v>45821</v>
      </c>
      <c r="Q431" s="101">
        <v>45788</v>
      </c>
      <c r="R431" s="101">
        <v>45794</v>
      </c>
      <c r="S431" s="184">
        <v>20</v>
      </c>
      <c r="T431" s="102">
        <v>13</v>
      </c>
      <c r="U431" s="102">
        <v>27.5</v>
      </c>
      <c r="V431" s="102">
        <v>0</v>
      </c>
      <c r="W431" s="102">
        <v>5.5</v>
      </c>
      <c r="X431" s="103">
        <v>0</v>
      </c>
      <c r="Y431" s="103">
        <v>0</v>
      </c>
      <c r="Z431" s="103">
        <v>0</v>
      </c>
      <c r="AC431" s="102">
        <v>0</v>
      </c>
    </row>
    <row r="432" spans="1:29">
      <c r="A432" s="104" t="s">
        <v>1467</v>
      </c>
      <c r="B432" s="104" t="s">
        <v>1897</v>
      </c>
      <c r="C432" s="104" t="s">
        <v>1465</v>
      </c>
      <c r="D432" s="104" t="s">
        <v>1699</v>
      </c>
      <c r="E432" s="104" t="s">
        <v>1780</v>
      </c>
      <c r="F432" s="104" t="s">
        <v>1895</v>
      </c>
      <c r="G432" s="104" t="s">
        <v>1897</v>
      </c>
      <c r="M432" s="104" t="s">
        <v>1824</v>
      </c>
      <c r="N432" s="104" t="s">
        <v>1851</v>
      </c>
      <c r="O432" s="101">
        <v>45783</v>
      </c>
      <c r="P432" s="101">
        <v>45821</v>
      </c>
      <c r="Q432" s="101">
        <v>45795</v>
      </c>
      <c r="R432" s="101">
        <v>45801</v>
      </c>
      <c r="S432" s="184">
        <v>21</v>
      </c>
      <c r="T432" s="102">
        <v>14</v>
      </c>
      <c r="U432" s="102">
        <v>27.5</v>
      </c>
      <c r="V432" s="102">
        <v>0</v>
      </c>
      <c r="W432" s="102">
        <v>5.5</v>
      </c>
      <c r="X432" s="103">
        <v>0</v>
      </c>
      <c r="Y432" s="103">
        <v>0</v>
      </c>
      <c r="Z432" s="103">
        <v>0</v>
      </c>
      <c r="AC432" s="102">
        <v>0</v>
      </c>
    </row>
    <row r="433" spans="1:29">
      <c r="A433" s="104" t="s">
        <v>1467</v>
      </c>
      <c r="B433" s="104" t="s">
        <v>1897</v>
      </c>
      <c r="C433" s="104" t="s">
        <v>1465</v>
      </c>
      <c r="D433" s="104" t="s">
        <v>1699</v>
      </c>
      <c r="E433" s="104" t="s">
        <v>1780</v>
      </c>
      <c r="F433" s="104" t="s">
        <v>1895</v>
      </c>
      <c r="G433" s="104" t="s">
        <v>1897</v>
      </c>
      <c r="M433" s="104" t="s">
        <v>1824</v>
      </c>
      <c r="N433" s="104" t="s">
        <v>1851</v>
      </c>
      <c r="O433" s="101">
        <v>45783</v>
      </c>
      <c r="P433" s="101">
        <v>45821</v>
      </c>
      <c r="Q433" s="101">
        <v>45802</v>
      </c>
      <c r="R433" s="101">
        <v>45808</v>
      </c>
      <c r="S433" s="184">
        <v>22</v>
      </c>
      <c r="T433" s="102">
        <v>15</v>
      </c>
      <c r="U433" s="102">
        <v>27.5</v>
      </c>
      <c r="V433" s="102">
        <v>0</v>
      </c>
      <c r="W433" s="102">
        <v>5.5</v>
      </c>
      <c r="X433" s="103">
        <v>0</v>
      </c>
      <c r="Y433" s="103">
        <v>0</v>
      </c>
      <c r="Z433" s="103">
        <v>0</v>
      </c>
      <c r="AC433" s="102">
        <v>0</v>
      </c>
    </row>
    <row r="434" spans="1:29">
      <c r="A434" s="104" t="s">
        <v>1467</v>
      </c>
      <c r="B434" s="104" t="s">
        <v>1897</v>
      </c>
      <c r="C434" s="104" t="s">
        <v>1465</v>
      </c>
      <c r="D434" s="104" t="s">
        <v>1699</v>
      </c>
      <c r="E434" s="104" t="s">
        <v>1780</v>
      </c>
      <c r="F434" s="104" t="s">
        <v>1895</v>
      </c>
      <c r="G434" s="104" t="s">
        <v>1897</v>
      </c>
      <c r="M434" s="104" t="s">
        <v>1824</v>
      </c>
      <c r="N434" s="104" t="s">
        <v>1851</v>
      </c>
      <c r="O434" s="101">
        <v>45783</v>
      </c>
      <c r="P434" s="101">
        <v>45821</v>
      </c>
      <c r="Q434" s="101">
        <v>45809</v>
      </c>
      <c r="R434" s="101">
        <v>45815</v>
      </c>
      <c r="S434" s="184">
        <v>23</v>
      </c>
      <c r="T434" s="102">
        <v>16</v>
      </c>
      <c r="U434" s="102">
        <v>22</v>
      </c>
      <c r="V434" s="102">
        <v>0</v>
      </c>
      <c r="W434" s="102">
        <v>5.5</v>
      </c>
      <c r="X434" s="103">
        <v>0</v>
      </c>
      <c r="Y434" s="103">
        <v>0</v>
      </c>
      <c r="Z434" s="103">
        <v>0</v>
      </c>
      <c r="AC434" s="102">
        <v>0</v>
      </c>
    </row>
    <row r="435" spans="1:29">
      <c r="A435" s="104" t="s">
        <v>1467</v>
      </c>
      <c r="B435" s="104" t="s">
        <v>1897</v>
      </c>
      <c r="C435" s="104" t="s">
        <v>1465</v>
      </c>
      <c r="D435" s="104" t="s">
        <v>1699</v>
      </c>
      <c r="E435" s="104" t="s">
        <v>1780</v>
      </c>
      <c r="F435" s="104" t="s">
        <v>1895</v>
      </c>
      <c r="G435" s="104" t="s">
        <v>1897</v>
      </c>
      <c r="M435" s="104" t="s">
        <v>1824</v>
      </c>
      <c r="N435" s="104" t="s">
        <v>1851</v>
      </c>
      <c r="O435" s="101">
        <v>45783</v>
      </c>
      <c r="P435" s="101">
        <v>45821</v>
      </c>
      <c r="Q435" s="101">
        <v>45816</v>
      </c>
      <c r="R435" s="101">
        <v>45822</v>
      </c>
      <c r="S435" s="184">
        <v>24</v>
      </c>
      <c r="T435" s="102">
        <v>17</v>
      </c>
      <c r="U435" s="102">
        <v>27.5</v>
      </c>
      <c r="V435" s="102">
        <v>0</v>
      </c>
      <c r="W435" s="102">
        <v>5.5</v>
      </c>
      <c r="X435" s="103">
        <v>0</v>
      </c>
      <c r="Y435" s="103">
        <v>0</v>
      </c>
      <c r="Z435" s="103">
        <v>0</v>
      </c>
      <c r="AC435" s="102">
        <v>0</v>
      </c>
    </row>
    <row r="436" spans="1:29">
      <c r="A436" s="104" t="s">
        <v>1467</v>
      </c>
      <c r="B436" s="104" t="s">
        <v>1898</v>
      </c>
      <c r="C436" s="104" t="s">
        <v>1465</v>
      </c>
      <c r="D436" s="104" t="s">
        <v>1699</v>
      </c>
      <c r="E436" s="104" t="s">
        <v>1780</v>
      </c>
      <c r="F436" s="104" t="s">
        <v>1895</v>
      </c>
      <c r="G436" s="104" t="s">
        <v>1898</v>
      </c>
      <c r="M436" s="104" t="s">
        <v>1821</v>
      </c>
      <c r="N436" s="104" t="s">
        <v>1851</v>
      </c>
      <c r="O436" s="101">
        <v>45783</v>
      </c>
      <c r="P436" s="101">
        <v>45898</v>
      </c>
      <c r="Q436" s="101">
        <v>45781</v>
      </c>
      <c r="R436" s="101">
        <v>45787</v>
      </c>
      <c r="S436" s="184">
        <v>19</v>
      </c>
      <c r="T436" s="102">
        <v>12</v>
      </c>
      <c r="U436" s="102">
        <v>22</v>
      </c>
      <c r="V436" s="102">
        <v>0</v>
      </c>
      <c r="W436" s="102">
        <v>5.5</v>
      </c>
      <c r="X436" s="103">
        <v>0</v>
      </c>
      <c r="Y436" s="103">
        <v>0</v>
      </c>
      <c r="Z436" s="103">
        <v>0</v>
      </c>
      <c r="AC436" s="102">
        <v>0</v>
      </c>
    </row>
    <row r="437" spans="1:29">
      <c r="A437" s="104" t="s">
        <v>1467</v>
      </c>
      <c r="B437" s="104" t="s">
        <v>1898</v>
      </c>
      <c r="C437" s="104" t="s">
        <v>1465</v>
      </c>
      <c r="D437" s="104" t="s">
        <v>1699</v>
      </c>
      <c r="E437" s="104" t="s">
        <v>1780</v>
      </c>
      <c r="F437" s="104" t="s">
        <v>1895</v>
      </c>
      <c r="G437" s="104" t="s">
        <v>1898</v>
      </c>
      <c r="M437" s="104" t="s">
        <v>1821</v>
      </c>
      <c r="N437" s="104" t="s">
        <v>1851</v>
      </c>
      <c r="O437" s="101">
        <v>45783</v>
      </c>
      <c r="P437" s="101">
        <v>45898</v>
      </c>
      <c r="Q437" s="101">
        <v>45788</v>
      </c>
      <c r="R437" s="101">
        <v>45794</v>
      </c>
      <c r="S437" s="184">
        <v>20</v>
      </c>
      <c r="T437" s="102">
        <v>13</v>
      </c>
      <c r="U437" s="102">
        <v>27.5</v>
      </c>
      <c r="V437" s="102">
        <v>0</v>
      </c>
      <c r="W437" s="102">
        <v>5.5</v>
      </c>
      <c r="X437" s="103">
        <v>0</v>
      </c>
      <c r="Y437" s="103">
        <v>0</v>
      </c>
      <c r="Z437" s="103">
        <v>0</v>
      </c>
      <c r="AC437" s="102">
        <v>0</v>
      </c>
    </row>
    <row r="438" spans="1:29">
      <c r="A438" s="104" t="s">
        <v>1467</v>
      </c>
      <c r="B438" s="104" t="s">
        <v>1898</v>
      </c>
      <c r="C438" s="104" t="s">
        <v>1465</v>
      </c>
      <c r="D438" s="104" t="s">
        <v>1699</v>
      </c>
      <c r="E438" s="104" t="s">
        <v>1780</v>
      </c>
      <c r="F438" s="104" t="s">
        <v>1895</v>
      </c>
      <c r="G438" s="104" t="s">
        <v>1898</v>
      </c>
      <c r="M438" s="104" t="s">
        <v>1821</v>
      </c>
      <c r="N438" s="104" t="s">
        <v>1851</v>
      </c>
      <c r="O438" s="101">
        <v>45783</v>
      </c>
      <c r="P438" s="101">
        <v>45898</v>
      </c>
      <c r="Q438" s="101">
        <v>45795</v>
      </c>
      <c r="R438" s="101">
        <v>45801</v>
      </c>
      <c r="S438" s="184">
        <v>21</v>
      </c>
      <c r="T438" s="102">
        <v>14</v>
      </c>
      <c r="U438" s="102">
        <v>27.5</v>
      </c>
      <c r="V438" s="102">
        <v>0</v>
      </c>
      <c r="W438" s="102">
        <v>5.5</v>
      </c>
      <c r="X438" s="103">
        <v>0</v>
      </c>
      <c r="Y438" s="103">
        <v>0</v>
      </c>
      <c r="Z438" s="103">
        <v>0</v>
      </c>
      <c r="AC438" s="102">
        <v>0</v>
      </c>
    </row>
    <row r="439" spans="1:29">
      <c r="A439" s="104" t="s">
        <v>1467</v>
      </c>
      <c r="B439" s="104" t="s">
        <v>1898</v>
      </c>
      <c r="C439" s="104" t="s">
        <v>1465</v>
      </c>
      <c r="D439" s="104" t="s">
        <v>1699</v>
      </c>
      <c r="E439" s="104" t="s">
        <v>1780</v>
      </c>
      <c r="F439" s="104" t="s">
        <v>1895</v>
      </c>
      <c r="G439" s="104" t="s">
        <v>1898</v>
      </c>
      <c r="M439" s="104" t="s">
        <v>1821</v>
      </c>
      <c r="N439" s="104" t="s">
        <v>1851</v>
      </c>
      <c r="O439" s="101">
        <v>45783</v>
      </c>
      <c r="P439" s="101">
        <v>45898</v>
      </c>
      <c r="Q439" s="101">
        <v>45802</v>
      </c>
      <c r="R439" s="101">
        <v>45808</v>
      </c>
      <c r="S439" s="184">
        <v>22</v>
      </c>
      <c r="T439" s="102">
        <v>15</v>
      </c>
      <c r="U439" s="102">
        <v>27.5</v>
      </c>
      <c r="V439" s="102">
        <v>0</v>
      </c>
      <c r="W439" s="102">
        <v>5.5</v>
      </c>
      <c r="X439" s="103">
        <v>0</v>
      </c>
      <c r="Y439" s="103">
        <v>0</v>
      </c>
      <c r="Z439" s="103">
        <v>0</v>
      </c>
      <c r="AC439" s="102">
        <v>0</v>
      </c>
    </row>
    <row r="440" spans="1:29">
      <c r="A440" s="104" t="s">
        <v>1467</v>
      </c>
      <c r="B440" s="104" t="s">
        <v>1898</v>
      </c>
      <c r="C440" s="104" t="s">
        <v>1465</v>
      </c>
      <c r="D440" s="104" t="s">
        <v>1699</v>
      </c>
      <c r="E440" s="104" t="s">
        <v>1780</v>
      </c>
      <c r="F440" s="104" t="s">
        <v>1895</v>
      </c>
      <c r="G440" s="104" t="s">
        <v>1898</v>
      </c>
      <c r="M440" s="104" t="s">
        <v>1821</v>
      </c>
      <c r="N440" s="104" t="s">
        <v>1851</v>
      </c>
      <c r="O440" s="101">
        <v>45783</v>
      </c>
      <c r="P440" s="101">
        <v>45898</v>
      </c>
      <c r="Q440" s="101">
        <v>45809</v>
      </c>
      <c r="R440" s="101">
        <v>45815</v>
      </c>
      <c r="S440" s="184">
        <v>23</v>
      </c>
      <c r="T440" s="102">
        <v>16</v>
      </c>
      <c r="U440" s="102">
        <v>22</v>
      </c>
      <c r="V440" s="102">
        <v>0</v>
      </c>
      <c r="W440" s="102">
        <v>5.5</v>
      </c>
      <c r="X440" s="103">
        <v>0</v>
      </c>
      <c r="Y440" s="103">
        <v>0</v>
      </c>
      <c r="Z440" s="103">
        <v>0</v>
      </c>
      <c r="AC440" s="102">
        <v>0</v>
      </c>
    </row>
    <row r="441" spans="1:29">
      <c r="A441" s="104" t="s">
        <v>1467</v>
      </c>
      <c r="B441" s="104" t="s">
        <v>1898</v>
      </c>
      <c r="C441" s="104" t="s">
        <v>1465</v>
      </c>
      <c r="D441" s="104" t="s">
        <v>1699</v>
      </c>
      <c r="E441" s="104" t="s">
        <v>1780</v>
      </c>
      <c r="F441" s="104" t="s">
        <v>1895</v>
      </c>
      <c r="G441" s="104" t="s">
        <v>1898</v>
      </c>
      <c r="M441" s="104" t="s">
        <v>1821</v>
      </c>
      <c r="N441" s="104" t="s">
        <v>1851</v>
      </c>
      <c r="O441" s="101">
        <v>45783</v>
      </c>
      <c r="P441" s="101">
        <v>45898</v>
      </c>
      <c r="Q441" s="101">
        <v>45816</v>
      </c>
      <c r="R441" s="101">
        <v>45822</v>
      </c>
      <c r="S441" s="184">
        <v>24</v>
      </c>
      <c r="T441" s="102">
        <v>17</v>
      </c>
      <c r="U441" s="102">
        <v>27.5</v>
      </c>
      <c r="V441" s="102">
        <v>0</v>
      </c>
      <c r="W441" s="102">
        <v>5.5</v>
      </c>
      <c r="X441" s="103">
        <v>0</v>
      </c>
      <c r="Y441" s="103">
        <v>0</v>
      </c>
      <c r="Z441" s="103">
        <v>0</v>
      </c>
      <c r="AC441" s="102">
        <v>0</v>
      </c>
    </row>
    <row r="442" spans="1:29">
      <c r="A442" s="104" t="s">
        <v>1467</v>
      </c>
      <c r="B442" s="104" t="s">
        <v>1898</v>
      </c>
      <c r="C442" s="104" t="s">
        <v>1465</v>
      </c>
      <c r="D442" s="104" t="s">
        <v>1699</v>
      </c>
      <c r="E442" s="104" t="s">
        <v>1780</v>
      </c>
      <c r="F442" s="104" t="s">
        <v>1895</v>
      </c>
      <c r="G442" s="104" t="s">
        <v>1898</v>
      </c>
      <c r="M442" s="104" t="s">
        <v>1821</v>
      </c>
      <c r="N442" s="104" t="s">
        <v>1851</v>
      </c>
      <c r="O442" s="101">
        <v>45783</v>
      </c>
      <c r="P442" s="101">
        <v>45898</v>
      </c>
      <c r="Q442" s="101">
        <v>45823</v>
      </c>
      <c r="R442" s="101">
        <v>45829</v>
      </c>
      <c r="S442" s="184">
        <v>25</v>
      </c>
      <c r="T442" s="102">
        <v>18</v>
      </c>
      <c r="U442" s="102">
        <v>27.5</v>
      </c>
      <c r="V442" s="102">
        <v>0</v>
      </c>
      <c r="W442" s="102">
        <v>5.5</v>
      </c>
      <c r="X442" s="103">
        <v>0</v>
      </c>
      <c r="Y442" s="103">
        <v>0</v>
      </c>
      <c r="Z442" s="103">
        <v>0</v>
      </c>
      <c r="AC442" s="102">
        <v>0</v>
      </c>
    </row>
    <row r="443" spans="1:29">
      <c r="A443" s="104" t="s">
        <v>1467</v>
      </c>
      <c r="B443" s="104" t="s">
        <v>1898</v>
      </c>
      <c r="C443" s="104" t="s">
        <v>1465</v>
      </c>
      <c r="D443" s="104" t="s">
        <v>1699</v>
      </c>
      <c r="E443" s="104" t="s">
        <v>1780</v>
      </c>
      <c r="F443" s="104" t="s">
        <v>1895</v>
      </c>
      <c r="G443" s="104" t="s">
        <v>1898</v>
      </c>
      <c r="M443" s="104" t="s">
        <v>1821</v>
      </c>
      <c r="N443" s="104" t="s">
        <v>1851</v>
      </c>
      <c r="O443" s="101">
        <v>45783</v>
      </c>
      <c r="P443" s="101">
        <v>45898</v>
      </c>
      <c r="Q443" s="101">
        <v>45830</v>
      </c>
      <c r="R443" s="101">
        <v>45836</v>
      </c>
      <c r="S443" s="184">
        <v>26</v>
      </c>
      <c r="T443" s="102">
        <v>19</v>
      </c>
      <c r="U443" s="102">
        <v>27.5</v>
      </c>
      <c r="V443" s="102">
        <v>0</v>
      </c>
      <c r="W443" s="102">
        <v>5.5</v>
      </c>
      <c r="X443" s="103">
        <v>0</v>
      </c>
      <c r="Y443" s="103">
        <v>0</v>
      </c>
      <c r="Z443" s="103">
        <v>0</v>
      </c>
      <c r="AC443" s="102">
        <v>0</v>
      </c>
    </row>
    <row r="444" spans="1:29">
      <c r="A444" s="104" t="s">
        <v>1467</v>
      </c>
      <c r="B444" s="104" t="s">
        <v>1898</v>
      </c>
      <c r="C444" s="104" t="s">
        <v>1465</v>
      </c>
      <c r="D444" s="104" t="s">
        <v>1699</v>
      </c>
      <c r="E444" s="104" t="s">
        <v>1780</v>
      </c>
      <c r="F444" s="104" t="s">
        <v>1895</v>
      </c>
      <c r="G444" s="104" t="s">
        <v>1898</v>
      </c>
      <c r="M444" s="104" t="s">
        <v>1821</v>
      </c>
      <c r="N444" s="104" t="s">
        <v>1851</v>
      </c>
      <c r="O444" s="101">
        <v>45783</v>
      </c>
      <c r="P444" s="101">
        <v>45898</v>
      </c>
      <c r="Q444" s="101">
        <v>45837</v>
      </c>
      <c r="R444" s="101">
        <v>45843</v>
      </c>
      <c r="S444" s="184">
        <v>27</v>
      </c>
      <c r="T444" s="102">
        <v>20</v>
      </c>
      <c r="U444" s="102">
        <v>27.5</v>
      </c>
      <c r="V444" s="102">
        <v>0</v>
      </c>
      <c r="W444" s="102">
        <v>5.5</v>
      </c>
      <c r="X444" s="103">
        <v>0</v>
      </c>
      <c r="Y444" s="103">
        <v>0</v>
      </c>
      <c r="Z444" s="103">
        <v>0</v>
      </c>
      <c r="AC444" s="102">
        <v>0</v>
      </c>
    </row>
    <row r="445" spans="1:29">
      <c r="A445" s="104" t="s">
        <v>1467</v>
      </c>
      <c r="B445" s="104" t="s">
        <v>1898</v>
      </c>
      <c r="C445" s="104" t="s">
        <v>1465</v>
      </c>
      <c r="D445" s="104" t="s">
        <v>1699</v>
      </c>
      <c r="E445" s="104" t="s">
        <v>1780</v>
      </c>
      <c r="F445" s="104" t="s">
        <v>1895</v>
      </c>
      <c r="G445" s="104" t="s">
        <v>1898</v>
      </c>
      <c r="M445" s="104" t="s">
        <v>1821</v>
      </c>
      <c r="N445" s="104" t="s">
        <v>1851</v>
      </c>
      <c r="O445" s="101">
        <v>45783</v>
      </c>
      <c r="P445" s="101">
        <v>45898</v>
      </c>
      <c r="Q445" s="101">
        <v>45844</v>
      </c>
      <c r="R445" s="101">
        <v>45850</v>
      </c>
      <c r="S445" s="184">
        <v>28</v>
      </c>
      <c r="T445" s="102">
        <v>21</v>
      </c>
      <c r="U445" s="102">
        <v>27.5</v>
      </c>
      <c r="V445" s="102">
        <v>0</v>
      </c>
      <c r="W445" s="102">
        <v>5.5</v>
      </c>
      <c r="X445" s="103">
        <v>0</v>
      </c>
      <c r="Y445" s="103">
        <v>0</v>
      </c>
      <c r="Z445" s="103">
        <v>0</v>
      </c>
      <c r="AC445" s="102">
        <v>0</v>
      </c>
    </row>
    <row r="446" spans="1:29">
      <c r="A446" s="104" t="s">
        <v>1467</v>
      </c>
      <c r="B446" s="104" t="s">
        <v>1898</v>
      </c>
      <c r="C446" s="104" t="s">
        <v>1465</v>
      </c>
      <c r="D446" s="104" t="s">
        <v>1699</v>
      </c>
      <c r="E446" s="104" t="s">
        <v>1780</v>
      </c>
      <c r="F446" s="104" t="s">
        <v>1895</v>
      </c>
      <c r="G446" s="104" t="s">
        <v>1898</v>
      </c>
      <c r="M446" s="104" t="s">
        <v>1821</v>
      </c>
      <c r="N446" s="104" t="s">
        <v>1851</v>
      </c>
      <c r="O446" s="101">
        <v>45783</v>
      </c>
      <c r="P446" s="101">
        <v>45898</v>
      </c>
      <c r="Q446" s="101">
        <v>45851</v>
      </c>
      <c r="R446" s="101">
        <v>45857</v>
      </c>
      <c r="S446" s="184">
        <v>29</v>
      </c>
      <c r="T446" s="102">
        <v>22</v>
      </c>
      <c r="U446" s="102">
        <v>27.5</v>
      </c>
      <c r="V446" s="102">
        <v>0</v>
      </c>
      <c r="W446" s="102">
        <v>5.5</v>
      </c>
      <c r="X446" s="103">
        <v>0</v>
      </c>
      <c r="Y446" s="103">
        <v>0</v>
      </c>
      <c r="Z446" s="103">
        <v>0</v>
      </c>
      <c r="AC446" s="102">
        <v>0</v>
      </c>
    </row>
    <row r="447" spans="1:29">
      <c r="A447" s="104" t="s">
        <v>1467</v>
      </c>
      <c r="B447" s="104" t="s">
        <v>1898</v>
      </c>
      <c r="C447" s="104" t="s">
        <v>1465</v>
      </c>
      <c r="D447" s="104" t="s">
        <v>1699</v>
      </c>
      <c r="E447" s="104" t="s">
        <v>1780</v>
      </c>
      <c r="F447" s="104" t="s">
        <v>1895</v>
      </c>
      <c r="G447" s="104" t="s">
        <v>1898</v>
      </c>
      <c r="M447" s="104" t="s">
        <v>1821</v>
      </c>
      <c r="N447" s="104" t="s">
        <v>1851</v>
      </c>
      <c r="O447" s="101">
        <v>45783</v>
      </c>
      <c r="P447" s="101">
        <v>45898</v>
      </c>
      <c r="Q447" s="101">
        <v>45858</v>
      </c>
      <c r="R447" s="101">
        <v>45864</v>
      </c>
      <c r="S447" s="184">
        <v>30</v>
      </c>
      <c r="T447" s="102">
        <v>23</v>
      </c>
      <c r="U447" s="102">
        <v>27.5</v>
      </c>
      <c r="V447" s="102">
        <v>0</v>
      </c>
      <c r="W447" s="102">
        <v>5.5</v>
      </c>
      <c r="X447" s="103">
        <v>0</v>
      </c>
      <c r="Y447" s="103">
        <v>0</v>
      </c>
      <c r="Z447" s="103">
        <v>0</v>
      </c>
      <c r="AC447" s="102">
        <v>0</v>
      </c>
    </row>
    <row r="448" spans="1:29">
      <c r="A448" s="104" t="s">
        <v>1467</v>
      </c>
      <c r="B448" s="104" t="s">
        <v>1898</v>
      </c>
      <c r="C448" s="104" t="s">
        <v>1465</v>
      </c>
      <c r="D448" s="104" t="s">
        <v>1699</v>
      </c>
      <c r="E448" s="104" t="s">
        <v>1780</v>
      </c>
      <c r="F448" s="104" t="s">
        <v>1895</v>
      </c>
      <c r="G448" s="104" t="s">
        <v>1898</v>
      </c>
      <c r="M448" s="104" t="s">
        <v>1821</v>
      </c>
      <c r="N448" s="104" t="s">
        <v>1851</v>
      </c>
      <c r="O448" s="101">
        <v>45783</v>
      </c>
      <c r="P448" s="101">
        <v>45898</v>
      </c>
      <c r="Q448" s="101">
        <v>45865</v>
      </c>
      <c r="R448" s="101">
        <v>45871</v>
      </c>
      <c r="S448" s="184">
        <v>31</v>
      </c>
      <c r="T448" s="102">
        <v>24</v>
      </c>
      <c r="U448" s="102">
        <v>27.5</v>
      </c>
      <c r="V448" s="102">
        <v>0</v>
      </c>
      <c r="W448" s="102">
        <v>5.5</v>
      </c>
      <c r="X448" s="103">
        <v>0</v>
      </c>
      <c r="Y448" s="103">
        <v>0</v>
      </c>
      <c r="Z448" s="103">
        <v>0</v>
      </c>
      <c r="AC448" s="102">
        <v>0</v>
      </c>
    </row>
    <row r="449" spans="1:29">
      <c r="A449" s="104" t="s">
        <v>1467</v>
      </c>
      <c r="B449" s="104" t="s">
        <v>1898</v>
      </c>
      <c r="C449" s="104" t="s">
        <v>1465</v>
      </c>
      <c r="D449" s="104" t="s">
        <v>1699</v>
      </c>
      <c r="E449" s="104" t="s">
        <v>1780</v>
      </c>
      <c r="F449" s="104" t="s">
        <v>1895</v>
      </c>
      <c r="G449" s="104" t="s">
        <v>1898</v>
      </c>
      <c r="M449" s="104" t="s">
        <v>1821</v>
      </c>
      <c r="N449" s="104" t="s">
        <v>1851</v>
      </c>
      <c r="O449" s="101">
        <v>45783</v>
      </c>
      <c r="P449" s="101">
        <v>45898</v>
      </c>
      <c r="Q449" s="101">
        <v>45872</v>
      </c>
      <c r="R449" s="101">
        <v>45878</v>
      </c>
      <c r="S449" s="184">
        <v>32</v>
      </c>
      <c r="T449" s="102">
        <v>25</v>
      </c>
      <c r="U449" s="102">
        <v>27.5</v>
      </c>
      <c r="V449" s="102">
        <v>0</v>
      </c>
      <c r="W449" s="102">
        <v>5.5</v>
      </c>
      <c r="X449" s="103">
        <v>0</v>
      </c>
      <c r="Y449" s="103">
        <v>0</v>
      </c>
      <c r="Z449" s="103">
        <v>0</v>
      </c>
      <c r="AC449" s="102">
        <v>0</v>
      </c>
    </row>
    <row r="450" spans="1:29">
      <c r="A450" s="104" t="s">
        <v>1467</v>
      </c>
      <c r="B450" s="104" t="s">
        <v>1898</v>
      </c>
      <c r="C450" s="104" t="s">
        <v>1465</v>
      </c>
      <c r="D450" s="104" t="s">
        <v>1699</v>
      </c>
      <c r="E450" s="104" t="s">
        <v>1780</v>
      </c>
      <c r="F450" s="104" t="s">
        <v>1895</v>
      </c>
      <c r="G450" s="104" t="s">
        <v>1898</v>
      </c>
      <c r="M450" s="104" t="s">
        <v>1821</v>
      </c>
      <c r="N450" s="104" t="s">
        <v>1851</v>
      </c>
      <c r="O450" s="101">
        <v>45783</v>
      </c>
      <c r="P450" s="101">
        <v>45898</v>
      </c>
      <c r="Q450" s="101">
        <v>45879</v>
      </c>
      <c r="R450" s="101">
        <v>45885</v>
      </c>
      <c r="S450" s="184">
        <v>33</v>
      </c>
      <c r="T450" s="102">
        <v>26</v>
      </c>
      <c r="U450" s="102">
        <v>22</v>
      </c>
      <c r="V450" s="102">
        <v>0</v>
      </c>
      <c r="W450" s="102">
        <v>5.5</v>
      </c>
      <c r="X450" s="103">
        <v>0</v>
      </c>
      <c r="Y450" s="103">
        <v>0</v>
      </c>
      <c r="Z450" s="103">
        <v>0</v>
      </c>
      <c r="AC450" s="102">
        <v>0</v>
      </c>
    </row>
    <row r="451" spans="1:29">
      <c r="A451" s="104" t="s">
        <v>1467</v>
      </c>
      <c r="B451" s="104" t="s">
        <v>1898</v>
      </c>
      <c r="C451" s="104" t="s">
        <v>1465</v>
      </c>
      <c r="D451" s="104" t="s">
        <v>1699</v>
      </c>
      <c r="E451" s="104" t="s">
        <v>1780</v>
      </c>
      <c r="F451" s="104" t="s">
        <v>1895</v>
      </c>
      <c r="G451" s="104" t="s">
        <v>1898</v>
      </c>
      <c r="M451" s="104" t="s">
        <v>1821</v>
      </c>
      <c r="N451" s="104" t="s">
        <v>1851</v>
      </c>
      <c r="O451" s="101">
        <v>45783</v>
      </c>
      <c r="P451" s="101">
        <v>45898</v>
      </c>
      <c r="Q451" s="101">
        <v>45886</v>
      </c>
      <c r="R451" s="101">
        <v>45892</v>
      </c>
      <c r="S451" s="184">
        <v>34</v>
      </c>
      <c r="T451" s="102">
        <v>27</v>
      </c>
      <c r="U451" s="102">
        <v>27.5</v>
      </c>
      <c r="V451" s="102">
        <v>0</v>
      </c>
      <c r="W451" s="102">
        <v>5.5</v>
      </c>
      <c r="X451" s="103">
        <v>0</v>
      </c>
      <c r="Y451" s="103">
        <v>0</v>
      </c>
      <c r="Z451" s="103">
        <v>0</v>
      </c>
      <c r="AC451" s="102">
        <v>0</v>
      </c>
    </row>
    <row r="452" spans="1:29">
      <c r="A452" s="104" t="s">
        <v>1467</v>
      </c>
      <c r="B452" s="104" t="s">
        <v>1898</v>
      </c>
      <c r="C452" s="104" t="s">
        <v>1465</v>
      </c>
      <c r="D452" s="104" t="s">
        <v>1699</v>
      </c>
      <c r="E452" s="104" t="s">
        <v>1780</v>
      </c>
      <c r="F452" s="104" t="s">
        <v>1895</v>
      </c>
      <c r="G452" s="104" t="s">
        <v>1898</v>
      </c>
      <c r="M452" s="104" t="s">
        <v>1821</v>
      </c>
      <c r="N452" s="104" t="s">
        <v>1851</v>
      </c>
      <c r="O452" s="101">
        <v>45783</v>
      </c>
      <c r="P452" s="101">
        <v>45898</v>
      </c>
      <c r="Q452" s="101">
        <v>45893</v>
      </c>
      <c r="R452" s="101">
        <v>45899</v>
      </c>
      <c r="S452" s="184">
        <v>35</v>
      </c>
      <c r="T452" s="102">
        <v>28</v>
      </c>
      <c r="U452" s="102">
        <v>27.5</v>
      </c>
      <c r="V452" s="102">
        <v>0</v>
      </c>
      <c r="W452" s="102">
        <v>5.5</v>
      </c>
      <c r="X452" s="103">
        <v>0</v>
      </c>
      <c r="Y452" s="103">
        <v>0</v>
      </c>
      <c r="Z452" s="103">
        <v>0</v>
      </c>
      <c r="AC452" s="102">
        <v>0</v>
      </c>
    </row>
    <row r="453" spans="1:29">
      <c r="A453" s="104" t="s">
        <v>1467</v>
      </c>
      <c r="B453" s="104" t="s">
        <v>1899</v>
      </c>
      <c r="C453" s="104" t="s">
        <v>1465</v>
      </c>
      <c r="D453" s="104" t="s">
        <v>1699</v>
      </c>
      <c r="E453" s="104" t="s">
        <v>1780</v>
      </c>
      <c r="F453" s="104" t="s">
        <v>1895</v>
      </c>
      <c r="G453" s="104" t="s">
        <v>1899</v>
      </c>
      <c r="M453" s="104" t="s">
        <v>1831</v>
      </c>
      <c r="N453" s="104" t="s">
        <v>1851</v>
      </c>
      <c r="O453" s="101">
        <v>45789</v>
      </c>
      <c r="P453" s="101">
        <v>45821</v>
      </c>
      <c r="Q453" s="101">
        <v>45788</v>
      </c>
      <c r="R453" s="101">
        <v>45794</v>
      </c>
      <c r="S453" s="184">
        <v>20</v>
      </c>
      <c r="T453" s="102">
        <v>13</v>
      </c>
      <c r="U453" s="102">
        <v>5</v>
      </c>
      <c r="V453" s="102">
        <v>0</v>
      </c>
      <c r="W453" s="102">
        <v>1</v>
      </c>
      <c r="X453" s="103">
        <v>0</v>
      </c>
      <c r="Y453" s="103">
        <v>0</v>
      </c>
      <c r="Z453" s="103">
        <v>0</v>
      </c>
      <c r="AC453" s="102">
        <v>0</v>
      </c>
    </row>
    <row r="454" spans="1:29">
      <c r="A454" s="104" t="s">
        <v>1467</v>
      </c>
      <c r="B454" s="104" t="s">
        <v>1899</v>
      </c>
      <c r="C454" s="104" t="s">
        <v>1465</v>
      </c>
      <c r="D454" s="104" t="s">
        <v>1699</v>
      </c>
      <c r="E454" s="104" t="s">
        <v>1780</v>
      </c>
      <c r="F454" s="104" t="s">
        <v>1895</v>
      </c>
      <c r="G454" s="104" t="s">
        <v>1899</v>
      </c>
      <c r="M454" s="104" t="s">
        <v>1831</v>
      </c>
      <c r="N454" s="104" t="s">
        <v>1851</v>
      </c>
      <c r="O454" s="101">
        <v>45789</v>
      </c>
      <c r="P454" s="101">
        <v>45821</v>
      </c>
      <c r="Q454" s="101">
        <v>45795</v>
      </c>
      <c r="R454" s="101">
        <v>45801</v>
      </c>
      <c r="S454" s="184">
        <v>21</v>
      </c>
      <c r="T454" s="102">
        <v>14</v>
      </c>
      <c r="U454" s="102">
        <v>5</v>
      </c>
      <c r="V454" s="102">
        <v>0</v>
      </c>
      <c r="W454" s="102">
        <v>1</v>
      </c>
      <c r="X454" s="103">
        <v>0</v>
      </c>
      <c r="Y454" s="103">
        <v>0</v>
      </c>
      <c r="Z454" s="103">
        <v>0</v>
      </c>
      <c r="AC454" s="102">
        <v>0</v>
      </c>
    </row>
    <row r="455" spans="1:29">
      <c r="A455" s="104" t="s">
        <v>1467</v>
      </c>
      <c r="B455" s="104" t="s">
        <v>1899</v>
      </c>
      <c r="C455" s="104" t="s">
        <v>1465</v>
      </c>
      <c r="D455" s="104" t="s">
        <v>1699</v>
      </c>
      <c r="E455" s="104" t="s">
        <v>1780</v>
      </c>
      <c r="F455" s="104" t="s">
        <v>1895</v>
      </c>
      <c r="G455" s="104" t="s">
        <v>1899</v>
      </c>
      <c r="M455" s="104" t="s">
        <v>1831</v>
      </c>
      <c r="N455" s="104" t="s">
        <v>1851</v>
      </c>
      <c r="O455" s="101">
        <v>45789</v>
      </c>
      <c r="P455" s="101">
        <v>45821</v>
      </c>
      <c r="Q455" s="101">
        <v>45802</v>
      </c>
      <c r="R455" s="101">
        <v>45808</v>
      </c>
      <c r="S455" s="184">
        <v>22</v>
      </c>
      <c r="T455" s="102">
        <v>15</v>
      </c>
      <c r="U455" s="102">
        <v>5</v>
      </c>
      <c r="V455" s="102">
        <v>0</v>
      </c>
      <c r="W455" s="102">
        <v>1</v>
      </c>
      <c r="X455" s="103">
        <v>0</v>
      </c>
      <c r="Y455" s="103">
        <v>0</v>
      </c>
      <c r="Z455" s="103">
        <v>0</v>
      </c>
      <c r="AC455" s="102">
        <v>0</v>
      </c>
    </row>
    <row r="456" spans="1:29">
      <c r="A456" s="104" t="s">
        <v>1467</v>
      </c>
      <c r="B456" s="104" t="s">
        <v>1899</v>
      </c>
      <c r="C456" s="104" t="s">
        <v>1465</v>
      </c>
      <c r="D456" s="104" t="s">
        <v>1699</v>
      </c>
      <c r="E456" s="104" t="s">
        <v>1780</v>
      </c>
      <c r="F456" s="104" t="s">
        <v>1895</v>
      </c>
      <c r="G456" s="104" t="s">
        <v>1899</v>
      </c>
      <c r="M456" s="104" t="s">
        <v>1831</v>
      </c>
      <c r="N456" s="104" t="s">
        <v>1851</v>
      </c>
      <c r="O456" s="101">
        <v>45789</v>
      </c>
      <c r="P456" s="101">
        <v>45821</v>
      </c>
      <c r="Q456" s="101">
        <v>45809</v>
      </c>
      <c r="R456" s="101">
        <v>45815</v>
      </c>
      <c r="S456" s="184">
        <v>23</v>
      </c>
      <c r="T456" s="102">
        <v>16</v>
      </c>
      <c r="U456" s="102">
        <v>4</v>
      </c>
      <c r="V456" s="102">
        <v>0</v>
      </c>
      <c r="W456" s="102">
        <v>1</v>
      </c>
      <c r="X456" s="103">
        <v>0</v>
      </c>
      <c r="Y456" s="103">
        <v>0</v>
      </c>
      <c r="Z456" s="103">
        <v>0</v>
      </c>
      <c r="AC456" s="102">
        <v>0</v>
      </c>
    </row>
    <row r="457" spans="1:29">
      <c r="A457" s="104" t="s">
        <v>1467</v>
      </c>
      <c r="B457" s="104" t="s">
        <v>1899</v>
      </c>
      <c r="C457" s="104" t="s">
        <v>1465</v>
      </c>
      <c r="D457" s="104" t="s">
        <v>1699</v>
      </c>
      <c r="E457" s="104" t="s">
        <v>1780</v>
      </c>
      <c r="F457" s="104" t="s">
        <v>1895</v>
      </c>
      <c r="G457" s="104" t="s">
        <v>1899</v>
      </c>
      <c r="M457" s="104" t="s">
        <v>1831</v>
      </c>
      <c r="N457" s="104" t="s">
        <v>1851</v>
      </c>
      <c r="O457" s="101">
        <v>45789</v>
      </c>
      <c r="P457" s="101">
        <v>45821</v>
      </c>
      <c r="Q457" s="101">
        <v>45816</v>
      </c>
      <c r="R457" s="101">
        <v>45822</v>
      </c>
      <c r="S457" s="184">
        <v>24</v>
      </c>
      <c r="T457" s="102">
        <v>17</v>
      </c>
      <c r="U457" s="102">
        <v>5</v>
      </c>
      <c r="V457" s="102">
        <v>0</v>
      </c>
      <c r="W457" s="102">
        <v>1</v>
      </c>
      <c r="X457" s="103">
        <v>0</v>
      </c>
      <c r="Y457" s="103">
        <v>0</v>
      </c>
      <c r="Z457" s="103">
        <v>0</v>
      </c>
      <c r="AC457" s="102">
        <v>0</v>
      </c>
    </row>
    <row r="458" spans="1:29">
      <c r="A458" s="104" t="s">
        <v>1467</v>
      </c>
      <c r="B458" s="104" t="s">
        <v>1900</v>
      </c>
      <c r="C458" s="104" t="s">
        <v>1465</v>
      </c>
      <c r="D458" s="104" t="s">
        <v>1699</v>
      </c>
      <c r="E458" s="104" t="s">
        <v>1780</v>
      </c>
      <c r="F458" s="104" t="s">
        <v>1895</v>
      </c>
      <c r="G458" s="104" t="s">
        <v>1900</v>
      </c>
      <c r="M458" s="104" t="s">
        <v>1830</v>
      </c>
      <c r="N458" s="104" t="s">
        <v>1851</v>
      </c>
      <c r="O458" s="101">
        <v>45810</v>
      </c>
      <c r="P458" s="101">
        <v>45828</v>
      </c>
      <c r="Q458" s="101">
        <v>45809</v>
      </c>
      <c r="R458" s="101">
        <v>45815</v>
      </c>
      <c r="S458" s="184">
        <v>23</v>
      </c>
      <c r="T458" s="102">
        <v>16</v>
      </c>
      <c r="U458" s="102">
        <v>20</v>
      </c>
      <c r="V458" s="102">
        <v>0</v>
      </c>
      <c r="W458" s="102">
        <v>5</v>
      </c>
      <c r="X458" s="103">
        <v>0</v>
      </c>
      <c r="Y458" s="103">
        <v>0</v>
      </c>
      <c r="Z458" s="103">
        <v>0</v>
      </c>
      <c r="AC458" s="102">
        <v>0</v>
      </c>
    </row>
    <row r="459" spans="1:29">
      <c r="A459" s="104" t="s">
        <v>1467</v>
      </c>
      <c r="B459" s="104" t="s">
        <v>1900</v>
      </c>
      <c r="C459" s="104" t="s">
        <v>1465</v>
      </c>
      <c r="D459" s="104" t="s">
        <v>1699</v>
      </c>
      <c r="E459" s="104" t="s">
        <v>1780</v>
      </c>
      <c r="F459" s="104" t="s">
        <v>1895</v>
      </c>
      <c r="G459" s="104" t="s">
        <v>1900</v>
      </c>
      <c r="M459" s="104" t="s">
        <v>1830</v>
      </c>
      <c r="N459" s="104" t="s">
        <v>1851</v>
      </c>
      <c r="O459" s="101">
        <v>45810</v>
      </c>
      <c r="P459" s="101">
        <v>45828</v>
      </c>
      <c r="Q459" s="101">
        <v>45816</v>
      </c>
      <c r="R459" s="101">
        <v>45822</v>
      </c>
      <c r="S459" s="184">
        <v>24</v>
      </c>
      <c r="T459" s="102">
        <v>17</v>
      </c>
      <c r="U459" s="102">
        <v>25</v>
      </c>
      <c r="V459" s="102">
        <v>0</v>
      </c>
      <c r="W459" s="102">
        <v>5</v>
      </c>
      <c r="X459" s="103">
        <v>0</v>
      </c>
      <c r="Y459" s="103">
        <v>0</v>
      </c>
      <c r="Z459" s="103">
        <v>0</v>
      </c>
      <c r="AC459" s="102">
        <v>0</v>
      </c>
    </row>
    <row r="460" spans="1:29">
      <c r="A460" s="104" t="s">
        <v>1467</v>
      </c>
      <c r="B460" s="104" t="s">
        <v>1900</v>
      </c>
      <c r="C460" s="104" t="s">
        <v>1465</v>
      </c>
      <c r="D460" s="104" t="s">
        <v>1699</v>
      </c>
      <c r="E460" s="104" t="s">
        <v>1780</v>
      </c>
      <c r="F460" s="104" t="s">
        <v>1895</v>
      </c>
      <c r="G460" s="104" t="s">
        <v>1900</v>
      </c>
      <c r="M460" s="104" t="s">
        <v>1830</v>
      </c>
      <c r="N460" s="104" t="s">
        <v>1851</v>
      </c>
      <c r="O460" s="101">
        <v>45810</v>
      </c>
      <c r="P460" s="101">
        <v>45828</v>
      </c>
      <c r="Q460" s="101">
        <v>45823</v>
      </c>
      <c r="R460" s="101">
        <v>45829</v>
      </c>
      <c r="S460" s="184">
        <v>25</v>
      </c>
      <c r="T460" s="102">
        <v>18</v>
      </c>
      <c r="U460" s="102">
        <v>25</v>
      </c>
      <c r="V460" s="102">
        <v>0</v>
      </c>
      <c r="W460" s="102">
        <v>5</v>
      </c>
      <c r="X460" s="103">
        <v>0</v>
      </c>
      <c r="Y460" s="103">
        <v>0</v>
      </c>
      <c r="Z460" s="103">
        <v>0</v>
      </c>
      <c r="AC460" s="102">
        <v>0</v>
      </c>
    </row>
    <row r="461" spans="1:29">
      <c r="A461" s="104" t="s">
        <v>1467</v>
      </c>
      <c r="B461" s="104" t="s">
        <v>1901</v>
      </c>
      <c r="C461" s="104" t="s">
        <v>1465</v>
      </c>
      <c r="D461" s="104" t="s">
        <v>1699</v>
      </c>
      <c r="E461" s="104" t="s">
        <v>1780</v>
      </c>
      <c r="F461" s="104" t="s">
        <v>1895</v>
      </c>
      <c r="G461" s="104" t="s">
        <v>1901</v>
      </c>
      <c r="M461" s="104" t="s">
        <v>1822</v>
      </c>
      <c r="N461" s="104" t="s">
        <v>1851</v>
      </c>
      <c r="O461" s="101">
        <v>45810</v>
      </c>
      <c r="P461" s="101">
        <v>45856</v>
      </c>
      <c r="Q461" s="101">
        <v>45809</v>
      </c>
      <c r="R461" s="101">
        <v>45815</v>
      </c>
      <c r="S461" s="184">
        <v>23</v>
      </c>
      <c r="T461" s="102">
        <v>16</v>
      </c>
      <c r="U461" s="102">
        <v>20</v>
      </c>
      <c r="V461" s="102">
        <v>0</v>
      </c>
      <c r="W461" s="102">
        <v>5</v>
      </c>
      <c r="X461" s="103">
        <v>0</v>
      </c>
      <c r="Y461" s="103">
        <v>0</v>
      </c>
      <c r="Z461" s="103">
        <v>0</v>
      </c>
      <c r="AC461" s="102">
        <v>0</v>
      </c>
    </row>
    <row r="462" spans="1:29">
      <c r="A462" s="104" t="s">
        <v>1467</v>
      </c>
      <c r="B462" s="104" t="s">
        <v>1901</v>
      </c>
      <c r="C462" s="104" t="s">
        <v>1465</v>
      </c>
      <c r="D462" s="104" t="s">
        <v>1699</v>
      </c>
      <c r="E462" s="104" t="s">
        <v>1780</v>
      </c>
      <c r="F462" s="104" t="s">
        <v>1895</v>
      </c>
      <c r="G462" s="104" t="s">
        <v>1901</v>
      </c>
      <c r="M462" s="104" t="s">
        <v>1822</v>
      </c>
      <c r="N462" s="104" t="s">
        <v>1851</v>
      </c>
      <c r="O462" s="101">
        <v>45810</v>
      </c>
      <c r="P462" s="101">
        <v>45856</v>
      </c>
      <c r="Q462" s="101">
        <v>45816</v>
      </c>
      <c r="R462" s="101">
        <v>45822</v>
      </c>
      <c r="S462" s="184">
        <v>24</v>
      </c>
      <c r="T462" s="102">
        <v>17</v>
      </c>
      <c r="U462" s="102">
        <v>25</v>
      </c>
      <c r="V462" s="102">
        <v>0</v>
      </c>
      <c r="W462" s="102">
        <v>5</v>
      </c>
      <c r="X462" s="103">
        <v>0</v>
      </c>
      <c r="Y462" s="103">
        <v>0</v>
      </c>
      <c r="Z462" s="103">
        <v>0</v>
      </c>
      <c r="AC462" s="102">
        <v>0</v>
      </c>
    </row>
    <row r="463" spans="1:29">
      <c r="A463" s="104" t="s">
        <v>1467</v>
      </c>
      <c r="B463" s="104" t="s">
        <v>1901</v>
      </c>
      <c r="C463" s="104" t="s">
        <v>1465</v>
      </c>
      <c r="D463" s="104" t="s">
        <v>1699</v>
      </c>
      <c r="E463" s="104" t="s">
        <v>1780</v>
      </c>
      <c r="F463" s="104" t="s">
        <v>1895</v>
      </c>
      <c r="G463" s="104" t="s">
        <v>1901</v>
      </c>
      <c r="M463" s="104" t="s">
        <v>1822</v>
      </c>
      <c r="N463" s="104" t="s">
        <v>1851</v>
      </c>
      <c r="O463" s="101">
        <v>45810</v>
      </c>
      <c r="P463" s="101">
        <v>45856</v>
      </c>
      <c r="Q463" s="101">
        <v>45823</v>
      </c>
      <c r="R463" s="101">
        <v>45829</v>
      </c>
      <c r="S463" s="184">
        <v>25</v>
      </c>
      <c r="T463" s="102">
        <v>18</v>
      </c>
      <c r="U463" s="102">
        <v>25</v>
      </c>
      <c r="V463" s="102">
        <v>0</v>
      </c>
      <c r="W463" s="102">
        <v>5</v>
      </c>
      <c r="X463" s="103">
        <v>0</v>
      </c>
      <c r="Y463" s="103">
        <v>0</v>
      </c>
      <c r="Z463" s="103">
        <v>0</v>
      </c>
      <c r="AC463" s="102">
        <v>0</v>
      </c>
    </row>
    <row r="464" spans="1:29">
      <c r="A464" s="104" t="s">
        <v>1467</v>
      </c>
      <c r="B464" s="104" t="s">
        <v>1901</v>
      </c>
      <c r="C464" s="104" t="s">
        <v>1465</v>
      </c>
      <c r="D464" s="104" t="s">
        <v>1699</v>
      </c>
      <c r="E464" s="104" t="s">
        <v>1780</v>
      </c>
      <c r="F464" s="104" t="s">
        <v>1895</v>
      </c>
      <c r="G464" s="104" t="s">
        <v>1901</v>
      </c>
      <c r="M464" s="104" t="s">
        <v>1822</v>
      </c>
      <c r="N464" s="104" t="s">
        <v>1851</v>
      </c>
      <c r="O464" s="101">
        <v>45810</v>
      </c>
      <c r="P464" s="101">
        <v>45856</v>
      </c>
      <c r="Q464" s="101">
        <v>45830</v>
      </c>
      <c r="R464" s="101">
        <v>45836</v>
      </c>
      <c r="S464" s="184">
        <v>26</v>
      </c>
      <c r="T464" s="102">
        <v>19</v>
      </c>
      <c r="U464" s="102">
        <v>25</v>
      </c>
      <c r="V464" s="102">
        <v>0</v>
      </c>
      <c r="W464" s="102">
        <v>5</v>
      </c>
      <c r="X464" s="103">
        <v>0</v>
      </c>
      <c r="Y464" s="103">
        <v>0</v>
      </c>
      <c r="Z464" s="103">
        <v>0</v>
      </c>
      <c r="AC464" s="102">
        <v>0</v>
      </c>
    </row>
    <row r="465" spans="1:29">
      <c r="A465" s="104" t="s">
        <v>1467</v>
      </c>
      <c r="B465" s="104" t="s">
        <v>1901</v>
      </c>
      <c r="C465" s="104" t="s">
        <v>1465</v>
      </c>
      <c r="D465" s="104" t="s">
        <v>1699</v>
      </c>
      <c r="E465" s="104" t="s">
        <v>1780</v>
      </c>
      <c r="F465" s="104" t="s">
        <v>1895</v>
      </c>
      <c r="G465" s="104" t="s">
        <v>1901</v>
      </c>
      <c r="M465" s="104" t="s">
        <v>1822</v>
      </c>
      <c r="N465" s="104" t="s">
        <v>1851</v>
      </c>
      <c r="O465" s="101">
        <v>45810</v>
      </c>
      <c r="P465" s="101">
        <v>45856</v>
      </c>
      <c r="Q465" s="101">
        <v>45837</v>
      </c>
      <c r="R465" s="101">
        <v>45843</v>
      </c>
      <c r="S465" s="184">
        <v>27</v>
      </c>
      <c r="T465" s="102">
        <v>20</v>
      </c>
      <c r="U465" s="102">
        <v>25</v>
      </c>
      <c r="V465" s="102">
        <v>0</v>
      </c>
      <c r="W465" s="102">
        <v>5</v>
      </c>
      <c r="X465" s="103">
        <v>0</v>
      </c>
      <c r="Y465" s="103">
        <v>0</v>
      </c>
      <c r="Z465" s="103">
        <v>0</v>
      </c>
      <c r="AC465" s="102">
        <v>0</v>
      </c>
    </row>
    <row r="466" spans="1:29">
      <c r="A466" s="104" t="s">
        <v>1467</v>
      </c>
      <c r="B466" s="104" t="s">
        <v>1901</v>
      </c>
      <c r="C466" s="104" t="s">
        <v>1465</v>
      </c>
      <c r="D466" s="104" t="s">
        <v>1699</v>
      </c>
      <c r="E466" s="104" t="s">
        <v>1780</v>
      </c>
      <c r="F466" s="104" t="s">
        <v>1895</v>
      </c>
      <c r="G466" s="104" t="s">
        <v>1901</v>
      </c>
      <c r="M466" s="104" t="s">
        <v>1822</v>
      </c>
      <c r="N466" s="104" t="s">
        <v>1851</v>
      </c>
      <c r="O466" s="101">
        <v>45810</v>
      </c>
      <c r="P466" s="101">
        <v>45856</v>
      </c>
      <c r="Q466" s="101">
        <v>45844</v>
      </c>
      <c r="R466" s="101">
        <v>45850</v>
      </c>
      <c r="S466" s="184">
        <v>28</v>
      </c>
      <c r="T466" s="102">
        <v>21</v>
      </c>
      <c r="U466" s="102">
        <v>25</v>
      </c>
      <c r="V466" s="102">
        <v>0</v>
      </c>
      <c r="W466" s="102">
        <v>5</v>
      </c>
      <c r="X466" s="103">
        <v>0</v>
      </c>
      <c r="Y466" s="103">
        <v>0</v>
      </c>
      <c r="Z466" s="103">
        <v>0</v>
      </c>
      <c r="AC466" s="102">
        <v>0</v>
      </c>
    </row>
    <row r="467" spans="1:29">
      <c r="A467" s="104" t="s">
        <v>1467</v>
      </c>
      <c r="B467" s="104" t="s">
        <v>1901</v>
      </c>
      <c r="C467" s="104" t="s">
        <v>1465</v>
      </c>
      <c r="D467" s="104" t="s">
        <v>1699</v>
      </c>
      <c r="E467" s="104" t="s">
        <v>1780</v>
      </c>
      <c r="F467" s="104" t="s">
        <v>1895</v>
      </c>
      <c r="G467" s="104" t="s">
        <v>1901</v>
      </c>
      <c r="M467" s="104" t="s">
        <v>1822</v>
      </c>
      <c r="N467" s="104" t="s">
        <v>1851</v>
      </c>
      <c r="O467" s="101">
        <v>45810</v>
      </c>
      <c r="P467" s="101">
        <v>45856</v>
      </c>
      <c r="Q467" s="101">
        <v>45851</v>
      </c>
      <c r="R467" s="101">
        <v>45857</v>
      </c>
      <c r="S467" s="184">
        <v>29</v>
      </c>
      <c r="T467" s="102">
        <v>22</v>
      </c>
      <c r="U467" s="102">
        <v>25</v>
      </c>
      <c r="V467" s="102">
        <v>0</v>
      </c>
      <c r="W467" s="102">
        <v>5</v>
      </c>
      <c r="X467" s="103">
        <v>0</v>
      </c>
      <c r="Y467" s="103">
        <v>0</v>
      </c>
      <c r="Z467" s="103">
        <v>0</v>
      </c>
      <c r="AC467" s="102">
        <v>0</v>
      </c>
    </row>
    <row r="468" spans="1:29">
      <c r="A468" s="104" t="s">
        <v>1467</v>
      </c>
      <c r="B468" s="104" t="s">
        <v>1902</v>
      </c>
      <c r="C468" s="104" t="s">
        <v>1465</v>
      </c>
      <c r="D468" s="104" t="s">
        <v>1699</v>
      </c>
      <c r="E468" s="104" t="s">
        <v>1780</v>
      </c>
      <c r="F468" s="104" t="s">
        <v>1895</v>
      </c>
      <c r="G468" s="104" t="s">
        <v>1902</v>
      </c>
      <c r="M468" s="104" t="s">
        <v>1823</v>
      </c>
      <c r="N468" s="104" t="s">
        <v>1851</v>
      </c>
      <c r="O468" s="101">
        <v>45852</v>
      </c>
      <c r="P468" s="101">
        <v>45898</v>
      </c>
      <c r="Q468" s="101">
        <v>45851</v>
      </c>
      <c r="R468" s="101">
        <v>45857</v>
      </c>
      <c r="S468" s="184">
        <v>29</v>
      </c>
      <c r="T468" s="102">
        <v>22</v>
      </c>
      <c r="U468" s="102">
        <v>25</v>
      </c>
      <c r="V468" s="102">
        <v>0</v>
      </c>
      <c r="W468" s="102">
        <v>5</v>
      </c>
      <c r="X468" s="103">
        <v>0</v>
      </c>
      <c r="Y468" s="103">
        <v>0</v>
      </c>
      <c r="Z468" s="103">
        <v>0</v>
      </c>
      <c r="AC468" s="102">
        <v>0</v>
      </c>
    </row>
    <row r="469" spans="1:29">
      <c r="A469" s="104" t="s">
        <v>1467</v>
      </c>
      <c r="B469" s="104" t="s">
        <v>1902</v>
      </c>
      <c r="C469" s="104" t="s">
        <v>1465</v>
      </c>
      <c r="D469" s="104" t="s">
        <v>1699</v>
      </c>
      <c r="E469" s="104" t="s">
        <v>1780</v>
      </c>
      <c r="F469" s="104" t="s">
        <v>1895</v>
      </c>
      <c r="G469" s="104" t="s">
        <v>1902</v>
      </c>
      <c r="M469" s="104" t="s">
        <v>1823</v>
      </c>
      <c r="N469" s="104" t="s">
        <v>1851</v>
      </c>
      <c r="O469" s="101">
        <v>45852</v>
      </c>
      <c r="P469" s="101">
        <v>45898</v>
      </c>
      <c r="Q469" s="101">
        <v>45858</v>
      </c>
      <c r="R469" s="101">
        <v>45864</v>
      </c>
      <c r="S469" s="184">
        <v>30</v>
      </c>
      <c r="T469" s="102">
        <v>23</v>
      </c>
      <c r="U469" s="102">
        <v>25</v>
      </c>
      <c r="V469" s="102">
        <v>0</v>
      </c>
      <c r="W469" s="102">
        <v>5</v>
      </c>
      <c r="X469" s="103">
        <v>0</v>
      </c>
      <c r="Y469" s="103">
        <v>0</v>
      </c>
      <c r="Z469" s="103">
        <v>0</v>
      </c>
      <c r="AC469" s="102">
        <v>0</v>
      </c>
    </row>
    <row r="470" spans="1:29">
      <c r="A470" s="104" t="s">
        <v>1467</v>
      </c>
      <c r="B470" s="104" t="s">
        <v>1902</v>
      </c>
      <c r="C470" s="104" t="s">
        <v>1465</v>
      </c>
      <c r="D470" s="104" t="s">
        <v>1699</v>
      </c>
      <c r="E470" s="104" t="s">
        <v>1780</v>
      </c>
      <c r="F470" s="104" t="s">
        <v>1895</v>
      </c>
      <c r="G470" s="104" t="s">
        <v>1902</v>
      </c>
      <c r="M470" s="104" t="s">
        <v>1823</v>
      </c>
      <c r="N470" s="104" t="s">
        <v>1851</v>
      </c>
      <c r="O470" s="101">
        <v>45852</v>
      </c>
      <c r="P470" s="101">
        <v>45898</v>
      </c>
      <c r="Q470" s="101">
        <v>45865</v>
      </c>
      <c r="R470" s="101">
        <v>45871</v>
      </c>
      <c r="S470" s="184">
        <v>31</v>
      </c>
      <c r="T470" s="102">
        <v>24</v>
      </c>
      <c r="U470" s="102">
        <v>25</v>
      </c>
      <c r="V470" s="102">
        <v>0</v>
      </c>
      <c r="W470" s="102">
        <v>5</v>
      </c>
      <c r="X470" s="103">
        <v>0</v>
      </c>
      <c r="Y470" s="103">
        <v>0</v>
      </c>
      <c r="Z470" s="103">
        <v>0</v>
      </c>
      <c r="AC470" s="102">
        <v>0</v>
      </c>
    </row>
    <row r="471" spans="1:29">
      <c r="A471" s="104" t="s">
        <v>1467</v>
      </c>
      <c r="B471" s="104" t="s">
        <v>1902</v>
      </c>
      <c r="C471" s="104" t="s">
        <v>1465</v>
      </c>
      <c r="D471" s="104" t="s">
        <v>1699</v>
      </c>
      <c r="E471" s="104" t="s">
        <v>1780</v>
      </c>
      <c r="F471" s="104" t="s">
        <v>1895</v>
      </c>
      <c r="G471" s="104" t="s">
        <v>1902</v>
      </c>
      <c r="M471" s="104" t="s">
        <v>1823</v>
      </c>
      <c r="N471" s="104" t="s">
        <v>1851</v>
      </c>
      <c r="O471" s="101">
        <v>45852</v>
      </c>
      <c r="P471" s="101">
        <v>45898</v>
      </c>
      <c r="Q471" s="101">
        <v>45872</v>
      </c>
      <c r="R471" s="101">
        <v>45878</v>
      </c>
      <c r="S471" s="184">
        <v>32</v>
      </c>
      <c r="T471" s="102">
        <v>25</v>
      </c>
      <c r="U471" s="102">
        <v>25</v>
      </c>
      <c r="V471" s="102">
        <v>0</v>
      </c>
      <c r="W471" s="102">
        <v>5</v>
      </c>
      <c r="X471" s="103">
        <v>0</v>
      </c>
      <c r="Y471" s="103">
        <v>0</v>
      </c>
      <c r="Z471" s="103">
        <v>0</v>
      </c>
      <c r="AC471" s="102">
        <v>0</v>
      </c>
    </row>
    <row r="472" spans="1:29">
      <c r="A472" s="104" t="s">
        <v>1467</v>
      </c>
      <c r="B472" s="104" t="s">
        <v>1902</v>
      </c>
      <c r="C472" s="104" t="s">
        <v>1465</v>
      </c>
      <c r="D472" s="104" t="s">
        <v>1699</v>
      </c>
      <c r="E472" s="104" t="s">
        <v>1780</v>
      </c>
      <c r="F472" s="104" t="s">
        <v>1895</v>
      </c>
      <c r="G472" s="104" t="s">
        <v>1902</v>
      </c>
      <c r="M472" s="104" t="s">
        <v>1823</v>
      </c>
      <c r="N472" s="104" t="s">
        <v>1851</v>
      </c>
      <c r="O472" s="101">
        <v>45852</v>
      </c>
      <c r="P472" s="101">
        <v>45898</v>
      </c>
      <c r="Q472" s="101">
        <v>45879</v>
      </c>
      <c r="R472" s="101">
        <v>45885</v>
      </c>
      <c r="S472" s="184">
        <v>33</v>
      </c>
      <c r="T472" s="102">
        <v>26</v>
      </c>
      <c r="U472" s="102">
        <v>20</v>
      </c>
      <c r="V472" s="102">
        <v>0</v>
      </c>
      <c r="W472" s="102">
        <v>5</v>
      </c>
      <c r="X472" s="103">
        <v>0</v>
      </c>
      <c r="Y472" s="103">
        <v>0</v>
      </c>
      <c r="Z472" s="103">
        <v>0</v>
      </c>
      <c r="AC472" s="102">
        <v>0</v>
      </c>
    </row>
    <row r="473" spans="1:29">
      <c r="A473" s="104" t="s">
        <v>1467</v>
      </c>
      <c r="B473" s="104" t="s">
        <v>1902</v>
      </c>
      <c r="C473" s="104" t="s">
        <v>1465</v>
      </c>
      <c r="D473" s="104" t="s">
        <v>1699</v>
      </c>
      <c r="E473" s="104" t="s">
        <v>1780</v>
      </c>
      <c r="F473" s="104" t="s">
        <v>1895</v>
      </c>
      <c r="G473" s="104" t="s">
        <v>1902</v>
      </c>
      <c r="M473" s="104" t="s">
        <v>1823</v>
      </c>
      <c r="N473" s="104" t="s">
        <v>1851</v>
      </c>
      <c r="O473" s="101">
        <v>45852</v>
      </c>
      <c r="P473" s="101">
        <v>45898</v>
      </c>
      <c r="Q473" s="101">
        <v>45886</v>
      </c>
      <c r="R473" s="101">
        <v>45892</v>
      </c>
      <c r="S473" s="184">
        <v>34</v>
      </c>
      <c r="T473" s="102">
        <v>27</v>
      </c>
      <c r="U473" s="102">
        <v>25</v>
      </c>
      <c r="V473" s="102">
        <v>0</v>
      </c>
      <c r="W473" s="102">
        <v>5</v>
      </c>
      <c r="X473" s="103">
        <v>0</v>
      </c>
      <c r="Y473" s="103">
        <v>0</v>
      </c>
      <c r="Z473" s="103">
        <v>0</v>
      </c>
      <c r="AC473" s="102">
        <v>0</v>
      </c>
    </row>
    <row r="474" spans="1:29">
      <c r="A474" s="104" t="s">
        <v>1467</v>
      </c>
      <c r="B474" s="104" t="s">
        <v>1902</v>
      </c>
      <c r="C474" s="104" t="s">
        <v>1465</v>
      </c>
      <c r="D474" s="104" t="s">
        <v>1699</v>
      </c>
      <c r="E474" s="104" t="s">
        <v>1780</v>
      </c>
      <c r="F474" s="104" t="s">
        <v>1895</v>
      </c>
      <c r="G474" s="104" t="s">
        <v>1902</v>
      </c>
      <c r="M474" s="104" t="s">
        <v>1823</v>
      </c>
      <c r="N474" s="104" t="s">
        <v>1851</v>
      </c>
      <c r="O474" s="101">
        <v>45852</v>
      </c>
      <c r="P474" s="101">
        <v>45898</v>
      </c>
      <c r="Q474" s="101">
        <v>45893</v>
      </c>
      <c r="R474" s="101">
        <v>45899</v>
      </c>
      <c r="S474" s="184">
        <v>35</v>
      </c>
      <c r="T474" s="102">
        <v>28</v>
      </c>
      <c r="U474" s="102">
        <v>25</v>
      </c>
      <c r="V474" s="102">
        <v>0</v>
      </c>
      <c r="W474" s="102">
        <v>5</v>
      </c>
      <c r="X474" s="103">
        <v>0</v>
      </c>
      <c r="Y474" s="103">
        <v>0</v>
      </c>
      <c r="Z474" s="103">
        <v>0</v>
      </c>
      <c r="AC474" s="102">
        <v>0</v>
      </c>
    </row>
    <row r="475" spans="1:29">
      <c r="A475" s="104" t="s">
        <v>1467</v>
      </c>
      <c r="B475" s="104" t="s">
        <v>1904</v>
      </c>
      <c r="C475" s="104" t="s">
        <v>1465</v>
      </c>
      <c r="D475" s="104" t="s">
        <v>1699</v>
      </c>
      <c r="E475" s="104" t="s">
        <v>1780</v>
      </c>
      <c r="F475" s="104" t="s">
        <v>1903</v>
      </c>
      <c r="G475" s="104" t="s">
        <v>1904</v>
      </c>
      <c r="M475" s="104" t="s">
        <v>1852</v>
      </c>
      <c r="N475" s="104" t="s">
        <v>1844</v>
      </c>
      <c r="O475" s="101">
        <v>45824</v>
      </c>
      <c r="P475" s="101">
        <v>45856</v>
      </c>
      <c r="Q475" s="101">
        <v>45823</v>
      </c>
      <c r="R475" s="101">
        <v>45829</v>
      </c>
      <c r="S475" s="184">
        <v>25</v>
      </c>
      <c r="T475" s="102">
        <v>18</v>
      </c>
      <c r="U475" s="102">
        <v>27.5</v>
      </c>
      <c r="V475" s="102">
        <v>0</v>
      </c>
      <c r="W475" s="102">
        <v>5.5</v>
      </c>
      <c r="X475" s="103">
        <v>0</v>
      </c>
      <c r="Y475" s="103">
        <v>0</v>
      </c>
      <c r="Z475" s="103">
        <v>0</v>
      </c>
      <c r="AC475" s="102">
        <v>0</v>
      </c>
    </row>
    <row r="476" spans="1:29">
      <c r="A476" s="104" t="s">
        <v>1467</v>
      </c>
      <c r="B476" s="104" t="s">
        <v>1904</v>
      </c>
      <c r="C476" s="104" t="s">
        <v>1465</v>
      </c>
      <c r="D476" s="104" t="s">
        <v>1699</v>
      </c>
      <c r="E476" s="104" t="s">
        <v>1780</v>
      </c>
      <c r="F476" s="104" t="s">
        <v>1903</v>
      </c>
      <c r="G476" s="104" t="s">
        <v>1904</v>
      </c>
      <c r="M476" s="104" t="s">
        <v>1852</v>
      </c>
      <c r="N476" s="104" t="s">
        <v>1844</v>
      </c>
      <c r="O476" s="101">
        <v>45824</v>
      </c>
      <c r="P476" s="101">
        <v>45856</v>
      </c>
      <c r="Q476" s="101">
        <v>45830</v>
      </c>
      <c r="R476" s="101">
        <v>45836</v>
      </c>
      <c r="S476" s="184">
        <v>26</v>
      </c>
      <c r="T476" s="102">
        <v>19</v>
      </c>
      <c r="U476" s="102">
        <v>27.5</v>
      </c>
      <c r="V476" s="102">
        <v>0</v>
      </c>
      <c r="W476" s="102">
        <v>5.5</v>
      </c>
      <c r="X476" s="103">
        <v>0</v>
      </c>
      <c r="Y476" s="103">
        <v>0</v>
      </c>
      <c r="Z476" s="103">
        <v>0</v>
      </c>
      <c r="AC476" s="102">
        <v>0</v>
      </c>
    </row>
    <row r="477" spans="1:29">
      <c r="A477" s="104" t="s">
        <v>1467</v>
      </c>
      <c r="B477" s="104" t="s">
        <v>1904</v>
      </c>
      <c r="C477" s="104" t="s">
        <v>1465</v>
      </c>
      <c r="D477" s="104" t="s">
        <v>1699</v>
      </c>
      <c r="E477" s="104" t="s">
        <v>1780</v>
      </c>
      <c r="F477" s="104" t="s">
        <v>1903</v>
      </c>
      <c r="G477" s="104" t="s">
        <v>1904</v>
      </c>
      <c r="M477" s="104" t="s">
        <v>1852</v>
      </c>
      <c r="N477" s="104" t="s">
        <v>1844</v>
      </c>
      <c r="O477" s="101">
        <v>45824</v>
      </c>
      <c r="P477" s="101">
        <v>45856</v>
      </c>
      <c r="Q477" s="101">
        <v>45837</v>
      </c>
      <c r="R477" s="101">
        <v>45843</v>
      </c>
      <c r="S477" s="184">
        <v>27</v>
      </c>
      <c r="T477" s="102">
        <v>20</v>
      </c>
      <c r="U477" s="102">
        <v>27.5</v>
      </c>
      <c r="V477" s="102">
        <v>0</v>
      </c>
      <c r="W477" s="102">
        <v>5.5</v>
      </c>
      <c r="X477" s="103">
        <v>0</v>
      </c>
      <c r="Y477" s="103">
        <v>0</v>
      </c>
      <c r="Z477" s="103">
        <v>0</v>
      </c>
      <c r="AC477" s="102">
        <v>0</v>
      </c>
    </row>
    <row r="478" spans="1:29">
      <c r="A478" s="104" t="s">
        <v>1467</v>
      </c>
      <c r="B478" s="104" t="s">
        <v>1904</v>
      </c>
      <c r="C478" s="104" t="s">
        <v>1465</v>
      </c>
      <c r="D478" s="104" t="s">
        <v>1699</v>
      </c>
      <c r="E478" s="104" t="s">
        <v>1780</v>
      </c>
      <c r="F478" s="104" t="s">
        <v>1903</v>
      </c>
      <c r="G478" s="104" t="s">
        <v>1904</v>
      </c>
      <c r="M478" s="104" t="s">
        <v>1852</v>
      </c>
      <c r="N478" s="104" t="s">
        <v>1844</v>
      </c>
      <c r="O478" s="101">
        <v>45824</v>
      </c>
      <c r="P478" s="101">
        <v>45856</v>
      </c>
      <c r="Q478" s="101">
        <v>45844</v>
      </c>
      <c r="R478" s="101">
        <v>45850</v>
      </c>
      <c r="S478" s="184">
        <v>28</v>
      </c>
      <c r="T478" s="102">
        <v>21</v>
      </c>
      <c r="U478" s="102">
        <v>27.5</v>
      </c>
      <c r="V478" s="102">
        <v>0</v>
      </c>
      <c r="W478" s="102">
        <v>5.5</v>
      </c>
      <c r="X478" s="103">
        <v>0</v>
      </c>
      <c r="Y478" s="103">
        <v>0</v>
      </c>
      <c r="Z478" s="103">
        <v>0</v>
      </c>
      <c r="AC478" s="102">
        <v>0</v>
      </c>
    </row>
    <row r="479" spans="1:29">
      <c r="A479" s="104" t="s">
        <v>1467</v>
      </c>
      <c r="B479" s="104" t="s">
        <v>1904</v>
      </c>
      <c r="C479" s="104" t="s">
        <v>1465</v>
      </c>
      <c r="D479" s="104" t="s">
        <v>1699</v>
      </c>
      <c r="E479" s="104" t="s">
        <v>1780</v>
      </c>
      <c r="F479" s="104" t="s">
        <v>1903</v>
      </c>
      <c r="G479" s="104" t="s">
        <v>1904</v>
      </c>
      <c r="M479" s="104" t="s">
        <v>1852</v>
      </c>
      <c r="N479" s="104" t="s">
        <v>1844</v>
      </c>
      <c r="O479" s="101">
        <v>45824</v>
      </c>
      <c r="P479" s="101">
        <v>45856</v>
      </c>
      <c r="Q479" s="101">
        <v>45851</v>
      </c>
      <c r="R479" s="101">
        <v>45857</v>
      </c>
      <c r="S479" s="184">
        <v>29</v>
      </c>
      <c r="T479" s="102">
        <v>22</v>
      </c>
      <c r="U479" s="102">
        <v>27.5</v>
      </c>
      <c r="V479" s="102">
        <v>0</v>
      </c>
      <c r="W479" s="102">
        <v>5.5</v>
      </c>
      <c r="X479" s="103">
        <v>0</v>
      </c>
      <c r="Y479" s="103">
        <v>0</v>
      </c>
      <c r="Z479" s="103">
        <v>0</v>
      </c>
      <c r="AC479" s="102">
        <v>0</v>
      </c>
    </row>
    <row r="480" spans="1:29">
      <c r="A480" s="104" t="s">
        <v>1467</v>
      </c>
      <c r="B480" s="104" t="s">
        <v>1905</v>
      </c>
      <c r="C480" s="104" t="s">
        <v>1465</v>
      </c>
      <c r="D480" s="104" t="s">
        <v>1699</v>
      </c>
      <c r="E480" s="104" t="s">
        <v>1780</v>
      </c>
      <c r="F480" s="104" t="s">
        <v>1903</v>
      </c>
      <c r="G480" s="104" t="s">
        <v>1905</v>
      </c>
      <c r="M480" s="104" t="s">
        <v>1853</v>
      </c>
      <c r="N480" s="104" t="s">
        <v>1844</v>
      </c>
      <c r="O480" s="101">
        <v>45887</v>
      </c>
      <c r="P480" s="101">
        <v>45898</v>
      </c>
      <c r="Q480" s="101">
        <v>45886</v>
      </c>
      <c r="R480" s="101">
        <v>45892</v>
      </c>
      <c r="S480" s="184">
        <v>34</v>
      </c>
      <c r="T480" s="102">
        <v>27</v>
      </c>
      <c r="U480" s="102">
        <v>25</v>
      </c>
      <c r="V480" s="102">
        <v>0</v>
      </c>
      <c r="W480" s="102">
        <v>5</v>
      </c>
      <c r="X480" s="103">
        <v>0</v>
      </c>
      <c r="Y480" s="103">
        <v>0</v>
      </c>
      <c r="Z480" s="103">
        <v>0</v>
      </c>
      <c r="AC480" s="102">
        <v>0</v>
      </c>
    </row>
    <row r="481" spans="1:29">
      <c r="A481" s="104" t="s">
        <v>1467</v>
      </c>
      <c r="B481" s="104" t="s">
        <v>1905</v>
      </c>
      <c r="C481" s="104" t="s">
        <v>1465</v>
      </c>
      <c r="D481" s="104" t="s">
        <v>1699</v>
      </c>
      <c r="E481" s="104" t="s">
        <v>1780</v>
      </c>
      <c r="F481" s="104" t="s">
        <v>1903</v>
      </c>
      <c r="G481" s="104" t="s">
        <v>1905</v>
      </c>
      <c r="M481" s="104" t="s">
        <v>1853</v>
      </c>
      <c r="N481" s="104" t="s">
        <v>1844</v>
      </c>
      <c r="O481" s="101">
        <v>45887</v>
      </c>
      <c r="P481" s="101">
        <v>45898</v>
      </c>
      <c r="Q481" s="101">
        <v>45893</v>
      </c>
      <c r="R481" s="101">
        <v>45899</v>
      </c>
      <c r="S481" s="184">
        <v>35</v>
      </c>
      <c r="T481" s="102">
        <v>28</v>
      </c>
      <c r="U481" s="102">
        <v>25</v>
      </c>
      <c r="V481" s="102">
        <v>0</v>
      </c>
      <c r="W481" s="102">
        <v>5</v>
      </c>
      <c r="X481" s="103">
        <v>0</v>
      </c>
      <c r="Y481" s="103">
        <v>0</v>
      </c>
      <c r="Z481" s="103">
        <v>0</v>
      </c>
      <c r="AC481" s="102">
        <v>0</v>
      </c>
    </row>
    <row r="482" spans="1:29">
      <c r="A482" s="104" t="s">
        <v>1466</v>
      </c>
      <c r="B482" s="104" t="s">
        <v>1906</v>
      </c>
      <c r="C482" s="104" t="s">
        <v>1465</v>
      </c>
      <c r="D482" s="104" t="s">
        <v>1702</v>
      </c>
      <c r="E482" s="104" t="s">
        <v>1703</v>
      </c>
      <c r="F482" s="104" t="s">
        <v>1906</v>
      </c>
      <c r="M482" s="104" t="s">
        <v>1424</v>
      </c>
      <c r="N482" s="104" t="s">
        <v>1843</v>
      </c>
      <c r="O482" s="101">
        <v>45705</v>
      </c>
      <c r="P482" s="101">
        <v>45737</v>
      </c>
      <c r="Q482" s="101">
        <v>45705</v>
      </c>
      <c r="R482" s="101">
        <v>45710</v>
      </c>
      <c r="S482" s="184">
        <v>8</v>
      </c>
      <c r="T482" s="102">
        <v>1</v>
      </c>
      <c r="U482" s="102">
        <v>5</v>
      </c>
      <c r="V482" s="102">
        <v>5</v>
      </c>
      <c r="W482" s="102">
        <v>1</v>
      </c>
      <c r="X482" s="103">
        <v>0</v>
      </c>
      <c r="Y482" s="103">
        <v>0.79166666666666663</v>
      </c>
      <c r="Z482" s="103">
        <v>0.73684210526315796</v>
      </c>
      <c r="AC482" s="102">
        <v>5</v>
      </c>
    </row>
    <row r="483" spans="1:29">
      <c r="A483" s="104" t="s">
        <v>1466</v>
      </c>
      <c r="B483" s="104" t="s">
        <v>1906</v>
      </c>
      <c r="C483" s="104" t="s">
        <v>1465</v>
      </c>
      <c r="D483" s="104" t="s">
        <v>1702</v>
      </c>
      <c r="E483" s="104" t="s">
        <v>1703</v>
      </c>
      <c r="F483" s="104" t="s">
        <v>1906</v>
      </c>
      <c r="M483" s="104" t="s">
        <v>1424</v>
      </c>
      <c r="N483" s="104" t="s">
        <v>1843</v>
      </c>
      <c r="O483" s="101">
        <v>45705</v>
      </c>
      <c r="P483" s="101">
        <v>45737</v>
      </c>
      <c r="Q483" s="101">
        <v>45711</v>
      </c>
      <c r="R483" s="101">
        <v>45717</v>
      </c>
      <c r="S483" s="184">
        <v>9</v>
      </c>
      <c r="T483" s="102">
        <v>2</v>
      </c>
      <c r="U483" s="102">
        <v>5</v>
      </c>
      <c r="V483" s="102">
        <v>5</v>
      </c>
      <c r="W483" s="102">
        <v>1</v>
      </c>
      <c r="X483" s="103">
        <v>0</v>
      </c>
      <c r="Y483" s="103">
        <v>0.79166666666666663</v>
      </c>
      <c r="Z483" s="103">
        <v>0.73684210526315796</v>
      </c>
      <c r="AC483" s="102">
        <v>5</v>
      </c>
    </row>
    <row r="484" spans="1:29">
      <c r="A484" s="104" t="s">
        <v>1466</v>
      </c>
      <c r="B484" s="104" t="s">
        <v>1906</v>
      </c>
      <c r="C484" s="104" t="s">
        <v>1465</v>
      </c>
      <c r="D484" s="104" t="s">
        <v>1702</v>
      </c>
      <c r="E484" s="104" t="s">
        <v>1703</v>
      </c>
      <c r="F484" s="104" t="s">
        <v>1906</v>
      </c>
      <c r="M484" s="104" t="s">
        <v>1424</v>
      </c>
      <c r="N484" s="104" t="s">
        <v>1843</v>
      </c>
      <c r="O484" s="101">
        <v>45705</v>
      </c>
      <c r="P484" s="101">
        <v>45737</v>
      </c>
      <c r="Q484" s="101">
        <v>45718</v>
      </c>
      <c r="R484" s="101">
        <v>45724</v>
      </c>
      <c r="S484" s="184">
        <v>10</v>
      </c>
      <c r="T484" s="102">
        <v>3</v>
      </c>
      <c r="U484" s="102">
        <v>4</v>
      </c>
      <c r="V484" s="102">
        <v>4</v>
      </c>
      <c r="W484" s="102">
        <v>1</v>
      </c>
      <c r="X484" s="103">
        <v>0</v>
      </c>
      <c r="Y484" s="103">
        <v>0.79166666666666663</v>
      </c>
      <c r="Z484" s="103">
        <v>0.73684210526315796</v>
      </c>
      <c r="AC484" s="102">
        <v>4</v>
      </c>
    </row>
    <row r="485" spans="1:29">
      <c r="A485" s="104" t="s">
        <v>1466</v>
      </c>
      <c r="B485" s="104" t="s">
        <v>1906</v>
      </c>
      <c r="C485" s="104" t="s">
        <v>1465</v>
      </c>
      <c r="D485" s="104" t="s">
        <v>1702</v>
      </c>
      <c r="E485" s="104" t="s">
        <v>1703</v>
      </c>
      <c r="F485" s="104" t="s">
        <v>1906</v>
      </c>
      <c r="M485" s="104" t="s">
        <v>1424</v>
      </c>
      <c r="N485" s="104" t="s">
        <v>1843</v>
      </c>
      <c r="O485" s="101">
        <v>45705</v>
      </c>
      <c r="P485" s="101">
        <v>45737</v>
      </c>
      <c r="Q485" s="101">
        <v>45725</v>
      </c>
      <c r="R485" s="101">
        <v>45731</v>
      </c>
      <c r="S485" s="184">
        <v>11</v>
      </c>
      <c r="T485" s="102">
        <v>4</v>
      </c>
      <c r="U485" s="102">
        <v>5</v>
      </c>
      <c r="V485" s="102">
        <v>5</v>
      </c>
      <c r="W485" s="102">
        <v>1</v>
      </c>
      <c r="X485" s="103">
        <v>0</v>
      </c>
      <c r="Y485" s="103">
        <v>0.79166666666666663</v>
      </c>
      <c r="Z485" s="103">
        <v>0.73684210526315796</v>
      </c>
      <c r="AC485" s="102">
        <v>3.6842105263157912</v>
      </c>
    </row>
    <row r="486" spans="1:29">
      <c r="A486" s="104" t="s">
        <v>1466</v>
      </c>
      <c r="B486" s="104" t="s">
        <v>1906</v>
      </c>
      <c r="C486" s="104" t="s">
        <v>1465</v>
      </c>
      <c r="D486" s="104" t="s">
        <v>1702</v>
      </c>
      <c r="E486" s="104" t="s">
        <v>1703</v>
      </c>
      <c r="F486" s="104" t="s">
        <v>1906</v>
      </c>
      <c r="M486" s="104" t="s">
        <v>1424</v>
      </c>
      <c r="N486" s="104" t="s">
        <v>1843</v>
      </c>
      <c r="O486" s="101">
        <v>45705</v>
      </c>
      <c r="P486" s="101">
        <v>45737</v>
      </c>
      <c r="Q486" s="101">
        <v>45732</v>
      </c>
      <c r="R486" s="101">
        <v>45738</v>
      </c>
      <c r="S486" s="184">
        <v>12</v>
      </c>
      <c r="T486" s="102">
        <v>5</v>
      </c>
      <c r="U486" s="102">
        <v>5</v>
      </c>
      <c r="V486" s="102">
        <v>0</v>
      </c>
      <c r="W486" s="102">
        <v>1</v>
      </c>
      <c r="X486" s="103">
        <v>0</v>
      </c>
      <c r="Y486" s="103">
        <v>0.79166666666666663</v>
      </c>
      <c r="Z486" s="103">
        <v>0.73684210526315796</v>
      </c>
      <c r="AC486" s="102">
        <v>0</v>
      </c>
    </row>
    <row r="487" spans="1:29">
      <c r="A487" s="104" t="s">
        <v>1466</v>
      </c>
      <c r="B487" s="104" t="s">
        <v>1907</v>
      </c>
      <c r="C487" s="104" t="s">
        <v>1465</v>
      </c>
      <c r="D487" s="104" t="s">
        <v>1702</v>
      </c>
      <c r="E487" s="104" t="s">
        <v>1704</v>
      </c>
      <c r="F487" s="104" t="s">
        <v>1907</v>
      </c>
      <c r="M487" s="104" t="s">
        <v>1427</v>
      </c>
      <c r="N487" s="104" t="s">
        <v>1843</v>
      </c>
      <c r="O487" s="101">
        <v>45733</v>
      </c>
      <c r="P487" s="101">
        <v>45793</v>
      </c>
      <c r="Q487" s="101">
        <v>45732</v>
      </c>
      <c r="R487" s="101">
        <v>45738</v>
      </c>
      <c r="S487" s="184">
        <v>12</v>
      </c>
      <c r="T487" s="102">
        <v>5</v>
      </c>
      <c r="U487" s="102">
        <v>5</v>
      </c>
      <c r="V487" s="102">
        <v>0</v>
      </c>
      <c r="W487" s="102">
        <v>1</v>
      </c>
      <c r="X487" s="103">
        <v>0</v>
      </c>
      <c r="Y487" s="103">
        <v>0</v>
      </c>
      <c r="Z487" s="103">
        <v>0</v>
      </c>
      <c r="AC487" s="102">
        <v>0</v>
      </c>
    </row>
    <row r="488" spans="1:29">
      <c r="A488" s="104" t="s">
        <v>1466</v>
      </c>
      <c r="B488" s="104" t="s">
        <v>1907</v>
      </c>
      <c r="C488" s="104" t="s">
        <v>1465</v>
      </c>
      <c r="D488" s="104" t="s">
        <v>1702</v>
      </c>
      <c r="E488" s="104" t="s">
        <v>1704</v>
      </c>
      <c r="F488" s="104" t="s">
        <v>1907</v>
      </c>
      <c r="M488" s="104" t="s">
        <v>1427</v>
      </c>
      <c r="N488" s="104" t="s">
        <v>1843</v>
      </c>
      <c r="O488" s="101">
        <v>45733</v>
      </c>
      <c r="P488" s="101">
        <v>45793</v>
      </c>
      <c r="Q488" s="101">
        <v>45739</v>
      </c>
      <c r="R488" s="101">
        <v>45745</v>
      </c>
      <c r="S488" s="184">
        <v>13</v>
      </c>
      <c r="T488" s="102">
        <v>6</v>
      </c>
      <c r="U488" s="102">
        <v>5</v>
      </c>
      <c r="V488" s="102">
        <v>0</v>
      </c>
      <c r="W488" s="102">
        <v>1</v>
      </c>
      <c r="X488" s="103">
        <v>0</v>
      </c>
      <c r="Y488" s="103">
        <v>0</v>
      </c>
      <c r="Z488" s="103">
        <v>0</v>
      </c>
      <c r="AC488" s="102">
        <v>0</v>
      </c>
    </row>
    <row r="489" spans="1:29">
      <c r="A489" s="104" t="s">
        <v>1466</v>
      </c>
      <c r="B489" s="104" t="s">
        <v>1907</v>
      </c>
      <c r="C489" s="104" t="s">
        <v>1465</v>
      </c>
      <c r="D489" s="104" t="s">
        <v>1702</v>
      </c>
      <c r="E489" s="104" t="s">
        <v>1704</v>
      </c>
      <c r="F489" s="104" t="s">
        <v>1907</v>
      </c>
      <c r="M489" s="104" t="s">
        <v>1427</v>
      </c>
      <c r="N489" s="104" t="s">
        <v>1843</v>
      </c>
      <c r="O489" s="101">
        <v>45733</v>
      </c>
      <c r="P489" s="101">
        <v>45793</v>
      </c>
      <c r="Q489" s="101">
        <v>45746</v>
      </c>
      <c r="R489" s="101">
        <v>45752</v>
      </c>
      <c r="S489" s="184">
        <v>14</v>
      </c>
      <c r="T489" s="102">
        <v>7</v>
      </c>
      <c r="U489" s="102">
        <v>5</v>
      </c>
      <c r="V489" s="102">
        <v>0</v>
      </c>
      <c r="W489" s="102">
        <v>1</v>
      </c>
      <c r="X489" s="103">
        <v>0</v>
      </c>
      <c r="Y489" s="103">
        <v>0</v>
      </c>
      <c r="Z489" s="103">
        <v>0</v>
      </c>
      <c r="AC489" s="102">
        <v>0</v>
      </c>
    </row>
    <row r="490" spans="1:29">
      <c r="A490" s="104" t="s">
        <v>1466</v>
      </c>
      <c r="B490" s="104" t="s">
        <v>1907</v>
      </c>
      <c r="C490" s="104" t="s">
        <v>1465</v>
      </c>
      <c r="D490" s="104" t="s">
        <v>1702</v>
      </c>
      <c r="E490" s="104" t="s">
        <v>1704</v>
      </c>
      <c r="F490" s="104" t="s">
        <v>1907</v>
      </c>
      <c r="M490" s="104" t="s">
        <v>1427</v>
      </c>
      <c r="N490" s="104" t="s">
        <v>1843</v>
      </c>
      <c r="O490" s="101">
        <v>45733</v>
      </c>
      <c r="P490" s="101">
        <v>45793</v>
      </c>
      <c r="Q490" s="101">
        <v>45753</v>
      </c>
      <c r="R490" s="101">
        <v>45759</v>
      </c>
      <c r="S490" s="184">
        <v>15</v>
      </c>
      <c r="T490" s="102">
        <v>8</v>
      </c>
      <c r="U490" s="102">
        <v>5</v>
      </c>
      <c r="V490" s="102">
        <v>0</v>
      </c>
      <c r="W490" s="102">
        <v>1</v>
      </c>
      <c r="X490" s="103">
        <v>0</v>
      </c>
      <c r="Y490" s="103">
        <v>0</v>
      </c>
      <c r="Z490" s="103">
        <v>0</v>
      </c>
      <c r="AC490" s="102">
        <v>0</v>
      </c>
    </row>
    <row r="491" spans="1:29">
      <c r="A491" s="104" t="s">
        <v>1466</v>
      </c>
      <c r="B491" s="104" t="s">
        <v>1907</v>
      </c>
      <c r="C491" s="104" t="s">
        <v>1465</v>
      </c>
      <c r="D491" s="104" t="s">
        <v>1702</v>
      </c>
      <c r="E491" s="104" t="s">
        <v>1704</v>
      </c>
      <c r="F491" s="104" t="s">
        <v>1907</v>
      </c>
      <c r="M491" s="104" t="s">
        <v>1427</v>
      </c>
      <c r="N491" s="104" t="s">
        <v>1843</v>
      </c>
      <c r="O491" s="101">
        <v>45733</v>
      </c>
      <c r="P491" s="101">
        <v>45793</v>
      </c>
      <c r="Q491" s="101">
        <v>45760</v>
      </c>
      <c r="R491" s="101">
        <v>45766</v>
      </c>
      <c r="S491" s="184">
        <v>16</v>
      </c>
      <c r="T491" s="102">
        <v>9</v>
      </c>
      <c r="U491" s="102">
        <v>5</v>
      </c>
      <c r="V491" s="102">
        <v>0</v>
      </c>
      <c r="W491" s="102">
        <v>1</v>
      </c>
      <c r="X491" s="103">
        <v>0</v>
      </c>
      <c r="Y491" s="103">
        <v>0</v>
      </c>
      <c r="Z491" s="103">
        <v>0</v>
      </c>
      <c r="AC491" s="102">
        <v>0</v>
      </c>
    </row>
    <row r="492" spans="1:29">
      <c r="A492" s="104" t="s">
        <v>1466</v>
      </c>
      <c r="B492" s="104" t="s">
        <v>1907</v>
      </c>
      <c r="C492" s="104" t="s">
        <v>1465</v>
      </c>
      <c r="D492" s="104" t="s">
        <v>1702</v>
      </c>
      <c r="E492" s="104" t="s">
        <v>1704</v>
      </c>
      <c r="F492" s="104" t="s">
        <v>1907</v>
      </c>
      <c r="M492" s="104" t="s">
        <v>1427</v>
      </c>
      <c r="N492" s="104" t="s">
        <v>1843</v>
      </c>
      <c r="O492" s="101">
        <v>45733</v>
      </c>
      <c r="P492" s="101">
        <v>45793</v>
      </c>
      <c r="Q492" s="101">
        <v>45767</v>
      </c>
      <c r="R492" s="101">
        <v>45773</v>
      </c>
      <c r="S492" s="184">
        <v>17</v>
      </c>
      <c r="T492" s="102">
        <v>10</v>
      </c>
      <c r="U492" s="102">
        <v>5</v>
      </c>
      <c r="V492" s="102">
        <v>0</v>
      </c>
      <c r="W492" s="102">
        <v>1</v>
      </c>
      <c r="X492" s="103">
        <v>0</v>
      </c>
      <c r="Y492" s="103">
        <v>0</v>
      </c>
      <c r="Z492" s="103">
        <v>0</v>
      </c>
      <c r="AC492" s="102">
        <v>0</v>
      </c>
    </row>
    <row r="493" spans="1:29">
      <c r="A493" s="104" t="s">
        <v>1466</v>
      </c>
      <c r="B493" s="104" t="s">
        <v>1907</v>
      </c>
      <c r="C493" s="104" t="s">
        <v>1465</v>
      </c>
      <c r="D493" s="104" t="s">
        <v>1702</v>
      </c>
      <c r="E493" s="104" t="s">
        <v>1704</v>
      </c>
      <c r="F493" s="104" t="s">
        <v>1907</v>
      </c>
      <c r="M493" s="104" t="s">
        <v>1427</v>
      </c>
      <c r="N493" s="104" t="s">
        <v>1843</v>
      </c>
      <c r="O493" s="101">
        <v>45733</v>
      </c>
      <c r="P493" s="101">
        <v>45793</v>
      </c>
      <c r="Q493" s="101">
        <v>45774</v>
      </c>
      <c r="R493" s="101">
        <v>45780</v>
      </c>
      <c r="S493" s="184">
        <v>18</v>
      </c>
      <c r="T493" s="102">
        <v>11</v>
      </c>
      <c r="U493" s="102">
        <v>4</v>
      </c>
      <c r="V493" s="102">
        <v>0</v>
      </c>
      <c r="W493" s="102">
        <v>1</v>
      </c>
      <c r="X493" s="103">
        <v>0</v>
      </c>
      <c r="Y493" s="103">
        <v>0</v>
      </c>
      <c r="Z493" s="103">
        <v>0</v>
      </c>
      <c r="AC493" s="102">
        <v>0</v>
      </c>
    </row>
    <row r="494" spans="1:29">
      <c r="A494" s="104" t="s">
        <v>1466</v>
      </c>
      <c r="B494" s="104" t="s">
        <v>1907</v>
      </c>
      <c r="C494" s="104" t="s">
        <v>1465</v>
      </c>
      <c r="D494" s="104" t="s">
        <v>1702</v>
      </c>
      <c r="E494" s="104" t="s">
        <v>1704</v>
      </c>
      <c r="F494" s="104" t="s">
        <v>1907</v>
      </c>
      <c r="M494" s="104" t="s">
        <v>1427</v>
      </c>
      <c r="N494" s="104" t="s">
        <v>1843</v>
      </c>
      <c r="O494" s="101">
        <v>45733</v>
      </c>
      <c r="P494" s="101">
        <v>45793</v>
      </c>
      <c r="Q494" s="101">
        <v>45781</v>
      </c>
      <c r="R494" s="101">
        <v>45787</v>
      </c>
      <c r="S494" s="184">
        <v>19</v>
      </c>
      <c r="T494" s="102">
        <v>12</v>
      </c>
      <c r="U494" s="102">
        <v>4</v>
      </c>
      <c r="V494" s="102">
        <v>0</v>
      </c>
      <c r="W494" s="102">
        <v>1</v>
      </c>
      <c r="X494" s="103">
        <v>0</v>
      </c>
      <c r="Y494" s="103">
        <v>0</v>
      </c>
      <c r="Z494" s="103">
        <v>0</v>
      </c>
      <c r="AC494" s="102">
        <v>0</v>
      </c>
    </row>
    <row r="495" spans="1:29">
      <c r="A495" s="104" t="s">
        <v>1466</v>
      </c>
      <c r="B495" s="104" t="s">
        <v>1907</v>
      </c>
      <c r="C495" s="104" t="s">
        <v>1465</v>
      </c>
      <c r="D495" s="104" t="s">
        <v>1702</v>
      </c>
      <c r="E495" s="104" t="s">
        <v>1704</v>
      </c>
      <c r="F495" s="104" t="s">
        <v>1907</v>
      </c>
      <c r="M495" s="104" t="s">
        <v>1427</v>
      </c>
      <c r="N495" s="104" t="s">
        <v>1843</v>
      </c>
      <c r="O495" s="101">
        <v>45733</v>
      </c>
      <c r="P495" s="101">
        <v>45793</v>
      </c>
      <c r="Q495" s="101">
        <v>45788</v>
      </c>
      <c r="R495" s="101">
        <v>45794</v>
      </c>
      <c r="S495" s="184">
        <v>20</v>
      </c>
      <c r="T495" s="102">
        <v>13</v>
      </c>
      <c r="U495" s="102">
        <v>5</v>
      </c>
      <c r="V495" s="102">
        <v>0</v>
      </c>
      <c r="W495" s="102">
        <v>1</v>
      </c>
      <c r="X495" s="103">
        <v>0</v>
      </c>
      <c r="Y495" s="103">
        <v>0</v>
      </c>
      <c r="Z495" s="103">
        <v>0</v>
      </c>
      <c r="AC495" s="102">
        <v>0</v>
      </c>
    </row>
    <row r="496" spans="1:29">
      <c r="A496" s="104" t="s">
        <v>1467</v>
      </c>
      <c r="B496" s="104" t="s">
        <v>1973</v>
      </c>
      <c r="C496" s="104" t="s">
        <v>1465</v>
      </c>
      <c r="D496" s="104" t="s">
        <v>1702</v>
      </c>
      <c r="E496" s="104" t="s">
        <v>1781</v>
      </c>
      <c r="F496" s="104" t="s">
        <v>1908</v>
      </c>
      <c r="G496" s="104" t="s">
        <v>1973</v>
      </c>
      <c r="M496" s="104" t="s">
        <v>1974</v>
      </c>
      <c r="N496" s="104" t="s">
        <v>1975</v>
      </c>
      <c r="O496" s="101">
        <v>45740</v>
      </c>
      <c r="P496" s="101">
        <v>45849</v>
      </c>
      <c r="Q496" s="101">
        <v>45739</v>
      </c>
      <c r="R496" s="101">
        <v>45745</v>
      </c>
      <c r="S496" s="184">
        <v>13</v>
      </c>
      <c r="T496" s="102">
        <v>6</v>
      </c>
      <c r="U496" s="102">
        <v>25</v>
      </c>
      <c r="V496" s="102">
        <v>0</v>
      </c>
      <c r="W496" s="102">
        <v>5</v>
      </c>
      <c r="X496" s="103">
        <v>0</v>
      </c>
      <c r="Y496" s="103">
        <v>0</v>
      </c>
      <c r="Z496" s="103">
        <v>0</v>
      </c>
      <c r="AC496" s="102">
        <v>0</v>
      </c>
    </row>
    <row r="497" spans="1:29">
      <c r="A497" s="104" t="s">
        <v>1467</v>
      </c>
      <c r="B497" s="104" t="s">
        <v>1973</v>
      </c>
      <c r="C497" s="104" t="s">
        <v>1465</v>
      </c>
      <c r="D497" s="104" t="s">
        <v>1702</v>
      </c>
      <c r="E497" s="104" t="s">
        <v>1781</v>
      </c>
      <c r="F497" s="104" t="s">
        <v>1908</v>
      </c>
      <c r="G497" s="104" t="s">
        <v>1973</v>
      </c>
      <c r="M497" s="104" t="s">
        <v>1974</v>
      </c>
      <c r="N497" s="104" t="s">
        <v>1975</v>
      </c>
      <c r="O497" s="101">
        <v>45740</v>
      </c>
      <c r="P497" s="101">
        <v>45849</v>
      </c>
      <c r="Q497" s="101">
        <v>45746</v>
      </c>
      <c r="R497" s="101">
        <v>45752</v>
      </c>
      <c r="S497" s="184">
        <v>14</v>
      </c>
      <c r="T497" s="102">
        <v>7</v>
      </c>
      <c r="U497" s="102">
        <v>25</v>
      </c>
      <c r="V497" s="102">
        <v>0</v>
      </c>
      <c r="W497" s="102">
        <v>5</v>
      </c>
      <c r="X497" s="103">
        <v>0</v>
      </c>
      <c r="Y497" s="103">
        <v>0</v>
      </c>
      <c r="Z497" s="103">
        <v>0</v>
      </c>
      <c r="AC497" s="102">
        <v>0</v>
      </c>
    </row>
    <row r="498" spans="1:29">
      <c r="A498" s="104" t="s">
        <v>1467</v>
      </c>
      <c r="B498" s="104" t="s">
        <v>1973</v>
      </c>
      <c r="C498" s="104" t="s">
        <v>1465</v>
      </c>
      <c r="D498" s="104" t="s">
        <v>1702</v>
      </c>
      <c r="E498" s="104" t="s">
        <v>1781</v>
      </c>
      <c r="F498" s="104" t="s">
        <v>1908</v>
      </c>
      <c r="G498" s="104" t="s">
        <v>1973</v>
      </c>
      <c r="M498" s="104" t="s">
        <v>1974</v>
      </c>
      <c r="N498" s="104" t="s">
        <v>1975</v>
      </c>
      <c r="O498" s="101">
        <v>45740</v>
      </c>
      <c r="P498" s="101">
        <v>45849</v>
      </c>
      <c r="Q498" s="101">
        <v>45753</v>
      </c>
      <c r="R498" s="101">
        <v>45759</v>
      </c>
      <c r="S498" s="184">
        <v>15</v>
      </c>
      <c r="T498" s="102">
        <v>8</v>
      </c>
      <c r="U498" s="102">
        <v>25</v>
      </c>
      <c r="V498" s="102">
        <v>0</v>
      </c>
      <c r="W498" s="102">
        <v>5</v>
      </c>
      <c r="X498" s="103">
        <v>0</v>
      </c>
      <c r="Y498" s="103">
        <v>0</v>
      </c>
      <c r="Z498" s="103">
        <v>0</v>
      </c>
      <c r="AC498" s="102">
        <v>0</v>
      </c>
    </row>
    <row r="499" spans="1:29">
      <c r="A499" s="104" t="s">
        <v>1467</v>
      </c>
      <c r="B499" s="104" t="s">
        <v>1973</v>
      </c>
      <c r="C499" s="104" t="s">
        <v>1465</v>
      </c>
      <c r="D499" s="104" t="s">
        <v>1702</v>
      </c>
      <c r="E499" s="104" t="s">
        <v>1781</v>
      </c>
      <c r="F499" s="104" t="s">
        <v>1908</v>
      </c>
      <c r="G499" s="104" t="s">
        <v>1973</v>
      </c>
      <c r="M499" s="104" t="s">
        <v>1974</v>
      </c>
      <c r="N499" s="104" t="s">
        <v>1975</v>
      </c>
      <c r="O499" s="101">
        <v>45740</v>
      </c>
      <c r="P499" s="101">
        <v>45849</v>
      </c>
      <c r="Q499" s="101">
        <v>45760</v>
      </c>
      <c r="R499" s="101">
        <v>45766</v>
      </c>
      <c r="S499" s="184">
        <v>16</v>
      </c>
      <c r="T499" s="102">
        <v>9</v>
      </c>
      <c r="U499" s="102">
        <v>25</v>
      </c>
      <c r="V499" s="102">
        <v>0</v>
      </c>
      <c r="W499" s="102">
        <v>5</v>
      </c>
      <c r="X499" s="103">
        <v>0</v>
      </c>
      <c r="Y499" s="103">
        <v>0</v>
      </c>
      <c r="Z499" s="103">
        <v>0</v>
      </c>
      <c r="AC499" s="102">
        <v>0</v>
      </c>
    </row>
    <row r="500" spans="1:29">
      <c r="A500" s="104" t="s">
        <v>1467</v>
      </c>
      <c r="B500" s="104" t="s">
        <v>1973</v>
      </c>
      <c r="C500" s="104" t="s">
        <v>1465</v>
      </c>
      <c r="D500" s="104" t="s">
        <v>1702</v>
      </c>
      <c r="E500" s="104" t="s">
        <v>1781</v>
      </c>
      <c r="F500" s="104" t="s">
        <v>1908</v>
      </c>
      <c r="G500" s="104" t="s">
        <v>1973</v>
      </c>
      <c r="M500" s="104" t="s">
        <v>1974</v>
      </c>
      <c r="N500" s="104" t="s">
        <v>1975</v>
      </c>
      <c r="O500" s="101">
        <v>45740</v>
      </c>
      <c r="P500" s="101">
        <v>45849</v>
      </c>
      <c r="Q500" s="101">
        <v>45767</v>
      </c>
      <c r="R500" s="101">
        <v>45773</v>
      </c>
      <c r="S500" s="184">
        <v>17</v>
      </c>
      <c r="T500" s="102">
        <v>10</v>
      </c>
      <c r="U500" s="102">
        <v>25</v>
      </c>
      <c r="V500" s="102">
        <v>0</v>
      </c>
      <c r="W500" s="102">
        <v>5</v>
      </c>
      <c r="X500" s="103">
        <v>0</v>
      </c>
      <c r="Y500" s="103">
        <v>0</v>
      </c>
      <c r="Z500" s="103">
        <v>0</v>
      </c>
      <c r="AC500" s="102">
        <v>0</v>
      </c>
    </row>
    <row r="501" spans="1:29">
      <c r="A501" s="104" t="s">
        <v>1467</v>
      </c>
      <c r="B501" s="104" t="s">
        <v>1973</v>
      </c>
      <c r="C501" s="104" t="s">
        <v>1465</v>
      </c>
      <c r="D501" s="104" t="s">
        <v>1702</v>
      </c>
      <c r="E501" s="104" t="s">
        <v>1781</v>
      </c>
      <c r="F501" s="104" t="s">
        <v>1908</v>
      </c>
      <c r="G501" s="104" t="s">
        <v>1973</v>
      </c>
      <c r="M501" s="104" t="s">
        <v>1974</v>
      </c>
      <c r="N501" s="104" t="s">
        <v>1975</v>
      </c>
      <c r="O501" s="101">
        <v>45740</v>
      </c>
      <c r="P501" s="101">
        <v>45849</v>
      </c>
      <c r="Q501" s="101">
        <v>45774</v>
      </c>
      <c r="R501" s="101">
        <v>45780</v>
      </c>
      <c r="S501" s="184">
        <v>18</v>
      </c>
      <c r="T501" s="102">
        <v>11</v>
      </c>
      <c r="U501" s="102">
        <v>20</v>
      </c>
      <c r="V501" s="102">
        <v>0</v>
      </c>
      <c r="W501" s="102">
        <v>5</v>
      </c>
      <c r="X501" s="103">
        <v>0</v>
      </c>
      <c r="Y501" s="103">
        <v>0</v>
      </c>
      <c r="Z501" s="103">
        <v>0</v>
      </c>
      <c r="AC501" s="102">
        <v>0</v>
      </c>
    </row>
    <row r="502" spans="1:29">
      <c r="A502" s="104" t="s">
        <v>1467</v>
      </c>
      <c r="B502" s="104" t="s">
        <v>1973</v>
      </c>
      <c r="C502" s="104" t="s">
        <v>1465</v>
      </c>
      <c r="D502" s="104" t="s">
        <v>1702</v>
      </c>
      <c r="E502" s="104" t="s">
        <v>1781</v>
      </c>
      <c r="F502" s="104" t="s">
        <v>1908</v>
      </c>
      <c r="G502" s="104" t="s">
        <v>1973</v>
      </c>
      <c r="M502" s="104" t="s">
        <v>1974</v>
      </c>
      <c r="N502" s="104" t="s">
        <v>1975</v>
      </c>
      <c r="O502" s="101">
        <v>45740</v>
      </c>
      <c r="P502" s="101">
        <v>45849</v>
      </c>
      <c r="Q502" s="101">
        <v>45781</v>
      </c>
      <c r="R502" s="101">
        <v>45787</v>
      </c>
      <c r="S502" s="184">
        <v>19</v>
      </c>
      <c r="T502" s="102">
        <v>12</v>
      </c>
      <c r="U502" s="102">
        <v>20</v>
      </c>
      <c r="V502" s="102">
        <v>0</v>
      </c>
      <c r="W502" s="102">
        <v>5</v>
      </c>
      <c r="X502" s="103">
        <v>0</v>
      </c>
      <c r="Y502" s="103">
        <v>0</v>
      </c>
      <c r="Z502" s="103">
        <v>0</v>
      </c>
      <c r="AC502" s="102">
        <v>0</v>
      </c>
    </row>
    <row r="503" spans="1:29">
      <c r="A503" s="104" t="s">
        <v>1467</v>
      </c>
      <c r="B503" s="104" t="s">
        <v>1973</v>
      </c>
      <c r="C503" s="104" t="s">
        <v>1465</v>
      </c>
      <c r="D503" s="104" t="s">
        <v>1702</v>
      </c>
      <c r="E503" s="104" t="s">
        <v>1781</v>
      </c>
      <c r="F503" s="104" t="s">
        <v>1908</v>
      </c>
      <c r="G503" s="104" t="s">
        <v>1973</v>
      </c>
      <c r="M503" s="104" t="s">
        <v>1974</v>
      </c>
      <c r="N503" s="104" t="s">
        <v>1975</v>
      </c>
      <c r="O503" s="101">
        <v>45740</v>
      </c>
      <c r="P503" s="101">
        <v>45849</v>
      </c>
      <c r="Q503" s="101">
        <v>45788</v>
      </c>
      <c r="R503" s="101">
        <v>45794</v>
      </c>
      <c r="S503" s="184">
        <v>20</v>
      </c>
      <c r="T503" s="102">
        <v>13</v>
      </c>
      <c r="U503" s="102">
        <v>25</v>
      </c>
      <c r="V503" s="102">
        <v>0</v>
      </c>
      <c r="W503" s="102">
        <v>5</v>
      </c>
      <c r="X503" s="103">
        <v>0</v>
      </c>
      <c r="Y503" s="103">
        <v>0</v>
      </c>
      <c r="Z503" s="103">
        <v>0</v>
      </c>
      <c r="AC503" s="102">
        <v>0</v>
      </c>
    </row>
    <row r="504" spans="1:29">
      <c r="A504" s="104" t="s">
        <v>1467</v>
      </c>
      <c r="B504" s="104" t="s">
        <v>1973</v>
      </c>
      <c r="C504" s="104" t="s">
        <v>1465</v>
      </c>
      <c r="D504" s="104" t="s">
        <v>1702</v>
      </c>
      <c r="E504" s="104" t="s">
        <v>1781</v>
      </c>
      <c r="F504" s="104" t="s">
        <v>1908</v>
      </c>
      <c r="G504" s="104" t="s">
        <v>1973</v>
      </c>
      <c r="M504" s="104" t="s">
        <v>1974</v>
      </c>
      <c r="N504" s="104" t="s">
        <v>1975</v>
      </c>
      <c r="O504" s="101">
        <v>45740</v>
      </c>
      <c r="P504" s="101">
        <v>45849</v>
      </c>
      <c r="Q504" s="101">
        <v>45795</v>
      </c>
      <c r="R504" s="101">
        <v>45801</v>
      </c>
      <c r="S504" s="184">
        <v>21</v>
      </c>
      <c r="T504" s="102">
        <v>14</v>
      </c>
      <c r="U504" s="102">
        <v>25</v>
      </c>
      <c r="V504" s="102">
        <v>0</v>
      </c>
      <c r="W504" s="102">
        <v>5</v>
      </c>
      <c r="X504" s="103">
        <v>0</v>
      </c>
      <c r="Y504" s="103">
        <v>0</v>
      </c>
      <c r="Z504" s="103">
        <v>0</v>
      </c>
      <c r="AC504" s="102">
        <v>0</v>
      </c>
    </row>
    <row r="505" spans="1:29">
      <c r="A505" s="104" t="s">
        <v>1467</v>
      </c>
      <c r="B505" s="104" t="s">
        <v>1973</v>
      </c>
      <c r="C505" s="104" t="s">
        <v>1465</v>
      </c>
      <c r="D505" s="104" t="s">
        <v>1702</v>
      </c>
      <c r="E505" s="104" t="s">
        <v>1781</v>
      </c>
      <c r="F505" s="104" t="s">
        <v>1908</v>
      </c>
      <c r="G505" s="104" t="s">
        <v>1973</v>
      </c>
      <c r="M505" s="104" t="s">
        <v>1974</v>
      </c>
      <c r="N505" s="104" t="s">
        <v>1975</v>
      </c>
      <c r="O505" s="101">
        <v>45740</v>
      </c>
      <c r="P505" s="101">
        <v>45849</v>
      </c>
      <c r="Q505" s="101">
        <v>45802</v>
      </c>
      <c r="R505" s="101">
        <v>45808</v>
      </c>
      <c r="S505" s="184">
        <v>22</v>
      </c>
      <c r="T505" s="102">
        <v>15</v>
      </c>
      <c r="U505" s="102">
        <v>25</v>
      </c>
      <c r="V505" s="102">
        <v>0</v>
      </c>
      <c r="W505" s="102">
        <v>5</v>
      </c>
      <c r="X505" s="103">
        <v>0</v>
      </c>
      <c r="Y505" s="103">
        <v>0</v>
      </c>
      <c r="Z505" s="103">
        <v>0</v>
      </c>
      <c r="AC505" s="102">
        <v>0</v>
      </c>
    </row>
    <row r="506" spans="1:29">
      <c r="A506" s="104" t="s">
        <v>1467</v>
      </c>
      <c r="B506" s="104" t="s">
        <v>1973</v>
      </c>
      <c r="C506" s="104" t="s">
        <v>1465</v>
      </c>
      <c r="D506" s="104" t="s">
        <v>1702</v>
      </c>
      <c r="E506" s="104" t="s">
        <v>1781</v>
      </c>
      <c r="F506" s="104" t="s">
        <v>1908</v>
      </c>
      <c r="G506" s="104" t="s">
        <v>1973</v>
      </c>
      <c r="M506" s="104" t="s">
        <v>1974</v>
      </c>
      <c r="N506" s="104" t="s">
        <v>1975</v>
      </c>
      <c r="O506" s="101">
        <v>45740</v>
      </c>
      <c r="P506" s="101">
        <v>45849</v>
      </c>
      <c r="Q506" s="101">
        <v>45809</v>
      </c>
      <c r="R506" s="101">
        <v>45815</v>
      </c>
      <c r="S506" s="184">
        <v>23</v>
      </c>
      <c r="T506" s="102">
        <v>16</v>
      </c>
      <c r="U506" s="102">
        <v>20</v>
      </c>
      <c r="V506" s="102">
        <v>0</v>
      </c>
      <c r="W506" s="102">
        <v>5</v>
      </c>
      <c r="X506" s="103">
        <v>0</v>
      </c>
      <c r="Y506" s="103">
        <v>0</v>
      </c>
      <c r="Z506" s="103">
        <v>0</v>
      </c>
      <c r="AC506" s="102">
        <v>0</v>
      </c>
    </row>
    <row r="507" spans="1:29">
      <c r="A507" s="104" t="s">
        <v>1467</v>
      </c>
      <c r="B507" s="104" t="s">
        <v>1973</v>
      </c>
      <c r="C507" s="104" t="s">
        <v>1465</v>
      </c>
      <c r="D507" s="104" t="s">
        <v>1702</v>
      </c>
      <c r="E507" s="104" t="s">
        <v>1781</v>
      </c>
      <c r="F507" s="104" t="s">
        <v>1908</v>
      </c>
      <c r="G507" s="104" t="s">
        <v>1973</v>
      </c>
      <c r="M507" s="104" t="s">
        <v>1974</v>
      </c>
      <c r="N507" s="104" t="s">
        <v>1975</v>
      </c>
      <c r="O507" s="101">
        <v>45740</v>
      </c>
      <c r="P507" s="101">
        <v>45849</v>
      </c>
      <c r="Q507" s="101">
        <v>45816</v>
      </c>
      <c r="R507" s="101">
        <v>45822</v>
      </c>
      <c r="S507" s="184">
        <v>24</v>
      </c>
      <c r="T507" s="102">
        <v>17</v>
      </c>
      <c r="U507" s="102">
        <v>25</v>
      </c>
      <c r="V507" s="102">
        <v>0</v>
      </c>
      <c r="W507" s="102">
        <v>5</v>
      </c>
      <c r="X507" s="103">
        <v>0</v>
      </c>
      <c r="Y507" s="103">
        <v>0</v>
      </c>
      <c r="Z507" s="103">
        <v>0</v>
      </c>
      <c r="AC507" s="102">
        <v>0</v>
      </c>
    </row>
    <row r="508" spans="1:29">
      <c r="A508" s="104" t="s">
        <v>1467</v>
      </c>
      <c r="B508" s="104" t="s">
        <v>1973</v>
      </c>
      <c r="C508" s="104" t="s">
        <v>1465</v>
      </c>
      <c r="D508" s="104" t="s">
        <v>1702</v>
      </c>
      <c r="E508" s="104" t="s">
        <v>1781</v>
      </c>
      <c r="F508" s="104" t="s">
        <v>1908</v>
      </c>
      <c r="G508" s="104" t="s">
        <v>1973</v>
      </c>
      <c r="M508" s="104" t="s">
        <v>1974</v>
      </c>
      <c r="N508" s="104" t="s">
        <v>1975</v>
      </c>
      <c r="O508" s="101">
        <v>45740</v>
      </c>
      <c r="P508" s="101">
        <v>45849</v>
      </c>
      <c r="Q508" s="101">
        <v>45823</v>
      </c>
      <c r="R508" s="101">
        <v>45829</v>
      </c>
      <c r="S508" s="184">
        <v>25</v>
      </c>
      <c r="T508" s="102">
        <v>18</v>
      </c>
      <c r="U508" s="102">
        <v>25</v>
      </c>
      <c r="V508" s="102">
        <v>0</v>
      </c>
      <c r="W508" s="102">
        <v>5</v>
      </c>
      <c r="X508" s="103">
        <v>0</v>
      </c>
      <c r="Y508" s="103">
        <v>0</v>
      </c>
      <c r="Z508" s="103">
        <v>0</v>
      </c>
      <c r="AC508" s="102">
        <v>0</v>
      </c>
    </row>
    <row r="509" spans="1:29">
      <c r="A509" s="104" t="s">
        <v>1467</v>
      </c>
      <c r="B509" s="104" t="s">
        <v>1973</v>
      </c>
      <c r="C509" s="104" t="s">
        <v>1465</v>
      </c>
      <c r="D509" s="104" t="s">
        <v>1702</v>
      </c>
      <c r="E509" s="104" t="s">
        <v>1781</v>
      </c>
      <c r="F509" s="104" t="s">
        <v>1908</v>
      </c>
      <c r="G509" s="104" t="s">
        <v>1973</v>
      </c>
      <c r="M509" s="104" t="s">
        <v>1974</v>
      </c>
      <c r="N509" s="104" t="s">
        <v>1975</v>
      </c>
      <c r="O509" s="101">
        <v>45740</v>
      </c>
      <c r="P509" s="101">
        <v>45849</v>
      </c>
      <c r="Q509" s="101">
        <v>45830</v>
      </c>
      <c r="R509" s="101">
        <v>45836</v>
      </c>
      <c r="S509" s="184">
        <v>26</v>
      </c>
      <c r="T509" s="102">
        <v>19</v>
      </c>
      <c r="U509" s="102">
        <v>25</v>
      </c>
      <c r="V509" s="102">
        <v>0</v>
      </c>
      <c r="W509" s="102">
        <v>5</v>
      </c>
      <c r="X509" s="103">
        <v>0</v>
      </c>
      <c r="Y509" s="103">
        <v>0</v>
      </c>
      <c r="Z509" s="103">
        <v>0</v>
      </c>
      <c r="AC509" s="102">
        <v>0</v>
      </c>
    </row>
    <row r="510" spans="1:29">
      <c r="A510" s="104" t="s">
        <v>1467</v>
      </c>
      <c r="B510" s="104" t="s">
        <v>1973</v>
      </c>
      <c r="C510" s="104" t="s">
        <v>1465</v>
      </c>
      <c r="D510" s="104" t="s">
        <v>1702</v>
      </c>
      <c r="E510" s="104" t="s">
        <v>1781</v>
      </c>
      <c r="F510" s="104" t="s">
        <v>1908</v>
      </c>
      <c r="G510" s="104" t="s">
        <v>1973</v>
      </c>
      <c r="M510" s="104" t="s">
        <v>1974</v>
      </c>
      <c r="N510" s="104" t="s">
        <v>1975</v>
      </c>
      <c r="O510" s="101">
        <v>45740</v>
      </c>
      <c r="P510" s="101">
        <v>45849</v>
      </c>
      <c r="Q510" s="101">
        <v>45837</v>
      </c>
      <c r="R510" s="101">
        <v>45843</v>
      </c>
      <c r="S510" s="184">
        <v>27</v>
      </c>
      <c r="T510" s="102">
        <v>20</v>
      </c>
      <c r="U510" s="102">
        <v>25</v>
      </c>
      <c r="V510" s="102">
        <v>0</v>
      </c>
      <c r="W510" s="102">
        <v>5</v>
      </c>
      <c r="X510" s="103">
        <v>0</v>
      </c>
      <c r="Y510" s="103">
        <v>0</v>
      </c>
      <c r="Z510" s="103">
        <v>0</v>
      </c>
      <c r="AC510" s="102">
        <v>0</v>
      </c>
    </row>
    <row r="511" spans="1:29">
      <c r="A511" s="104" t="s">
        <v>1467</v>
      </c>
      <c r="B511" s="104" t="s">
        <v>1973</v>
      </c>
      <c r="C511" s="104" t="s">
        <v>1465</v>
      </c>
      <c r="D511" s="104" t="s">
        <v>1702</v>
      </c>
      <c r="E511" s="104" t="s">
        <v>1781</v>
      </c>
      <c r="F511" s="104" t="s">
        <v>1908</v>
      </c>
      <c r="G511" s="104" t="s">
        <v>1973</v>
      </c>
      <c r="M511" s="104" t="s">
        <v>1974</v>
      </c>
      <c r="N511" s="104" t="s">
        <v>1975</v>
      </c>
      <c r="O511" s="101">
        <v>45740</v>
      </c>
      <c r="P511" s="101">
        <v>45849</v>
      </c>
      <c r="Q511" s="101">
        <v>45844</v>
      </c>
      <c r="R511" s="101">
        <v>45850</v>
      </c>
      <c r="S511" s="184">
        <v>28</v>
      </c>
      <c r="T511" s="102">
        <v>21</v>
      </c>
      <c r="U511" s="102">
        <v>25</v>
      </c>
      <c r="V511" s="102">
        <v>0</v>
      </c>
      <c r="W511" s="102">
        <v>5</v>
      </c>
      <c r="X511" s="103">
        <v>0</v>
      </c>
      <c r="Y511" s="103">
        <v>0</v>
      </c>
      <c r="Z511" s="103">
        <v>0</v>
      </c>
      <c r="AC511" s="102">
        <v>0</v>
      </c>
    </row>
    <row r="512" spans="1:29">
      <c r="A512" s="104" t="s">
        <v>1467</v>
      </c>
      <c r="B512" s="104" t="s">
        <v>1976</v>
      </c>
      <c r="C512" s="104" t="s">
        <v>1465</v>
      </c>
      <c r="D512" s="104" t="s">
        <v>1702</v>
      </c>
      <c r="E512" s="104" t="s">
        <v>1781</v>
      </c>
      <c r="F512" s="104" t="s">
        <v>1908</v>
      </c>
      <c r="G512" s="104" t="s">
        <v>1976</v>
      </c>
      <c r="M512" s="104" t="s">
        <v>2008</v>
      </c>
      <c r="N512" s="104" t="s">
        <v>1975</v>
      </c>
      <c r="O512" s="101">
        <v>45740</v>
      </c>
      <c r="P512" s="101">
        <v>45849</v>
      </c>
      <c r="Q512" s="101">
        <v>45739</v>
      </c>
      <c r="R512" s="101">
        <v>45745</v>
      </c>
      <c r="S512" s="184">
        <v>13</v>
      </c>
      <c r="T512" s="102">
        <v>6</v>
      </c>
      <c r="U512" s="102">
        <v>25</v>
      </c>
      <c r="V512" s="102">
        <v>0</v>
      </c>
      <c r="W512" s="102">
        <v>5</v>
      </c>
      <c r="X512" s="103">
        <v>0</v>
      </c>
      <c r="Y512" s="103">
        <v>0</v>
      </c>
      <c r="Z512" s="103">
        <v>0</v>
      </c>
      <c r="AC512" s="102">
        <v>0</v>
      </c>
    </row>
    <row r="513" spans="1:29">
      <c r="A513" s="104" t="s">
        <v>1467</v>
      </c>
      <c r="B513" s="104" t="s">
        <v>1976</v>
      </c>
      <c r="C513" s="104" t="s">
        <v>1465</v>
      </c>
      <c r="D513" s="104" t="s">
        <v>1702</v>
      </c>
      <c r="E513" s="104" t="s">
        <v>1781</v>
      </c>
      <c r="F513" s="104" t="s">
        <v>1908</v>
      </c>
      <c r="G513" s="104" t="s">
        <v>1976</v>
      </c>
      <c r="M513" s="104" t="s">
        <v>2008</v>
      </c>
      <c r="N513" s="104" t="s">
        <v>1975</v>
      </c>
      <c r="O513" s="101">
        <v>45740</v>
      </c>
      <c r="P513" s="101">
        <v>45849</v>
      </c>
      <c r="Q513" s="101">
        <v>45746</v>
      </c>
      <c r="R513" s="101">
        <v>45752</v>
      </c>
      <c r="S513" s="184">
        <v>14</v>
      </c>
      <c r="T513" s="102">
        <v>7</v>
      </c>
      <c r="U513" s="102">
        <v>25</v>
      </c>
      <c r="V513" s="102">
        <v>0</v>
      </c>
      <c r="W513" s="102">
        <v>5</v>
      </c>
      <c r="X513" s="103">
        <v>0</v>
      </c>
      <c r="Y513" s="103">
        <v>0</v>
      </c>
      <c r="Z513" s="103">
        <v>0</v>
      </c>
      <c r="AC513" s="102">
        <v>0</v>
      </c>
    </row>
    <row r="514" spans="1:29">
      <c r="A514" s="104" t="s">
        <v>1467</v>
      </c>
      <c r="B514" s="104" t="s">
        <v>1976</v>
      </c>
      <c r="C514" s="104" t="s">
        <v>1465</v>
      </c>
      <c r="D514" s="104" t="s">
        <v>1702</v>
      </c>
      <c r="E514" s="104" t="s">
        <v>1781</v>
      </c>
      <c r="F514" s="104" t="s">
        <v>1908</v>
      </c>
      <c r="G514" s="104" t="s">
        <v>1976</v>
      </c>
      <c r="M514" s="104" t="s">
        <v>2008</v>
      </c>
      <c r="N514" s="104" t="s">
        <v>1975</v>
      </c>
      <c r="O514" s="101">
        <v>45740</v>
      </c>
      <c r="P514" s="101">
        <v>45849</v>
      </c>
      <c r="Q514" s="101">
        <v>45753</v>
      </c>
      <c r="R514" s="101">
        <v>45759</v>
      </c>
      <c r="S514" s="184">
        <v>15</v>
      </c>
      <c r="T514" s="102">
        <v>8</v>
      </c>
      <c r="U514" s="102">
        <v>25</v>
      </c>
      <c r="V514" s="102">
        <v>0</v>
      </c>
      <c r="W514" s="102">
        <v>5</v>
      </c>
      <c r="X514" s="103">
        <v>0</v>
      </c>
      <c r="Y514" s="103">
        <v>0</v>
      </c>
      <c r="Z514" s="103">
        <v>0</v>
      </c>
      <c r="AC514" s="102">
        <v>0</v>
      </c>
    </row>
    <row r="515" spans="1:29">
      <c r="A515" s="104" t="s">
        <v>1467</v>
      </c>
      <c r="B515" s="104" t="s">
        <v>1976</v>
      </c>
      <c r="C515" s="104" t="s">
        <v>1465</v>
      </c>
      <c r="D515" s="104" t="s">
        <v>1702</v>
      </c>
      <c r="E515" s="104" t="s">
        <v>1781</v>
      </c>
      <c r="F515" s="104" t="s">
        <v>1908</v>
      </c>
      <c r="G515" s="104" t="s">
        <v>1976</v>
      </c>
      <c r="M515" s="104" t="s">
        <v>2008</v>
      </c>
      <c r="N515" s="104" t="s">
        <v>1975</v>
      </c>
      <c r="O515" s="101">
        <v>45740</v>
      </c>
      <c r="P515" s="101">
        <v>45849</v>
      </c>
      <c r="Q515" s="101">
        <v>45760</v>
      </c>
      <c r="R515" s="101">
        <v>45766</v>
      </c>
      <c r="S515" s="184">
        <v>16</v>
      </c>
      <c r="T515" s="102">
        <v>9</v>
      </c>
      <c r="U515" s="102">
        <v>25</v>
      </c>
      <c r="V515" s="102">
        <v>0</v>
      </c>
      <c r="W515" s="102">
        <v>5</v>
      </c>
      <c r="X515" s="103">
        <v>0</v>
      </c>
      <c r="Y515" s="103">
        <v>0</v>
      </c>
      <c r="Z515" s="103">
        <v>0</v>
      </c>
      <c r="AC515" s="102">
        <v>0</v>
      </c>
    </row>
    <row r="516" spans="1:29">
      <c r="A516" s="104" t="s">
        <v>1467</v>
      </c>
      <c r="B516" s="104" t="s">
        <v>1976</v>
      </c>
      <c r="C516" s="104" t="s">
        <v>1465</v>
      </c>
      <c r="D516" s="104" t="s">
        <v>1702</v>
      </c>
      <c r="E516" s="104" t="s">
        <v>1781</v>
      </c>
      <c r="F516" s="104" t="s">
        <v>1908</v>
      </c>
      <c r="G516" s="104" t="s">
        <v>1976</v>
      </c>
      <c r="M516" s="104" t="s">
        <v>2008</v>
      </c>
      <c r="N516" s="104" t="s">
        <v>1975</v>
      </c>
      <c r="O516" s="101">
        <v>45740</v>
      </c>
      <c r="P516" s="101">
        <v>45849</v>
      </c>
      <c r="Q516" s="101">
        <v>45767</v>
      </c>
      <c r="R516" s="101">
        <v>45773</v>
      </c>
      <c r="S516" s="184">
        <v>17</v>
      </c>
      <c r="T516" s="102">
        <v>10</v>
      </c>
      <c r="U516" s="102">
        <v>25</v>
      </c>
      <c r="V516" s="102">
        <v>0</v>
      </c>
      <c r="W516" s="102">
        <v>5</v>
      </c>
      <c r="X516" s="103">
        <v>0</v>
      </c>
      <c r="Y516" s="103">
        <v>0</v>
      </c>
      <c r="Z516" s="103">
        <v>0</v>
      </c>
      <c r="AC516" s="102">
        <v>0</v>
      </c>
    </row>
    <row r="517" spans="1:29">
      <c r="A517" s="104" t="s">
        <v>1467</v>
      </c>
      <c r="B517" s="104" t="s">
        <v>1976</v>
      </c>
      <c r="C517" s="104" t="s">
        <v>1465</v>
      </c>
      <c r="D517" s="104" t="s">
        <v>1702</v>
      </c>
      <c r="E517" s="104" t="s">
        <v>1781</v>
      </c>
      <c r="F517" s="104" t="s">
        <v>1908</v>
      </c>
      <c r="G517" s="104" t="s">
        <v>1976</v>
      </c>
      <c r="M517" s="104" t="s">
        <v>2008</v>
      </c>
      <c r="N517" s="104" t="s">
        <v>1975</v>
      </c>
      <c r="O517" s="101">
        <v>45740</v>
      </c>
      <c r="P517" s="101">
        <v>45849</v>
      </c>
      <c r="Q517" s="101">
        <v>45774</v>
      </c>
      <c r="R517" s="101">
        <v>45780</v>
      </c>
      <c r="S517" s="184">
        <v>18</v>
      </c>
      <c r="T517" s="102">
        <v>11</v>
      </c>
      <c r="U517" s="102">
        <v>20</v>
      </c>
      <c r="V517" s="102">
        <v>0</v>
      </c>
      <c r="W517" s="102">
        <v>5</v>
      </c>
      <c r="X517" s="103">
        <v>0</v>
      </c>
      <c r="Y517" s="103">
        <v>0</v>
      </c>
      <c r="Z517" s="103">
        <v>0</v>
      </c>
      <c r="AC517" s="102">
        <v>0</v>
      </c>
    </row>
    <row r="518" spans="1:29">
      <c r="A518" s="104" t="s">
        <v>1467</v>
      </c>
      <c r="B518" s="104" t="s">
        <v>1976</v>
      </c>
      <c r="C518" s="104" t="s">
        <v>1465</v>
      </c>
      <c r="D518" s="104" t="s">
        <v>1702</v>
      </c>
      <c r="E518" s="104" t="s">
        <v>1781</v>
      </c>
      <c r="F518" s="104" t="s">
        <v>1908</v>
      </c>
      <c r="G518" s="104" t="s">
        <v>1976</v>
      </c>
      <c r="M518" s="104" t="s">
        <v>2008</v>
      </c>
      <c r="N518" s="104" t="s">
        <v>1975</v>
      </c>
      <c r="O518" s="101">
        <v>45740</v>
      </c>
      <c r="P518" s="101">
        <v>45849</v>
      </c>
      <c r="Q518" s="101">
        <v>45781</v>
      </c>
      <c r="R518" s="101">
        <v>45787</v>
      </c>
      <c r="S518" s="184">
        <v>19</v>
      </c>
      <c r="T518" s="102">
        <v>12</v>
      </c>
      <c r="U518" s="102">
        <v>20</v>
      </c>
      <c r="V518" s="102">
        <v>0</v>
      </c>
      <c r="W518" s="102">
        <v>5</v>
      </c>
      <c r="X518" s="103">
        <v>0</v>
      </c>
      <c r="Y518" s="103">
        <v>0</v>
      </c>
      <c r="Z518" s="103">
        <v>0</v>
      </c>
      <c r="AC518" s="102">
        <v>0</v>
      </c>
    </row>
    <row r="519" spans="1:29">
      <c r="A519" s="104" t="s">
        <v>1467</v>
      </c>
      <c r="B519" s="104" t="s">
        <v>1976</v>
      </c>
      <c r="C519" s="104" t="s">
        <v>1465</v>
      </c>
      <c r="D519" s="104" t="s">
        <v>1702</v>
      </c>
      <c r="E519" s="104" t="s">
        <v>1781</v>
      </c>
      <c r="F519" s="104" t="s">
        <v>1908</v>
      </c>
      <c r="G519" s="104" t="s">
        <v>1976</v>
      </c>
      <c r="M519" s="104" t="s">
        <v>2008</v>
      </c>
      <c r="N519" s="104" t="s">
        <v>1975</v>
      </c>
      <c r="O519" s="101">
        <v>45740</v>
      </c>
      <c r="P519" s="101">
        <v>45849</v>
      </c>
      <c r="Q519" s="101">
        <v>45788</v>
      </c>
      <c r="R519" s="101">
        <v>45794</v>
      </c>
      <c r="S519" s="184">
        <v>20</v>
      </c>
      <c r="T519" s="102">
        <v>13</v>
      </c>
      <c r="U519" s="102">
        <v>25</v>
      </c>
      <c r="V519" s="102">
        <v>0</v>
      </c>
      <c r="W519" s="102">
        <v>5</v>
      </c>
      <c r="X519" s="103">
        <v>0</v>
      </c>
      <c r="Y519" s="103">
        <v>0</v>
      </c>
      <c r="Z519" s="103">
        <v>0</v>
      </c>
      <c r="AC519" s="102">
        <v>0</v>
      </c>
    </row>
    <row r="520" spans="1:29">
      <c r="A520" s="104" t="s">
        <v>1467</v>
      </c>
      <c r="B520" s="104" t="s">
        <v>1976</v>
      </c>
      <c r="C520" s="104" t="s">
        <v>1465</v>
      </c>
      <c r="D520" s="104" t="s">
        <v>1702</v>
      </c>
      <c r="E520" s="104" t="s">
        <v>1781</v>
      </c>
      <c r="F520" s="104" t="s">
        <v>1908</v>
      </c>
      <c r="G520" s="104" t="s">
        <v>1976</v>
      </c>
      <c r="M520" s="104" t="s">
        <v>2008</v>
      </c>
      <c r="N520" s="104" t="s">
        <v>1975</v>
      </c>
      <c r="O520" s="101">
        <v>45740</v>
      </c>
      <c r="P520" s="101">
        <v>45849</v>
      </c>
      <c r="Q520" s="101">
        <v>45795</v>
      </c>
      <c r="R520" s="101">
        <v>45801</v>
      </c>
      <c r="S520" s="184">
        <v>21</v>
      </c>
      <c r="T520" s="102">
        <v>14</v>
      </c>
      <c r="U520" s="102">
        <v>25</v>
      </c>
      <c r="V520" s="102">
        <v>0</v>
      </c>
      <c r="W520" s="102">
        <v>5</v>
      </c>
      <c r="X520" s="103">
        <v>0</v>
      </c>
      <c r="Y520" s="103">
        <v>0</v>
      </c>
      <c r="Z520" s="103">
        <v>0</v>
      </c>
      <c r="AC520" s="102">
        <v>0</v>
      </c>
    </row>
    <row r="521" spans="1:29">
      <c r="A521" s="104" t="s">
        <v>1467</v>
      </c>
      <c r="B521" s="104" t="s">
        <v>1976</v>
      </c>
      <c r="C521" s="104" t="s">
        <v>1465</v>
      </c>
      <c r="D521" s="104" t="s">
        <v>1702</v>
      </c>
      <c r="E521" s="104" t="s">
        <v>1781</v>
      </c>
      <c r="F521" s="104" t="s">
        <v>1908</v>
      </c>
      <c r="G521" s="104" t="s">
        <v>1976</v>
      </c>
      <c r="M521" s="104" t="s">
        <v>2008</v>
      </c>
      <c r="N521" s="104" t="s">
        <v>1975</v>
      </c>
      <c r="O521" s="101">
        <v>45740</v>
      </c>
      <c r="P521" s="101">
        <v>45849</v>
      </c>
      <c r="Q521" s="101">
        <v>45802</v>
      </c>
      <c r="R521" s="101">
        <v>45808</v>
      </c>
      <c r="S521" s="184">
        <v>22</v>
      </c>
      <c r="T521" s="102">
        <v>15</v>
      </c>
      <c r="U521" s="102">
        <v>25</v>
      </c>
      <c r="V521" s="102">
        <v>0</v>
      </c>
      <c r="W521" s="102">
        <v>5</v>
      </c>
      <c r="X521" s="103">
        <v>0</v>
      </c>
      <c r="Y521" s="103">
        <v>0</v>
      </c>
      <c r="Z521" s="103">
        <v>0</v>
      </c>
      <c r="AC521" s="102">
        <v>0</v>
      </c>
    </row>
    <row r="522" spans="1:29">
      <c r="A522" s="104" t="s">
        <v>1467</v>
      </c>
      <c r="B522" s="104" t="s">
        <v>1976</v>
      </c>
      <c r="C522" s="104" t="s">
        <v>1465</v>
      </c>
      <c r="D522" s="104" t="s">
        <v>1702</v>
      </c>
      <c r="E522" s="104" t="s">
        <v>1781</v>
      </c>
      <c r="F522" s="104" t="s">
        <v>1908</v>
      </c>
      <c r="G522" s="104" t="s">
        <v>1976</v>
      </c>
      <c r="M522" s="104" t="s">
        <v>2008</v>
      </c>
      <c r="N522" s="104" t="s">
        <v>1975</v>
      </c>
      <c r="O522" s="101">
        <v>45740</v>
      </c>
      <c r="P522" s="101">
        <v>45849</v>
      </c>
      <c r="Q522" s="101">
        <v>45809</v>
      </c>
      <c r="R522" s="101">
        <v>45815</v>
      </c>
      <c r="S522" s="184">
        <v>23</v>
      </c>
      <c r="T522" s="102">
        <v>16</v>
      </c>
      <c r="U522" s="102">
        <v>20</v>
      </c>
      <c r="V522" s="102">
        <v>0</v>
      </c>
      <c r="W522" s="102">
        <v>5</v>
      </c>
      <c r="X522" s="103">
        <v>0</v>
      </c>
      <c r="Y522" s="103">
        <v>0</v>
      </c>
      <c r="Z522" s="103">
        <v>0</v>
      </c>
      <c r="AC522" s="102">
        <v>0</v>
      </c>
    </row>
    <row r="523" spans="1:29">
      <c r="A523" s="104" t="s">
        <v>1467</v>
      </c>
      <c r="B523" s="104" t="s">
        <v>1976</v>
      </c>
      <c r="C523" s="104" t="s">
        <v>1465</v>
      </c>
      <c r="D523" s="104" t="s">
        <v>1702</v>
      </c>
      <c r="E523" s="104" t="s">
        <v>1781</v>
      </c>
      <c r="F523" s="104" t="s">
        <v>1908</v>
      </c>
      <c r="G523" s="104" t="s">
        <v>1976</v>
      </c>
      <c r="M523" s="104" t="s">
        <v>2008</v>
      </c>
      <c r="N523" s="104" t="s">
        <v>1975</v>
      </c>
      <c r="O523" s="101">
        <v>45740</v>
      </c>
      <c r="P523" s="101">
        <v>45849</v>
      </c>
      <c r="Q523" s="101">
        <v>45816</v>
      </c>
      <c r="R523" s="101">
        <v>45822</v>
      </c>
      <c r="S523" s="184">
        <v>24</v>
      </c>
      <c r="T523" s="102">
        <v>17</v>
      </c>
      <c r="U523" s="102">
        <v>25</v>
      </c>
      <c r="V523" s="102">
        <v>0</v>
      </c>
      <c r="W523" s="102">
        <v>5</v>
      </c>
      <c r="X523" s="103">
        <v>0</v>
      </c>
      <c r="Y523" s="103">
        <v>0</v>
      </c>
      <c r="Z523" s="103">
        <v>0</v>
      </c>
      <c r="AC523" s="102">
        <v>0</v>
      </c>
    </row>
    <row r="524" spans="1:29">
      <c r="A524" s="104" t="s">
        <v>1467</v>
      </c>
      <c r="B524" s="104" t="s">
        <v>1976</v>
      </c>
      <c r="C524" s="104" t="s">
        <v>1465</v>
      </c>
      <c r="D524" s="104" t="s">
        <v>1702</v>
      </c>
      <c r="E524" s="104" t="s">
        <v>1781</v>
      </c>
      <c r="F524" s="104" t="s">
        <v>1908</v>
      </c>
      <c r="G524" s="104" t="s">
        <v>1976</v>
      </c>
      <c r="M524" s="104" t="s">
        <v>2008</v>
      </c>
      <c r="N524" s="104" t="s">
        <v>1975</v>
      </c>
      <c r="O524" s="101">
        <v>45740</v>
      </c>
      <c r="P524" s="101">
        <v>45849</v>
      </c>
      <c r="Q524" s="101">
        <v>45823</v>
      </c>
      <c r="R524" s="101">
        <v>45829</v>
      </c>
      <c r="S524" s="184">
        <v>25</v>
      </c>
      <c r="T524" s="102">
        <v>18</v>
      </c>
      <c r="U524" s="102">
        <v>25</v>
      </c>
      <c r="V524" s="102">
        <v>0</v>
      </c>
      <c r="W524" s="102">
        <v>5</v>
      </c>
      <c r="X524" s="103">
        <v>0</v>
      </c>
      <c r="Y524" s="103">
        <v>0</v>
      </c>
      <c r="Z524" s="103">
        <v>0</v>
      </c>
      <c r="AC524" s="102">
        <v>0</v>
      </c>
    </row>
    <row r="525" spans="1:29">
      <c r="A525" s="104" t="s">
        <v>1467</v>
      </c>
      <c r="B525" s="104" t="s">
        <v>1976</v>
      </c>
      <c r="C525" s="104" t="s">
        <v>1465</v>
      </c>
      <c r="D525" s="104" t="s">
        <v>1702</v>
      </c>
      <c r="E525" s="104" t="s">
        <v>1781</v>
      </c>
      <c r="F525" s="104" t="s">
        <v>1908</v>
      </c>
      <c r="G525" s="104" t="s">
        <v>1976</v>
      </c>
      <c r="M525" s="104" t="s">
        <v>2008</v>
      </c>
      <c r="N525" s="104" t="s">
        <v>1975</v>
      </c>
      <c r="O525" s="101">
        <v>45740</v>
      </c>
      <c r="P525" s="101">
        <v>45849</v>
      </c>
      <c r="Q525" s="101">
        <v>45830</v>
      </c>
      <c r="R525" s="101">
        <v>45836</v>
      </c>
      <c r="S525" s="184">
        <v>26</v>
      </c>
      <c r="T525" s="102">
        <v>19</v>
      </c>
      <c r="U525" s="102">
        <v>25</v>
      </c>
      <c r="V525" s="102">
        <v>0</v>
      </c>
      <c r="W525" s="102">
        <v>5</v>
      </c>
      <c r="X525" s="103">
        <v>0</v>
      </c>
      <c r="Y525" s="103">
        <v>0</v>
      </c>
      <c r="Z525" s="103">
        <v>0</v>
      </c>
      <c r="AC525" s="102">
        <v>0</v>
      </c>
    </row>
    <row r="526" spans="1:29">
      <c r="A526" s="104" t="s">
        <v>1467</v>
      </c>
      <c r="B526" s="104" t="s">
        <v>1976</v>
      </c>
      <c r="C526" s="104" t="s">
        <v>1465</v>
      </c>
      <c r="D526" s="104" t="s">
        <v>1702</v>
      </c>
      <c r="E526" s="104" t="s">
        <v>1781</v>
      </c>
      <c r="F526" s="104" t="s">
        <v>1908</v>
      </c>
      <c r="G526" s="104" t="s">
        <v>1976</v>
      </c>
      <c r="M526" s="104" t="s">
        <v>2008</v>
      </c>
      <c r="N526" s="104" t="s">
        <v>1975</v>
      </c>
      <c r="O526" s="101">
        <v>45740</v>
      </c>
      <c r="P526" s="101">
        <v>45849</v>
      </c>
      <c r="Q526" s="101">
        <v>45837</v>
      </c>
      <c r="R526" s="101">
        <v>45843</v>
      </c>
      <c r="S526" s="184">
        <v>27</v>
      </c>
      <c r="T526" s="102">
        <v>20</v>
      </c>
      <c r="U526" s="102">
        <v>25</v>
      </c>
      <c r="V526" s="102">
        <v>0</v>
      </c>
      <c r="W526" s="102">
        <v>5</v>
      </c>
      <c r="X526" s="103">
        <v>0</v>
      </c>
      <c r="Y526" s="103">
        <v>0</v>
      </c>
      <c r="Z526" s="103">
        <v>0</v>
      </c>
      <c r="AC526" s="102">
        <v>0</v>
      </c>
    </row>
    <row r="527" spans="1:29">
      <c r="A527" s="104" t="s">
        <v>1467</v>
      </c>
      <c r="B527" s="104" t="s">
        <v>1976</v>
      </c>
      <c r="C527" s="104" t="s">
        <v>1465</v>
      </c>
      <c r="D527" s="104" t="s">
        <v>1702</v>
      </c>
      <c r="E527" s="104" t="s">
        <v>1781</v>
      </c>
      <c r="F527" s="104" t="s">
        <v>1908</v>
      </c>
      <c r="G527" s="104" t="s">
        <v>1976</v>
      </c>
      <c r="M527" s="104" t="s">
        <v>2008</v>
      </c>
      <c r="N527" s="104" t="s">
        <v>1975</v>
      </c>
      <c r="O527" s="101">
        <v>45740</v>
      </c>
      <c r="P527" s="101">
        <v>45849</v>
      </c>
      <c r="Q527" s="101">
        <v>45844</v>
      </c>
      <c r="R527" s="101">
        <v>45850</v>
      </c>
      <c r="S527" s="184">
        <v>28</v>
      </c>
      <c r="T527" s="102">
        <v>21</v>
      </c>
      <c r="U527" s="102">
        <v>25</v>
      </c>
      <c r="V527" s="102">
        <v>0</v>
      </c>
      <c r="W527" s="102">
        <v>5</v>
      </c>
      <c r="X527" s="103">
        <v>0</v>
      </c>
      <c r="Y527" s="103">
        <v>0</v>
      </c>
      <c r="Z527" s="103">
        <v>0</v>
      </c>
      <c r="AC527" s="102">
        <v>0</v>
      </c>
    </row>
    <row r="528" spans="1:29">
      <c r="A528" s="104" t="s">
        <v>1467</v>
      </c>
      <c r="B528" s="104" t="s">
        <v>1977</v>
      </c>
      <c r="C528" s="104" t="s">
        <v>1465</v>
      </c>
      <c r="D528" s="104" t="s">
        <v>1702</v>
      </c>
      <c r="E528" s="104" t="s">
        <v>1781</v>
      </c>
      <c r="F528" s="104" t="s">
        <v>1909</v>
      </c>
      <c r="G528" s="104" t="s">
        <v>1977</v>
      </c>
      <c r="M528" s="104" t="s">
        <v>1590</v>
      </c>
      <c r="N528" s="104" t="s">
        <v>1843</v>
      </c>
      <c r="O528" s="101">
        <v>45824</v>
      </c>
      <c r="P528" s="101">
        <v>45856</v>
      </c>
      <c r="Q528" s="101">
        <v>45823</v>
      </c>
      <c r="R528" s="101">
        <v>45829</v>
      </c>
      <c r="S528" s="184">
        <v>25</v>
      </c>
      <c r="T528" s="102">
        <v>18</v>
      </c>
      <c r="U528" s="102">
        <v>5</v>
      </c>
      <c r="V528" s="102">
        <v>0</v>
      </c>
      <c r="W528" s="102">
        <v>1</v>
      </c>
      <c r="X528" s="103">
        <v>0</v>
      </c>
      <c r="Y528" s="103">
        <v>0</v>
      </c>
      <c r="Z528" s="103">
        <v>0</v>
      </c>
      <c r="AC528" s="102">
        <v>0</v>
      </c>
    </row>
    <row r="529" spans="1:29">
      <c r="A529" s="104" t="s">
        <v>1467</v>
      </c>
      <c r="B529" s="104" t="s">
        <v>1977</v>
      </c>
      <c r="C529" s="104" t="s">
        <v>1465</v>
      </c>
      <c r="D529" s="104" t="s">
        <v>1702</v>
      </c>
      <c r="E529" s="104" t="s">
        <v>1781</v>
      </c>
      <c r="F529" s="104" t="s">
        <v>1909</v>
      </c>
      <c r="G529" s="104" t="s">
        <v>1977</v>
      </c>
      <c r="M529" s="104" t="s">
        <v>1590</v>
      </c>
      <c r="N529" s="104" t="s">
        <v>1843</v>
      </c>
      <c r="O529" s="101">
        <v>45824</v>
      </c>
      <c r="P529" s="101">
        <v>45856</v>
      </c>
      <c r="Q529" s="101">
        <v>45830</v>
      </c>
      <c r="R529" s="101">
        <v>45836</v>
      </c>
      <c r="S529" s="184">
        <v>26</v>
      </c>
      <c r="T529" s="102">
        <v>19</v>
      </c>
      <c r="U529" s="102">
        <v>5</v>
      </c>
      <c r="V529" s="102">
        <v>0</v>
      </c>
      <c r="W529" s="102">
        <v>1</v>
      </c>
      <c r="X529" s="103">
        <v>0</v>
      </c>
      <c r="Y529" s="103">
        <v>0</v>
      </c>
      <c r="Z529" s="103">
        <v>0</v>
      </c>
      <c r="AC529" s="102">
        <v>0</v>
      </c>
    </row>
    <row r="530" spans="1:29">
      <c r="A530" s="104" t="s">
        <v>1467</v>
      </c>
      <c r="B530" s="104" t="s">
        <v>1977</v>
      </c>
      <c r="C530" s="104" t="s">
        <v>1465</v>
      </c>
      <c r="D530" s="104" t="s">
        <v>1702</v>
      </c>
      <c r="E530" s="104" t="s">
        <v>1781</v>
      </c>
      <c r="F530" s="104" t="s">
        <v>1909</v>
      </c>
      <c r="G530" s="104" t="s">
        <v>1977</v>
      </c>
      <c r="M530" s="104" t="s">
        <v>1590</v>
      </c>
      <c r="N530" s="104" t="s">
        <v>1843</v>
      </c>
      <c r="O530" s="101">
        <v>45824</v>
      </c>
      <c r="P530" s="101">
        <v>45856</v>
      </c>
      <c r="Q530" s="101">
        <v>45837</v>
      </c>
      <c r="R530" s="101">
        <v>45843</v>
      </c>
      <c r="S530" s="184">
        <v>27</v>
      </c>
      <c r="T530" s="102">
        <v>20</v>
      </c>
      <c r="U530" s="102">
        <v>5</v>
      </c>
      <c r="V530" s="102">
        <v>0</v>
      </c>
      <c r="W530" s="102">
        <v>1</v>
      </c>
      <c r="X530" s="103">
        <v>0</v>
      </c>
      <c r="Y530" s="103">
        <v>0</v>
      </c>
      <c r="Z530" s="103">
        <v>0</v>
      </c>
      <c r="AC530" s="102">
        <v>0</v>
      </c>
    </row>
    <row r="531" spans="1:29">
      <c r="A531" s="104" t="s">
        <v>1467</v>
      </c>
      <c r="B531" s="104" t="s">
        <v>1977</v>
      </c>
      <c r="C531" s="104" t="s">
        <v>1465</v>
      </c>
      <c r="D531" s="104" t="s">
        <v>1702</v>
      </c>
      <c r="E531" s="104" t="s">
        <v>1781</v>
      </c>
      <c r="F531" s="104" t="s">
        <v>1909</v>
      </c>
      <c r="G531" s="104" t="s">
        <v>1977</v>
      </c>
      <c r="M531" s="104" t="s">
        <v>1590</v>
      </c>
      <c r="N531" s="104" t="s">
        <v>1843</v>
      </c>
      <c r="O531" s="101">
        <v>45824</v>
      </c>
      <c r="P531" s="101">
        <v>45856</v>
      </c>
      <c r="Q531" s="101">
        <v>45844</v>
      </c>
      <c r="R531" s="101">
        <v>45850</v>
      </c>
      <c r="S531" s="184">
        <v>28</v>
      </c>
      <c r="T531" s="102">
        <v>21</v>
      </c>
      <c r="U531" s="102">
        <v>5</v>
      </c>
      <c r="V531" s="102">
        <v>0</v>
      </c>
      <c r="W531" s="102">
        <v>1</v>
      </c>
      <c r="X531" s="103">
        <v>0</v>
      </c>
      <c r="Y531" s="103">
        <v>0</v>
      </c>
      <c r="Z531" s="103">
        <v>0</v>
      </c>
      <c r="AC531" s="102">
        <v>0</v>
      </c>
    </row>
    <row r="532" spans="1:29">
      <c r="A532" s="104" t="s">
        <v>1467</v>
      </c>
      <c r="B532" s="104" t="s">
        <v>1977</v>
      </c>
      <c r="C532" s="104" t="s">
        <v>1465</v>
      </c>
      <c r="D532" s="104" t="s">
        <v>1702</v>
      </c>
      <c r="E532" s="104" t="s">
        <v>1781</v>
      </c>
      <c r="F532" s="104" t="s">
        <v>1909</v>
      </c>
      <c r="G532" s="104" t="s">
        <v>1977</v>
      </c>
      <c r="M532" s="104" t="s">
        <v>1590</v>
      </c>
      <c r="N532" s="104" t="s">
        <v>1843</v>
      </c>
      <c r="O532" s="101">
        <v>45824</v>
      </c>
      <c r="P532" s="101">
        <v>45856</v>
      </c>
      <c r="Q532" s="101">
        <v>45851</v>
      </c>
      <c r="R532" s="101">
        <v>45857</v>
      </c>
      <c r="S532" s="184">
        <v>29</v>
      </c>
      <c r="T532" s="102">
        <v>22</v>
      </c>
      <c r="U532" s="102">
        <v>5</v>
      </c>
      <c r="V532" s="102">
        <v>0</v>
      </c>
      <c r="W532" s="102">
        <v>1</v>
      </c>
      <c r="X532" s="103">
        <v>0</v>
      </c>
      <c r="Y532" s="103">
        <v>0</v>
      </c>
      <c r="Z532" s="103">
        <v>0</v>
      </c>
      <c r="AC532" s="102">
        <v>0</v>
      </c>
    </row>
    <row r="533" spans="1:29">
      <c r="A533" s="104" t="s">
        <v>1467</v>
      </c>
      <c r="B533" s="104" t="s">
        <v>1978</v>
      </c>
      <c r="C533" s="104" t="s">
        <v>1465</v>
      </c>
      <c r="D533" s="104" t="s">
        <v>1702</v>
      </c>
      <c r="E533" s="104" t="s">
        <v>1781</v>
      </c>
      <c r="F533" s="104" t="s">
        <v>1909</v>
      </c>
      <c r="G533" s="104" t="s">
        <v>1978</v>
      </c>
      <c r="M533" s="104" t="s">
        <v>1591</v>
      </c>
      <c r="N533" s="104" t="s">
        <v>1843</v>
      </c>
      <c r="O533" s="101">
        <v>45887</v>
      </c>
      <c r="P533" s="101">
        <v>45898</v>
      </c>
      <c r="Q533" s="101">
        <v>45886</v>
      </c>
      <c r="R533" s="101">
        <v>45892</v>
      </c>
      <c r="S533" s="184">
        <v>34</v>
      </c>
      <c r="T533" s="102">
        <v>27</v>
      </c>
      <c r="U533" s="102">
        <v>5</v>
      </c>
      <c r="V533" s="102">
        <v>0</v>
      </c>
      <c r="W533" s="102">
        <v>1</v>
      </c>
      <c r="X533" s="103">
        <v>0</v>
      </c>
      <c r="Y533" s="103">
        <v>0</v>
      </c>
      <c r="Z533" s="103">
        <v>0</v>
      </c>
      <c r="AC533" s="102">
        <v>0</v>
      </c>
    </row>
    <row r="534" spans="1:29">
      <c r="A534" s="104" t="s">
        <v>1467</v>
      </c>
      <c r="B534" s="104" t="s">
        <v>1978</v>
      </c>
      <c r="C534" s="104" t="s">
        <v>1465</v>
      </c>
      <c r="D534" s="104" t="s">
        <v>1702</v>
      </c>
      <c r="E534" s="104" t="s">
        <v>1781</v>
      </c>
      <c r="F534" s="104" t="s">
        <v>1909</v>
      </c>
      <c r="G534" s="104" t="s">
        <v>1978</v>
      </c>
      <c r="M534" s="104" t="s">
        <v>1591</v>
      </c>
      <c r="N534" s="104" t="s">
        <v>1843</v>
      </c>
      <c r="O534" s="101">
        <v>45887</v>
      </c>
      <c r="P534" s="101">
        <v>45898</v>
      </c>
      <c r="Q534" s="101">
        <v>45893</v>
      </c>
      <c r="R534" s="101">
        <v>45899</v>
      </c>
      <c r="S534" s="184">
        <v>35</v>
      </c>
      <c r="T534" s="102">
        <v>28</v>
      </c>
      <c r="U534" s="102">
        <v>5</v>
      </c>
      <c r="V534" s="102">
        <v>0</v>
      </c>
      <c r="W534" s="102">
        <v>1</v>
      </c>
      <c r="X534" s="103">
        <v>0</v>
      </c>
      <c r="Y534" s="103">
        <v>0</v>
      </c>
      <c r="Z534" s="103">
        <v>0</v>
      </c>
      <c r="AC534" s="102">
        <v>0</v>
      </c>
    </row>
    <row r="535" spans="1:29">
      <c r="A535" s="104" t="s">
        <v>1466</v>
      </c>
      <c r="B535" s="104" t="s">
        <v>1910</v>
      </c>
      <c r="C535" s="104" t="s">
        <v>1465</v>
      </c>
      <c r="D535" s="104" t="s">
        <v>1705</v>
      </c>
      <c r="E535" s="104" t="s">
        <v>1706</v>
      </c>
      <c r="F535" s="104" t="s">
        <v>1910</v>
      </c>
      <c r="M535" s="104" t="s">
        <v>1979</v>
      </c>
      <c r="N535" s="104" t="s">
        <v>1980</v>
      </c>
      <c r="O535" s="101">
        <v>45705</v>
      </c>
      <c r="P535" s="101">
        <v>45730</v>
      </c>
      <c r="Q535" s="101">
        <v>45705</v>
      </c>
      <c r="R535" s="101">
        <v>45710</v>
      </c>
      <c r="S535" s="184">
        <v>8</v>
      </c>
      <c r="T535" s="102">
        <v>1</v>
      </c>
      <c r="U535" s="102">
        <v>2.5</v>
      </c>
      <c r="V535" s="102">
        <v>2.5</v>
      </c>
      <c r="W535" s="102">
        <v>0.5</v>
      </c>
      <c r="X535" s="103">
        <v>0</v>
      </c>
      <c r="Y535" s="103">
        <v>1</v>
      </c>
      <c r="Z535" s="103">
        <v>1</v>
      </c>
      <c r="AC535" s="102">
        <v>2.5</v>
      </c>
    </row>
    <row r="536" spans="1:29">
      <c r="A536" s="104" t="s">
        <v>1466</v>
      </c>
      <c r="B536" s="104" t="s">
        <v>1910</v>
      </c>
      <c r="C536" s="104" t="s">
        <v>1465</v>
      </c>
      <c r="D536" s="104" t="s">
        <v>1705</v>
      </c>
      <c r="E536" s="104" t="s">
        <v>1706</v>
      </c>
      <c r="F536" s="104" t="s">
        <v>1910</v>
      </c>
      <c r="M536" s="104" t="s">
        <v>1979</v>
      </c>
      <c r="N536" s="104" t="s">
        <v>1980</v>
      </c>
      <c r="O536" s="101">
        <v>45705</v>
      </c>
      <c r="P536" s="101">
        <v>45730</v>
      </c>
      <c r="Q536" s="101">
        <v>45711</v>
      </c>
      <c r="R536" s="101">
        <v>45717</v>
      </c>
      <c r="S536" s="184">
        <v>9</v>
      </c>
      <c r="T536" s="102">
        <v>2</v>
      </c>
      <c r="U536" s="102">
        <v>2.5</v>
      </c>
      <c r="V536" s="102">
        <v>2.5</v>
      </c>
      <c r="W536" s="102">
        <v>0.5</v>
      </c>
      <c r="X536" s="103">
        <v>0</v>
      </c>
      <c r="Y536" s="103">
        <v>1</v>
      </c>
      <c r="Z536" s="103">
        <v>1</v>
      </c>
      <c r="AC536" s="102">
        <v>2.5</v>
      </c>
    </row>
    <row r="537" spans="1:29">
      <c r="A537" s="104" t="s">
        <v>1466</v>
      </c>
      <c r="B537" s="104" t="s">
        <v>1910</v>
      </c>
      <c r="C537" s="104" t="s">
        <v>1465</v>
      </c>
      <c r="D537" s="104" t="s">
        <v>1705</v>
      </c>
      <c r="E537" s="104" t="s">
        <v>1706</v>
      </c>
      <c r="F537" s="104" t="s">
        <v>1910</v>
      </c>
      <c r="M537" s="104" t="s">
        <v>1979</v>
      </c>
      <c r="N537" s="104" t="s">
        <v>1980</v>
      </c>
      <c r="O537" s="101">
        <v>45705</v>
      </c>
      <c r="P537" s="101">
        <v>45730</v>
      </c>
      <c r="Q537" s="101">
        <v>45718</v>
      </c>
      <c r="R537" s="101">
        <v>45724</v>
      </c>
      <c r="S537" s="184">
        <v>10</v>
      </c>
      <c r="T537" s="102">
        <v>3</v>
      </c>
      <c r="U537" s="102">
        <v>2</v>
      </c>
      <c r="V537" s="102">
        <v>2</v>
      </c>
      <c r="W537" s="102">
        <v>0.5</v>
      </c>
      <c r="X537" s="103">
        <v>0</v>
      </c>
      <c r="Y537" s="103">
        <v>1</v>
      </c>
      <c r="Z537" s="103">
        <v>1</v>
      </c>
      <c r="AC537" s="102">
        <v>2</v>
      </c>
    </row>
    <row r="538" spans="1:29">
      <c r="A538" s="104" t="s">
        <v>1466</v>
      </c>
      <c r="B538" s="104" t="s">
        <v>1910</v>
      </c>
      <c r="C538" s="104" t="s">
        <v>1465</v>
      </c>
      <c r="D538" s="104" t="s">
        <v>1705</v>
      </c>
      <c r="E538" s="104" t="s">
        <v>1706</v>
      </c>
      <c r="F538" s="104" t="s">
        <v>1910</v>
      </c>
      <c r="M538" s="104" t="s">
        <v>1979</v>
      </c>
      <c r="N538" s="104" t="s">
        <v>1980</v>
      </c>
      <c r="O538" s="101">
        <v>45705</v>
      </c>
      <c r="P538" s="101">
        <v>45730</v>
      </c>
      <c r="Q538" s="101">
        <v>45725</v>
      </c>
      <c r="R538" s="101">
        <v>45731</v>
      </c>
      <c r="S538" s="184">
        <v>11</v>
      </c>
      <c r="T538" s="102">
        <v>4</v>
      </c>
      <c r="U538" s="102">
        <v>2.5</v>
      </c>
      <c r="V538" s="102">
        <v>2.5</v>
      </c>
      <c r="W538" s="102">
        <v>0.5</v>
      </c>
      <c r="X538" s="103">
        <v>0</v>
      </c>
      <c r="Y538" s="103">
        <v>1</v>
      </c>
      <c r="Z538" s="103">
        <v>1</v>
      </c>
      <c r="AC538" s="102">
        <v>2.5</v>
      </c>
    </row>
    <row r="539" spans="1:29">
      <c r="A539" s="104" t="s">
        <v>1466</v>
      </c>
      <c r="B539" s="104" t="s">
        <v>1911</v>
      </c>
      <c r="C539" s="104" t="s">
        <v>1465</v>
      </c>
      <c r="D539" s="104" t="s">
        <v>1705</v>
      </c>
      <c r="E539" s="104" t="s">
        <v>1706</v>
      </c>
      <c r="F539" s="104" t="s">
        <v>1911</v>
      </c>
      <c r="M539" s="104" t="s">
        <v>1981</v>
      </c>
      <c r="N539" s="104" t="s">
        <v>1980</v>
      </c>
      <c r="O539" s="101">
        <v>45705</v>
      </c>
      <c r="P539" s="101">
        <v>45730</v>
      </c>
      <c r="Q539" s="101">
        <v>45705</v>
      </c>
      <c r="R539" s="101">
        <v>45710</v>
      </c>
      <c r="S539" s="184">
        <v>8</v>
      </c>
      <c r="T539" s="102">
        <v>1</v>
      </c>
      <c r="U539" s="102">
        <v>5</v>
      </c>
      <c r="V539" s="102">
        <v>5</v>
      </c>
      <c r="W539" s="102">
        <v>1</v>
      </c>
      <c r="X539" s="103">
        <v>0</v>
      </c>
      <c r="Y539" s="103">
        <v>1</v>
      </c>
      <c r="Z539" s="103">
        <v>0.8</v>
      </c>
      <c r="AC539" s="102">
        <v>5</v>
      </c>
    </row>
    <row r="540" spans="1:29">
      <c r="A540" s="104" t="s">
        <v>1466</v>
      </c>
      <c r="B540" s="104" t="s">
        <v>1911</v>
      </c>
      <c r="C540" s="104" t="s">
        <v>1465</v>
      </c>
      <c r="D540" s="104" t="s">
        <v>1705</v>
      </c>
      <c r="E540" s="104" t="s">
        <v>1706</v>
      </c>
      <c r="F540" s="104" t="s">
        <v>1911</v>
      </c>
      <c r="M540" s="104" t="s">
        <v>1981</v>
      </c>
      <c r="N540" s="104" t="s">
        <v>1980</v>
      </c>
      <c r="O540" s="101">
        <v>45705</v>
      </c>
      <c r="P540" s="101">
        <v>45730</v>
      </c>
      <c r="Q540" s="101">
        <v>45711</v>
      </c>
      <c r="R540" s="101">
        <v>45717</v>
      </c>
      <c r="S540" s="184">
        <v>9</v>
      </c>
      <c r="T540" s="102">
        <v>2</v>
      </c>
      <c r="U540" s="102">
        <v>5</v>
      </c>
      <c r="V540" s="102">
        <v>5</v>
      </c>
      <c r="W540" s="102">
        <v>1</v>
      </c>
      <c r="X540" s="103">
        <v>0</v>
      </c>
      <c r="Y540" s="103">
        <v>1</v>
      </c>
      <c r="Z540" s="103">
        <v>0.8</v>
      </c>
      <c r="AC540" s="102">
        <v>5</v>
      </c>
    </row>
    <row r="541" spans="1:29">
      <c r="A541" s="104" t="s">
        <v>1466</v>
      </c>
      <c r="B541" s="104" t="s">
        <v>1911</v>
      </c>
      <c r="C541" s="104" t="s">
        <v>1465</v>
      </c>
      <c r="D541" s="104" t="s">
        <v>1705</v>
      </c>
      <c r="E541" s="104" t="s">
        <v>1706</v>
      </c>
      <c r="F541" s="104" t="s">
        <v>1911</v>
      </c>
      <c r="M541" s="104" t="s">
        <v>1981</v>
      </c>
      <c r="N541" s="104" t="s">
        <v>1980</v>
      </c>
      <c r="O541" s="101">
        <v>45705</v>
      </c>
      <c r="P541" s="101">
        <v>45730</v>
      </c>
      <c r="Q541" s="101">
        <v>45718</v>
      </c>
      <c r="R541" s="101">
        <v>45724</v>
      </c>
      <c r="S541" s="184">
        <v>10</v>
      </c>
      <c r="T541" s="102">
        <v>3</v>
      </c>
      <c r="U541" s="102">
        <v>4</v>
      </c>
      <c r="V541" s="102">
        <v>4</v>
      </c>
      <c r="W541" s="102">
        <v>1</v>
      </c>
      <c r="X541" s="103">
        <v>0</v>
      </c>
      <c r="Y541" s="103">
        <v>1</v>
      </c>
      <c r="Z541" s="103">
        <v>0.8</v>
      </c>
      <c r="AC541" s="102">
        <v>4</v>
      </c>
    </row>
    <row r="542" spans="1:29">
      <c r="A542" s="104" t="s">
        <v>1466</v>
      </c>
      <c r="B542" s="104" t="s">
        <v>1911</v>
      </c>
      <c r="C542" s="104" t="s">
        <v>1465</v>
      </c>
      <c r="D542" s="104" t="s">
        <v>1705</v>
      </c>
      <c r="E542" s="104" t="s">
        <v>1706</v>
      </c>
      <c r="F542" s="104" t="s">
        <v>1911</v>
      </c>
      <c r="M542" s="104" t="s">
        <v>1981</v>
      </c>
      <c r="N542" s="104" t="s">
        <v>1980</v>
      </c>
      <c r="O542" s="101">
        <v>45705</v>
      </c>
      <c r="P542" s="101">
        <v>45730</v>
      </c>
      <c r="Q542" s="101">
        <v>45725</v>
      </c>
      <c r="R542" s="101">
        <v>45731</v>
      </c>
      <c r="S542" s="184">
        <v>11</v>
      </c>
      <c r="T542" s="102">
        <v>4</v>
      </c>
      <c r="U542" s="102">
        <v>5</v>
      </c>
      <c r="V542" s="102">
        <v>5</v>
      </c>
      <c r="W542" s="102">
        <v>1</v>
      </c>
      <c r="X542" s="103">
        <v>0</v>
      </c>
      <c r="Y542" s="103">
        <v>1</v>
      </c>
      <c r="Z542" s="103">
        <v>0.8</v>
      </c>
      <c r="AC542" s="102">
        <v>1.2000000000000011</v>
      </c>
    </row>
    <row r="543" spans="1:29">
      <c r="A543" s="104" t="s">
        <v>1466</v>
      </c>
      <c r="B543" s="104" t="s">
        <v>1912</v>
      </c>
      <c r="C543" s="104" t="s">
        <v>1465</v>
      </c>
      <c r="D543" s="104" t="s">
        <v>1705</v>
      </c>
      <c r="E543" s="104" t="s">
        <v>1706</v>
      </c>
      <c r="F543" s="104" t="s">
        <v>1912</v>
      </c>
      <c r="M543" s="104" t="s">
        <v>1832</v>
      </c>
      <c r="N543" s="104" t="s">
        <v>1980</v>
      </c>
      <c r="O543" s="101">
        <v>45705</v>
      </c>
      <c r="P543" s="101">
        <v>45737</v>
      </c>
      <c r="Q543" s="101">
        <v>45705</v>
      </c>
      <c r="R543" s="101">
        <v>45710</v>
      </c>
      <c r="S543" s="184">
        <v>8</v>
      </c>
      <c r="T543" s="102">
        <v>1</v>
      </c>
      <c r="U543" s="102">
        <v>5</v>
      </c>
      <c r="V543" s="102">
        <v>5</v>
      </c>
      <c r="W543" s="102">
        <v>1</v>
      </c>
      <c r="X543" s="103">
        <v>0</v>
      </c>
      <c r="Y543" s="103">
        <v>0.79166666666666663</v>
      </c>
      <c r="Z543" s="103">
        <v>0.8</v>
      </c>
      <c r="AC543" s="102">
        <v>5</v>
      </c>
    </row>
    <row r="544" spans="1:29">
      <c r="A544" s="104" t="s">
        <v>1466</v>
      </c>
      <c r="B544" s="104" t="s">
        <v>1912</v>
      </c>
      <c r="C544" s="104" t="s">
        <v>1465</v>
      </c>
      <c r="D544" s="104" t="s">
        <v>1705</v>
      </c>
      <c r="E544" s="104" t="s">
        <v>1706</v>
      </c>
      <c r="F544" s="104" t="s">
        <v>1912</v>
      </c>
      <c r="M544" s="104" t="s">
        <v>1832</v>
      </c>
      <c r="N544" s="104" t="s">
        <v>1980</v>
      </c>
      <c r="O544" s="101">
        <v>45705</v>
      </c>
      <c r="P544" s="101">
        <v>45737</v>
      </c>
      <c r="Q544" s="101">
        <v>45711</v>
      </c>
      <c r="R544" s="101">
        <v>45717</v>
      </c>
      <c r="S544" s="184">
        <v>9</v>
      </c>
      <c r="T544" s="102">
        <v>2</v>
      </c>
      <c r="U544" s="102">
        <v>5</v>
      </c>
      <c r="V544" s="102">
        <v>5</v>
      </c>
      <c r="W544" s="102">
        <v>1</v>
      </c>
      <c r="X544" s="103">
        <v>0</v>
      </c>
      <c r="Y544" s="103">
        <v>0.79166666666666663</v>
      </c>
      <c r="Z544" s="103">
        <v>0.8</v>
      </c>
      <c r="AC544" s="102">
        <v>5</v>
      </c>
    </row>
    <row r="545" spans="1:29">
      <c r="A545" s="104" t="s">
        <v>1466</v>
      </c>
      <c r="B545" s="104" t="s">
        <v>1912</v>
      </c>
      <c r="C545" s="104" t="s">
        <v>1465</v>
      </c>
      <c r="D545" s="104" t="s">
        <v>1705</v>
      </c>
      <c r="E545" s="104" t="s">
        <v>1706</v>
      </c>
      <c r="F545" s="104" t="s">
        <v>1912</v>
      </c>
      <c r="M545" s="104" t="s">
        <v>1832</v>
      </c>
      <c r="N545" s="104" t="s">
        <v>1980</v>
      </c>
      <c r="O545" s="101">
        <v>45705</v>
      </c>
      <c r="P545" s="101">
        <v>45737</v>
      </c>
      <c r="Q545" s="101">
        <v>45718</v>
      </c>
      <c r="R545" s="101">
        <v>45724</v>
      </c>
      <c r="S545" s="184">
        <v>10</v>
      </c>
      <c r="T545" s="102">
        <v>3</v>
      </c>
      <c r="U545" s="102">
        <v>4</v>
      </c>
      <c r="V545" s="102">
        <v>4</v>
      </c>
      <c r="W545" s="102">
        <v>1</v>
      </c>
      <c r="X545" s="103">
        <v>0</v>
      </c>
      <c r="Y545" s="103">
        <v>0.79166666666666663</v>
      </c>
      <c r="Z545" s="103">
        <v>0.8</v>
      </c>
      <c r="AC545" s="102">
        <v>4</v>
      </c>
    </row>
    <row r="546" spans="1:29">
      <c r="A546" s="104" t="s">
        <v>1466</v>
      </c>
      <c r="B546" s="104" t="s">
        <v>1912</v>
      </c>
      <c r="C546" s="104" t="s">
        <v>1465</v>
      </c>
      <c r="D546" s="104" t="s">
        <v>1705</v>
      </c>
      <c r="E546" s="104" t="s">
        <v>1706</v>
      </c>
      <c r="F546" s="104" t="s">
        <v>1912</v>
      </c>
      <c r="M546" s="104" t="s">
        <v>1832</v>
      </c>
      <c r="N546" s="104" t="s">
        <v>1980</v>
      </c>
      <c r="O546" s="101">
        <v>45705</v>
      </c>
      <c r="P546" s="101">
        <v>45737</v>
      </c>
      <c r="Q546" s="101">
        <v>45725</v>
      </c>
      <c r="R546" s="101">
        <v>45731</v>
      </c>
      <c r="S546" s="184">
        <v>11</v>
      </c>
      <c r="T546" s="102">
        <v>4</v>
      </c>
      <c r="U546" s="102">
        <v>5</v>
      </c>
      <c r="V546" s="102">
        <v>5</v>
      </c>
      <c r="W546" s="102">
        <v>1</v>
      </c>
      <c r="X546" s="103">
        <v>0</v>
      </c>
      <c r="Y546" s="103">
        <v>0.79166666666666663</v>
      </c>
      <c r="Z546" s="103">
        <v>0.8</v>
      </c>
      <c r="AC546" s="102">
        <v>5</v>
      </c>
    </row>
    <row r="547" spans="1:29">
      <c r="A547" s="104" t="s">
        <v>1466</v>
      </c>
      <c r="B547" s="104" t="s">
        <v>1912</v>
      </c>
      <c r="C547" s="104" t="s">
        <v>1465</v>
      </c>
      <c r="D547" s="104" t="s">
        <v>1705</v>
      </c>
      <c r="E547" s="104" t="s">
        <v>1706</v>
      </c>
      <c r="F547" s="104" t="s">
        <v>1912</v>
      </c>
      <c r="M547" s="104" t="s">
        <v>1832</v>
      </c>
      <c r="N547" s="104" t="s">
        <v>1980</v>
      </c>
      <c r="O547" s="101">
        <v>45705</v>
      </c>
      <c r="P547" s="101">
        <v>45737</v>
      </c>
      <c r="Q547" s="101">
        <v>45732</v>
      </c>
      <c r="R547" s="101">
        <v>45738</v>
      </c>
      <c r="S547" s="184">
        <v>12</v>
      </c>
      <c r="T547" s="102">
        <v>5</v>
      </c>
      <c r="U547" s="102">
        <v>5</v>
      </c>
      <c r="V547" s="102">
        <v>0</v>
      </c>
      <c r="W547" s="102">
        <v>1</v>
      </c>
      <c r="X547" s="103">
        <v>0</v>
      </c>
      <c r="Y547" s="103">
        <v>0.79166666666666663</v>
      </c>
      <c r="Z547" s="103">
        <v>0.8</v>
      </c>
      <c r="AC547" s="102">
        <v>0.20000000000000284</v>
      </c>
    </row>
    <row r="548" spans="1:29">
      <c r="A548" s="104" t="s">
        <v>1466</v>
      </c>
      <c r="B548" s="104" t="s">
        <v>1913</v>
      </c>
      <c r="C548" s="104" t="s">
        <v>1465</v>
      </c>
      <c r="D548" s="104" t="s">
        <v>1705</v>
      </c>
      <c r="E548" s="104" t="s">
        <v>1706</v>
      </c>
      <c r="F548" s="104" t="s">
        <v>1913</v>
      </c>
      <c r="M548" s="104" t="s">
        <v>1772</v>
      </c>
      <c r="N548" s="104" t="s">
        <v>1728</v>
      </c>
      <c r="O548" s="101">
        <v>45757</v>
      </c>
      <c r="P548" s="101">
        <v>45762</v>
      </c>
      <c r="Q548" s="101">
        <v>45753</v>
      </c>
      <c r="R548" s="101">
        <v>45759</v>
      </c>
      <c r="S548" s="184">
        <v>15</v>
      </c>
      <c r="T548" s="102">
        <v>8</v>
      </c>
      <c r="U548" s="102">
        <v>2</v>
      </c>
      <c r="V548" s="102">
        <v>0</v>
      </c>
      <c r="W548" s="102">
        <v>1</v>
      </c>
      <c r="X548" s="103">
        <v>0</v>
      </c>
      <c r="Y548" s="103">
        <v>0</v>
      </c>
      <c r="Z548" s="103">
        <v>0</v>
      </c>
      <c r="AC548" s="102">
        <v>0</v>
      </c>
    </row>
    <row r="549" spans="1:29">
      <c r="A549" s="104" t="s">
        <v>1466</v>
      </c>
      <c r="B549" s="104" t="s">
        <v>1913</v>
      </c>
      <c r="C549" s="104" t="s">
        <v>1465</v>
      </c>
      <c r="D549" s="104" t="s">
        <v>1705</v>
      </c>
      <c r="E549" s="104" t="s">
        <v>1706</v>
      </c>
      <c r="F549" s="104" t="s">
        <v>1913</v>
      </c>
      <c r="M549" s="104" t="s">
        <v>1772</v>
      </c>
      <c r="N549" s="104" t="s">
        <v>1728</v>
      </c>
      <c r="O549" s="101">
        <v>45757</v>
      </c>
      <c r="P549" s="101">
        <v>45762</v>
      </c>
      <c r="Q549" s="101">
        <v>45760</v>
      </c>
      <c r="R549" s="101">
        <v>45766</v>
      </c>
      <c r="S549" s="184">
        <v>16</v>
      </c>
      <c r="T549" s="102">
        <v>9</v>
      </c>
      <c r="U549" s="102">
        <v>2</v>
      </c>
      <c r="V549" s="102">
        <v>0</v>
      </c>
      <c r="W549" s="102">
        <v>1</v>
      </c>
      <c r="X549" s="103">
        <v>0</v>
      </c>
      <c r="Y549" s="103">
        <v>0</v>
      </c>
      <c r="Z549" s="103">
        <v>0</v>
      </c>
      <c r="AC549" s="102">
        <v>0</v>
      </c>
    </row>
    <row r="550" spans="1:29">
      <c r="A550" s="104" t="s">
        <v>1466</v>
      </c>
      <c r="B550" s="104" t="s">
        <v>1914</v>
      </c>
      <c r="C550" s="104" t="s">
        <v>1465</v>
      </c>
      <c r="D550" s="104" t="s">
        <v>1705</v>
      </c>
      <c r="E550" s="104" t="s">
        <v>1706</v>
      </c>
      <c r="F550" s="104" t="s">
        <v>1914</v>
      </c>
      <c r="M550" s="104" t="s">
        <v>1587</v>
      </c>
      <c r="N550" s="104" t="s">
        <v>1728</v>
      </c>
      <c r="O550" s="101">
        <v>45761</v>
      </c>
      <c r="P550" s="101">
        <v>45777</v>
      </c>
      <c r="Q550" s="101">
        <v>45760</v>
      </c>
      <c r="R550" s="101">
        <v>45766</v>
      </c>
      <c r="S550" s="184">
        <v>16</v>
      </c>
      <c r="T550" s="102">
        <v>9</v>
      </c>
      <c r="U550" s="102">
        <v>5</v>
      </c>
      <c r="V550" s="102">
        <v>0</v>
      </c>
      <c r="W550" s="102">
        <v>1</v>
      </c>
      <c r="X550" s="103">
        <v>0</v>
      </c>
      <c r="Y550" s="103">
        <v>0</v>
      </c>
      <c r="Z550" s="103">
        <v>0</v>
      </c>
      <c r="AC550" s="102">
        <v>0</v>
      </c>
    </row>
    <row r="551" spans="1:29">
      <c r="A551" s="104" t="s">
        <v>1466</v>
      </c>
      <c r="B551" s="104" t="s">
        <v>1914</v>
      </c>
      <c r="C551" s="104" t="s">
        <v>1465</v>
      </c>
      <c r="D551" s="104" t="s">
        <v>1705</v>
      </c>
      <c r="E551" s="104" t="s">
        <v>1706</v>
      </c>
      <c r="F551" s="104" t="s">
        <v>1914</v>
      </c>
      <c r="M551" s="104" t="s">
        <v>1587</v>
      </c>
      <c r="N551" s="104" t="s">
        <v>1728</v>
      </c>
      <c r="O551" s="101">
        <v>45761</v>
      </c>
      <c r="P551" s="101">
        <v>45777</v>
      </c>
      <c r="Q551" s="101">
        <v>45767</v>
      </c>
      <c r="R551" s="101">
        <v>45773</v>
      </c>
      <c r="S551" s="184">
        <v>17</v>
      </c>
      <c r="T551" s="102">
        <v>10</v>
      </c>
      <c r="U551" s="102">
        <v>5</v>
      </c>
      <c r="V551" s="102">
        <v>0</v>
      </c>
      <c r="W551" s="102">
        <v>1</v>
      </c>
      <c r="X551" s="103">
        <v>0</v>
      </c>
      <c r="Y551" s="103">
        <v>0</v>
      </c>
      <c r="Z551" s="103">
        <v>0</v>
      </c>
      <c r="AC551" s="102">
        <v>0</v>
      </c>
    </row>
    <row r="552" spans="1:29">
      <c r="A552" s="104" t="s">
        <v>1466</v>
      </c>
      <c r="B552" s="104" t="s">
        <v>1914</v>
      </c>
      <c r="C552" s="104" t="s">
        <v>1465</v>
      </c>
      <c r="D552" s="104" t="s">
        <v>1705</v>
      </c>
      <c r="E552" s="104" t="s">
        <v>1706</v>
      </c>
      <c r="F552" s="104" t="s">
        <v>1914</v>
      </c>
      <c r="M552" s="104" t="s">
        <v>1587</v>
      </c>
      <c r="N552" s="104" t="s">
        <v>1728</v>
      </c>
      <c r="O552" s="101">
        <v>45761</v>
      </c>
      <c r="P552" s="101">
        <v>45777</v>
      </c>
      <c r="Q552" s="101">
        <v>45774</v>
      </c>
      <c r="R552" s="101">
        <v>45780</v>
      </c>
      <c r="S552" s="184">
        <v>18</v>
      </c>
      <c r="T552" s="102">
        <v>11</v>
      </c>
      <c r="U552" s="102">
        <v>3</v>
      </c>
      <c r="V552" s="102">
        <v>0</v>
      </c>
      <c r="W552" s="102">
        <v>1</v>
      </c>
      <c r="X552" s="103">
        <v>0</v>
      </c>
      <c r="Y552" s="103">
        <v>0</v>
      </c>
      <c r="Z552" s="103">
        <v>0</v>
      </c>
      <c r="AC552" s="102">
        <v>0</v>
      </c>
    </row>
    <row r="553" spans="1:29">
      <c r="A553" s="104" t="s">
        <v>1466</v>
      </c>
      <c r="B553" s="104" t="s">
        <v>1982</v>
      </c>
      <c r="C553" s="104" t="s">
        <v>1465</v>
      </c>
      <c r="D553" s="104" t="s">
        <v>1705</v>
      </c>
      <c r="E553" s="104" t="s">
        <v>1706</v>
      </c>
      <c r="F553" s="104" t="s">
        <v>1982</v>
      </c>
      <c r="M553" s="104" t="s">
        <v>1588</v>
      </c>
      <c r="N553" s="104" t="s">
        <v>1727</v>
      </c>
      <c r="O553" s="101">
        <v>45768</v>
      </c>
      <c r="P553" s="101">
        <v>45786</v>
      </c>
      <c r="Q553" s="101">
        <v>45767</v>
      </c>
      <c r="R553" s="101">
        <v>45773</v>
      </c>
      <c r="S553" s="184">
        <v>17</v>
      </c>
      <c r="T553" s="102">
        <v>10</v>
      </c>
      <c r="U553" s="102">
        <v>5</v>
      </c>
      <c r="V553" s="102">
        <v>0</v>
      </c>
      <c r="W553" s="102">
        <v>1</v>
      </c>
      <c r="X553" s="103">
        <v>0</v>
      </c>
      <c r="Y553" s="103">
        <v>0</v>
      </c>
      <c r="Z553" s="103">
        <v>0</v>
      </c>
      <c r="AC553" s="102">
        <v>0</v>
      </c>
    </row>
    <row r="554" spans="1:29">
      <c r="A554" s="104" t="s">
        <v>1466</v>
      </c>
      <c r="B554" s="104" t="s">
        <v>1982</v>
      </c>
      <c r="C554" s="104" t="s">
        <v>1465</v>
      </c>
      <c r="D554" s="104" t="s">
        <v>1705</v>
      </c>
      <c r="E554" s="104" t="s">
        <v>1706</v>
      </c>
      <c r="F554" s="104" t="s">
        <v>1982</v>
      </c>
      <c r="M554" s="104" t="s">
        <v>1588</v>
      </c>
      <c r="N554" s="104" t="s">
        <v>1727</v>
      </c>
      <c r="O554" s="101">
        <v>45768</v>
      </c>
      <c r="P554" s="101">
        <v>45786</v>
      </c>
      <c r="Q554" s="101">
        <v>45774</v>
      </c>
      <c r="R554" s="101">
        <v>45780</v>
      </c>
      <c r="S554" s="184">
        <v>18</v>
      </c>
      <c r="T554" s="102">
        <v>11</v>
      </c>
      <c r="U554" s="102">
        <v>4</v>
      </c>
      <c r="V554" s="102">
        <v>0</v>
      </c>
      <c r="W554" s="102">
        <v>1</v>
      </c>
      <c r="X554" s="103">
        <v>0</v>
      </c>
      <c r="Y554" s="103">
        <v>0</v>
      </c>
      <c r="Z554" s="103">
        <v>0</v>
      </c>
      <c r="AC554" s="102">
        <v>0</v>
      </c>
    </row>
    <row r="555" spans="1:29">
      <c r="A555" s="104" t="s">
        <v>1466</v>
      </c>
      <c r="B555" s="104" t="s">
        <v>1982</v>
      </c>
      <c r="C555" s="104" t="s">
        <v>1465</v>
      </c>
      <c r="D555" s="104" t="s">
        <v>1705</v>
      </c>
      <c r="E555" s="104" t="s">
        <v>1706</v>
      </c>
      <c r="F555" s="104" t="s">
        <v>1982</v>
      </c>
      <c r="M555" s="104" t="s">
        <v>1588</v>
      </c>
      <c r="N555" s="104" t="s">
        <v>1727</v>
      </c>
      <c r="O555" s="101">
        <v>45768</v>
      </c>
      <c r="P555" s="101">
        <v>45786</v>
      </c>
      <c r="Q555" s="101">
        <v>45781</v>
      </c>
      <c r="R555" s="101">
        <v>45787</v>
      </c>
      <c r="S555" s="184">
        <v>19</v>
      </c>
      <c r="T555" s="102">
        <v>12</v>
      </c>
      <c r="U555" s="102">
        <v>4</v>
      </c>
      <c r="V555" s="102">
        <v>0</v>
      </c>
      <c r="W555" s="102">
        <v>1</v>
      </c>
      <c r="X555" s="103">
        <v>0</v>
      </c>
      <c r="Y555" s="103">
        <v>0</v>
      </c>
      <c r="Z555" s="103">
        <v>0</v>
      </c>
      <c r="AC555" s="102">
        <v>0</v>
      </c>
    </row>
    <row r="556" spans="1:29">
      <c r="A556" s="104" t="s">
        <v>1466</v>
      </c>
      <c r="B556" s="104" t="s">
        <v>1983</v>
      </c>
      <c r="C556" s="104" t="s">
        <v>1465</v>
      </c>
      <c r="D556" s="104" t="s">
        <v>1705</v>
      </c>
      <c r="E556" s="104" t="s">
        <v>1706</v>
      </c>
      <c r="F556" s="104" t="s">
        <v>1983</v>
      </c>
      <c r="M556" s="104" t="s">
        <v>1589</v>
      </c>
      <c r="N556" s="104" t="s">
        <v>1415</v>
      </c>
      <c r="O556" s="101">
        <v>45778</v>
      </c>
      <c r="P556" s="101">
        <v>45793</v>
      </c>
      <c r="Q556" s="101">
        <v>45774</v>
      </c>
      <c r="R556" s="101">
        <v>45780</v>
      </c>
      <c r="S556" s="184">
        <v>18</v>
      </c>
      <c r="T556" s="102">
        <v>11</v>
      </c>
      <c r="U556" s="102">
        <v>5</v>
      </c>
      <c r="V556" s="102">
        <v>0</v>
      </c>
      <c r="W556" s="102">
        <v>5</v>
      </c>
      <c r="X556" s="103">
        <v>0</v>
      </c>
      <c r="Y556" s="103">
        <v>0</v>
      </c>
      <c r="Z556" s="103">
        <v>0</v>
      </c>
      <c r="AC556" s="102">
        <v>0</v>
      </c>
    </row>
    <row r="557" spans="1:29">
      <c r="A557" s="104" t="s">
        <v>1466</v>
      </c>
      <c r="B557" s="104" t="s">
        <v>1983</v>
      </c>
      <c r="C557" s="104" t="s">
        <v>1465</v>
      </c>
      <c r="D557" s="104" t="s">
        <v>1705</v>
      </c>
      <c r="E557" s="104" t="s">
        <v>1706</v>
      </c>
      <c r="F557" s="104" t="s">
        <v>1983</v>
      </c>
      <c r="M557" s="104" t="s">
        <v>1589</v>
      </c>
      <c r="N557" s="104" t="s">
        <v>1415</v>
      </c>
      <c r="O557" s="101">
        <v>45778</v>
      </c>
      <c r="P557" s="101">
        <v>45793</v>
      </c>
      <c r="Q557" s="101">
        <v>45781</v>
      </c>
      <c r="R557" s="101">
        <v>45787</v>
      </c>
      <c r="S557" s="184">
        <v>19</v>
      </c>
      <c r="T557" s="102">
        <v>12</v>
      </c>
      <c r="U557" s="102">
        <v>20</v>
      </c>
      <c r="V557" s="102">
        <v>0</v>
      </c>
      <c r="W557" s="102">
        <v>5</v>
      </c>
      <c r="X557" s="103">
        <v>0</v>
      </c>
      <c r="Y557" s="103">
        <v>0</v>
      </c>
      <c r="Z557" s="103">
        <v>0</v>
      </c>
      <c r="AC557" s="102">
        <v>0</v>
      </c>
    </row>
    <row r="558" spans="1:29">
      <c r="A558" s="104" t="s">
        <v>1466</v>
      </c>
      <c r="B558" s="104" t="s">
        <v>1983</v>
      </c>
      <c r="C558" s="104" t="s">
        <v>1465</v>
      </c>
      <c r="D558" s="104" t="s">
        <v>1705</v>
      </c>
      <c r="E558" s="104" t="s">
        <v>1706</v>
      </c>
      <c r="F558" s="104" t="s">
        <v>1983</v>
      </c>
      <c r="M558" s="104" t="s">
        <v>1589</v>
      </c>
      <c r="N558" s="104" t="s">
        <v>1415</v>
      </c>
      <c r="O558" s="101">
        <v>45778</v>
      </c>
      <c r="P558" s="101">
        <v>45793</v>
      </c>
      <c r="Q558" s="101">
        <v>45788</v>
      </c>
      <c r="R558" s="101">
        <v>45794</v>
      </c>
      <c r="S558" s="184">
        <v>20</v>
      </c>
      <c r="T558" s="102">
        <v>13</v>
      </c>
      <c r="U558" s="102">
        <v>25</v>
      </c>
      <c r="V558" s="102">
        <v>0</v>
      </c>
      <c r="W558" s="102">
        <v>5</v>
      </c>
      <c r="X558" s="103">
        <v>0</v>
      </c>
      <c r="Y558" s="103">
        <v>0</v>
      </c>
      <c r="Z558" s="103">
        <v>0</v>
      </c>
      <c r="AC558" s="102">
        <v>0</v>
      </c>
    </row>
    <row r="559" spans="1:29">
      <c r="A559" s="104" t="s">
        <v>1466</v>
      </c>
      <c r="B559" s="104" t="s">
        <v>1915</v>
      </c>
      <c r="C559" s="104" t="s">
        <v>1465</v>
      </c>
      <c r="D559" s="104" t="s">
        <v>1705</v>
      </c>
      <c r="E559" s="104" t="s">
        <v>1707</v>
      </c>
      <c r="F559" s="104" t="s">
        <v>1915</v>
      </c>
      <c r="M559" s="104" t="s">
        <v>1984</v>
      </c>
      <c r="N559" s="104" t="s">
        <v>1980</v>
      </c>
      <c r="O559" s="101">
        <v>45733</v>
      </c>
      <c r="P559" s="101">
        <v>45751</v>
      </c>
      <c r="Q559" s="101">
        <v>45732</v>
      </c>
      <c r="R559" s="101">
        <v>45738</v>
      </c>
      <c r="S559" s="184">
        <v>12</v>
      </c>
      <c r="T559" s="102">
        <v>5</v>
      </c>
      <c r="U559" s="102">
        <v>15</v>
      </c>
      <c r="V559" s="102">
        <v>0</v>
      </c>
      <c r="W559" s="102">
        <v>3</v>
      </c>
      <c r="X559" s="103">
        <v>0</v>
      </c>
      <c r="Y559" s="103">
        <v>0</v>
      </c>
      <c r="Z559" s="103">
        <v>0</v>
      </c>
      <c r="AC559" s="102">
        <v>0</v>
      </c>
    </row>
    <row r="560" spans="1:29">
      <c r="A560" s="104" t="s">
        <v>1466</v>
      </c>
      <c r="B560" s="104" t="s">
        <v>1915</v>
      </c>
      <c r="C560" s="104" t="s">
        <v>1465</v>
      </c>
      <c r="D560" s="104" t="s">
        <v>1705</v>
      </c>
      <c r="E560" s="104" t="s">
        <v>1707</v>
      </c>
      <c r="F560" s="104" t="s">
        <v>1915</v>
      </c>
      <c r="M560" s="104" t="s">
        <v>1984</v>
      </c>
      <c r="N560" s="104" t="s">
        <v>1980</v>
      </c>
      <c r="O560" s="101">
        <v>45733</v>
      </c>
      <c r="P560" s="101">
        <v>45751</v>
      </c>
      <c r="Q560" s="101">
        <v>45739</v>
      </c>
      <c r="R560" s="101">
        <v>45745</v>
      </c>
      <c r="S560" s="184">
        <v>13</v>
      </c>
      <c r="T560" s="102">
        <v>6</v>
      </c>
      <c r="U560" s="102">
        <v>15</v>
      </c>
      <c r="V560" s="102">
        <v>0</v>
      </c>
      <c r="W560" s="102">
        <v>3</v>
      </c>
      <c r="X560" s="103">
        <v>0</v>
      </c>
      <c r="Y560" s="103">
        <v>0</v>
      </c>
      <c r="Z560" s="103">
        <v>0</v>
      </c>
      <c r="AC560" s="102">
        <v>0</v>
      </c>
    </row>
    <row r="561" spans="1:29">
      <c r="A561" s="104" t="s">
        <v>1466</v>
      </c>
      <c r="B561" s="104" t="s">
        <v>1915</v>
      </c>
      <c r="C561" s="104" t="s">
        <v>1465</v>
      </c>
      <c r="D561" s="104" t="s">
        <v>1705</v>
      </c>
      <c r="E561" s="104" t="s">
        <v>1707</v>
      </c>
      <c r="F561" s="104" t="s">
        <v>1915</v>
      </c>
      <c r="M561" s="104" t="s">
        <v>1984</v>
      </c>
      <c r="N561" s="104" t="s">
        <v>1980</v>
      </c>
      <c r="O561" s="101">
        <v>45733</v>
      </c>
      <c r="P561" s="101">
        <v>45751</v>
      </c>
      <c r="Q561" s="101">
        <v>45746</v>
      </c>
      <c r="R561" s="101">
        <v>45752</v>
      </c>
      <c r="S561" s="184">
        <v>14</v>
      </c>
      <c r="T561" s="102">
        <v>7</v>
      </c>
      <c r="U561" s="102">
        <v>15</v>
      </c>
      <c r="V561" s="102">
        <v>0</v>
      </c>
      <c r="W561" s="102">
        <v>3</v>
      </c>
      <c r="X561" s="103">
        <v>0</v>
      </c>
      <c r="Y561" s="103">
        <v>0</v>
      </c>
      <c r="Z561" s="103">
        <v>0</v>
      </c>
      <c r="AC561" s="102">
        <v>0</v>
      </c>
    </row>
    <row r="562" spans="1:29">
      <c r="A562" s="104" t="s">
        <v>1466</v>
      </c>
      <c r="B562" s="104" t="s">
        <v>1916</v>
      </c>
      <c r="C562" s="104" t="s">
        <v>1465</v>
      </c>
      <c r="D562" s="104" t="s">
        <v>1705</v>
      </c>
      <c r="E562" s="104" t="s">
        <v>1707</v>
      </c>
      <c r="F562" s="104" t="s">
        <v>1916</v>
      </c>
      <c r="M562" s="104" t="s">
        <v>1985</v>
      </c>
      <c r="N562" s="104" t="s">
        <v>1980</v>
      </c>
      <c r="O562" s="101">
        <v>45733</v>
      </c>
      <c r="P562" s="101">
        <v>45751</v>
      </c>
      <c r="Q562" s="101">
        <v>45732</v>
      </c>
      <c r="R562" s="101">
        <v>45738</v>
      </c>
      <c r="S562" s="184">
        <v>12</v>
      </c>
      <c r="T562" s="102">
        <v>5</v>
      </c>
      <c r="U562" s="102">
        <v>15</v>
      </c>
      <c r="V562" s="102">
        <v>0</v>
      </c>
      <c r="W562" s="102">
        <v>3</v>
      </c>
      <c r="X562" s="103">
        <v>0</v>
      </c>
      <c r="Y562" s="103">
        <v>0</v>
      </c>
      <c r="Z562" s="103">
        <v>0</v>
      </c>
      <c r="AC562" s="102">
        <v>0</v>
      </c>
    </row>
    <row r="563" spans="1:29">
      <c r="A563" s="104" t="s">
        <v>1466</v>
      </c>
      <c r="B563" s="104" t="s">
        <v>1916</v>
      </c>
      <c r="C563" s="104" t="s">
        <v>1465</v>
      </c>
      <c r="D563" s="104" t="s">
        <v>1705</v>
      </c>
      <c r="E563" s="104" t="s">
        <v>1707</v>
      </c>
      <c r="F563" s="104" t="s">
        <v>1916</v>
      </c>
      <c r="M563" s="104" t="s">
        <v>1985</v>
      </c>
      <c r="N563" s="104" t="s">
        <v>1980</v>
      </c>
      <c r="O563" s="101">
        <v>45733</v>
      </c>
      <c r="P563" s="101">
        <v>45751</v>
      </c>
      <c r="Q563" s="101">
        <v>45739</v>
      </c>
      <c r="R563" s="101">
        <v>45745</v>
      </c>
      <c r="S563" s="184">
        <v>13</v>
      </c>
      <c r="T563" s="102">
        <v>6</v>
      </c>
      <c r="U563" s="102">
        <v>15</v>
      </c>
      <c r="V563" s="102">
        <v>0</v>
      </c>
      <c r="W563" s="102">
        <v>3</v>
      </c>
      <c r="X563" s="103">
        <v>0</v>
      </c>
      <c r="Y563" s="103">
        <v>0</v>
      </c>
      <c r="Z563" s="103">
        <v>0</v>
      </c>
      <c r="AC563" s="102">
        <v>0</v>
      </c>
    </row>
    <row r="564" spans="1:29">
      <c r="A564" s="104" t="s">
        <v>1466</v>
      </c>
      <c r="B564" s="104" t="s">
        <v>1916</v>
      </c>
      <c r="C564" s="104" t="s">
        <v>1465</v>
      </c>
      <c r="D564" s="104" t="s">
        <v>1705</v>
      </c>
      <c r="E564" s="104" t="s">
        <v>1707</v>
      </c>
      <c r="F564" s="104" t="s">
        <v>1916</v>
      </c>
      <c r="M564" s="104" t="s">
        <v>1985</v>
      </c>
      <c r="N564" s="104" t="s">
        <v>1980</v>
      </c>
      <c r="O564" s="101">
        <v>45733</v>
      </c>
      <c r="P564" s="101">
        <v>45751</v>
      </c>
      <c r="Q564" s="101">
        <v>45746</v>
      </c>
      <c r="R564" s="101">
        <v>45752</v>
      </c>
      <c r="S564" s="184">
        <v>14</v>
      </c>
      <c r="T564" s="102">
        <v>7</v>
      </c>
      <c r="U564" s="102">
        <v>15</v>
      </c>
      <c r="V564" s="102">
        <v>0</v>
      </c>
      <c r="W564" s="102">
        <v>3</v>
      </c>
      <c r="X564" s="103">
        <v>0</v>
      </c>
      <c r="Y564" s="103">
        <v>0</v>
      </c>
      <c r="Z564" s="103">
        <v>0</v>
      </c>
      <c r="AC564" s="102">
        <v>0</v>
      </c>
    </row>
    <row r="565" spans="1:29">
      <c r="A565" s="104" t="s">
        <v>1466</v>
      </c>
      <c r="B565" s="104" t="s">
        <v>1986</v>
      </c>
      <c r="C565" s="104" t="s">
        <v>1465</v>
      </c>
      <c r="D565" s="104" t="s">
        <v>1705</v>
      </c>
      <c r="E565" s="104" t="s">
        <v>1707</v>
      </c>
      <c r="F565" s="104" t="s">
        <v>1986</v>
      </c>
      <c r="M565" s="104" t="s">
        <v>1987</v>
      </c>
      <c r="N565" s="104" t="s">
        <v>1980</v>
      </c>
      <c r="O565" s="101">
        <v>45733</v>
      </c>
      <c r="P565" s="101">
        <v>45793</v>
      </c>
      <c r="Q565" s="101">
        <v>45732</v>
      </c>
      <c r="R565" s="101">
        <v>45738</v>
      </c>
      <c r="S565" s="184">
        <v>12</v>
      </c>
      <c r="T565" s="102">
        <v>5</v>
      </c>
      <c r="U565" s="102">
        <v>15</v>
      </c>
      <c r="V565" s="102">
        <v>0</v>
      </c>
      <c r="W565" s="102">
        <v>3</v>
      </c>
      <c r="X565" s="103">
        <v>0</v>
      </c>
      <c r="Y565" s="103">
        <v>0</v>
      </c>
      <c r="Z565" s="103">
        <v>0</v>
      </c>
      <c r="AC565" s="102">
        <v>0</v>
      </c>
    </row>
    <row r="566" spans="1:29">
      <c r="A566" s="104" t="s">
        <v>1466</v>
      </c>
      <c r="B566" s="104" t="s">
        <v>1986</v>
      </c>
      <c r="C566" s="104" t="s">
        <v>1465</v>
      </c>
      <c r="D566" s="104" t="s">
        <v>1705</v>
      </c>
      <c r="E566" s="104" t="s">
        <v>1707</v>
      </c>
      <c r="F566" s="104" t="s">
        <v>1986</v>
      </c>
      <c r="M566" s="104" t="s">
        <v>1987</v>
      </c>
      <c r="N566" s="104" t="s">
        <v>1980</v>
      </c>
      <c r="O566" s="101">
        <v>45733</v>
      </c>
      <c r="P566" s="101">
        <v>45793</v>
      </c>
      <c r="Q566" s="101">
        <v>45739</v>
      </c>
      <c r="R566" s="101">
        <v>45745</v>
      </c>
      <c r="S566" s="184">
        <v>13</v>
      </c>
      <c r="T566" s="102">
        <v>6</v>
      </c>
      <c r="U566" s="102">
        <v>15</v>
      </c>
      <c r="V566" s="102">
        <v>0</v>
      </c>
      <c r="W566" s="102">
        <v>3</v>
      </c>
      <c r="X566" s="103">
        <v>0</v>
      </c>
      <c r="Y566" s="103">
        <v>0</v>
      </c>
      <c r="Z566" s="103">
        <v>0</v>
      </c>
      <c r="AC566" s="102">
        <v>0</v>
      </c>
    </row>
    <row r="567" spans="1:29">
      <c r="A567" s="104" t="s">
        <v>1466</v>
      </c>
      <c r="B567" s="104" t="s">
        <v>1986</v>
      </c>
      <c r="C567" s="104" t="s">
        <v>1465</v>
      </c>
      <c r="D567" s="104" t="s">
        <v>1705</v>
      </c>
      <c r="E567" s="104" t="s">
        <v>1707</v>
      </c>
      <c r="F567" s="104" t="s">
        <v>1986</v>
      </c>
      <c r="M567" s="104" t="s">
        <v>1987</v>
      </c>
      <c r="N567" s="104" t="s">
        <v>1980</v>
      </c>
      <c r="O567" s="101">
        <v>45733</v>
      </c>
      <c r="P567" s="101">
        <v>45793</v>
      </c>
      <c r="Q567" s="101">
        <v>45746</v>
      </c>
      <c r="R567" s="101">
        <v>45752</v>
      </c>
      <c r="S567" s="184">
        <v>14</v>
      </c>
      <c r="T567" s="102">
        <v>7</v>
      </c>
      <c r="U567" s="102">
        <v>15</v>
      </c>
      <c r="V567" s="102">
        <v>0</v>
      </c>
      <c r="W567" s="102">
        <v>3</v>
      </c>
      <c r="X567" s="103">
        <v>0</v>
      </c>
      <c r="Y567" s="103">
        <v>0</v>
      </c>
      <c r="Z567" s="103">
        <v>0</v>
      </c>
      <c r="AC567" s="102">
        <v>0</v>
      </c>
    </row>
    <row r="568" spans="1:29">
      <c r="A568" s="104" t="s">
        <v>1466</v>
      </c>
      <c r="B568" s="104" t="s">
        <v>1986</v>
      </c>
      <c r="C568" s="104" t="s">
        <v>1465</v>
      </c>
      <c r="D568" s="104" t="s">
        <v>1705</v>
      </c>
      <c r="E568" s="104" t="s">
        <v>1707</v>
      </c>
      <c r="F568" s="104" t="s">
        <v>1986</v>
      </c>
      <c r="M568" s="104" t="s">
        <v>1987</v>
      </c>
      <c r="N568" s="104" t="s">
        <v>1980</v>
      </c>
      <c r="O568" s="101">
        <v>45733</v>
      </c>
      <c r="P568" s="101">
        <v>45793</v>
      </c>
      <c r="Q568" s="101">
        <v>45753</v>
      </c>
      <c r="R568" s="101">
        <v>45759</v>
      </c>
      <c r="S568" s="184">
        <v>15</v>
      </c>
      <c r="T568" s="102">
        <v>8</v>
      </c>
      <c r="U568" s="102">
        <v>15</v>
      </c>
      <c r="V568" s="102">
        <v>0</v>
      </c>
      <c r="W568" s="102">
        <v>3</v>
      </c>
      <c r="X568" s="103">
        <v>0</v>
      </c>
      <c r="Y568" s="103">
        <v>0</v>
      </c>
      <c r="Z568" s="103">
        <v>0</v>
      </c>
      <c r="AC568" s="102">
        <v>0</v>
      </c>
    </row>
    <row r="569" spans="1:29">
      <c r="A569" s="104" t="s">
        <v>1466</v>
      </c>
      <c r="B569" s="104" t="s">
        <v>1986</v>
      </c>
      <c r="C569" s="104" t="s">
        <v>1465</v>
      </c>
      <c r="D569" s="104" t="s">
        <v>1705</v>
      </c>
      <c r="E569" s="104" t="s">
        <v>1707</v>
      </c>
      <c r="F569" s="104" t="s">
        <v>1986</v>
      </c>
      <c r="M569" s="104" t="s">
        <v>1987</v>
      </c>
      <c r="N569" s="104" t="s">
        <v>1980</v>
      </c>
      <c r="O569" s="101">
        <v>45733</v>
      </c>
      <c r="P569" s="101">
        <v>45793</v>
      </c>
      <c r="Q569" s="101">
        <v>45760</v>
      </c>
      <c r="R569" s="101">
        <v>45766</v>
      </c>
      <c r="S569" s="184">
        <v>16</v>
      </c>
      <c r="T569" s="102">
        <v>9</v>
      </c>
      <c r="U569" s="102">
        <v>15</v>
      </c>
      <c r="V569" s="102">
        <v>0</v>
      </c>
      <c r="W569" s="102">
        <v>3</v>
      </c>
      <c r="X569" s="103">
        <v>0</v>
      </c>
      <c r="Y569" s="103">
        <v>0</v>
      </c>
      <c r="Z569" s="103">
        <v>0</v>
      </c>
      <c r="AC569" s="102">
        <v>0</v>
      </c>
    </row>
    <row r="570" spans="1:29">
      <c r="A570" s="104" t="s">
        <v>1466</v>
      </c>
      <c r="B570" s="104" t="s">
        <v>1986</v>
      </c>
      <c r="C570" s="104" t="s">
        <v>1465</v>
      </c>
      <c r="D570" s="104" t="s">
        <v>1705</v>
      </c>
      <c r="E570" s="104" t="s">
        <v>1707</v>
      </c>
      <c r="F570" s="104" t="s">
        <v>1986</v>
      </c>
      <c r="M570" s="104" t="s">
        <v>1987</v>
      </c>
      <c r="N570" s="104" t="s">
        <v>1980</v>
      </c>
      <c r="O570" s="101">
        <v>45733</v>
      </c>
      <c r="P570" s="101">
        <v>45793</v>
      </c>
      <c r="Q570" s="101">
        <v>45767</v>
      </c>
      <c r="R570" s="101">
        <v>45773</v>
      </c>
      <c r="S570" s="184">
        <v>17</v>
      </c>
      <c r="T570" s="102">
        <v>10</v>
      </c>
      <c r="U570" s="102">
        <v>15</v>
      </c>
      <c r="V570" s="102">
        <v>0</v>
      </c>
      <c r="W570" s="102">
        <v>3</v>
      </c>
      <c r="X570" s="103">
        <v>0</v>
      </c>
      <c r="Y570" s="103">
        <v>0</v>
      </c>
      <c r="Z570" s="103">
        <v>0</v>
      </c>
      <c r="AC570" s="102">
        <v>0</v>
      </c>
    </row>
    <row r="571" spans="1:29">
      <c r="A571" s="104" t="s">
        <v>1466</v>
      </c>
      <c r="B571" s="104" t="s">
        <v>1986</v>
      </c>
      <c r="C571" s="104" t="s">
        <v>1465</v>
      </c>
      <c r="D571" s="104" t="s">
        <v>1705</v>
      </c>
      <c r="E571" s="104" t="s">
        <v>1707</v>
      </c>
      <c r="F571" s="104" t="s">
        <v>1986</v>
      </c>
      <c r="M571" s="104" t="s">
        <v>1987</v>
      </c>
      <c r="N571" s="104" t="s">
        <v>1980</v>
      </c>
      <c r="O571" s="101">
        <v>45733</v>
      </c>
      <c r="P571" s="101">
        <v>45793</v>
      </c>
      <c r="Q571" s="101">
        <v>45774</v>
      </c>
      <c r="R571" s="101">
        <v>45780</v>
      </c>
      <c r="S571" s="184">
        <v>18</v>
      </c>
      <c r="T571" s="102">
        <v>11</v>
      </c>
      <c r="U571" s="102">
        <v>12</v>
      </c>
      <c r="V571" s="102">
        <v>0</v>
      </c>
      <c r="W571" s="102">
        <v>3</v>
      </c>
      <c r="X571" s="103">
        <v>0</v>
      </c>
      <c r="Y571" s="103">
        <v>0</v>
      </c>
      <c r="Z571" s="103">
        <v>0</v>
      </c>
      <c r="AC571" s="102">
        <v>0</v>
      </c>
    </row>
    <row r="572" spans="1:29">
      <c r="A572" s="104" t="s">
        <v>1466</v>
      </c>
      <c r="B572" s="104" t="s">
        <v>1986</v>
      </c>
      <c r="C572" s="104" t="s">
        <v>1465</v>
      </c>
      <c r="D572" s="104" t="s">
        <v>1705</v>
      </c>
      <c r="E572" s="104" t="s">
        <v>1707</v>
      </c>
      <c r="F572" s="104" t="s">
        <v>1986</v>
      </c>
      <c r="M572" s="104" t="s">
        <v>1987</v>
      </c>
      <c r="N572" s="104" t="s">
        <v>1980</v>
      </c>
      <c r="O572" s="101">
        <v>45733</v>
      </c>
      <c r="P572" s="101">
        <v>45793</v>
      </c>
      <c r="Q572" s="101">
        <v>45781</v>
      </c>
      <c r="R572" s="101">
        <v>45787</v>
      </c>
      <c r="S572" s="184">
        <v>19</v>
      </c>
      <c r="T572" s="102">
        <v>12</v>
      </c>
      <c r="U572" s="102">
        <v>12</v>
      </c>
      <c r="V572" s="102">
        <v>0</v>
      </c>
      <c r="W572" s="102">
        <v>3</v>
      </c>
      <c r="X572" s="103">
        <v>0</v>
      </c>
      <c r="Y572" s="103">
        <v>0</v>
      </c>
      <c r="Z572" s="103">
        <v>0</v>
      </c>
      <c r="AC572" s="102">
        <v>0</v>
      </c>
    </row>
    <row r="573" spans="1:29">
      <c r="A573" s="104" t="s">
        <v>1466</v>
      </c>
      <c r="B573" s="104" t="s">
        <v>1986</v>
      </c>
      <c r="C573" s="104" t="s">
        <v>1465</v>
      </c>
      <c r="D573" s="104" t="s">
        <v>1705</v>
      </c>
      <c r="E573" s="104" t="s">
        <v>1707</v>
      </c>
      <c r="F573" s="104" t="s">
        <v>1986</v>
      </c>
      <c r="M573" s="104" t="s">
        <v>1987</v>
      </c>
      <c r="N573" s="104" t="s">
        <v>1980</v>
      </c>
      <c r="O573" s="101">
        <v>45733</v>
      </c>
      <c r="P573" s="101">
        <v>45793</v>
      </c>
      <c r="Q573" s="101">
        <v>45788</v>
      </c>
      <c r="R573" s="101">
        <v>45794</v>
      </c>
      <c r="S573" s="184">
        <v>20</v>
      </c>
      <c r="T573" s="102">
        <v>13</v>
      </c>
      <c r="U573" s="102">
        <v>15</v>
      </c>
      <c r="V573" s="102">
        <v>0</v>
      </c>
      <c r="W573" s="102">
        <v>3</v>
      </c>
      <c r="X573" s="103">
        <v>0</v>
      </c>
      <c r="Y573" s="103">
        <v>0</v>
      </c>
      <c r="Z573" s="103">
        <v>0</v>
      </c>
      <c r="AC573" s="102">
        <v>0</v>
      </c>
    </row>
    <row r="574" spans="1:29">
      <c r="A574" s="104" t="s">
        <v>1466</v>
      </c>
      <c r="B574" s="104" t="s">
        <v>1988</v>
      </c>
      <c r="C574" s="104" t="s">
        <v>1465</v>
      </c>
      <c r="D574" s="104" t="s">
        <v>1705</v>
      </c>
      <c r="E574" s="104" t="s">
        <v>1707</v>
      </c>
      <c r="F574" s="104" t="s">
        <v>1988</v>
      </c>
      <c r="M574" s="104" t="s">
        <v>1989</v>
      </c>
      <c r="N574" s="104" t="s">
        <v>1980</v>
      </c>
      <c r="O574" s="101">
        <v>45796</v>
      </c>
      <c r="P574" s="101">
        <v>45821</v>
      </c>
      <c r="Q574" s="101">
        <v>45795</v>
      </c>
      <c r="R574" s="101">
        <v>45801</v>
      </c>
      <c r="S574" s="184">
        <v>21</v>
      </c>
      <c r="T574" s="102">
        <v>14</v>
      </c>
      <c r="U574" s="102">
        <v>15</v>
      </c>
      <c r="V574" s="102">
        <v>0</v>
      </c>
      <c r="W574" s="102">
        <v>3</v>
      </c>
      <c r="X574" s="103">
        <v>0</v>
      </c>
      <c r="Y574" s="103">
        <v>0</v>
      </c>
      <c r="Z574" s="103">
        <v>0</v>
      </c>
      <c r="AC574" s="102">
        <v>0</v>
      </c>
    </row>
    <row r="575" spans="1:29">
      <c r="A575" s="104" t="s">
        <v>1466</v>
      </c>
      <c r="B575" s="104" t="s">
        <v>1988</v>
      </c>
      <c r="C575" s="104" t="s">
        <v>1465</v>
      </c>
      <c r="D575" s="104" t="s">
        <v>1705</v>
      </c>
      <c r="E575" s="104" t="s">
        <v>1707</v>
      </c>
      <c r="F575" s="104" t="s">
        <v>1988</v>
      </c>
      <c r="M575" s="104" t="s">
        <v>1989</v>
      </c>
      <c r="N575" s="104" t="s">
        <v>1980</v>
      </c>
      <c r="O575" s="101">
        <v>45796</v>
      </c>
      <c r="P575" s="101">
        <v>45821</v>
      </c>
      <c r="Q575" s="101">
        <v>45802</v>
      </c>
      <c r="R575" s="101">
        <v>45808</v>
      </c>
      <c r="S575" s="184">
        <v>22</v>
      </c>
      <c r="T575" s="102">
        <v>15</v>
      </c>
      <c r="U575" s="102">
        <v>15</v>
      </c>
      <c r="V575" s="102">
        <v>0</v>
      </c>
      <c r="W575" s="102">
        <v>3</v>
      </c>
      <c r="X575" s="103">
        <v>0</v>
      </c>
      <c r="Y575" s="103">
        <v>0</v>
      </c>
      <c r="Z575" s="103">
        <v>0</v>
      </c>
      <c r="AC575" s="102">
        <v>0</v>
      </c>
    </row>
    <row r="576" spans="1:29">
      <c r="A576" s="104" t="s">
        <v>1466</v>
      </c>
      <c r="B576" s="104" t="s">
        <v>1988</v>
      </c>
      <c r="C576" s="104" t="s">
        <v>1465</v>
      </c>
      <c r="D576" s="104" t="s">
        <v>1705</v>
      </c>
      <c r="E576" s="104" t="s">
        <v>1707</v>
      </c>
      <c r="F576" s="104" t="s">
        <v>1988</v>
      </c>
      <c r="M576" s="104" t="s">
        <v>1989</v>
      </c>
      <c r="N576" s="104" t="s">
        <v>1980</v>
      </c>
      <c r="O576" s="101">
        <v>45796</v>
      </c>
      <c r="P576" s="101">
        <v>45821</v>
      </c>
      <c r="Q576" s="101">
        <v>45809</v>
      </c>
      <c r="R576" s="101">
        <v>45815</v>
      </c>
      <c r="S576" s="184">
        <v>23</v>
      </c>
      <c r="T576" s="102">
        <v>16</v>
      </c>
      <c r="U576" s="102">
        <v>12</v>
      </c>
      <c r="V576" s="102">
        <v>0</v>
      </c>
      <c r="W576" s="102">
        <v>3</v>
      </c>
      <c r="X576" s="103">
        <v>0</v>
      </c>
      <c r="Y576" s="103">
        <v>0</v>
      </c>
      <c r="Z576" s="103">
        <v>0</v>
      </c>
      <c r="AC576" s="102">
        <v>0</v>
      </c>
    </row>
    <row r="577" spans="1:29">
      <c r="A577" s="104" t="s">
        <v>1466</v>
      </c>
      <c r="B577" s="104" t="s">
        <v>1988</v>
      </c>
      <c r="C577" s="104" t="s">
        <v>1465</v>
      </c>
      <c r="D577" s="104" t="s">
        <v>1705</v>
      </c>
      <c r="E577" s="104" t="s">
        <v>1707</v>
      </c>
      <c r="F577" s="104" t="s">
        <v>1988</v>
      </c>
      <c r="M577" s="104" t="s">
        <v>1989</v>
      </c>
      <c r="N577" s="104" t="s">
        <v>1980</v>
      </c>
      <c r="O577" s="101">
        <v>45796</v>
      </c>
      <c r="P577" s="101">
        <v>45821</v>
      </c>
      <c r="Q577" s="101">
        <v>45816</v>
      </c>
      <c r="R577" s="101">
        <v>45822</v>
      </c>
      <c r="S577" s="184">
        <v>24</v>
      </c>
      <c r="T577" s="102">
        <v>17</v>
      </c>
      <c r="U577" s="102">
        <v>15</v>
      </c>
      <c r="V577" s="102">
        <v>0</v>
      </c>
      <c r="W577" s="102">
        <v>3</v>
      </c>
      <c r="X577" s="103">
        <v>0</v>
      </c>
      <c r="Y577" s="103">
        <v>0</v>
      </c>
      <c r="Z577" s="103">
        <v>0</v>
      </c>
      <c r="AC577" s="102">
        <v>0</v>
      </c>
    </row>
    <row r="578" spans="1:29">
      <c r="A578" s="104" t="s">
        <v>1467</v>
      </c>
      <c r="B578" s="104" t="s">
        <v>1918</v>
      </c>
      <c r="C578" s="104" t="s">
        <v>1465</v>
      </c>
      <c r="D578" s="104" t="s">
        <v>1705</v>
      </c>
      <c r="E578" s="104" t="s">
        <v>1782</v>
      </c>
      <c r="F578" s="104" t="s">
        <v>1917</v>
      </c>
      <c r="G578" s="104" t="s">
        <v>1918</v>
      </c>
      <c r="M578" s="104" t="s">
        <v>1990</v>
      </c>
      <c r="N578" s="104" t="s">
        <v>1991</v>
      </c>
      <c r="O578" s="101">
        <v>45740</v>
      </c>
      <c r="P578" s="101">
        <v>45807</v>
      </c>
      <c r="Q578" s="101">
        <v>45739</v>
      </c>
      <c r="R578" s="101">
        <v>45745</v>
      </c>
      <c r="S578" s="184">
        <v>13</v>
      </c>
      <c r="T578" s="102">
        <v>6</v>
      </c>
      <c r="U578" s="102">
        <v>25</v>
      </c>
      <c r="V578" s="102">
        <v>0</v>
      </c>
      <c r="W578" s="102">
        <v>5</v>
      </c>
      <c r="X578" s="103">
        <v>0</v>
      </c>
      <c r="Y578" s="103">
        <v>0</v>
      </c>
      <c r="Z578" s="103">
        <v>0</v>
      </c>
      <c r="AC578" s="102">
        <v>0</v>
      </c>
    </row>
    <row r="579" spans="1:29">
      <c r="A579" s="104" t="s">
        <v>1467</v>
      </c>
      <c r="B579" s="104" t="s">
        <v>1918</v>
      </c>
      <c r="C579" s="104" t="s">
        <v>1465</v>
      </c>
      <c r="D579" s="104" t="s">
        <v>1705</v>
      </c>
      <c r="E579" s="104" t="s">
        <v>1782</v>
      </c>
      <c r="F579" s="104" t="s">
        <v>1917</v>
      </c>
      <c r="G579" s="104" t="s">
        <v>1918</v>
      </c>
      <c r="M579" s="104" t="s">
        <v>1990</v>
      </c>
      <c r="N579" s="104" t="s">
        <v>1991</v>
      </c>
      <c r="O579" s="101">
        <v>45740</v>
      </c>
      <c r="P579" s="101">
        <v>45807</v>
      </c>
      <c r="Q579" s="101">
        <v>45746</v>
      </c>
      <c r="R579" s="101">
        <v>45752</v>
      </c>
      <c r="S579" s="184">
        <v>14</v>
      </c>
      <c r="T579" s="102">
        <v>7</v>
      </c>
      <c r="U579" s="102">
        <v>25</v>
      </c>
      <c r="V579" s="102">
        <v>0</v>
      </c>
      <c r="W579" s="102">
        <v>5</v>
      </c>
      <c r="X579" s="103">
        <v>0</v>
      </c>
      <c r="Y579" s="103">
        <v>0</v>
      </c>
      <c r="Z579" s="103">
        <v>0</v>
      </c>
      <c r="AC579" s="102">
        <v>0</v>
      </c>
    </row>
    <row r="580" spans="1:29">
      <c r="A580" s="104" t="s">
        <v>1467</v>
      </c>
      <c r="B580" s="104" t="s">
        <v>1918</v>
      </c>
      <c r="C580" s="104" t="s">
        <v>1465</v>
      </c>
      <c r="D580" s="104" t="s">
        <v>1705</v>
      </c>
      <c r="E580" s="104" t="s">
        <v>1782</v>
      </c>
      <c r="F580" s="104" t="s">
        <v>1917</v>
      </c>
      <c r="G580" s="104" t="s">
        <v>1918</v>
      </c>
      <c r="M580" s="104" t="s">
        <v>1990</v>
      </c>
      <c r="N580" s="104" t="s">
        <v>1991</v>
      </c>
      <c r="O580" s="101">
        <v>45740</v>
      </c>
      <c r="P580" s="101">
        <v>45807</v>
      </c>
      <c r="Q580" s="101">
        <v>45753</v>
      </c>
      <c r="R580" s="101">
        <v>45759</v>
      </c>
      <c r="S580" s="184">
        <v>15</v>
      </c>
      <c r="T580" s="102">
        <v>8</v>
      </c>
      <c r="U580" s="102">
        <v>25</v>
      </c>
      <c r="V580" s="102">
        <v>0</v>
      </c>
      <c r="W580" s="102">
        <v>5</v>
      </c>
      <c r="X580" s="103">
        <v>0</v>
      </c>
      <c r="Y580" s="103">
        <v>0</v>
      </c>
      <c r="Z580" s="103">
        <v>0</v>
      </c>
      <c r="AC580" s="102">
        <v>0</v>
      </c>
    </row>
    <row r="581" spans="1:29">
      <c r="A581" s="104" t="s">
        <v>1467</v>
      </c>
      <c r="B581" s="104" t="s">
        <v>1918</v>
      </c>
      <c r="C581" s="104" t="s">
        <v>1465</v>
      </c>
      <c r="D581" s="104" t="s">
        <v>1705</v>
      </c>
      <c r="E581" s="104" t="s">
        <v>1782</v>
      </c>
      <c r="F581" s="104" t="s">
        <v>1917</v>
      </c>
      <c r="G581" s="104" t="s">
        <v>1918</v>
      </c>
      <c r="M581" s="104" t="s">
        <v>1990</v>
      </c>
      <c r="N581" s="104" t="s">
        <v>1991</v>
      </c>
      <c r="O581" s="101">
        <v>45740</v>
      </c>
      <c r="P581" s="101">
        <v>45807</v>
      </c>
      <c r="Q581" s="101">
        <v>45760</v>
      </c>
      <c r="R581" s="101">
        <v>45766</v>
      </c>
      <c r="S581" s="184">
        <v>16</v>
      </c>
      <c r="T581" s="102">
        <v>9</v>
      </c>
      <c r="U581" s="102">
        <v>25</v>
      </c>
      <c r="V581" s="102">
        <v>0</v>
      </c>
      <c r="W581" s="102">
        <v>5</v>
      </c>
      <c r="X581" s="103">
        <v>0</v>
      </c>
      <c r="Y581" s="103">
        <v>0</v>
      </c>
      <c r="Z581" s="103">
        <v>0</v>
      </c>
      <c r="AC581" s="102">
        <v>0</v>
      </c>
    </row>
    <row r="582" spans="1:29">
      <c r="A582" s="104" t="s">
        <v>1467</v>
      </c>
      <c r="B582" s="104" t="s">
        <v>1918</v>
      </c>
      <c r="C582" s="104" t="s">
        <v>1465</v>
      </c>
      <c r="D582" s="104" t="s">
        <v>1705</v>
      </c>
      <c r="E582" s="104" t="s">
        <v>1782</v>
      </c>
      <c r="F582" s="104" t="s">
        <v>1917</v>
      </c>
      <c r="G582" s="104" t="s">
        <v>1918</v>
      </c>
      <c r="M582" s="104" t="s">
        <v>1990</v>
      </c>
      <c r="N582" s="104" t="s">
        <v>1991</v>
      </c>
      <c r="O582" s="101">
        <v>45740</v>
      </c>
      <c r="P582" s="101">
        <v>45807</v>
      </c>
      <c r="Q582" s="101">
        <v>45767</v>
      </c>
      <c r="R582" s="101">
        <v>45773</v>
      </c>
      <c r="S582" s="184">
        <v>17</v>
      </c>
      <c r="T582" s="102">
        <v>10</v>
      </c>
      <c r="U582" s="102">
        <v>25</v>
      </c>
      <c r="V582" s="102">
        <v>0</v>
      </c>
      <c r="W582" s="102">
        <v>5</v>
      </c>
      <c r="X582" s="103">
        <v>0</v>
      </c>
      <c r="Y582" s="103">
        <v>0</v>
      </c>
      <c r="Z582" s="103">
        <v>0</v>
      </c>
      <c r="AC582" s="102">
        <v>0</v>
      </c>
    </row>
    <row r="583" spans="1:29">
      <c r="A583" s="104" t="s">
        <v>1467</v>
      </c>
      <c r="B583" s="104" t="s">
        <v>1918</v>
      </c>
      <c r="C583" s="104" t="s">
        <v>1465</v>
      </c>
      <c r="D583" s="104" t="s">
        <v>1705</v>
      </c>
      <c r="E583" s="104" t="s">
        <v>1782</v>
      </c>
      <c r="F583" s="104" t="s">
        <v>1917</v>
      </c>
      <c r="G583" s="104" t="s">
        <v>1918</v>
      </c>
      <c r="M583" s="104" t="s">
        <v>1990</v>
      </c>
      <c r="N583" s="104" t="s">
        <v>1991</v>
      </c>
      <c r="O583" s="101">
        <v>45740</v>
      </c>
      <c r="P583" s="101">
        <v>45807</v>
      </c>
      <c r="Q583" s="101">
        <v>45774</v>
      </c>
      <c r="R583" s="101">
        <v>45780</v>
      </c>
      <c r="S583" s="184">
        <v>18</v>
      </c>
      <c r="T583" s="102">
        <v>11</v>
      </c>
      <c r="U583" s="102">
        <v>20</v>
      </c>
      <c r="V583" s="102">
        <v>0</v>
      </c>
      <c r="W583" s="102">
        <v>5</v>
      </c>
      <c r="X583" s="103">
        <v>0</v>
      </c>
      <c r="Y583" s="103">
        <v>0</v>
      </c>
      <c r="Z583" s="103">
        <v>0</v>
      </c>
      <c r="AC583" s="102">
        <v>0</v>
      </c>
    </row>
    <row r="584" spans="1:29">
      <c r="A584" s="104" t="s">
        <v>1467</v>
      </c>
      <c r="B584" s="104" t="s">
        <v>1918</v>
      </c>
      <c r="C584" s="104" t="s">
        <v>1465</v>
      </c>
      <c r="D584" s="104" t="s">
        <v>1705</v>
      </c>
      <c r="E584" s="104" t="s">
        <v>1782</v>
      </c>
      <c r="F584" s="104" t="s">
        <v>1917</v>
      </c>
      <c r="G584" s="104" t="s">
        <v>1918</v>
      </c>
      <c r="M584" s="104" t="s">
        <v>1990</v>
      </c>
      <c r="N584" s="104" t="s">
        <v>1991</v>
      </c>
      <c r="O584" s="101">
        <v>45740</v>
      </c>
      <c r="P584" s="101">
        <v>45807</v>
      </c>
      <c r="Q584" s="101">
        <v>45781</v>
      </c>
      <c r="R584" s="101">
        <v>45787</v>
      </c>
      <c r="S584" s="184">
        <v>19</v>
      </c>
      <c r="T584" s="102">
        <v>12</v>
      </c>
      <c r="U584" s="102">
        <v>20</v>
      </c>
      <c r="V584" s="102">
        <v>0</v>
      </c>
      <c r="W584" s="102">
        <v>5</v>
      </c>
      <c r="X584" s="103">
        <v>0</v>
      </c>
      <c r="Y584" s="103">
        <v>0</v>
      </c>
      <c r="Z584" s="103">
        <v>0</v>
      </c>
      <c r="AC584" s="102">
        <v>0</v>
      </c>
    </row>
    <row r="585" spans="1:29">
      <c r="A585" s="104" t="s">
        <v>1467</v>
      </c>
      <c r="B585" s="104" t="s">
        <v>1918</v>
      </c>
      <c r="C585" s="104" t="s">
        <v>1465</v>
      </c>
      <c r="D585" s="104" t="s">
        <v>1705</v>
      </c>
      <c r="E585" s="104" t="s">
        <v>1782</v>
      </c>
      <c r="F585" s="104" t="s">
        <v>1917</v>
      </c>
      <c r="G585" s="104" t="s">
        <v>1918</v>
      </c>
      <c r="M585" s="104" t="s">
        <v>1990</v>
      </c>
      <c r="N585" s="104" t="s">
        <v>1991</v>
      </c>
      <c r="O585" s="101">
        <v>45740</v>
      </c>
      <c r="P585" s="101">
        <v>45807</v>
      </c>
      <c r="Q585" s="101">
        <v>45788</v>
      </c>
      <c r="R585" s="101">
        <v>45794</v>
      </c>
      <c r="S585" s="184">
        <v>20</v>
      </c>
      <c r="T585" s="102">
        <v>13</v>
      </c>
      <c r="U585" s="102">
        <v>25</v>
      </c>
      <c r="V585" s="102">
        <v>0</v>
      </c>
      <c r="W585" s="102">
        <v>5</v>
      </c>
      <c r="X585" s="103">
        <v>0</v>
      </c>
      <c r="Y585" s="103">
        <v>0</v>
      </c>
      <c r="Z585" s="103">
        <v>0</v>
      </c>
      <c r="AC585" s="102">
        <v>0</v>
      </c>
    </row>
    <row r="586" spans="1:29">
      <c r="A586" s="104" t="s">
        <v>1467</v>
      </c>
      <c r="B586" s="104" t="s">
        <v>1918</v>
      </c>
      <c r="C586" s="104" t="s">
        <v>1465</v>
      </c>
      <c r="D586" s="104" t="s">
        <v>1705</v>
      </c>
      <c r="E586" s="104" t="s">
        <v>1782</v>
      </c>
      <c r="F586" s="104" t="s">
        <v>1917</v>
      </c>
      <c r="G586" s="104" t="s">
        <v>1918</v>
      </c>
      <c r="M586" s="104" t="s">
        <v>1990</v>
      </c>
      <c r="N586" s="104" t="s">
        <v>1991</v>
      </c>
      <c r="O586" s="101">
        <v>45740</v>
      </c>
      <c r="P586" s="101">
        <v>45807</v>
      </c>
      <c r="Q586" s="101">
        <v>45795</v>
      </c>
      <c r="R586" s="101">
        <v>45801</v>
      </c>
      <c r="S586" s="184">
        <v>21</v>
      </c>
      <c r="T586" s="102">
        <v>14</v>
      </c>
      <c r="U586" s="102">
        <v>25</v>
      </c>
      <c r="V586" s="102">
        <v>0</v>
      </c>
      <c r="W586" s="102">
        <v>5</v>
      </c>
      <c r="X586" s="103">
        <v>0</v>
      </c>
      <c r="Y586" s="103">
        <v>0</v>
      </c>
      <c r="Z586" s="103">
        <v>0</v>
      </c>
      <c r="AC586" s="102">
        <v>0</v>
      </c>
    </row>
    <row r="587" spans="1:29">
      <c r="A587" s="104" t="s">
        <v>1467</v>
      </c>
      <c r="B587" s="104" t="s">
        <v>1918</v>
      </c>
      <c r="C587" s="104" t="s">
        <v>1465</v>
      </c>
      <c r="D587" s="104" t="s">
        <v>1705</v>
      </c>
      <c r="E587" s="104" t="s">
        <v>1782</v>
      </c>
      <c r="F587" s="104" t="s">
        <v>1917</v>
      </c>
      <c r="G587" s="104" t="s">
        <v>1918</v>
      </c>
      <c r="M587" s="104" t="s">
        <v>1990</v>
      </c>
      <c r="N587" s="104" t="s">
        <v>1991</v>
      </c>
      <c r="O587" s="101">
        <v>45740</v>
      </c>
      <c r="P587" s="101">
        <v>45807</v>
      </c>
      <c r="Q587" s="101">
        <v>45802</v>
      </c>
      <c r="R587" s="101">
        <v>45808</v>
      </c>
      <c r="S587" s="184">
        <v>22</v>
      </c>
      <c r="T587" s="102">
        <v>15</v>
      </c>
      <c r="U587" s="102">
        <v>25</v>
      </c>
      <c r="V587" s="102">
        <v>0</v>
      </c>
      <c r="W587" s="102">
        <v>5</v>
      </c>
      <c r="X587" s="103">
        <v>0</v>
      </c>
      <c r="Y587" s="103">
        <v>0</v>
      </c>
      <c r="Z587" s="103">
        <v>0</v>
      </c>
      <c r="AC587" s="102">
        <v>0</v>
      </c>
    </row>
    <row r="588" spans="1:29">
      <c r="A588" s="104" t="s">
        <v>1467</v>
      </c>
      <c r="B588" s="104" t="s">
        <v>1919</v>
      </c>
      <c r="C588" s="104" t="s">
        <v>1465</v>
      </c>
      <c r="D588" s="104" t="s">
        <v>1705</v>
      </c>
      <c r="E588" s="104" t="s">
        <v>1782</v>
      </c>
      <c r="F588" s="104" t="s">
        <v>1917</v>
      </c>
      <c r="G588" s="104" t="s">
        <v>1919</v>
      </c>
      <c r="M588" s="104" t="s">
        <v>1992</v>
      </c>
      <c r="N588" s="104" t="s">
        <v>1993</v>
      </c>
      <c r="O588" s="101">
        <v>45740</v>
      </c>
      <c r="P588" s="101">
        <v>45828</v>
      </c>
      <c r="Q588" s="101">
        <v>45739</v>
      </c>
      <c r="R588" s="101">
        <v>45745</v>
      </c>
      <c r="S588" s="184">
        <v>13</v>
      </c>
      <c r="T588" s="102">
        <v>6</v>
      </c>
      <c r="U588" s="102">
        <v>25</v>
      </c>
      <c r="V588" s="102">
        <v>0</v>
      </c>
      <c r="W588" s="102">
        <v>5</v>
      </c>
      <c r="X588" s="103">
        <v>0</v>
      </c>
      <c r="Y588" s="103">
        <v>0</v>
      </c>
      <c r="Z588" s="103">
        <v>0</v>
      </c>
      <c r="AC588" s="102">
        <v>0</v>
      </c>
    </row>
    <row r="589" spans="1:29">
      <c r="A589" s="104" t="s">
        <v>1467</v>
      </c>
      <c r="B589" s="104" t="s">
        <v>1919</v>
      </c>
      <c r="C589" s="104" t="s">
        <v>1465</v>
      </c>
      <c r="D589" s="104" t="s">
        <v>1705</v>
      </c>
      <c r="E589" s="104" t="s">
        <v>1782</v>
      </c>
      <c r="F589" s="104" t="s">
        <v>1917</v>
      </c>
      <c r="G589" s="104" t="s">
        <v>1919</v>
      </c>
      <c r="M589" s="104" t="s">
        <v>1992</v>
      </c>
      <c r="N589" s="104" t="s">
        <v>1993</v>
      </c>
      <c r="O589" s="101">
        <v>45740</v>
      </c>
      <c r="P589" s="101">
        <v>45828</v>
      </c>
      <c r="Q589" s="101">
        <v>45746</v>
      </c>
      <c r="R589" s="101">
        <v>45752</v>
      </c>
      <c r="S589" s="184">
        <v>14</v>
      </c>
      <c r="T589" s="102">
        <v>7</v>
      </c>
      <c r="U589" s="102">
        <v>25</v>
      </c>
      <c r="V589" s="102">
        <v>0</v>
      </c>
      <c r="W589" s="102">
        <v>5</v>
      </c>
      <c r="X589" s="103">
        <v>0</v>
      </c>
      <c r="Y589" s="103">
        <v>0</v>
      </c>
      <c r="Z589" s="103">
        <v>0</v>
      </c>
      <c r="AC589" s="102">
        <v>0</v>
      </c>
    </row>
    <row r="590" spans="1:29">
      <c r="A590" s="104" t="s">
        <v>1467</v>
      </c>
      <c r="B590" s="104" t="s">
        <v>1919</v>
      </c>
      <c r="C590" s="104" t="s">
        <v>1465</v>
      </c>
      <c r="D590" s="104" t="s">
        <v>1705</v>
      </c>
      <c r="E590" s="104" t="s">
        <v>1782</v>
      </c>
      <c r="F590" s="104" t="s">
        <v>1917</v>
      </c>
      <c r="G590" s="104" t="s">
        <v>1919</v>
      </c>
      <c r="M590" s="104" t="s">
        <v>1992</v>
      </c>
      <c r="N590" s="104" t="s">
        <v>1993</v>
      </c>
      <c r="O590" s="101">
        <v>45740</v>
      </c>
      <c r="P590" s="101">
        <v>45828</v>
      </c>
      <c r="Q590" s="101">
        <v>45753</v>
      </c>
      <c r="R590" s="101">
        <v>45759</v>
      </c>
      <c r="S590" s="184">
        <v>15</v>
      </c>
      <c r="T590" s="102">
        <v>8</v>
      </c>
      <c r="U590" s="102">
        <v>25</v>
      </c>
      <c r="V590" s="102">
        <v>0</v>
      </c>
      <c r="W590" s="102">
        <v>5</v>
      </c>
      <c r="X590" s="103">
        <v>0</v>
      </c>
      <c r="Y590" s="103">
        <v>0</v>
      </c>
      <c r="Z590" s="103">
        <v>0</v>
      </c>
      <c r="AC590" s="102">
        <v>0</v>
      </c>
    </row>
    <row r="591" spans="1:29">
      <c r="A591" s="104" t="s">
        <v>1467</v>
      </c>
      <c r="B591" s="104" t="s">
        <v>1919</v>
      </c>
      <c r="C591" s="104" t="s">
        <v>1465</v>
      </c>
      <c r="D591" s="104" t="s">
        <v>1705</v>
      </c>
      <c r="E591" s="104" t="s">
        <v>1782</v>
      </c>
      <c r="F591" s="104" t="s">
        <v>1917</v>
      </c>
      <c r="G591" s="104" t="s">
        <v>1919</v>
      </c>
      <c r="M591" s="104" t="s">
        <v>1992</v>
      </c>
      <c r="N591" s="104" t="s">
        <v>1993</v>
      </c>
      <c r="O591" s="101">
        <v>45740</v>
      </c>
      <c r="P591" s="101">
        <v>45828</v>
      </c>
      <c r="Q591" s="101">
        <v>45760</v>
      </c>
      <c r="R591" s="101">
        <v>45766</v>
      </c>
      <c r="S591" s="184">
        <v>16</v>
      </c>
      <c r="T591" s="102">
        <v>9</v>
      </c>
      <c r="U591" s="102">
        <v>25</v>
      </c>
      <c r="V591" s="102">
        <v>0</v>
      </c>
      <c r="W591" s="102">
        <v>5</v>
      </c>
      <c r="X591" s="103">
        <v>0</v>
      </c>
      <c r="Y591" s="103">
        <v>0</v>
      </c>
      <c r="Z591" s="103">
        <v>0</v>
      </c>
      <c r="AC591" s="102">
        <v>0</v>
      </c>
    </row>
    <row r="592" spans="1:29">
      <c r="A592" s="104" t="s">
        <v>1467</v>
      </c>
      <c r="B592" s="104" t="s">
        <v>1919</v>
      </c>
      <c r="C592" s="104" t="s">
        <v>1465</v>
      </c>
      <c r="D592" s="104" t="s">
        <v>1705</v>
      </c>
      <c r="E592" s="104" t="s">
        <v>1782</v>
      </c>
      <c r="F592" s="104" t="s">
        <v>1917</v>
      </c>
      <c r="G592" s="104" t="s">
        <v>1919</v>
      </c>
      <c r="M592" s="104" t="s">
        <v>1992</v>
      </c>
      <c r="N592" s="104" t="s">
        <v>1993</v>
      </c>
      <c r="O592" s="101">
        <v>45740</v>
      </c>
      <c r="P592" s="101">
        <v>45828</v>
      </c>
      <c r="Q592" s="101">
        <v>45767</v>
      </c>
      <c r="R592" s="101">
        <v>45773</v>
      </c>
      <c r="S592" s="184">
        <v>17</v>
      </c>
      <c r="T592" s="102">
        <v>10</v>
      </c>
      <c r="U592" s="102">
        <v>25</v>
      </c>
      <c r="V592" s="102">
        <v>0</v>
      </c>
      <c r="W592" s="102">
        <v>5</v>
      </c>
      <c r="X592" s="103">
        <v>0</v>
      </c>
      <c r="Y592" s="103">
        <v>0</v>
      </c>
      <c r="Z592" s="103">
        <v>0</v>
      </c>
      <c r="AC592" s="102">
        <v>0</v>
      </c>
    </row>
    <row r="593" spans="1:29">
      <c r="A593" s="104" t="s">
        <v>1467</v>
      </c>
      <c r="B593" s="104" t="s">
        <v>1919</v>
      </c>
      <c r="C593" s="104" t="s">
        <v>1465</v>
      </c>
      <c r="D593" s="104" t="s">
        <v>1705</v>
      </c>
      <c r="E593" s="104" t="s">
        <v>1782</v>
      </c>
      <c r="F593" s="104" t="s">
        <v>1917</v>
      </c>
      <c r="G593" s="104" t="s">
        <v>1919</v>
      </c>
      <c r="M593" s="104" t="s">
        <v>1992</v>
      </c>
      <c r="N593" s="104" t="s">
        <v>1993</v>
      </c>
      <c r="O593" s="101">
        <v>45740</v>
      </c>
      <c r="P593" s="101">
        <v>45828</v>
      </c>
      <c r="Q593" s="101">
        <v>45774</v>
      </c>
      <c r="R593" s="101">
        <v>45780</v>
      </c>
      <c r="S593" s="184">
        <v>18</v>
      </c>
      <c r="T593" s="102">
        <v>11</v>
      </c>
      <c r="U593" s="102">
        <v>20</v>
      </c>
      <c r="V593" s="102">
        <v>0</v>
      </c>
      <c r="W593" s="102">
        <v>5</v>
      </c>
      <c r="X593" s="103">
        <v>0</v>
      </c>
      <c r="Y593" s="103">
        <v>0</v>
      </c>
      <c r="Z593" s="103">
        <v>0</v>
      </c>
      <c r="AC593" s="102">
        <v>0</v>
      </c>
    </row>
    <row r="594" spans="1:29">
      <c r="A594" s="104" t="s">
        <v>1467</v>
      </c>
      <c r="B594" s="104" t="s">
        <v>1919</v>
      </c>
      <c r="C594" s="104" t="s">
        <v>1465</v>
      </c>
      <c r="D594" s="104" t="s">
        <v>1705</v>
      </c>
      <c r="E594" s="104" t="s">
        <v>1782</v>
      </c>
      <c r="F594" s="104" t="s">
        <v>1917</v>
      </c>
      <c r="G594" s="104" t="s">
        <v>1919</v>
      </c>
      <c r="M594" s="104" t="s">
        <v>1992</v>
      </c>
      <c r="N594" s="104" t="s">
        <v>1993</v>
      </c>
      <c r="O594" s="101">
        <v>45740</v>
      </c>
      <c r="P594" s="101">
        <v>45828</v>
      </c>
      <c r="Q594" s="101">
        <v>45781</v>
      </c>
      <c r="R594" s="101">
        <v>45787</v>
      </c>
      <c r="S594" s="184">
        <v>19</v>
      </c>
      <c r="T594" s="102">
        <v>12</v>
      </c>
      <c r="U594" s="102">
        <v>20</v>
      </c>
      <c r="V594" s="102">
        <v>0</v>
      </c>
      <c r="W594" s="102">
        <v>5</v>
      </c>
      <c r="X594" s="103">
        <v>0</v>
      </c>
      <c r="Y594" s="103">
        <v>0</v>
      </c>
      <c r="Z594" s="103">
        <v>0</v>
      </c>
      <c r="AC594" s="102">
        <v>0</v>
      </c>
    </row>
    <row r="595" spans="1:29">
      <c r="A595" s="104" t="s">
        <v>1467</v>
      </c>
      <c r="B595" s="104" t="s">
        <v>1919</v>
      </c>
      <c r="C595" s="104" t="s">
        <v>1465</v>
      </c>
      <c r="D595" s="104" t="s">
        <v>1705</v>
      </c>
      <c r="E595" s="104" t="s">
        <v>1782</v>
      </c>
      <c r="F595" s="104" t="s">
        <v>1917</v>
      </c>
      <c r="G595" s="104" t="s">
        <v>1919</v>
      </c>
      <c r="M595" s="104" t="s">
        <v>1992</v>
      </c>
      <c r="N595" s="104" t="s">
        <v>1993</v>
      </c>
      <c r="O595" s="101">
        <v>45740</v>
      </c>
      <c r="P595" s="101">
        <v>45828</v>
      </c>
      <c r="Q595" s="101">
        <v>45788</v>
      </c>
      <c r="R595" s="101">
        <v>45794</v>
      </c>
      <c r="S595" s="184">
        <v>20</v>
      </c>
      <c r="T595" s="102">
        <v>13</v>
      </c>
      <c r="U595" s="102">
        <v>25</v>
      </c>
      <c r="V595" s="102">
        <v>0</v>
      </c>
      <c r="W595" s="102">
        <v>5</v>
      </c>
      <c r="X595" s="103">
        <v>0</v>
      </c>
      <c r="Y595" s="103">
        <v>0</v>
      </c>
      <c r="Z595" s="103">
        <v>0</v>
      </c>
      <c r="AC595" s="102">
        <v>0</v>
      </c>
    </row>
    <row r="596" spans="1:29">
      <c r="A596" s="104" t="s">
        <v>1467</v>
      </c>
      <c r="B596" s="104" t="s">
        <v>1919</v>
      </c>
      <c r="C596" s="104" t="s">
        <v>1465</v>
      </c>
      <c r="D596" s="104" t="s">
        <v>1705</v>
      </c>
      <c r="E596" s="104" t="s">
        <v>1782</v>
      </c>
      <c r="F596" s="104" t="s">
        <v>1917</v>
      </c>
      <c r="G596" s="104" t="s">
        <v>1919</v>
      </c>
      <c r="M596" s="104" t="s">
        <v>1992</v>
      </c>
      <c r="N596" s="104" t="s">
        <v>1993</v>
      </c>
      <c r="O596" s="101">
        <v>45740</v>
      </c>
      <c r="P596" s="101">
        <v>45828</v>
      </c>
      <c r="Q596" s="101">
        <v>45795</v>
      </c>
      <c r="R596" s="101">
        <v>45801</v>
      </c>
      <c r="S596" s="184">
        <v>21</v>
      </c>
      <c r="T596" s="102">
        <v>14</v>
      </c>
      <c r="U596" s="102">
        <v>25</v>
      </c>
      <c r="V596" s="102">
        <v>0</v>
      </c>
      <c r="W596" s="102">
        <v>5</v>
      </c>
      <c r="X596" s="103">
        <v>0</v>
      </c>
      <c r="Y596" s="103">
        <v>0</v>
      </c>
      <c r="Z596" s="103">
        <v>0</v>
      </c>
      <c r="AC596" s="102">
        <v>0</v>
      </c>
    </row>
    <row r="597" spans="1:29">
      <c r="A597" s="104" t="s">
        <v>1467</v>
      </c>
      <c r="B597" s="104" t="s">
        <v>1919</v>
      </c>
      <c r="C597" s="104" t="s">
        <v>1465</v>
      </c>
      <c r="D597" s="104" t="s">
        <v>1705</v>
      </c>
      <c r="E597" s="104" t="s">
        <v>1782</v>
      </c>
      <c r="F597" s="104" t="s">
        <v>1917</v>
      </c>
      <c r="G597" s="104" t="s">
        <v>1919</v>
      </c>
      <c r="M597" s="104" t="s">
        <v>1992</v>
      </c>
      <c r="N597" s="104" t="s">
        <v>1993</v>
      </c>
      <c r="O597" s="101">
        <v>45740</v>
      </c>
      <c r="P597" s="101">
        <v>45828</v>
      </c>
      <c r="Q597" s="101">
        <v>45802</v>
      </c>
      <c r="R597" s="101">
        <v>45808</v>
      </c>
      <c r="S597" s="184">
        <v>22</v>
      </c>
      <c r="T597" s="102">
        <v>15</v>
      </c>
      <c r="U597" s="102">
        <v>25</v>
      </c>
      <c r="V597" s="102">
        <v>0</v>
      </c>
      <c r="W597" s="102">
        <v>5</v>
      </c>
      <c r="X597" s="103">
        <v>0</v>
      </c>
      <c r="Y597" s="103">
        <v>0</v>
      </c>
      <c r="Z597" s="103">
        <v>0</v>
      </c>
      <c r="AC597" s="102">
        <v>0</v>
      </c>
    </row>
    <row r="598" spans="1:29">
      <c r="A598" s="104" t="s">
        <v>1467</v>
      </c>
      <c r="B598" s="104" t="s">
        <v>1919</v>
      </c>
      <c r="C598" s="104" t="s">
        <v>1465</v>
      </c>
      <c r="D598" s="104" t="s">
        <v>1705</v>
      </c>
      <c r="E598" s="104" t="s">
        <v>1782</v>
      </c>
      <c r="F598" s="104" t="s">
        <v>1917</v>
      </c>
      <c r="G598" s="104" t="s">
        <v>1919</v>
      </c>
      <c r="M598" s="104" t="s">
        <v>1992</v>
      </c>
      <c r="N598" s="104" t="s">
        <v>1993</v>
      </c>
      <c r="O598" s="101">
        <v>45740</v>
      </c>
      <c r="P598" s="101">
        <v>45828</v>
      </c>
      <c r="Q598" s="101">
        <v>45809</v>
      </c>
      <c r="R598" s="101">
        <v>45815</v>
      </c>
      <c r="S598" s="184">
        <v>23</v>
      </c>
      <c r="T598" s="102">
        <v>16</v>
      </c>
      <c r="U598" s="102">
        <v>20</v>
      </c>
      <c r="V598" s="102">
        <v>0</v>
      </c>
      <c r="W598" s="102">
        <v>5</v>
      </c>
      <c r="X598" s="103">
        <v>0</v>
      </c>
      <c r="Y598" s="103">
        <v>0</v>
      </c>
      <c r="Z598" s="103">
        <v>0</v>
      </c>
      <c r="AC598" s="102">
        <v>0</v>
      </c>
    </row>
    <row r="599" spans="1:29">
      <c r="A599" s="104" t="s">
        <v>1467</v>
      </c>
      <c r="B599" s="104" t="s">
        <v>1919</v>
      </c>
      <c r="C599" s="104" t="s">
        <v>1465</v>
      </c>
      <c r="D599" s="104" t="s">
        <v>1705</v>
      </c>
      <c r="E599" s="104" t="s">
        <v>1782</v>
      </c>
      <c r="F599" s="104" t="s">
        <v>1917</v>
      </c>
      <c r="G599" s="104" t="s">
        <v>1919</v>
      </c>
      <c r="M599" s="104" t="s">
        <v>1992</v>
      </c>
      <c r="N599" s="104" t="s">
        <v>1993</v>
      </c>
      <c r="O599" s="101">
        <v>45740</v>
      </c>
      <c r="P599" s="101">
        <v>45828</v>
      </c>
      <c r="Q599" s="101">
        <v>45816</v>
      </c>
      <c r="R599" s="101">
        <v>45822</v>
      </c>
      <c r="S599" s="184">
        <v>24</v>
      </c>
      <c r="T599" s="102">
        <v>17</v>
      </c>
      <c r="U599" s="102">
        <v>25</v>
      </c>
      <c r="V599" s="102">
        <v>0</v>
      </c>
      <c r="W599" s="102">
        <v>5</v>
      </c>
      <c r="X599" s="103">
        <v>0</v>
      </c>
      <c r="Y599" s="103">
        <v>0</v>
      </c>
      <c r="Z599" s="103">
        <v>0</v>
      </c>
      <c r="AC599" s="102">
        <v>0</v>
      </c>
    </row>
    <row r="600" spans="1:29">
      <c r="A600" s="104" t="s">
        <v>1467</v>
      </c>
      <c r="B600" s="104" t="s">
        <v>1919</v>
      </c>
      <c r="C600" s="104" t="s">
        <v>1465</v>
      </c>
      <c r="D600" s="104" t="s">
        <v>1705</v>
      </c>
      <c r="E600" s="104" t="s">
        <v>1782</v>
      </c>
      <c r="F600" s="104" t="s">
        <v>1917</v>
      </c>
      <c r="G600" s="104" t="s">
        <v>1919</v>
      </c>
      <c r="M600" s="104" t="s">
        <v>1992</v>
      </c>
      <c r="N600" s="104" t="s">
        <v>1993</v>
      </c>
      <c r="O600" s="101">
        <v>45740</v>
      </c>
      <c r="P600" s="101">
        <v>45828</v>
      </c>
      <c r="Q600" s="101">
        <v>45823</v>
      </c>
      <c r="R600" s="101">
        <v>45829</v>
      </c>
      <c r="S600" s="184">
        <v>25</v>
      </c>
      <c r="T600" s="102">
        <v>18</v>
      </c>
      <c r="U600" s="102">
        <v>25</v>
      </c>
      <c r="V600" s="102">
        <v>0</v>
      </c>
      <c r="W600" s="102">
        <v>5</v>
      </c>
      <c r="X600" s="103">
        <v>0</v>
      </c>
      <c r="Y600" s="103">
        <v>0</v>
      </c>
      <c r="Z600" s="103">
        <v>0</v>
      </c>
      <c r="AC600" s="102">
        <v>0</v>
      </c>
    </row>
    <row r="601" spans="1:29">
      <c r="A601" s="104" t="s">
        <v>1467</v>
      </c>
      <c r="B601" s="104" t="s">
        <v>1994</v>
      </c>
      <c r="C601" s="104" t="s">
        <v>1465</v>
      </c>
      <c r="D601" s="104" t="s">
        <v>1705</v>
      </c>
      <c r="E601" s="104" t="s">
        <v>1782</v>
      </c>
      <c r="F601" s="104" t="s">
        <v>1917</v>
      </c>
      <c r="G601" s="104" t="s">
        <v>1994</v>
      </c>
      <c r="M601" s="104" t="s">
        <v>1995</v>
      </c>
      <c r="N601" s="104" t="s">
        <v>1993</v>
      </c>
      <c r="O601" s="101">
        <v>45831</v>
      </c>
      <c r="P601" s="101">
        <v>45849</v>
      </c>
      <c r="Q601" s="101">
        <v>45830</v>
      </c>
      <c r="R601" s="101">
        <v>45836</v>
      </c>
      <c r="S601" s="184">
        <v>26</v>
      </c>
      <c r="T601" s="102">
        <v>19</v>
      </c>
      <c r="U601" s="102">
        <v>25</v>
      </c>
      <c r="V601" s="102">
        <v>0</v>
      </c>
      <c r="W601" s="102">
        <v>5</v>
      </c>
      <c r="X601" s="103">
        <v>0</v>
      </c>
      <c r="Y601" s="103">
        <v>0</v>
      </c>
      <c r="Z601" s="103">
        <v>0</v>
      </c>
      <c r="AC601" s="102">
        <v>0</v>
      </c>
    </row>
    <row r="602" spans="1:29">
      <c r="A602" s="104" t="s">
        <v>1467</v>
      </c>
      <c r="B602" s="104" t="s">
        <v>1994</v>
      </c>
      <c r="C602" s="104" t="s">
        <v>1465</v>
      </c>
      <c r="D602" s="104" t="s">
        <v>1705</v>
      </c>
      <c r="E602" s="104" t="s">
        <v>1782</v>
      </c>
      <c r="F602" s="104" t="s">
        <v>1917</v>
      </c>
      <c r="G602" s="104" t="s">
        <v>1994</v>
      </c>
      <c r="M602" s="104" t="s">
        <v>1995</v>
      </c>
      <c r="N602" s="104" t="s">
        <v>1993</v>
      </c>
      <c r="O602" s="101">
        <v>45831</v>
      </c>
      <c r="P602" s="101">
        <v>45849</v>
      </c>
      <c r="Q602" s="101">
        <v>45837</v>
      </c>
      <c r="R602" s="101">
        <v>45843</v>
      </c>
      <c r="S602" s="184">
        <v>27</v>
      </c>
      <c r="T602" s="102">
        <v>20</v>
      </c>
      <c r="U602" s="102">
        <v>25</v>
      </c>
      <c r="V602" s="102">
        <v>0</v>
      </c>
      <c r="W602" s="102">
        <v>5</v>
      </c>
      <c r="X602" s="103">
        <v>0</v>
      </c>
      <c r="Y602" s="103">
        <v>0</v>
      </c>
      <c r="Z602" s="103">
        <v>0</v>
      </c>
      <c r="AC602" s="102">
        <v>0</v>
      </c>
    </row>
    <row r="603" spans="1:29">
      <c r="A603" s="104" t="s">
        <v>1467</v>
      </c>
      <c r="B603" s="104" t="s">
        <v>1994</v>
      </c>
      <c r="C603" s="104" t="s">
        <v>1465</v>
      </c>
      <c r="D603" s="104" t="s">
        <v>1705</v>
      </c>
      <c r="E603" s="104" t="s">
        <v>1782</v>
      </c>
      <c r="F603" s="104" t="s">
        <v>1917</v>
      </c>
      <c r="G603" s="104" t="s">
        <v>1994</v>
      </c>
      <c r="M603" s="104" t="s">
        <v>1995</v>
      </c>
      <c r="N603" s="104" t="s">
        <v>1993</v>
      </c>
      <c r="O603" s="101">
        <v>45831</v>
      </c>
      <c r="P603" s="101">
        <v>45849</v>
      </c>
      <c r="Q603" s="101">
        <v>45844</v>
      </c>
      <c r="R603" s="101">
        <v>45850</v>
      </c>
      <c r="S603" s="184">
        <v>28</v>
      </c>
      <c r="T603" s="102">
        <v>21</v>
      </c>
      <c r="U603" s="102">
        <v>25</v>
      </c>
      <c r="V603" s="102">
        <v>0</v>
      </c>
      <c r="W603" s="102">
        <v>5</v>
      </c>
      <c r="X603" s="103">
        <v>0</v>
      </c>
      <c r="Y603" s="103">
        <v>0</v>
      </c>
      <c r="Z603" s="103">
        <v>0</v>
      </c>
      <c r="AC603" s="102">
        <v>0</v>
      </c>
    </row>
    <row r="604" spans="1:29">
      <c r="A604" s="104" t="s">
        <v>1467</v>
      </c>
      <c r="B604" s="104" t="s">
        <v>1996</v>
      </c>
      <c r="C604" s="104" t="s">
        <v>1465</v>
      </c>
      <c r="D604" s="104" t="s">
        <v>1705</v>
      </c>
      <c r="E604" s="104" t="s">
        <v>1782</v>
      </c>
      <c r="F604" s="104" t="s">
        <v>1917</v>
      </c>
      <c r="G604" s="104" t="s">
        <v>1996</v>
      </c>
      <c r="M604" s="104" t="s">
        <v>1997</v>
      </c>
      <c r="N604" s="104" t="s">
        <v>1851</v>
      </c>
      <c r="O604" s="101">
        <v>45740</v>
      </c>
      <c r="P604" s="101">
        <v>45849</v>
      </c>
      <c r="Q604" s="101">
        <v>45739</v>
      </c>
      <c r="R604" s="101">
        <v>45745</v>
      </c>
      <c r="S604" s="184">
        <v>13</v>
      </c>
      <c r="T604" s="102">
        <v>6</v>
      </c>
      <c r="U604" s="102">
        <v>25</v>
      </c>
      <c r="V604" s="102">
        <v>0</v>
      </c>
      <c r="W604" s="102">
        <v>5</v>
      </c>
      <c r="X604" s="103">
        <v>0</v>
      </c>
      <c r="Y604" s="103">
        <v>0</v>
      </c>
      <c r="Z604" s="103">
        <v>0</v>
      </c>
      <c r="AC604" s="102">
        <v>0</v>
      </c>
    </row>
    <row r="605" spans="1:29">
      <c r="A605" s="104" t="s">
        <v>1467</v>
      </c>
      <c r="B605" s="104" t="s">
        <v>1996</v>
      </c>
      <c r="C605" s="104" t="s">
        <v>1465</v>
      </c>
      <c r="D605" s="104" t="s">
        <v>1705</v>
      </c>
      <c r="E605" s="104" t="s">
        <v>1782</v>
      </c>
      <c r="F605" s="104" t="s">
        <v>1917</v>
      </c>
      <c r="G605" s="104" t="s">
        <v>1996</v>
      </c>
      <c r="M605" s="104" t="s">
        <v>1997</v>
      </c>
      <c r="N605" s="104" t="s">
        <v>1851</v>
      </c>
      <c r="O605" s="101">
        <v>45740</v>
      </c>
      <c r="P605" s="101">
        <v>45849</v>
      </c>
      <c r="Q605" s="101">
        <v>45746</v>
      </c>
      <c r="R605" s="101">
        <v>45752</v>
      </c>
      <c r="S605" s="184">
        <v>14</v>
      </c>
      <c r="T605" s="102">
        <v>7</v>
      </c>
      <c r="U605" s="102">
        <v>25</v>
      </c>
      <c r="V605" s="102">
        <v>0</v>
      </c>
      <c r="W605" s="102">
        <v>5</v>
      </c>
      <c r="X605" s="103">
        <v>0</v>
      </c>
      <c r="Y605" s="103">
        <v>0</v>
      </c>
      <c r="Z605" s="103">
        <v>0</v>
      </c>
      <c r="AC605" s="102">
        <v>0</v>
      </c>
    </row>
    <row r="606" spans="1:29">
      <c r="A606" s="104" t="s">
        <v>1467</v>
      </c>
      <c r="B606" s="104" t="s">
        <v>1996</v>
      </c>
      <c r="C606" s="104" t="s">
        <v>1465</v>
      </c>
      <c r="D606" s="104" t="s">
        <v>1705</v>
      </c>
      <c r="E606" s="104" t="s">
        <v>1782</v>
      </c>
      <c r="F606" s="104" t="s">
        <v>1917</v>
      </c>
      <c r="G606" s="104" t="s">
        <v>1996</v>
      </c>
      <c r="M606" s="104" t="s">
        <v>1997</v>
      </c>
      <c r="N606" s="104" t="s">
        <v>1851</v>
      </c>
      <c r="O606" s="101">
        <v>45740</v>
      </c>
      <c r="P606" s="101">
        <v>45849</v>
      </c>
      <c r="Q606" s="101">
        <v>45753</v>
      </c>
      <c r="R606" s="101">
        <v>45759</v>
      </c>
      <c r="S606" s="184">
        <v>15</v>
      </c>
      <c r="T606" s="102">
        <v>8</v>
      </c>
      <c r="U606" s="102">
        <v>25</v>
      </c>
      <c r="V606" s="102">
        <v>0</v>
      </c>
      <c r="W606" s="102">
        <v>5</v>
      </c>
      <c r="X606" s="103">
        <v>0</v>
      </c>
      <c r="Y606" s="103">
        <v>0</v>
      </c>
      <c r="Z606" s="103">
        <v>0</v>
      </c>
      <c r="AC606" s="102">
        <v>0</v>
      </c>
    </row>
    <row r="607" spans="1:29">
      <c r="A607" s="104" t="s">
        <v>1467</v>
      </c>
      <c r="B607" s="104" t="s">
        <v>1996</v>
      </c>
      <c r="C607" s="104" t="s">
        <v>1465</v>
      </c>
      <c r="D607" s="104" t="s">
        <v>1705</v>
      </c>
      <c r="E607" s="104" t="s">
        <v>1782</v>
      </c>
      <c r="F607" s="104" t="s">
        <v>1917</v>
      </c>
      <c r="G607" s="104" t="s">
        <v>1996</v>
      </c>
      <c r="M607" s="104" t="s">
        <v>1997</v>
      </c>
      <c r="N607" s="104" t="s">
        <v>1851</v>
      </c>
      <c r="O607" s="101">
        <v>45740</v>
      </c>
      <c r="P607" s="101">
        <v>45849</v>
      </c>
      <c r="Q607" s="101">
        <v>45760</v>
      </c>
      <c r="R607" s="101">
        <v>45766</v>
      </c>
      <c r="S607" s="184">
        <v>16</v>
      </c>
      <c r="T607" s="102">
        <v>9</v>
      </c>
      <c r="U607" s="102">
        <v>25</v>
      </c>
      <c r="V607" s="102">
        <v>0</v>
      </c>
      <c r="W607" s="102">
        <v>5</v>
      </c>
      <c r="X607" s="103">
        <v>0</v>
      </c>
      <c r="Y607" s="103">
        <v>0</v>
      </c>
      <c r="Z607" s="103">
        <v>0</v>
      </c>
      <c r="AC607" s="102">
        <v>0</v>
      </c>
    </row>
    <row r="608" spans="1:29">
      <c r="A608" s="104" t="s">
        <v>1467</v>
      </c>
      <c r="B608" s="104" t="s">
        <v>1996</v>
      </c>
      <c r="C608" s="104" t="s">
        <v>1465</v>
      </c>
      <c r="D608" s="104" t="s">
        <v>1705</v>
      </c>
      <c r="E608" s="104" t="s">
        <v>1782</v>
      </c>
      <c r="F608" s="104" t="s">
        <v>1917</v>
      </c>
      <c r="G608" s="104" t="s">
        <v>1996</v>
      </c>
      <c r="M608" s="104" t="s">
        <v>1997</v>
      </c>
      <c r="N608" s="104" t="s">
        <v>1851</v>
      </c>
      <c r="O608" s="101">
        <v>45740</v>
      </c>
      <c r="P608" s="101">
        <v>45849</v>
      </c>
      <c r="Q608" s="101">
        <v>45767</v>
      </c>
      <c r="R608" s="101">
        <v>45773</v>
      </c>
      <c r="S608" s="184">
        <v>17</v>
      </c>
      <c r="T608" s="102">
        <v>10</v>
      </c>
      <c r="U608" s="102">
        <v>25</v>
      </c>
      <c r="V608" s="102">
        <v>0</v>
      </c>
      <c r="W608" s="102">
        <v>5</v>
      </c>
      <c r="X608" s="103">
        <v>0</v>
      </c>
      <c r="Y608" s="103">
        <v>0</v>
      </c>
      <c r="Z608" s="103">
        <v>0</v>
      </c>
      <c r="AC608" s="102">
        <v>0</v>
      </c>
    </row>
    <row r="609" spans="1:29">
      <c r="A609" s="104" t="s">
        <v>1467</v>
      </c>
      <c r="B609" s="104" t="s">
        <v>1996</v>
      </c>
      <c r="C609" s="104" t="s">
        <v>1465</v>
      </c>
      <c r="D609" s="104" t="s">
        <v>1705</v>
      </c>
      <c r="E609" s="104" t="s">
        <v>1782</v>
      </c>
      <c r="F609" s="104" t="s">
        <v>1917</v>
      </c>
      <c r="G609" s="104" t="s">
        <v>1996</v>
      </c>
      <c r="M609" s="104" t="s">
        <v>1997</v>
      </c>
      <c r="N609" s="104" t="s">
        <v>1851</v>
      </c>
      <c r="O609" s="101">
        <v>45740</v>
      </c>
      <c r="P609" s="101">
        <v>45849</v>
      </c>
      <c r="Q609" s="101">
        <v>45774</v>
      </c>
      <c r="R609" s="101">
        <v>45780</v>
      </c>
      <c r="S609" s="184">
        <v>18</v>
      </c>
      <c r="T609" s="102">
        <v>11</v>
      </c>
      <c r="U609" s="102">
        <v>20</v>
      </c>
      <c r="V609" s="102">
        <v>0</v>
      </c>
      <c r="W609" s="102">
        <v>5</v>
      </c>
      <c r="X609" s="103">
        <v>0</v>
      </c>
      <c r="Y609" s="103">
        <v>0</v>
      </c>
      <c r="Z609" s="103">
        <v>0</v>
      </c>
      <c r="AC609" s="102">
        <v>0</v>
      </c>
    </row>
    <row r="610" spans="1:29">
      <c r="A610" s="104" t="s">
        <v>1467</v>
      </c>
      <c r="B610" s="104" t="s">
        <v>1996</v>
      </c>
      <c r="C610" s="104" t="s">
        <v>1465</v>
      </c>
      <c r="D610" s="104" t="s">
        <v>1705</v>
      </c>
      <c r="E610" s="104" t="s">
        <v>1782</v>
      </c>
      <c r="F610" s="104" t="s">
        <v>1917</v>
      </c>
      <c r="G610" s="104" t="s">
        <v>1996</v>
      </c>
      <c r="M610" s="104" t="s">
        <v>1997</v>
      </c>
      <c r="N610" s="104" t="s">
        <v>1851</v>
      </c>
      <c r="O610" s="101">
        <v>45740</v>
      </c>
      <c r="P610" s="101">
        <v>45849</v>
      </c>
      <c r="Q610" s="101">
        <v>45781</v>
      </c>
      <c r="R610" s="101">
        <v>45787</v>
      </c>
      <c r="S610" s="184">
        <v>19</v>
      </c>
      <c r="T610" s="102">
        <v>12</v>
      </c>
      <c r="U610" s="102">
        <v>20</v>
      </c>
      <c r="V610" s="102">
        <v>0</v>
      </c>
      <c r="W610" s="102">
        <v>5</v>
      </c>
      <c r="X610" s="103">
        <v>0</v>
      </c>
      <c r="Y610" s="103">
        <v>0</v>
      </c>
      <c r="Z610" s="103">
        <v>0</v>
      </c>
      <c r="AC610" s="102">
        <v>0</v>
      </c>
    </row>
    <row r="611" spans="1:29">
      <c r="A611" s="104" t="s">
        <v>1467</v>
      </c>
      <c r="B611" s="104" t="s">
        <v>1996</v>
      </c>
      <c r="C611" s="104" t="s">
        <v>1465</v>
      </c>
      <c r="D611" s="104" t="s">
        <v>1705</v>
      </c>
      <c r="E611" s="104" t="s">
        <v>1782</v>
      </c>
      <c r="F611" s="104" t="s">
        <v>1917</v>
      </c>
      <c r="G611" s="104" t="s">
        <v>1996</v>
      </c>
      <c r="M611" s="104" t="s">
        <v>1997</v>
      </c>
      <c r="N611" s="104" t="s">
        <v>1851</v>
      </c>
      <c r="O611" s="101">
        <v>45740</v>
      </c>
      <c r="P611" s="101">
        <v>45849</v>
      </c>
      <c r="Q611" s="101">
        <v>45788</v>
      </c>
      <c r="R611" s="101">
        <v>45794</v>
      </c>
      <c r="S611" s="184">
        <v>20</v>
      </c>
      <c r="T611" s="102">
        <v>13</v>
      </c>
      <c r="U611" s="102">
        <v>25</v>
      </c>
      <c r="V611" s="102">
        <v>0</v>
      </c>
      <c r="W611" s="102">
        <v>5</v>
      </c>
      <c r="X611" s="103">
        <v>0</v>
      </c>
      <c r="Y611" s="103">
        <v>0</v>
      </c>
      <c r="Z611" s="103">
        <v>0</v>
      </c>
      <c r="AC611" s="102">
        <v>0</v>
      </c>
    </row>
    <row r="612" spans="1:29">
      <c r="A612" s="104" t="s">
        <v>1467</v>
      </c>
      <c r="B612" s="104" t="s">
        <v>1996</v>
      </c>
      <c r="C612" s="104" t="s">
        <v>1465</v>
      </c>
      <c r="D612" s="104" t="s">
        <v>1705</v>
      </c>
      <c r="E612" s="104" t="s">
        <v>1782</v>
      </c>
      <c r="F612" s="104" t="s">
        <v>1917</v>
      </c>
      <c r="G612" s="104" t="s">
        <v>1996</v>
      </c>
      <c r="M612" s="104" t="s">
        <v>1997</v>
      </c>
      <c r="N612" s="104" t="s">
        <v>1851</v>
      </c>
      <c r="O612" s="101">
        <v>45740</v>
      </c>
      <c r="P612" s="101">
        <v>45849</v>
      </c>
      <c r="Q612" s="101">
        <v>45795</v>
      </c>
      <c r="R612" s="101">
        <v>45801</v>
      </c>
      <c r="S612" s="184">
        <v>21</v>
      </c>
      <c r="T612" s="102">
        <v>14</v>
      </c>
      <c r="U612" s="102">
        <v>25</v>
      </c>
      <c r="V612" s="102">
        <v>0</v>
      </c>
      <c r="W612" s="102">
        <v>5</v>
      </c>
      <c r="X612" s="103">
        <v>0</v>
      </c>
      <c r="Y612" s="103">
        <v>0</v>
      </c>
      <c r="Z612" s="103">
        <v>0</v>
      </c>
      <c r="AC612" s="102">
        <v>0</v>
      </c>
    </row>
    <row r="613" spans="1:29">
      <c r="A613" s="104" t="s">
        <v>1467</v>
      </c>
      <c r="B613" s="104" t="s">
        <v>1996</v>
      </c>
      <c r="C613" s="104" t="s">
        <v>1465</v>
      </c>
      <c r="D613" s="104" t="s">
        <v>1705</v>
      </c>
      <c r="E613" s="104" t="s">
        <v>1782</v>
      </c>
      <c r="F613" s="104" t="s">
        <v>1917</v>
      </c>
      <c r="G613" s="104" t="s">
        <v>1996</v>
      </c>
      <c r="M613" s="104" t="s">
        <v>1997</v>
      </c>
      <c r="N613" s="104" t="s">
        <v>1851</v>
      </c>
      <c r="O613" s="101">
        <v>45740</v>
      </c>
      <c r="P613" s="101">
        <v>45849</v>
      </c>
      <c r="Q613" s="101">
        <v>45802</v>
      </c>
      <c r="R613" s="101">
        <v>45808</v>
      </c>
      <c r="S613" s="184">
        <v>22</v>
      </c>
      <c r="T613" s="102">
        <v>15</v>
      </c>
      <c r="U613" s="102">
        <v>25</v>
      </c>
      <c r="V613" s="102">
        <v>0</v>
      </c>
      <c r="W613" s="102">
        <v>5</v>
      </c>
      <c r="X613" s="103">
        <v>0</v>
      </c>
      <c r="Y613" s="103">
        <v>0</v>
      </c>
      <c r="Z613" s="103">
        <v>0</v>
      </c>
      <c r="AC613" s="102">
        <v>0</v>
      </c>
    </row>
    <row r="614" spans="1:29">
      <c r="A614" s="104" t="s">
        <v>1467</v>
      </c>
      <c r="B614" s="104" t="s">
        <v>1996</v>
      </c>
      <c r="C614" s="104" t="s">
        <v>1465</v>
      </c>
      <c r="D614" s="104" t="s">
        <v>1705</v>
      </c>
      <c r="E614" s="104" t="s">
        <v>1782</v>
      </c>
      <c r="F614" s="104" t="s">
        <v>1917</v>
      </c>
      <c r="G614" s="104" t="s">
        <v>1996</v>
      </c>
      <c r="M614" s="104" t="s">
        <v>1997</v>
      </c>
      <c r="N614" s="104" t="s">
        <v>1851</v>
      </c>
      <c r="O614" s="101">
        <v>45740</v>
      </c>
      <c r="P614" s="101">
        <v>45849</v>
      </c>
      <c r="Q614" s="101">
        <v>45809</v>
      </c>
      <c r="R614" s="101">
        <v>45815</v>
      </c>
      <c r="S614" s="184">
        <v>23</v>
      </c>
      <c r="T614" s="102">
        <v>16</v>
      </c>
      <c r="U614" s="102">
        <v>20</v>
      </c>
      <c r="V614" s="102">
        <v>0</v>
      </c>
      <c r="W614" s="102">
        <v>5</v>
      </c>
      <c r="X614" s="103">
        <v>0</v>
      </c>
      <c r="Y614" s="103">
        <v>0</v>
      </c>
      <c r="Z614" s="103">
        <v>0</v>
      </c>
      <c r="AC614" s="102">
        <v>0</v>
      </c>
    </row>
    <row r="615" spans="1:29">
      <c r="A615" s="104" t="s">
        <v>1467</v>
      </c>
      <c r="B615" s="104" t="s">
        <v>1996</v>
      </c>
      <c r="C615" s="104" t="s">
        <v>1465</v>
      </c>
      <c r="D615" s="104" t="s">
        <v>1705</v>
      </c>
      <c r="E615" s="104" t="s">
        <v>1782</v>
      </c>
      <c r="F615" s="104" t="s">
        <v>1917</v>
      </c>
      <c r="G615" s="104" t="s">
        <v>1996</v>
      </c>
      <c r="M615" s="104" t="s">
        <v>1997</v>
      </c>
      <c r="N615" s="104" t="s">
        <v>1851</v>
      </c>
      <c r="O615" s="101">
        <v>45740</v>
      </c>
      <c r="P615" s="101">
        <v>45849</v>
      </c>
      <c r="Q615" s="101">
        <v>45816</v>
      </c>
      <c r="R615" s="101">
        <v>45822</v>
      </c>
      <c r="S615" s="184">
        <v>24</v>
      </c>
      <c r="T615" s="102">
        <v>17</v>
      </c>
      <c r="U615" s="102">
        <v>25</v>
      </c>
      <c r="V615" s="102">
        <v>0</v>
      </c>
      <c r="W615" s="102">
        <v>5</v>
      </c>
      <c r="X615" s="103">
        <v>0</v>
      </c>
      <c r="Y615" s="103">
        <v>0</v>
      </c>
      <c r="Z615" s="103">
        <v>0</v>
      </c>
      <c r="AC615" s="102">
        <v>0</v>
      </c>
    </row>
    <row r="616" spans="1:29">
      <c r="A616" s="104" t="s">
        <v>1467</v>
      </c>
      <c r="B616" s="104" t="s">
        <v>1996</v>
      </c>
      <c r="C616" s="104" t="s">
        <v>1465</v>
      </c>
      <c r="D616" s="104" t="s">
        <v>1705</v>
      </c>
      <c r="E616" s="104" t="s">
        <v>1782</v>
      </c>
      <c r="F616" s="104" t="s">
        <v>1917</v>
      </c>
      <c r="G616" s="104" t="s">
        <v>1996</v>
      </c>
      <c r="M616" s="104" t="s">
        <v>1997</v>
      </c>
      <c r="N616" s="104" t="s">
        <v>1851</v>
      </c>
      <c r="O616" s="101">
        <v>45740</v>
      </c>
      <c r="P616" s="101">
        <v>45849</v>
      </c>
      <c r="Q616" s="101">
        <v>45823</v>
      </c>
      <c r="R616" s="101">
        <v>45829</v>
      </c>
      <c r="S616" s="184">
        <v>25</v>
      </c>
      <c r="T616" s="102">
        <v>18</v>
      </c>
      <c r="U616" s="102">
        <v>25</v>
      </c>
      <c r="V616" s="102">
        <v>0</v>
      </c>
      <c r="W616" s="102">
        <v>5</v>
      </c>
      <c r="X616" s="103">
        <v>0</v>
      </c>
      <c r="Y616" s="103">
        <v>0</v>
      </c>
      <c r="Z616" s="103">
        <v>0</v>
      </c>
      <c r="AC616" s="102">
        <v>0</v>
      </c>
    </row>
    <row r="617" spans="1:29">
      <c r="A617" s="104" t="s">
        <v>1467</v>
      </c>
      <c r="B617" s="104" t="s">
        <v>1996</v>
      </c>
      <c r="C617" s="104" t="s">
        <v>1465</v>
      </c>
      <c r="D617" s="104" t="s">
        <v>1705</v>
      </c>
      <c r="E617" s="104" t="s">
        <v>1782</v>
      </c>
      <c r="F617" s="104" t="s">
        <v>1917</v>
      </c>
      <c r="G617" s="104" t="s">
        <v>1996</v>
      </c>
      <c r="M617" s="104" t="s">
        <v>1997</v>
      </c>
      <c r="N617" s="104" t="s">
        <v>1851</v>
      </c>
      <c r="O617" s="101">
        <v>45740</v>
      </c>
      <c r="P617" s="101">
        <v>45849</v>
      </c>
      <c r="Q617" s="101">
        <v>45830</v>
      </c>
      <c r="R617" s="101">
        <v>45836</v>
      </c>
      <c r="S617" s="184">
        <v>26</v>
      </c>
      <c r="T617" s="102">
        <v>19</v>
      </c>
      <c r="U617" s="102">
        <v>25</v>
      </c>
      <c r="V617" s="102">
        <v>0</v>
      </c>
      <c r="W617" s="102">
        <v>5</v>
      </c>
      <c r="X617" s="103">
        <v>0</v>
      </c>
      <c r="Y617" s="103">
        <v>0</v>
      </c>
      <c r="Z617" s="103">
        <v>0</v>
      </c>
      <c r="AC617" s="102">
        <v>0</v>
      </c>
    </row>
    <row r="618" spans="1:29">
      <c r="A618" s="104" t="s">
        <v>1467</v>
      </c>
      <c r="B618" s="104" t="s">
        <v>1996</v>
      </c>
      <c r="C618" s="104" t="s">
        <v>1465</v>
      </c>
      <c r="D618" s="104" t="s">
        <v>1705</v>
      </c>
      <c r="E618" s="104" t="s">
        <v>1782</v>
      </c>
      <c r="F618" s="104" t="s">
        <v>1917</v>
      </c>
      <c r="G618" s="104" t="s">
        <v>1996</v>
      </c>
      <c r="M618" s="104" t="s">
        <v>1997</v>
      </c>
      <c r="N618" s="104" t="s">
        <v>1851</v>
      </c>
      <c r="O618" s="101">
        <v>45740</v>
      </c>
      <c r="P618" s="101">
        <v>45849</v>
      </c>
      <c r="Q618" s="101">
        <v>45837</v>
      </c>
      <c r="R618" s="101">
        <v>45843</v>
      </c>
      <c r="S618" s="184">
        <v>27</v>
      </c>
      <c r="T618" s="102">
        <v>20</v>
      </c>
      <c r="U618" s="102">
        <v>25</v>
      </c>
      <c r="V618" s="102">
        <v>0</v>
      </c>
      <c r="W618" s="102">
        <v>5</v>
      </c>
      <c r="X618" s="103">
        <v>0</v>
      </c>
      <c r="Y618" s="103">
        <v>0</v>
      </c>
      <c r="Z618" s="103">
        <v>0</v>
      </c>
      <c r="AC618" s="102">
        <v>0</v>
      </c>
    </row>
    <row r="619" spans="1:29">
      <c r="A619" s="104" t="s">
        <v>1467</v>
      </c>
      <c r="B619" s="104" t="s">
        <v>1996</v>
      </c>
      <c r="C619" s="104" t="s">
        <v>1465</v>
      </c>
      <c r="D619" s="104" t="s">
        <v>1705</v>
      </c>
      <c r="E619" s="104" t="s">
        <v>1782</v>
      </c>
      <c r="F619" s="104" t="s">
        <v>1917</v>
      </c>
      <c r="G619" s="104" t="s">
        <v>1996</v>
      </c>
      <c r="M619" s="104" t="s">
        <v>1997</v>
      </c>
      <c r="N619" s="104" t="s">
        <v>1851</v>
      </c>
      <c r="O619" s="101">
        <v>45740</v>
      </c>
      <c r="P619" s="101">
        <v>45849</v>
      </c>
      <c r="Q619" s="101">
        <v>45844</v>
      </c>
      <c r="R619" s="101">
        <v>45850</v>
      </c>
      <c r="S619" s="184">
        <v>28</v>
      </c>
      <c r="T619" s="102">
        <v>21</v>
      </c>
      <c r="U619" s="102">
        <v>25</v>
      </c>
      <c r="V619" s="102">
        <v>0</v>
      </c>
      <c r="W619" s="102">
        <v>5</v>
      </c>
      <c r="X619" s="103">
        <v>0</v>
      </c>
      <c r="Y619" s="103">
        <v>0</v>
      </c>
      <c r="Z619" s="103">
        <v>0</v>
      </c>
      <c r="AC619" s="102">
        <v>0</v>
      </c>
    </row>
    <row r="620" spans="1:29">
      <c r="A620" s="104" t="s">
        <v>1467</v>
      </c>
      <c r="B620" s="104" t="s">
        <v>1998</v>
      </c>
      <c r="C620" s="104" t="s">
        <v>1465</v>
      </c>
      <c r="D620" s="104" t="s">
        <v>1705</v>
      </c>
      <c r="E620" s="104" t="s">
        <v>1782</v>
      </c>
      <c r="F620" s="104" t="s">
        <v>1917</v>
      </c>
      <c r="G620" s="104" t="s">
        <v>1998</v>
      </c>
      <c r="M620" s="104" t="s">
        <v>1999</v>
      </c>
      <c r="N620" s="104" t="s">
        <v>1991</v>
      </c>
      <c r="O620" s="101">
        <v>45810</v>
      </c>
      <c r="P620" s="101">
        <v>45849</v>
      </c>
      <c r="Q620" s="101">
        <v>45809</v>
      </c>
      <c r="R620" s="101">
        <v>45815</v>
      </c>
      <c r="S620" s="184">
        <v>23</v>
      </c>
      <c r="T620" s="102">
        <v>16</v>
      </c>
      <c r="U620" s="102">
        <v>20</v>
      </c>
      <c r="V620" s="102">
        <v>0</v>
      </c>
      <c r="W620" s="102">
        <v>5</v>
      </c>
      <c r="X620" s="103">
        <v>0</v>
      </c>
      <c r="Y620" s="103">
        <v>0</v>
      </c>
      <c r="Z620" s="103">
        <v>0</v>
      </c>
      <c r="AC620" s="102">
        <v>0</v>
      </c>
    </row>
    <row r="621" spans="1:29">
      <c r="A621" s="104" t="s">
        <v>1467</v>
      </c>
      <c r="B621" s="104" t="s">
        <v>1998</v>
      </c>
      <c r="C621" s="104" t="s">
        <v>1465</v>
      </c>
      <c r="D621" s="104" t="s">
        <v>1705</v>
      </c>
      <c r="E621" s="104" t="s">
        <v>1782</v>
      </c>
      <c r="F621" s="104" t="s">
        <v>1917</v>
      </c>
      <c r="G621" s="104" t="s">
        <v>1998</v>
      </c>
      <c r="M621" s="104" t="s">
        <v>1999</v>
      </c>
      <c r="N621" s="104" t="s">
        <v>1991</v>
      </c>
      <c r="O621" s="101">
        <v>45810</v>
      </c>
      <c r="P621" s="101">
        <v>45849</v>
      </c>
      <c r="Q621" s="101">
        <v>45816</v>
      </c>
      <c r="R621" s="101">
        <v>45822</v>
      </c>
      <c r="S621" s="184">
        <v>24</v>
      </c>
      <c r="T621" s="102">
        <v>17</v>
      </c>
      <c r="U621" s="102">
        <v>25</v>
      </c>
      <c r="V621" s="102">
        <v>0</v>
      </c>
      <c r="W621" s="102">
        <v>5</v>
      </c>
      <c r="X621" s="103">
        <v>0</v>
      </c>
      <c r="Y621" s="103">
        <v>0</v>
      </c>
      <c r="Z621" s="103">
        <v>0</v>
      </c>
      <c r="AC621" s="102">
        <v>0</v>
      </c>
    </row>
    <row r="622" spans="1:29">
      <c r="A622" s="104" t="s">
        <v>1467</v>
      </c>
      <c r="B622" s="104" t="s">
        <v>1998</v>
      </c>
      <c r="C622" s="104" t="s">
        <v>1465</v>
      </c>
      <c r="D622" s="104" t="s">
        <v>1705</v>
      </c>
      <c r="E622" s="104" t="s">
        <v>1782</v>
      </c>
      <c r="F622" s="104" t="s">
        <v>1917</v>
      </c>
      <c r="G622" s="104" t="s">
        <v>1998</v>
      </c>
      <c r="M622" s="104" t="s">
        <v>1999</v>
      </c>
      <c r="N622" s="104" t="s">
        <v>1991</v>
      </c>
      <c r="O622" s="101">
        <v>45810</v>
      </c>
      <c r="P622" s="101">
        <v>45849</v>
      </c>
      <c r="Q622" s="101">
        <v>45823</v>
      </c>
      <c r="R622" s="101">
        <v>45829</v>
      </c>
      <c r="S622" s="184">
        <v>25</v>
      </c>
      <c r="T622" s="102">
        <v>18</v>
      </c>
      <c r="U622" s="102">
        <v>25</v>
      </c>
      <c r="V622" s="102">
        <v>0</v>
      </c>
      <c r="W622" s="102">
        <v>5</v>
      </c>
      <c r="X622" s="103">
        <v>0</v>
      </c>
      <c r="Y622" s="103">
        <v>0</v>
      </c>
      <c r="Z622" s="103">
        <v>0</v>
      </c>
      <c r="AC622" s="102">
        <v>0</v>
      </c>
    </row>
    <row r="623" spans="1:29">
      <c r="A623" s="104" t="s">
        <v>1467</v>
      </c>
      <c r="B623" s="104" t="s">
        <v>1998</v>
      </c>
      <c r="C623" s="104" t="s">
        <v>1465</v>
      </c>
      <c r="D623" s="104" t="s">
        <v>1705</v>
      </c>
      <c r="E623" s="104" t="s">
        <v>1782</v>
      </c>
      <c r="F623" s="104" t="s">
        <v>1917</v>
      </c>
      <c r="G623" s="104" t="s">
        <v>1998</v>
      </c>
      <c r="M623" s="104" t="s">
        <v>1999</v>
      </c>
      <c r="N623" s="104" t="s">
        <v>1991</v>
      </c>
      <c r="O623" s="101">
        <v>45810</v>
      </c>
      <c r="P623" s="101">
        <v>45849</v>
      </c>
      <c r="Q623" s="101">
        <v>45830</v>
      </c>
      <c r="R623" s="101">
        <v>45836</v>
      </c>
      <c r="S623" s="184">
        <v>26</v>
      </c>
      <c r="T623" s="102">
        <v>19</v>
      </c>
      <c r="U623" s="102">
        <v>25</v>
      </c>
      <c r="V623" s="102">
        <v>0</v>
      </c>
      <c r="W623" s="102">
        <v>5</v>
      </c>
      <c r="X623" s="103">
        <v>0</v>
      </c>
      <c r="Y623" s="103">
        <v>0</v>
      </c>
      <c r="Z623" s="103">
        <v>0</v>
      </c>
      <c r="AC623" s="102">
        <v>0</v>
      </c>
    </row>
    <row r="624" spans="1:29">
      <c r="A624" s="104" t="s">
        <v>1467</v>
      </c>
      <c r="B624" s="104" t="s">
        <v>1998</v>
      </c>
      <c r="C624" s="104" t="s">
        <v>1465</v>
      </c>
      <c r="D624" s="104" t="s">
        <v>1705</v>
      </c>
      <c r="E624" s="104" t="s">
        <v>1782</v>
      </c>
      <c r="F624" s="104" t="s">
        <v>1917</v>
      </c>
      <c r="G624" s="104" t="s">
        <v>1998</v>
      </c>
      <c r="M624" s="104" t="s">
        <v>1999</v>
      </c>
      <c r="N624" s="104" t="s">
        <v>1991</v>
      </c>
      <c r="O624" s="101">
        <v>45810</v>
      </c>
      <c r="P624" s="101">
        <v>45849</v>
      </c>
      <c r="Q624" s="101">
        <v>45837</v>
      </c>
      <c r="R624" s="101">
        <v>45843</v>
      </c>
      <c r="S624" s="184">
        <v>27</v>
      </c>
      <c r="T624" s="102">
        <v>20</v>
      </c>
      <c r="U624" s="102">
        <v>25</v>
      </c>
      <c r="V624" s="102">
        <v>0</v>
      </c>
      <c r="W624" s="102">
        <v>5</v>
      </c>
      <c r="X624" s="103">
        <v>0</v>
      </c>
      <c r="Y624" s="103">
        <v>0</v>
      </c>
      <c r="Z624" s="103">
        <v>0</v>
      </c>
      <c r="AC624" s="102">
        <v>0</v>
      </c>
    </row>
    <row r="625" spans="1:29">
      <c r="A625" s="104" t="s">
        <v>1467</v>
      </c>
      <c r="B625" s="104" t="s">
        <v>1998</v>
      </c>
      <c r="C625" s="104" t="s">
        <v>1465</v>
      </c>
      <c r="D625" s="104" t="s">
        <v>1705</v>
      </c>
      <c r="E625" s="104" t="s">
        <v>1782</v>
      </c>
      <c r="F625" s="104" t="s">
        <v>1917</v>
      </c>
      <c r="G625" s="104" t="s">
        <v>1998</v>
      </c>
      <c r="M625" s="104" t="s">
        <v>1999</v>
      </c>
      <c r="N625" s="104" t="s">
        <v>1991</v>
      </c>
      <c r="O625" s="101">
        <v>45810</v>
      </c>
      <c r="P625" s="101">
        <v>45849</v>
      </c>
      <c r="Q625" s="101">
        <v>45844</v>
      </c>
      <c r="R625" s="101">
        <v>45850</v>
      </c>
      <c r="S625" s="184">
        <v>28</v>
      </c>
      <c r="T625" s="102">
        <v>21</v>
      </c>
      <c r="U625" s="102">
        <v>25</v>
      </c>
      <c r="V625" s="102">
        <v>0</v>
      </c>
      <c r="W625" s="102">
        <v>5</v>
      </c>
      <c r="X625" s="103">
        <v>0</v>
      </c>
      <c r="Y625" s="103">
        <v>0</v>
      </c>
      <c r="Z625" s="103">
        <v>0</v>
      </c>
      <c r="AC625" s="102">
        <v>0</v>
      </c>
    </row>
    <row r="626" spans="1:29">
      <c r="A626" s="104" t="s">
        <v>1467</v>
      </c>
      <c r="B626" s="104" t="s">
        <v>2000</v>
      </c>
      <c r="C626" s="104" t="s">
        <v>1465</v>
      </c>
      <c r="D626" s="104" t="s">
        <v>1705</v>
      </c>
      <c r="E626" s="104" t="s">
        <v>1782</v>
      </c>
      <c r="F626" s="104" t="s">
        <v>1917</v>
      </c>
      <c r="G626" s="104" t="s">
        <v>2000</v>
      </c>
      <c r="M626" s="104" t="s">
        <v>2001</v>
      </c>
      <c r="N626" s="104" t="s">
        <v>1993</v>
      </c>
      <c r="O626" s="101">
        <v>45859</v>
      </c>
      <c r="P626" s="101">
        <v>45877</v>
      </c>
      <c r="Q626" s="101">
        <v>45858</v>
      </c>
      <c r="R626" s="101">
        <v>45864</v>
      </c>
      <c r="S626" s="184">
        <v>30</v>
      </c>
      <c r="T626" s="102">
        <v>23</v>
      </c>
      <c r="U626" s="102">
        <v>25</v>
      </c>
      <c r="V626" s="102">
        <v>0</v>
      </c>
      <c r="W626" s="102">
        <v>5</v>
      </c>
      <c r="X626" s="103">
        <v>0</v>
      </c>
      <c r="Y626" s="103">
        <v>0</v>
      </c>
      <c r="Z626" s="103">
        <v>0</v>
      </c>
      <c r="AC626" s="102">
        <v>0</v>
      </c>
    </row>
    <row r="627" spans="1:29">
      <c r="A627" s="104" t="s">
        <v>1467</v>
      </c>
      <c r="B627" s="104" t="s">
        <v>2000</v>
      </c>
      <c r="C627" s="104" t="s">
        <v>1465</v>
      </c>
      <c r="D627" s="104" t="s">
        <v>1705</v>
      </c>
      <c r="E627" s="104" t="s">
        <v>1782</v>
      </c>
      <c r="F627" s="104" t="s">
        <v>1917</v>
      </c>
      <c r="G627" s="104" t="s">
        <v>2000</v>
      </c>
      <c r="M627" s="104" t="s">
        <v>2001</v>
      </c>
      <c r="N627" s="104" t="s">
        <v>1993</v>
      </c>
      <c r="O627" s="101">
        <v>45859</v>
      </c>
      <c r="P627" s="101">
        <v>45877</v>
      </c>
      <c r="Q627" s="101">
        <v>45865</v>
      </c>
      <c r="R627" s="101">
        <v>45871</v>
      </c>
      <c r="S627" s="184">
        <v>31</v>
      </c>
      <c r="T627" s="102">
        <v>24</v>
      </c>
      <c r="U627" s="102">
        <v>25</v>
      </c>
      <c r="V627" s="102">
        <v>0</v>
      </c>
      <c r="W627" s="102">
        <v>5</v>
      </c>
      <c r="X627" s="103">
        <v>0</v>
      </c>
      <c r="Y627" s="103">
        <v>0</v>
      </c>
      <c r="Z627" s="103">
        <v>0</v>
      </c>
      <c r="AC627" s="102">
        <v>0</v>
      </c>
    </row>
    <row r="628" spans="1:29">
      <c r="A628" s="104" t="s">
        <v>1467</v>
      </c>
      <c r="B628" s="104" t="s">
        <v>2000</v>
      </c>
      <c r="C628" s="104" t="s">
        <v>1465</v>
      </c>
      <c r="D628" s="104" t="s">
        <v>1705</v>
      </c>
      <c r="E628" s="104" t="s">
        <v>1782</v>
      </c>
      <c r="F628" s="104" t="s">
        <v>1917</v>
      </c>
      <c r="G628" s="104" t="s">
        <v>2000</v>
      </c>
      <c r="M628" s="104" t="s">
        <v>2001</v>
      </c>
      <c r="N628" s="104" t="s">
        <v>1993</v>
      </c>
      <c r="O628" s="101">
        <v>45859</v>
      </c>
      <c r="P628" s="101">
        <v>45877</v>
      </c>
      <c r="Q628" s="101">
        <v>45872</v>
      </c>
      <c r="R628" s="101">
        <v>45878</v>
      </c>
      <c r="S628" s="184">
        <v>32</v>
      </c>
      <c r="T628" s="102">
        <v>25</v>
      </c>
      <c r="U628" s="102">
        <v>25</v>
      </c>
      <c r="V628" s="102">
        <v>0</v>
      </c>
      <c r="W628" s="102">
        <v>5</v>
      </c>
      <c r="X628" s="103">
        <v>0</v>
      </c>
      <c r="Y628" s="103">
        <v>0</v>
      </c>
      <c r="Z628" s="103">
        <v>0</v>
      </c>
      <c r="AC628" s="102">
        <v>0</v>
      </c>
    </row>
    <row r="629" spans="1:29">
      <c r="A629" s="104" t="s">
        <v>1467</v>
      </c>
      <c r="B629" s="104" t="s">
        <v>2002</v>
      </c>
      <c r="C629" s="104" t="s">
        <v>1465</v>
      </c>
      <c r="D629" s="104" t="s">
        <v>1705</v>
      </c>
      <c r="E629" s="104" t="s">
        <v>1782</v>
      </c>
      <c r="F629" s="104" t="s">
        <v>1917</v>
      </c>
      <c r="G629" s="104" t="s">
        <v>2002</v>
      </c>
      <c r="M629" s="104" t="s">
        <v>2003</v>
      </c>
      <c r="N629" s="104" t="s">
        <v>1975</v>
      </c>
      <c r="O629" s="101">
        <v>45859</v>
      </c>
      <c r="P629" s="101">
        <v>45898</v>
      </c>
      <c r="Q629" s="101">
        <v>45858</v>
      </c>
      <c r="R629" s="101">
        <v>45864</v>
      </c>
      <c r="S629" s="184">
        <v>30</v>
      </c>
      <c r="T629" s="102">
        <v>23</v>
      </c>
      <c r="U629" s="102">
        <v>25</v>
      </c>
      <c r="V629" s="102">
        <v>0</v>
      </c>
      <c r="W629" s="102">
        <v>5</v>
      </c>
      <c r="X629" s="103">
        <v>0</v>
      </c>
      <c r="Y629" s="103">
        <v>0</v>
      </c>
      <c r="Z629" s="103">
        <v>0</v>
      </c>
      <c r="AC629" s="102">
        <v>0</v>
      </c>
    </row>
    <row r="630" spans="1:29">
      <c r="A630" s="104" t="s">
        <v>1467</v>
      </c>
      <c r="B630" s="104" t="s">
        <v>2002</v>
      </c>
      <c r="C630" s="104" t="s">
        <v>1465</v>
      </c>
      <c r="D630" s="104" t="s">
        <v>1705</v>
      </c>
      <c r="E630" s="104" t="s">
        <v>1782</v>
      </c>
      <c r="F630" s="104" t="s">
        <v>1917</v>
      </c>
      <c r="G630" s="104" t="s">
        <v>2002</v>
      </c>
      <c r="M630" s="104" t="s">
        <v>2003</v>
      </c>
      <c r="N630" s="104" t="s">
        <v>1975</v>
      </c>
      <c r="O630" s="101">
        <v>45859</v>
      </c>
      <c r="P630" s="101">
        <v>45898</v>
      </c>
      <c r="Q630" s="101">
        <v>45865</v>
      </c>
      <c r="R630" s="101">
        <v>45871</v>
      </c>
      <c r="S630" s="184">
        <v>31</v>
      </c>
      <c r="T630" s="102">
        <v>24</v>
      </c>
      <c r="U630" s="102">
        <v>25</v>
      </c>
      <c r="V630" s="102">
        <v>0</v>
      </c>
      <c r="W630" s="102">
        <v>5</v>
      </c>
      <c r="X630" s="103">
        <v>0</v>
      </c>
      <c r="Y630" s="103">
        <v>0</v>
      </c>
      <c r="Z630" s="103">
        <v>0</v>
      </c>
      <c r="AC630" s="102">
        <v>0</v>
      </c>
    </row>
    <row r="631" spans="1:29">
      <c r="A631" s="104" t="s">
        <v>1467</v>
      </c>
      <c r="B631" s="104" t="s">
        <v>2002</v>
      </c>
      <c r="C631" s="104" t="s">
        <v>1465</v>
      </c>
      <c r="D631" s="104" t="s">
        <v>1705</v>
      </c>
      <c r="E631" s="104" t="s">
        <v>1782</v>
      </c>
      <c r="F631" s="104" t="s">
        <v>1917</v>
      </c>
      <c r="G631" s="104" t="s">
        <v>2002</v>
      </c>
      <c r="M631" s="104" t="s">
        <v>2003</v>
      </c>
      <c r="N631" s="104" t="s">
        <v>1975</v>
      </c>
      <c r="O631" s="101">
        <v>45859</v>
      </c>
      <c r="P631" s="101">
        <v>45898</v>
      </c>
      <c r="Q631" s="101">
        <v>45872</v>
      </c>
      <c r="R631" s="101">
        <v>45878</v>
      </c>
      <c r="S631" s="184">
        <v>32</v>
      </c>
      <c r="T631" s="102">
        <v>25</v>
      </c>
      <c r="U631" s="102">
        <v>25</v>
      </c>
      <c r="V631" s="102">
        <v>0</v>
      </c>
      <c r="W631" s="102">
        <v>5</v>
      </c>
      <c r="X631" s="103">
        <v>0</v>
      </c>
      <c r="Y631" s="103">
        <v>0</v>
      </c>
      <c r="Z631" s="103">
        <v>0</v>
      </c>
      <c r="AC631" s="102">
        <v>0</v>
      </c>
    </row>
    <row r="632" spans="1:29">
      <c r="A632" s="104" t="s">
        <v>1467</v>
      </c>
      <c r="B632" s="104" t="s">
        <v>2002</v>
      </c>
      <c r="C632" s="104" t="s">
        <v>1465</v>
      </c>
      <c r="D632" s="104" t="s">
        <v>1705</v>
      </c>
      <c r="E632" s="104" t="s">
        <v>1782</v>
      </c>
      <c r="F632" s="104" t="s">
        <v>1917</v>
      </c>
      <c r="G632" s="104" t="s">
        <v>2002</v>
      </c>
      <c r="M632" s="104" t="s">
        <v>2003</v>
      </c>
      <c r="N632" s="104" t="s">
        <v>1975</v>
      </c>
      <c r="O632" s="101">
        <v>45859</v>
      </c>
      <c r="P632" s="101">
        <v>45898</v>
      </c>
      <c r="Q632" s="101">
        <v>45879</v>
      </c>
      <c r="R632" s="101">
        <v>45885</v>
      </c>
      <c r="S632" s="184">
        <v>33</v>
      </c>
      <c r="T632" s="102">
        <v>26</v>
      </c>
      <c r="U632" s="102">
        <v>20</v>
      </c>
      <c r="V632" s="102">
        <v>0</v>
      </c>
      <c r="W632" s="102">
        <v>5</v>
      </c>
      <c r="X632" s="103">
        <v>0</v>
      </c>
      <c r="Y632" s="103">
        <v>0</v>
      </c>
      <c r="Z632" s="103">
        <v>0</v>
      </c>
      <c r="AC632" s="102">
        <v>0</v>
      </c>
    </row>
    <row r="633" spans="1:29">
      <c r="A633" s="104" t="s">
        <v>1467</v>
      </c>
      <c r="B633" s="104" t="s">
        <v>2002</v>
      </c>
      <c r="C633" s="104" t="s">
        <v>1465</v>
      </c>
      <c r="D633" s="104" t="s">
        <v>1705</v>
      </c>
      <c r="E633" s="104" t="s">
        <v>1782</v>
      </c>
      <c r="F633" s="104" t="s">
        <v>1917</v>
      </c>
      <c r="G633" s="104" t="s">
        <v>2002</v>
      </c>
      <c r="M633" s="104" t="s">
        <v>2003</v>
      </c>
      <c r="N633" s="104" t="s">
        <v>1975</v>
      </c>
      <c r="O633" s="101">
        <v>45859</v>
      </c>
      <c r="P633" s="101">
        <v>45898</v>
      </c>
      <c r="Q633" s="101">
        <v>45886</v>
      </c>
      <c r="R633" s="101">
        <v>45892</v>
      </c>
      <c r="S633" s="184">
        <v>34</v>
      </c>
      <c r="T633" s="102">
        <v>27</v>
      </c>
      <c r="U633" s="102">
        <v>25</v>
      </c>
      <c r="V633" s="102">
        <v>0</v>
      </c>
      <c r="W633" s="102">
        <v>5</v>
      </c>
      <c r="X633" s="103">
        <v>0</v>
      </c>
      <c r="Y633" s="103">
        <v>0</v>
      </c>
      <c r="Z633" s="103">
        <v>0</v>
      </c>
      <c r="AC633" s="102">
        <v>0</v>
      </c>
    </row>
    <row r="634" spans="1:29">
      <c r="A634" s="104" t="s">
        <v>1467</v>
      </c>
      <c r="B634" s="104" t="s">
        <v>2002</v>
      </c>
      <c r="C634" s="104" t="s">
        <v>1465</v>
      </c>
      <c r="D634" s="104" t="s">
        <v>1705</v>
      </c>
      <c r="E634" s="104" t="s">
        <v>1782</v>
      </c>
      <c r="F634" s="104" t="s">
        <v>1917</v>
      </c>
      <c r="G634" s="104" t="s">
        <v>2002</v>
      </c>
      <c r="M634" s="104" t="s">
        <v>2003</v>
      </c>
      <c r="N634" s="104" t="s">
        <v>1975</v>
      </c>
      <c r="O634" s="101">
        <v>45859</v>
      </c>
      <c r="P634" s="101">
        <v>45898</v>
      </c>
      <c r="Q634" s="101">
        <v>45893</v>
      </c>
      <c r="R634" s="101">
        <v>45899</v>
      </c>
      <c r="S634" s="184">
        <v>35</v>
      </c>
      <c r="T634" s="102">
        <v>28</v>
      </c>
      <c r="U634" s="102">
        <v>25</v>
      </c>
      <c r="V634" s="102">
        <v>0</v>
      </c>
      <c r="W634" s="102">
        <v>5</v>
      </c>
      <c r="X634" s="103">
        <v>0</v>
      </c>
      <c r="Y634" s="103">
        <v>0</v>
      </c>
      <c r="Z634" s="103">
        <v>0</v>
      </c>
      <c r="AC634" s="102">
        <v>0</v>
      </c>
    </row>
    <row r="635" spans="1:29">
      <c r="A635" s="104" t="s">
        <v>1467</v>
      </c>
      <c r="B635" s="104" t="s">
        <v>2004</v>
      </c>
      <c r="C635" s="104" t="s">
        <v>1465</v>
      </c>
      <c r="D635" s="104" t="s">
        <v>1705</v>
      </c>
      <c r="E635" s="104" t="s">
        <v>1782</v>
      </c>
      <c r="F635" s="104" t="s">
        <v>1917</v>
      </c>
      <c r="G635" s="104" t="s">
        <v>2004</v>
      </c>
      <c r="M635" s="104" t="s">
        <v>2005</v>
      </c>
      <c r="N635" s="104" t="s">
        <v>1993</v>
      </c>
      <c r="O635" s="101">
        <v>45880</v>
      </c>
      <c r="P635" s="101">
        <v>45898</v>
      </c>
      <c r="Q635" s="101">
        <v>45879</v>
      </c>
      <c r="R635" s="101">
        <v>45885</v>
      </c>
      <c r="S635" s="184">
        <v>33</v>
      </c>
      <c r="T635" s="102">
        <v>26</v>
      </c>
      <c r="U635" s="102">
        <v>20</v>
      </c>
      <c r="V635" s="102">
        <v>0</v>
      </c>
      <c r="W635" s="102">
        <v>5</v>
      </c>
      <c r="X635" s="103">
        <v>0</v>
      </c>
      <c r="Y635" s="103">
        <v>0</v>
      </c>
      <c r="Z635" s="103">
        <v>0</v>
      </c>
      <c r="AC635" s="102">
        <v>0</v>
      </c>
    </row>
    <row r="636" spans="1:29">
      <c r="A636" s="104" t="s">
        <v>1467</v>
      </c>
      <c r="B636" s="104" t="s">
        <v>2004</v>
      </c>
      <c r="C636" s="104" t="s">
        <v>1465</v>
      </c>
      <c r="D636" s="104" t="s">
        <v>1705</v>
      </c>
      <c r="E636" s="104" t="s">
        <v>1782</v>
      </c>
      <c r="F636" s="104" t="s">
        <v>1917</v>
      </c>
      <c r="G636" s="104" t="s">
        <v>2004</v>
      </c>
      <c r="M636" s="104" t="s">
        <v>2005</v>
      </c>
      <c r="N636" s="104" t="s">
        <v>1993</v>
      </c>
      <c r="O636" s="101">
        <v>45880</v>
      </c>
      <c r="P636" s="101">
        <v>45898</v>
      </c>
      <c r="Q636" s="101">
        <v>45886</v>
      </c>
      <c r="R636" s="101">
        <v>45892</v>
      </c>
      <c r="S636" s="184">
        <v>34</v>
      </c>
      <c r="T636" s="102">
        <v>27</v>
      </c>
      <c r="U636" s="102">
        <v>25</v>
      </c>
      <c r="V636" s="102">
        <v>0</v>
      </c>
      <c r="W636" s="102">
        <v>5</v>
      </c>
      <c r="X636" s="103">
        <v>0</v>
      </c>
      <c r="Y636" s="103">
        <v>0</v>
      </c>
      <c r="Z636" s="103">
        <v>0</v>
      </c>
      <c r="AC636" s="102">
        <v>0</v>
      </c>
    </row>
    <row r="637" spans="1:29">
      <c r="A637" s="104" t="s">
        <v>1467</v>
      </c>
      <c r="B637" s="104" t="s">
        <v>2004</v>
      </c>
      <c r="C637" s="104" t="s">
        <v>1465</v>
      </c>
      <c r="D637" s="104" t="s">
        <v>1705</v>
      </c>
      <c r="E637" s="104" t="s">
        <v>1782</v>
      </c>
      <c r="F637" s="104" t="s">
        <v>1917</v>
      </c>
      <c r="G637" s="104" t="s">
        <v>2004</v>
      </c>
      <c r="M637" s="104" t="s">
        <v>2005</v>
      </c>
      <c r="N637" s="104" t="s">
        <v>1993</v>
      </c>
      <c r="O637" s="101">
        <v>45880</v>
      </c>
      <c r="P637" s="101">
        <v>45898</v>
      </c>
      <c r="Q637" s="101">
        <v>45893</v>
      </c>
      <c r="R637" s="101">
        <v>45899</v>
      </c>
      <c r="S637" s="184">
        <v>35</v>
      </c>
      <c r="T637" s="102">
        <v>28</v>
      </c>
      <c r="U637" s="102">
        <v>25</v>
      </c>
      <c r="V637" s="102">
        <v>0</v>
      </c>
      <c r="W637" s="102">
        <v>5</v>
      </c>
      <c r="X637" s="103">
        <v>0</v>
      </c>
      <c r="Y637" s="103">
        <v>0</v>
      </c>
      <c r="Z637" s="103">
        <v>0</v>
      </c>
      <c r="AC637" s="102">
        <v>0</v>
      </c>
    </row>
    <row r="638" spans="1:29">
      <c r="A638" s="104" t="s">
        <v>1467</v>
      </c>
      <c r="B638" s="104" t="s">
        <v>2006</v>
      </c>
      <c r="C638" s="104" t="s">
        <v>1465</v>
      </c>
      <c r="D638" s="104" t="s">
        <v>1705</v>
      </c>
      <c r="E638" s="104" t="s">
        <v>1782</v>
      </c>
      <c r="F638" s="104" t="s">
        <v>1917</v>
      </c>
      <c r="G638" s="104" t="s">
        <v>2006</v>
      </c>
      <c r="M638" s="104" t="s">
        <v>2007</v>
      </c>
      <c r="N638" s="104" t="s">
        <v>1991</v>
      </c>
      <c r="O638" s="101">
        <v>45859</v>
      </c>
      <c r="P638" s="101">
        <v>45898</v>
      </c>
      <c r="Q638" s="101">
        <v>45858</v>
      </c>
      <c r="R638" s="101">
        <v>45864</v>
      </c>
      <c r="S638" s="184">
        <v>30</v>
      </c>
      <c r="T638" s="102">
        <v>23</v>
      </c>
      <c r="U638" s="102">
        <v>25</v>
      </c>
      <c r="V638" s="102">
        <v>0</v>
      </c>
      <c r="W638" s="102">
        <v>5</v>
      </c>
      <c r="X638" s="103">
        <v>0</v>
      </c>
      <c r="Y638" s="103">
        <v>0</v>
      </c>
      <c r="Z638" s="103">
        <v>0</v>
      </c>
      <c r="AC638" s="102">
        <v>0</v>
      </c>
    </row>
    <row r="639" spans="1:29">
      <c r="A639" s="104" t="s">
        <v>1467</v>
      </c>
      <c r="B639" s="104" t="s">
        <v>2006</v>
      </c>
      <c r="C639" s="104" t="s">
        <v>1465</v>
      </c>
      <c r="D639" s="104" t="s">
        <v>1705</v>
      </c>
      <c r="E639" s="104" t="s">
        <v>1782</v>
      </c>
      <c r="F639" s="104" t="s">
        <v>1917</v>
      </c>
      <c r="G639" s="104" t="s">
        <v>2006</v>
      </c>
      <c r="M639" s="104" t="s">
        <v>2007</v>
      </c>
      <c r="N639" s="104" t="s">
        <v>1991</v>
      </c>
      <c r="O639" s="101">
        <v>45859</v>
      </c>
      <c r="P639" s="101">
        <v>45898</v>
      </c>
      <c r="Q639" s="101">
        <v>45865</v>
      </c>
      <c r="R639" s="101">
        <v>45871</v>
      </c>
      <c r="S639" s="184">
        <v>31</v>
      </c>
      <c r="T639" s="102">
        <v>24</v>
      </c>
      <c r="U639" s="102">
        <v>25</v>
      </c>
      <c r="V639" s="102">
        <v>0</v>
      </c>
      <c r="W639" s="102">
        <v>5</v>
      </c>
      <c r="X639" s="103">
        <v>0</v>
      </c>
      <c r="Y639" s="103">
        <v>0</v>
      </c>
      <c r="Z639" s="103">
        <v>0</v>
      </c>
      <c r="AC639" s="102">
        <v>0</v>
      </c>
    </row>
    <row r="640" spans="1:29">
      <c r="A640" s="104" t="s">
        <v>1467</v>
      </c>
      <c r="B640" s="104" t="s">
        <v>2006</v>
      </c>
      <c r="C640" s="104" t="s">
        <v>1465</v>
      </c>
      <c r="D640" s="104" t="s">
        <v>1705</v>
      </c>
      <c r="E640" s="104" t="s">
        <v>1782</v>
      </c>
      <c r="F640" s="104" t="s">
        <v>1917</v>
      </c>
      <c r="G640" s="104" t="s">
        <v>2006</v>
      </c>
      <c r="M640" s="104" t="s">
        <v>2007</v>
      </c>
      <c r="N640" s="104" t="s">
        <v>1991</v>
      </c>
      <c r="O640" s="101">
        <v>45859</v>
      </c>
      <c r="P640" s="101">
        <v>45898</v>
      </c>
      <c r="Q640" s="101">
        <v>45872</v>
      </c>
      <c r="R640" s="101">
        <v>45878</v>
      </c>
      <c r="S640" s="184">
        <v>32</v>
      </c>
      <c r="T640" s="102">
        <v>25</v>
      </c>
      <c r="U640" s="102">
        <v>25</v>
      </c>
      <c r="V640" s="102">
        <v>0</v>
      </c>
      <c r="W640" s="102">
        <v>5</v>
      </c>
      <c r="X640" s="103">
        <v>0</v>
      </c>
      <c r="Y640" s="103">
        <v>0</v>
      </c>
      <c r="Z640" s="103">
        <v>0</v>
      </c>
      <c r="AC640" s="102">
        <v>0</v>
      </c>
    </row>
    <row r="641" spans="1:29">
      <c r="A641" s="104" t="s">
        <v>1467</v>
      </c>
      <c r="B641" s="104" t="s">
        <v>2006</v>
      </c>
      <c r="C641" s="104" t="s">
        <v>1465</v>
      </c>
      <c r="D641" s="104" t="s">
        <v>1705</v>
      </c>
      <c r="E641" s="104" t="s">
        <v>1782</v>
      </c>
      <c r="F641" s="104" t="s">
        <v>1917</v>
      </c>
      <c r="G641" s="104" t="s">
        <v>2006</v>
      </c>
      <c r="M641" s="104" t="s">
        <v>2007</v>
      </c>
      <c r="N641" s="104" t="s">
        <v>1991</v>
      </c>
      <c r="O641" s="101">
        <v>45859</v>
      </c>
      <c r="P641" s="101">
        <v>45898</v>
      </c>
      <c r="Q641" s="101">
        <v>45879</v>
      </c>
      <c r="R641" s="101">
        <v>45885</v>
      </c>
      <c r="S641" s="184">
        <v>33</v>
      </c>
      <c r="T641" s="102">
        <v>26</v>
      </c>
      <c r="U641" s="102">
        <v>20</v>
      </c>
      <c r="V641" s="102">
        <v>0</v>
      </c>
      <c r="W641" s="102">
        <v>5</v>
      </c>
      <c r="X641" s="103">
        <v>0</v>
      </c>
      <c r="Y641" s="103">
        <v>0</v>
      </c>
      <c r="Z641" s="103">
        <v>0</v>
      </c>
      <c r="AC641" s="102">
        <v>0</v>
      </c>
    </row>
    <row r="642" spans="1:29">
      <c r="A642" s="104" t="s">
        <v>1467</v>
      </c>
      <c r="B642" s="104" t="s">
        <v>2006</v>
      </c>
      <c r="C642" s="104" t="s">
        <v>1465</v>
      </c>
      <c r="D642" s="104" t="s">
        <v>1705</v>
      </c>
      <c r="E642" s="104" t="s">
        <v>1782</v>
      </c>
      <c r="F642" s="104" t="s">
        <v>1917</v>
      </c>
      <c r="G642" s="104" t="s">
        <v>2006</v>
      </c>
      <c r="M642" s="104" t="s">
        <v>2007</v>
      </c>
      <c r="N642" s="104" t="s">
        <v>1991</v>
      </c>
      <c r="O642" s="101">
        <v>45859</v>
      </c>
      <c r="P642" s="101">
        <v>45898</v>
      </c>
      <c r="Q642" s="101">
        <v>45886</v>
      </c>
      <c r="R642" s="101">
        <v>45892</v>
      </c>
      <c r="S642" s="184">
        <v>34</v>
      </c>
      <c r="T642" s="102">
        <v>27</v>
      </c>
      <c r="U642" s="102">
        <v>25</v>
      </c>
      <c r="V642" s="102">
        <v>0</v>
      </c>
      <c r="W642" s="102">
        <v>5</v>
      </c>
      <c r="X642" s="103">
        <v>0</v>
      </c>
      <c r="Y642" s="103">
        <v>0</v>
      </c>
      <c r="Z642" s="103">
        <v>0</v>
      </c>
      <c r="AC642" s="102">
        <v>0</v>
      </c>
    </row>
    <row r="643" spans="1:29">
      <c r="A643" s="104" t="s">
        <v>1467</v>
      </c>
      <c r="B643" s="104" t="s">
        <v>2006</v>
      </c>
      <c r="C643" s="104" t="s">
        <v>1465</v>
      </c>
      <c r="D643" s="104" t="s">
        <v>1705</v>
      </c>
      <c r="E643" s="104" t="s">
        <v>1782</v>
      </c>
      <c r="F643" s="104" t="s">
        <v>1917</v>
      </c>
      <c r="G643" s="104" t="s">
        <v>2006</v>
      </c>
      <c r="M643" s="104" t="s">
        <v>2007</v>
      </c>
      <c r="N643" s="104" t="s">
        <v>1991</v>
      </c>
      <c r="O643" s="101">
        <v>45859</v>
      </c>
      <c r="P643" s="101">
        <v>45898</v>
      </c>
      <c r="Q643" s="101">
        <v>45893</v>
      </c>
      <c r="R643" s="101">
        <v>45899</v>
      </c>
      <c r="S643" s="184">
        <v>35</v>
      </c>
      <c r="T643" s="102">
        <v>28</v>
      </c>
      <c r="U643" s="102">
        <v>25</v>
      </c>
      <c r="V643" s="102">
        <v>0</v>
      </c>
      <c r="W643" s="102">
        <v>5</v>
      </c>
      <c r="X643" s="103">
        <v>0</v>
      </c>
      <c r="Y643" s="103">
        <v>0</v>
      </c>
      <c r="Z643" s="103">
        <v>0</v>
      </c>
      <c r="AC643" s="102">
        <v>0</v>
      </c>
    </row>
    <row r="644" spans="1:29">
      <c r="A644" s="104" t="s">
        <v>1467</v>
      </c>
      <c r="B644" s="104" t="s">
        <v>1921</v>
      </c>
      <c r="C644" s="104" t="s">
        <v>1465</v>
      </c>
      <c r="D644" s="104" t="s">
        <v>1705</v>
      </c>
      <c r="E644" s="104" t="s">
        <v>1782</v>
      </c>
      <c r="F644" s="104" t="s">
        <v>1920</v>
      </c>
      <c r="G644" s="104" t="s">
        <v>1921</v>
      </c>
      <c r="M644" s="104" t="s">
        <v>1590</v>
      </c>
      <c r="N644" s="104" t="s">
        <v>1980</v>
      </c>
      <c r="O644" s="101">
        <v>45824</v>
      </c>
      <c r="P644" s="101">
        <v>45856</v>
      </c>
      <c r="Q644" s="101">
        <v>45823</v>
      </c>
      <c r="R644" s="101">
        <v>45829</v>
      </c>
      <c r="S644" s="184">
        <v>25</v>
      </c>
      <c r="T644" s="102">
        <v>18</v>
      </c>
      <c r="U644" s="102">
        <v>5</v>
      </c>
      <c r="V644" s="102">
        <v>0</v>
      </c>
      <c r="W644" s="102">
        <v>1</v>
      </c>
      <c r="X644" s="103">
        <v>0</v>
      </c>
      <c r="Y644" s="103">
        <v>0</v>
      </c>
      <c r="Z644" s="103">
        <v>0</v>
      </c>
      <c r="AC644" s="102">
        <v>0</v>
      </c>
    </row>
    <row r="645" spans="1:29">
      <c r="A645" s="104" t="s">
        <v>1467</v>
      </c>
      <c r="B645" s="104" t="s">
        <v>1921</v>
      </c>
      <c r="C645" s="104" t="s">
        <v>1465</v>
      </c>
      <c r="D645" s="104" t="s">
        <v>1705</v>
      </c>
      <c r="E645" s="104" t="s">
        <v>1782</v>
      </c>
      <c r="F645" s="104" t="s">
        <v>1920</v>
      </c>
      <c r="G645" s="104" t="s">
        <v>1921</v>
      </c>
      <c r="M645" s="104" t="s">
        <v>1590</v>
      </c>
      <c r="N645" s="104" t="s">
        <v>1980</v>
      </c>
      <c r="O645" s="101">
        <v>45824</v>
      </c>
      <c r="P645" s="101">
        <v>45856</v>
      </c>
      <c r="Q645" s="101">
        <v>45830</v>
      </c>
      <c r="R645" s="101">
        <v>45836</v>
      </c>
      <c r="S645" s="184">
        <v>26</v>
      </c>
      <c r="T645" s="102">
        <v>19</v>
      </c>
      <c r="U645" s="102">
        <v>5</v>
      </c>
      <c r="V645" s="102">
        <v>0</v>
      </c>
      <c r="W645" s="102">
        <v>1</v>
      </c>
      <c r="X645" s="103">
        <v>0</v>
      </c>
      <c r="Y645" s="103">
        <v>0</v>
      </c>
      <c r="Z645" s="103">
        <v>0</v>
      </c>
      <c r="AC645" s="102">
        <v>0</v>
      </c>
    </row>
    <row r="646" spans="1:29">
      <c r="A646" s="104" t="s">
        <v>1467</v>
      </c>
      <c r="B646" s="104" t="s">
        <v>1921</v>
      </c>
      <c r="C646" s="104" t="s">
        <v>1465</v>
      </c>
      <c r="D646" s="104" t="s">
        <v>1705</v>
      </c>
      <c r="E646" s="104" t="s">
        <v>1782</v>
      </c>
      <c r="F646" s="104" t="s">
        <v>1920</v>
      </c>
      <c r="G646" s="104" t="s">
        <v>1921</v>
      </c>
      <c r="M646" s="104" t="s">
        <v>1590</v>
      </c>
      <c r="N646" s="104" t="s">
        <v>1980</v>
      </c>
      <c r="O646" s="101">
        <v>45824</v>
      </c>
      <c r="P646" s="101">
        <v>45856</v>
      </c>
      <c r="Q646" s="101">
        <v>45837</v>
      </c>
      <c r="R646" s="101">
        <v>45843</v>
      </c>
      <c r="S646" s="184">
        <v>27</v>
      </c>
      <c r="T646" s="102">
        <v>20</v>
      </c>
      <c r="U646" s="102">
        <v>5</v>
      </c>
      <c r="V646" s="102">
        <v>0</v>
      </c>
      <c r="W646" s="102">
        <v>1</v>
      </c>
      <c r="X646" s="103">
        <v>0</v>
      </c>
      <c r="Y646" s="103">
        <v>0</v>
      </c>
      <c r="Z646" s="103">
        <v>0</v>
      </c>
      <c r="AC646" s="102">
        <v>0</v>
      </c>
    </row>
    <row r="647" spans="1:29">
      <c r="A647" s="104" t="s">
        <v>1467</v>
      </c>
      <c r="B647" s="104" t="s">
        <v>1921</v>
      </c>
      <c r="C647" s="104" t="s">
        <v>1465</v>
      </c>
      <c r="D647" s="104" t="s">
        <v>1705</v>
      </c>
      <c r="E647" s="104" t="s">
        <v>1782</v>
      </c>
      <c r="F647" s="104" t="s">
        <v>1920</v>
      </c>
      <c r="G647" s="104" t="s">
        <v>1921</v>
      </c>
      <c r="M647" s="104" t="s">
        <v>1590</v>
      </c>
      <c r="N647" s="104" t="s">
        <v>1980</v>
      </c>
      <c r="O647" s="101">
        <v>45824</v>
      </c>
      <c r="P647" s="101">
        <v>45856</v>
      </c>
      <c r="Q647" s="101">
        <v>45844</v>
      </c>
      <c r="R647" s="101">
        <v>45850</v>
      </c>
      <c r="S647" s="184">
        <v>28</v>
      </c>
      <c r="T647" s="102">
        <v>21</v>
      </c>
      <c r="U647" s="102">
        <v>5</v>
      </c>
      <c r="V647" s="102">
        <v>0</v>
      </c>
      <c r="W647" s="102">
        <v>1</v>
      </c>
      <c r="X647" s="103">
        <v>0</v>
      </c>
      <c r="Y647" s="103">
        <v>0</v>
      </c>
      <c r="Z647" s="103">
        <v>0</v>
      </c>
      <c r="AC647" s="102">
        <v>0</v>
      </c>
    </row>
    <row r="648" spans="1:29">
      <c r="A648" s="104" t="s">
        <v>1467</v>
      </c>
      <c r="B648" s="104" t="s">
        <v>1921</v>
      </c>
      <c r="C648" s="104" t="s">
        <v>1465</v>
      </c>
      <c r="D648" s="104" t="s">
        <v>1705</v>
      </c>
      <c r="E648" s="104" t="s">
        <v>1782</v>
      </c>
      <c r="F648" s="104" t="s">
        <v>1920</v>
      </c>
      <c r="G648" s="104" t="s">
        <v>1921</v>
      </c>
      <c r="M648" s="104" t="s">
        <v>1590</v>
      </c>
      <c r="N648" s="104" t="s">
        <v>1980</v>
      </c>
      <c r="O648" s="101">
        <v>45824</v>
      </c>
      <c r="P648" s="101">
        <v>45856</v>
      </c>
      <c r="Q648" s="101">
        <v>45851</v>
      </c>
      <c r="R648" s="101">
        <v>45857</v>
      </c>
      <c r="S648" s="184">
        <v>29</v>
      </c>
      <c r="T648" s="102">
        <v>22</v>
      </c>
      <c r="U648" s="102">
        <v>5</v>
      </c>
      <c r="V648" s="102">
        <v>0</v>
      </c>
      <c r="W648" s="102">
        <v>1</v>
      </c>
      <c r="X648" s="103">
        <v>0</v>
      </c>
      <c r="Y648" s="103">
        <v>0</v>
      </c>
      <c r="Z648" s="103">
        <v>0</v>
      </c>
      <c r="AC648" s="102">
        <v>0</v>
      </c>
    </row>
    <row r="649" spans="1:29">
      <c r="A649" s="104" t="s">
        <v>1467</v>
      </c>
      <c r="B649" s="104" t="s">
        <v>1922</v>
      </c>
      <c r="C649" s="104" t="s">
        <v>1465</v>
      </c>
      <c r="D649" s="104" t="s">
        <v>1705</v>
      </c>
      <c r="E649" s="104" t="s">
        <v>1782</v>
      </c>
      <c r="F649" s="104" t="s">
        <v>1920</v>
      </c>
      <c r="G649" s="104" t="s">
        <v>1922</v>
      </c>
      <c r="M649" s="104" t="s">
        <v>1591</v>
      </c>
      <c r="N649" s="104" t="s">
        <v>1980</v>
      </c>
      <c r="O649" s="101">
        <v>45887</v>
      </c>
      <c r="P649" s="101">
        <v>45898</v>
      </c>
      <c r="Q649" s="101">
        <v>45886</v>
      </c>
      <c r="R649" s="101">
        <v>45892</v>
      </c>
      <c r="S649" s="184">
        <v>34</v>
      </c>
      <c r="T649" s="102">
        <v>27</v>
      </c>
      <c r="U649" s="102">
        <v>5</v>
      </c>
      <c r="V649" s="102">
        <v>0</v>
      </c>
      <c r="W649" s="102">
        <v>1</v>
      </c>
      <c r="X649" s="103">
        <v>0</v>
      </c>
      <c r="Y649" s="103">
        <v>0</v>
      </c>
      <c r="Z649" s="103">
        <v>0</v>
      </c>
      <c r="AC649" s="102">
        <v>0</v>
      </c>
    </row>
    <row r="650" spans="1:29">
      <c r="A650" s="104" t="s">
        <v>1467</v>
      </c>
      <c r="B650" s="104" t="s">
        <v>1922</v>
      </c>
      <c r="C650" s="104" t="s">
        <v>1465</v>
      </c>
      <c r="D650" s="104" t="s">
        <v>1705</v>
      </c>
      <c r="E650" s="104" t="s">
        <v>1782</v>
      </c>
      <c r="F650" s="104" t="s">
        <v>1920</v>
      </c>
      <c r="G650" s="104" t="s">
        <v>1922</v>
      </c>
      <c r="M650" s="104" t="s">
        <v>1591</v>
      </c>
      <c r="N650" s="104" t="s">
        <v>1980</v>
      </c>
      <c r="O650" s="101">
        <v>45887</v>
      </c>
      <c r="P650" s="101">
        <v>45898</v>
      </c>
      <c r="Q650" s="101">
        <v>45893</v>
      </c>
      <c r="R650" s="101">
        <v>45899</v>
      </c>
      <c r="S650" s="184">
        <v>35</v>
      </c>
      <c r="T650" s="102">
        <v>28</v>
      </c>
      <c r="U650" s="102">
        <v>5</v>
      </c>
      <c r="V650" s="102">
        <v>0</v>
      </c>
      <c r="W650" s="102">
        <v>1</v>
      </c>
      <c r="X650" s="103">
        <v>0</v>
      </c>
      <c r="Y650" s="103">
        <v>0</v>
      </c>
      <c r="Z650" s="103">
        <v>0</v>
      </c>
      <c r="AC650" s="102">
        <v>0</v>
      </c>
    </row>
    <row r="651" spans="1:29">
      <c r="A651" s="104" t="s">
        <v>1466</v>
      </c>
      <c r="B651" s="104" t="s">
        <v>1924</v>
      </c>
      <c r="C651" s="104" t="s">
        <v>1466</v>
      </c>
      <c r="D651" s="104" t="s">
        <v>1708</v>
      </c>
      <c r="E651" s="104" t="s">
        <v>1783</v>
      </c>
      <c r="F651" s="104" t="s">
        <v>1924</v>
      </c>
      <c r="M651" s="104" t="s">
        <v>1568</v>
      </c>
      <c r="N651" s="104" t="s">
        <v>1720</v>
      </c>
      <c r="O651" s="101">
        <v>45824</v>
      </c>
      <c r="P651" s="101">
        <v>45856</v>
      </c>
      <c r="Q651" s="101">
        <v>45823</v>
      </c>
      <c r="R651" s="101">
        <v>45829</v>
      </c>
      <c r="S651" s="184">
        <v>25</v>
      </c>
      <c r="T651" s="102">
        <v>18</v>
      </c>
      <c r="U651" s="102">
        <v>0.5</v>
      </c>
      <c r="V651" s="102">
        <v>0</v>
      </c>
      <c r="W651" s="102">
        <v>0.1</v>
      </c>
      <c r="X651" s="103">
        <v>0</v>
      </c>
      <c r="Y651" s="103">
        <v>0</v>
      </c>
      <c r="Z651" s="103">
        <v>0</v>
      </c>
      <c r="AC651" s="102">
        <v>0</v>
      </c>
    </row>
    <row r="652" spans="1:29">
      <c r="A652" s="104" t="s">
        <v>1466</v>
      </c>
      <c r="B652" s="104" t="s">
        <v>1924</v>
      </c>
      <c r="C652" s="104" t="s">
        <v>1466</v>
      </c>
      <c r="D652" s="104" t="s">
        <v>1708</v>
      </c>
      <c r="E652" s="104" t="s">
        <v>1783</v>
      </c>
      <c r="F652" s="104" t="s">
        <v>1924</v>
      </c>
      <c r="M652" s="104" t="s">
        <v>1568</v>
      </c>
      <c r="N652" s="104" t="s">
        <v>1720</v>
      </c>
      <c r="O652" s="101">
        <v>45824</v>
      </c>
      <c r="P652" s="101">
        <v>45856</v>
      </c>
      <c r="Q652" s="101">
        <v>45830</v>
      </c>
      <c r="R652" s="101">
        <v>45836</v>
      </c>
      <c r="S652" s="184">
        <v>26</v>
      </c>
      <c r="T652" s="102">
        <v>19</v>
      </c>
      <c r="U652" s="102">
        <v>0.5</v>
      </c>
      <c r="V652" s="102">
        <v>0</v>
      </c>
      <c r="W652" s="102">
        <v>0.1</v>
      </c>
      <c r="X652" s="103">
        <v>0</v>
      </c>
      <c r="Y652" s="103">
        <v>0</v>
      </c>
      <c r="Z652" s="103">
        <v>0</v>
      </c>
      <c r="AC652" s="102">
        <v>0</v>
      </c>
    </row>
    <row r="653" spans="1:29">
      <c r="A653" s="104" t="s">
        <v>1466</v>
      </c>
      <c r="B653" s="104" t="s">
        <v>1924</v>
      </c>
      <c r="C653" s="104" t="s">
        <v>1466</v>
      </c>
      <c r="D653" s="104" t="s">
        <v>1708</v>
      </c>
      <c r="E653" s="104" t="s">
        <v>1783</v>
      </c>
      <c r="F653" s="104" t="s">
        <v>1924</v>
      </c>
      <c r="M653" s="104" t="s">
        <v>1568</v>
      </c>
      <c r="N653" s="104" t="s">
        <v>1720</v>
      </c>
      <c r="O653" s="101">
        <v>45824</v>
      </c>
      <c r="P653" s="101">
        <v>45856</v>
      </c>
      <c r="Q653" s="101">
        <v>45837</v>
      </c>
      <c r="R653" s="101">
        <v>45843</v>
      </c>
      <c r="S653" s="184">
        <v>27</v>
      </c>
      <c r="T653" s="102">
        <v>20</v>
      </c>
      <c r="U653" s="102">
        <v>0.5</v>
      </c>
      <c r="V653" s="102">
        <v>0</v>
      </c>
      <c r="W653" s="102">
        <v>0.1</v>
      </c>
      <c r="X653" s="103">
        <v>0</v>
      </c>
      <c r="Y653" s="103">
        <v>0</v>
      </c>
      <c r="Z653" s="103">
        <v>0</v>
      </c>
      <c r="AC653" s="102">
        <v>0</v>
      </c>
    </row>
    <row r="654" spans="1:29">
      <c r="A654" s="104" t="s">
        <v>1466</v>
      </c>
      <c r="B654" s="104" t="s">
        <v>1924</v>
      </c>
      <c r="C654" s="104" t="s">
        <v>1466</v>
      </c>
      <c r="D654" s="104" t="s">
        <v>1708</v>
      </c>
      <c r="E654" s="104" t="s">
        <v>1783</v>
      </c>
      <c r="F654" s="104" t="s">
        <v>1924</v>
      </c>
      <c r="M654" s="104" t="s">
        <v>1568</v>
      </c>
      <c r="N654" s="104" t="s">
        <v>1720</v>
      </c>
      <c r="O654" s="101">
        <v>45824</v>
      </c>
      <c r="P654" s="101">
        <v>45856</v>
      </c>
      <c r="Q654" s="101">
        <v>45844</v>
      </c>
      <c r="R654" s="101">
        <v>45850</v>
      </c>
      <c r="S654" s="184">
        <v>28</v>
      </c>
      <c r="T654" s="102">
        <v>21</v>
      </c>
      <c r="U654" s="102">
        <v>0.5</v>
      </c>
      <c r="V654" s="102">
        <v>0</v>
      </c>
      <c r="W654" s="102">
        <v>0.1</v>
      </c>
      <c r="X654" s="103">
        <v>0</v>
      </c>
      <c r="Y654" s="103">
        <v>0</v>
      </c>
      <c r="Z654" s="103">
        <v>0</v>
      </c>
      <c r="AC654" s="102">
        <v>0</v>
      </c>
    </row>
    <row r="655" spans="1:29">
      <c r="A655" s="104" t="s">
        <v>1466</v>
      </c>
      <c r="B655" s="104" t="s">
        <v>1924</v>
      </c>
      <c r="C655" s="104" t="s">
        <v>1466</v>
      </c>
      <c r="D655" s="104" t="s">
        <v>1708</v>
      </c>
      <c r="E655" s="104" t="s">
        <v>1783</v>
      </c>
      <c r="F655" s="104" t="s">
        <v>1924</v>
      </c>
      <c r="M655" s="104" t="s">
        <v>1568</v>
      </c>
      <c r="N655" s="104" t="s">
        <v>1720</v>
      </c>
      <c r="O655" s="101">
        <v>45824</v>
      </c>
      <c r="P655" s="101">
        <v>45856</v>
      </c>
      <c r="Q655" s="101">
        <v>45851</v>
      </c>
      <c r="R655" s="101">
        <v>45857</v>
      </c>
      <c r="S655" s="184">
        <v>29</v>
      </c>
      <c r="T655" s="102">
        <v>22</v>
      </c>
      <c r="U655" s="102">
        <v>0.5</v>
      </c>
      <c r="V655" s="102">
        <v>0</v>
      </c>
      <c r="W655" s="102">
        <v>0.1</v>
      </c>
      <c r="X655" s="103">
        <v>0</v>
      </c>
      <c r="Y655" s="103">
        <v>0</v>
      </c>
      <c r="Z655" s="103">
        <v>0</v>
      </c>
      <c r="AC655" s="102">
        <v>0</v>
      </c>
    </row>
    <row r="656" spans="1:29">
      <c r="A656" s="104" t="s">
        <v>1466</v>
      </c>
      <c r="B656" s="104" t="s">
        <v>1925</v>
      </c>
      <c r="C656" s="104" t="s">
        <v>1466</v>
      </c>
      <c r="D656" s="104" t="s">
        <v>1708</v>
      </c>
      <c r="E656" s="104" t="s">
        <v>1783</v>
      </c>
      <c r="F656" s="104" t="s">
        <v>1925</v>
      </c>
      <c r="M656" s="104" t="s">
        <v>1569</v>
      </c>
      <c r="N656" s="104" t="s">
        <v>1720</v>
      </c>
      <c r="O656" s="101">
        <v>45859</v>
      </c>
      <c r="P656" s="101">
        <v>45863</v>
      </c>
      <c r="Q656" s="101">
        <v>45858</v>
      </c>
      <c r="R656" s="101">
        <v>45864</v>
      </c>
      <c r="S656" s="184">
        <v>30</v>
      </c>
      <c r="T656" s="102">
        <v>23</v>
      </c>
      <c r="U656" s="102">
        <v>5</v>
      </c>
      <c r="V656" s="102">
        <v>0</v>
      </c>
      <c r="W656" s="102">
        <v>1</v>
      </c>
      <c r="X656" s="103">
        <v>0</v>
      </c>
      <c r="Y656" s="103">
        <v>0</v>
      </c>
      <c r="Z656" s="103">
        <v>0</v>
      </c>
      <c r="AC656" s="102">
        <v>0</v>
      </c>
    </row>
    <row r="657" spans="1:29">
      <c r="A657" s="104" t="s">
        <v>1466</v>
      </c>
      <c r="B657" s="104" t="s">
        <v>1926</v>
      </c>
      <c r="C657" s="104" t="s">
        <v>1466</v>
      </c>
      <c r="D657" s="104" t="s">
        <v>1708</v>
      </c>
      <c r="E657" s="104" t="s">
        <v>1783</v>
      </c>
      <c r="F657" s="104" t="s">
        <v>1926</v>
      </c>
      <c r="M657" s="104" t="s">
        <v>1570</v>
      </c>
      <c r="N657" s="104" t="s">
        <v>1720</v>
      </c>
      <c r="O657" s="101">
        <v>45866</v>
      </c>
      <c r="P657" s="101">
        <v>45870</v>
      </c>
      <c r="Q657" s="101">
        <v>45865</v>
      </c>
      <c r="R657" s="101">
        <v>45871</v>
      </c>
      <c r="S657" s="184">
        <v>31</v>
      </c>
      <c r="T657" s="102">
        <v>24</v>
      </c>
      <c r="U657" s="102">
        <v>5</v>
      </c>
      <c r="V657" s="102">
        <v>0</v>
      </c>
      <c r="W657" s="102">
        <v>1</v>
      </c>
      <c r="X657" s="103">
        <v>0</v>
      </c>
      <c r="Y657" s="103">
        <v>0</v>
      </c>
      <c r="Z657" s="103">
        <v>0</v>
      </c>
      <c r="AC657" s="102">
        <v>0</v>
      </c>
    </row>
    <row r="658" spans="1:29">
      <c r="A658" s="104" t="s">
        <v>1466</v>
      </c>
      <c r="B658" s="104" t="s">
        <v>1927</v>
      </c>
      <c r="C658" s="104" t="s">
        <v>1466</v>
      </c>
      <c r="D658" s="104" t="s">
        <v>1708</v>
      </c>
      <c r="E658" s="104" t="s">
        <v>1784</v>
      </c>
      <c r="F658" s="104" t="s">
        <v>1927</v>
      </c>
      <c r="M658" s="104" t="s">
        <v>1569</v>
      </c>
      <c r="N658" s="104" t="s">
        <v>1720</v>
      </c>
      <c r="O658" s="101">
        <v>45873</v>
      </c>
      <c r="P658" s="101">
        <v>45877</v>
      </c>
      <c r="Q658" s="101">
        <v>45872</v>
      </c>
      <c r="R658" s="101">
        <v>45878</v>
      </c>
      <c r="S658" s="184">
        <v>32</v>
      </c>
      <c r="T658" s="102">
        <v>25</v>
      </c>
      <c r="U658" s="102">
        <v>5</v>
      </c>
      <c r="V658" s="102">
        <v>0</v>
      </c>
      <c r="W658" s="102">
        <v>1</v>
      </c>
      <c r="X658" s="103">
        <v>0</v>
      </c>
      <c r="Y658" s="103">
        <v>0</v>
      </c>
      <c r="Z658" s="103">
        <v>0</v>
      </c>
      <c r="AC658" s="102">
        <v>0</v>
      </c>
    </row>
    <row r="659" spans="1:29">
      <c r="A659" s="104" t="s">
        <v>1466</v>
      </c>
      <c r="B659" s="104" t="s">
        <v>1928</v>
      </c>
      <c r="C659" s="104" t="s">
        <v>1466</v>
      </c>
      <c r="D659" s="104" t="s">
        <v>1708</v>
      </c>
      <c r="E659" s="104" t="s">
        <v>1784</v>
      </c>
      <c r="F659" s="104" t="s">
        <v>1928</v>
      </c>
      <c r="M659" s="104" t="s">
        <v>1570</v>
      </c>
      <c r="N659" s="104" t="s">
        <v>1720</v>
      </c>
      <c r="O659" s="101">
        <v>45880</v>
      </c>
      <c r="P659" s="101">
        <v>45883</v>
      </c>
      <c r="Q659" s="101">
        <v>45879</v>
      </c>
      <c r="R659" s="101">
        <v>45885</v>
      </c>
      <c r="S659" s="184">
        <v>33</v>
      </c>
      <c r="T659" s="102">
        <v>26</v>
      </c>
      <c r="U659" s="102">
        <v>4</v>
      </c>
      <c r="V659" s="102">
        <v>0</v>
      </c>
      <c r="W659" s="102">
        <v>1</v>
      </c>
      <c r="X659" s="103">
        <v>0</v>
      </c>
      <c r="Y659" s="103">
        <v>0</v>
      </c>
      <c r="Z659" s="103">
        <v>0</v>
      </c>
      <c r="AC659" s="102">
        <v>0</v>
      </c>
    </row>
    <row r="660" spans="1:29">
      <c r="A660" s="104" t="s">
        <v>1466</v>
      </c>
      <c r="B660" s="104" t="s">
        <v>1930</v>
      </c>
      <c r="C660" s="104" t="s">
        <v>1466</v>
      </c>
      <c r="D660" s="104" t="s">
        <v>1708</v>
      </c>
      <c r="E660" s="104" t="s">
        <v>1929</v>
      </c>
      <c r="F660" s="104" t="s">
        <v>1930</v>
      </c>
      <c r="M660" s="104" t="s">
        <v>1568</v>
      </c>
      <c r="N660" s="104" t="s">
        <v>1720</v>
      </c>
      <c r="O660" s="101">
        <v>45887</v>
      </c>
      <c r="P660" s="101">
        <v>45898</v>
      </c>
      <c r="Q660" s="101">
        <v>45886</v>
      </c>
      <c r="R660" s="101">
        <v>45892</v>
      </c>
      <c r="S660" s="184">
        <v>34</v>
      </c>
      <c r="T660" s="102">
        <v>27</v>
      </c>
      <c r="U660" s="102">
        <v>0.5</v>
      </c>
      <c r="V660" s="102">
        <v>0</v>
      </c>
      <c r="W660" s="102">
        <v>0.1</v>
      </c>
      <c r="X660" s="103">
        <v>0</v>
      </c>
      <c r="Y660" s="103">
        <v>0</v>
      </c>
      <c r="Z660" s="103">
        <v>0</v>
      </c>
      <c r="AC660" s="102">
        <v>0</v>
      </c>
    </row>
    <row r="661" spans="1:29">
      <c r="A661" s="104" t="s">
        <v>1466</v>
      </c>
      <c r="B661" s="104" t="s">
        <v>1930</v>
      </c>
      <c r="C661" s="104" t="s">
        <v>1466</v>
      </c>
      <c r="D661" s="104" t="s">
        <v>1708</v>
      </c>
      <c r="E661" s="104" t="s">
        <v>1929</v>
      </c>
      <c r="F661" s="104" t="s">
        <v>1930</v>
      </c>
      <c r="M661" s="104" t="s">
        <v>1568</v>
      </c>
      <c r="N661" s="104" t="s">
        <v>1720</v>
      </c>
      <c r="O661" s="101">
        <v>45887</v>
      </c>
      <c r="P661" s="101">
        <v>45898</v>
      </c>
      <c r="Q661" s="101">
        <v>45893</v>
      </c>
      <c r="R661" s="101">
        <v>45899</v>
      </c>
      <c r="S661" s="184">
        <v>35</v>
      </c>
      <c r="T661" s="102">
        <v>28</v>
      </c>
      <c r="U661" s="102">
        <v>0.5</v>
      </c>
      <c r="V661" s="102">
        <v>0</v>
      </c>
      <c r="W661" s="102">
        <v>0.1</v>
      </c>
      <c r="X661" s="103">
        <v>0</v>
      </c>
      <c r="Y661" s="103">
        <v>0</v>
      </c>
      <c r="Z661" s="103">
        <v>0</v>
      </c>
      <c r="AC661" s="102">
        <v>0</v>
      </c>
    </row>
    <row r="662" spans="1:29">
      <c r="A662" s="104" t="s">
        <v>1466</v>
      </c>
      <c r="B662" s="104" t="s">
        <v>1931</v>
      </c>
      <c r="C662" s="104" t="s">
        <v>1466</v>
      </c>
      <c r="D662" s="104" t="s">
        <v>1708</v>
      </c>
      <c r="E662" s="104" t="s">
        <v>1929</v>
      </c>
      <c r="F662" s="104" t="s">
        <v>1931</v>
      </c>
      <c r="M662" s="104" t="s">
        <v>1569</v>
      </c>
      <c r="N662" s="104" t="s">
        <v>1720</v>
      </c>
      <c r="O662" s="101">
        <v>45901</v>
      </c>
      <c r="P662" s="101">
        <v>45905</v>
      </c>
      <c r="Q662" s="101">
        <v>45900</v>
      </c>
      <c r="R662" s="101">
        <v>45906</v>
      </c>
      <c r="S662" s="184">
        <v>36</v>
      </c>
      <c r="T662" s="102">
        <v>29</v>
      </c>
      <c r="U662" s="102">
        <v>5</v>
      </c>
      <c r="V662" s="102">
        <v>0</v>
      </c>
      <c r="W662" s="102">
        <v>1</v>
      </c>
      <c r="X662" s="103">
        <v>0</v>
      </c>
      <c r="Y662" s="103">
        <v>0</v>
      </c>
      <c r="Z662" s="103">
        <v>0</v>
      </c>
      <c r="AC662" s="102">
        <v>0</v>
      </c>
    </row>
    <row r="663" spans="1:29">
      <c r="A663" s="104" t="s">
        <v>1466</v>
      </c>
      <c r="B663" s="104" t="s">
        <v>1932</v>
      </c>
      <c r="C663" s="104" t="s">
        <v>1466</v>
      </c>
      <c r="D663" s="104" t="s">
        <v>1708</v>
      </c>
      <c r="E663" s="104" t="s">
        <v>1929</v>
      </c>
      <c r="F663" s="104" t="s">
        <v>1932</v>
      </c>
      <c r="M663" s="104" t="s">
        <v>1570</v>
      </c>
      <c r="N663" s="104" t="s">
        <v>1720</v>
      </c>
      <c r="O663" s="101">
        <v>45908</v>
      </c>
      <c r="P663" s="101">
        <v>45912</v>
      </c>
      <c r="Q663" s="101">
        <v>45907</v>
      </c>
      <c r="R663" s="101">
        <v>45913</v>
      </c>
      <c r="S663" s="184">
        <v>37</v>
      </c>
      <c r="T663" s="102">
        <v>30</v>
      </c>
      <c r="U663" s="102">
        <v>5</v>
      </c>
      <c r="V663" s="102">
        <v>0</v>
      </c>
      <c r="W663" s="102">
        <v>1</v>
      </c>
      <c r="X663" s="103">
        <v>0</v>
      </c>
      <c r="Y663" s="103">
        <v>0</v>
      </c>
      <c r="Z663" s="103">
        <v>0</v>
      </c>
      <c r="AC663" s="102">
        <v>0</v>
      </c>
    </row>
    <row r="664" spans="1:29">
      <c r="A664" s="104" t="s">
        <v>1466</v>
      </c>
      <c r="B664" s="104" t="s">
        <v>1934</v>
      </c>
      <c r="C664" s="104" t="s">
        <v>1466</v>
      </c>
      <c r="D664" s="104" t="s">
        <v>1708</v>
      </c>
      <c r="E664" s="104" t="s">
        <v>1933</v>
      </c>
      <c r="F664" s="104" t="s">
        <v>1934</v>
      </c>
      <c r="M664" s="104" t="s">
        <v>1569</v>
      </c>
      <c r="N664" s="104" t="s">
        <v>1720</v>
      </c>
      <c r="O664" s="101">
        <v>45929</v>
      </c>
      <c r="P664" s="101">
        <v>45932</v>
      </c>
      <c r="Q664" s="101">
        <v>45928</v>
      </c>
      <c r="R664" s="101">
        <v>45934</v>
      </c>
      <c r="S664" s="184">
        <v>40</v>
      </c>
      <c r="T664" s="102">
        <v>33</v>
      </c>
      <c r="U664" s="102">
        <v>4</v>
      </c>
      <c r="V664" s="102">
        <v>0</v>
      </c>
      <c r="W664" s="102">
        <v>1</v>
      </c>
      <c r="X664" s="103">
        <v>0</v>
      </c>
      <c r="Y664" s="103">
        <v>0</v>
      </c>
      <c r="Z664" s="103">
        <v>0</v>
      </c>
      <c r="AC664" s="102">
        <v>0</v>
      </c>
    </row>
    <row r="665" spans="1:29">
      <c r="A665" s="104" t="s">
        <v>1466</v>
      </c>
      <c r="B665" s="104" t="s">
        <v>1935</v>
      </c>
      <c r="C665" s="104" t="s">
        <v>1466</v>
      </c>
      <c r="D665" s="104" t="s">
        <v>1708</v>
      </c>
      <c r="E665" s="104" t="s">
        <v>1933</v>
      </c>
      <c r="F665" s="104" t="s">
        <v>1935</v>
      </c>
      <c r="M665" s="104" t="s">
        <v>1570</v>
      </c>
      <c r="N665" s="104" t="s">
        <v>1720</v>
      </c>
      <c r="O665" s="101">
        <v>45943</v>
      </c>
      <c r="P665" s="101">
        <v>45947</v>
      </c>
      <c r="Q665" s="101">
        <v>45942</v>
      </c>
      <c r="R665" s="101">
        <v>45948</v>
      </c>
      <c r="S665" s="184">
        <v>42</v>
      </c>
      <c r="T665" s="102">
        <v>35</v>
      </c>
      <c r="U665" s="102">
        <v>5</v>
      </c>
      <c r="V665" s="102">
        <v>0</v>
      </c>
      <c r="W665" s="102">
        <v>1</v>
      </c>
      <c r="X665" s="103">
        <v>0</v>
      </c>
      <c r="Y665" s="103">
        <v>0</v>
      </c>
      <c r="Z665" s="103">
        <v>0</v>
      </c>
      <c r="AC665" s="102">
        <v>0</v>
      </c>
    </row>
    <row r="666" spans="1:29">
      <c r="A666" s="104" t="s">
        <v>1466</v>
      </c>
      <c r="B666" s="104" t="s">
        <v>1936</v>
      </c>
      <c r="C666" s="104" t="s">
        <v>1466</v>
      </c>
      <c r="D666" s="104" t="s">
        <v>1709</v>
      </c>
      <c r="E666" s="104" t="s">
        <v>1785</v>
      </c>
      <c r="F666" s="104" t="s">
        <v>1936</v>
      </c>
      <c r="M666" s="104" t="s">
        <v>1715</v>
      </c>
      <c r="N666" s="104" t="s">
        <v>1720</v>
      </c>
      <c r="O666" s="101">
        <v>45824</v>
      </c>
      <c r="P666" s="101">
        <v>45828</v>
      </c>
      <c r="Q666" s="101">
        <v>45823</v>
      </c>
      <c r="R666" s="101">
        <v>45829</v>
      </c>
      <c r="S666" s="184">
        <v>25</v>
      </c>
      <c r="T666" s="102">
        <v>18</v>
      </c>
      <c r="U666" s="102">
        <v>0.5</v>
      </c>
      <c r="V666" s="102">
        <v>0</v>
      </c>
      <c r="W666" s="102">
        <v>0.1</v>
      </c>
      <c r="X666" s="103">
        <v>0</v>
      </c>
      <c r="Y666" s="103">
        <v>0</v>
      </c>
      <c r="Z666" s="103">
        <v>0</v>
      </c>
      <c r="AC666" s="102">
        <v>0</v>
      </c>
    </row>
    <row r="667" spans="1:29">
      <c r="A667" s="104" t="s">
        <v>1466</v>
      </c>
      <c r="B667" s="104" t="s">
        <v>1937</v>
      </c>
      <c r="C667" s="104" t="s">
        <v>1466</v>
      </c>
      <c r="D667" s="104" t="s">
        <v>1709</v>
      </c>
      <c r="E667" s="104" t="s">
        <v>1785</v>
      </c>
      <c r="F667" s="104" t="s">
        <v>1937</v>
      </c>
      <c r="M667" s="104" t="s">
        <v>1716</v>
      </c>
      <c r="N667" s="104" t="s">
        <v>1722</v>
      </c>
      <c r="O667" s="101">
        <v>45831</v>
      </c>
      <c r="P667" s="101">
        <v>45849</v>
      </c>
      <c r="Q667" s="101">
        <v>45830</v>
      </c>
      <c r="R667" s="101">
        <v>45836</v>
      </c>
      <c r="S667" s="184">
        <v>26</v>
      </c>
      <c r="T667" s="102">
        <v>19</v>
      </c>
      <c r="U667" s="102">
        <v>2.5</v>
      </c>
      <c r="V667" s="102">
        <v>0</v>
      </c>
      <c r="W667" s="102">
        <v>0.5</v>
      </c>
      <c r="X667" s="103">
        <v>0</v>
      </c>
      <c r="Y667" s="103">
        <v>0</v>
      </c>
      <c r="Z667" s="103">
        <v>0</v>
      </c>
      <c r="AC667" s="102">
        <v>0</v>
      </c>
    </row>
    <row r="668" spans="1:29">
      <c r="A668" s="104" t="s">
        <v>1466</v>
      </c>
      <c r="B668" s="104" t="s">
        <v>1937</v>
      </c>
      <c r="C668" s="104" t="s">
        <v>1466</v>
      </c>
      <c r="D668" s="104" t="s">
        <v>1709</v>
      </c>
      <c r="E668" s="104" t="s">
        <v>1785</v>
      </c>
      <c r="F668" s="104" t="s">
        <v>1937</v>
      </c>
      <c r="M668" s="104" t="s">
        <v>1716</v>
      </c>
      <c r="N668" s="104" t="s">
        <v>1722</v>
      </c>
      <c r="O668" s="101">
        <v>45831</v>
      </c>
      <c r="P668" s="101">
        <v>45849</v>
      </c>
      <c r="Q668" s="101">
        <v>45837</v>
      </c>
      <c r="R668" s="101">
        <v>45843</v>
      </c>
      <c r="S668" s="184">
        <v>27</v>
      </c>
      <c r="T668" s="102">
        <v>20</v>
      </c>
      <c r="U668" s="102">
        <v>2.5</v>
      </c>
      <c r="V668" s="102">
        <v>0</v>
      </c>
      <c r="W668" s="102">
        <v>0.5</v>
      </c>
      <c r="X668" s="103">
        <v>0</v>
      </c>
      <c r="Y668" s="103">
        <v>0</v>
      </c>
      <c r="Z668" s="103">
        <v>0</v>
      </c>
      <c r="AC668" s="102">
        <v>0</v>
      </c>
    </row>
    <row r="669" spans="1:29">
      <c r="A669" s="104" t="s">
        <v>1466</v>
      </c>
      <c r="B669" s="104" t="s">
        <v>1937</v>
      </c>
      <c r="C669" s="104" t="s">
        <v>1466</v>
      </c>
      <c r="D669" s="104" t="s">
        <v>1709</v>
      </c>
      <c r="E669" s="104" t="s">
        <v>1785</v>
      </c>
      <c r="F669" s="104" t="s">
        <v>1937</v>
      </c>
      <c r="M669" s="104" t="s">
        <v>1716</v>
      </c>
      <c r="N669" s="104" t="s">
        <v>1722</v>
      </c>
      <c r="O669" s="101">
        <v>45831</v>
      </c>
      <c r="P669" s="101">
        <v>45849</v>
      </c>
      <c r="Q669" s="101">
        <v>45844</v>
      </c>
      <c r="R669" s="101">
        <v>45850</v>
      </c>
      <c r="S669" s="184">
        <v>28</v>
      </c>
      <c r="T669" s="102">
        <v>21</v>
      </c>
      <c r="U669" s="102">
        <v>2.5</v>
      </c>
      <c r="V669" s="102">
        <v>0</v>
      </c>
      <c r="W669" s="102">
        <v>0.5</v>
      </c>
      <c r="X669" s="103">
        <v>0</v>
      </c>
      <c r="Y669" s="103">
        <v>0</v>
      </c>
      <c r="Z669" s="103">
        <v>0</v>
      </c>
      <c r="AC669" s="102">
        <v>0</v>
      </c>
    </row>
    <row r="670" spans="1:29">
      <c r="A670" s="104" t="s">
        <v>1466</v>
      </c>
      <c r="B670" s="104" t="s">
        <v>1938</v>
      </c>
      <c r="C670" s="104" t="s">
        <v>1466</v>
      </c>
      <c r="D670" s="104" t="s">
        <v>1709</v>
      </c>
      <c r="E670" s="104" t="s">
        <v>1785</v>
      </c>
      <c r="F670" s="104" t="s">
        <v>1938</v>
      </c>
      <c r="M670" s="104" t="s">
        <v>1558</v>
      </c>
      <c r="N670" s="104" t="s">
        <v>1720</v>
      </c>
      <c r="O670" s="101">
        <v>45845</v>
      </c>
      <c r="P670" s="101">
        <v>45849</v>
      </c>
      <c r="Q670" s="101">
        <v>45844</v>
      </c>
      <c r="R670" s="101">
        <v>45850</v>
      </c>
      <c r="S670" s="184">
        <v>28</v>
      </c>
      <c r="T670" s="102">
        <v>21</v>
      </c>
      <c r="U670" s="102">
        <v>2.5</v>
      </c>
      <c r="V670" s="102">
        <v>0</v>
      </c>
      <c r="W670" s="102">
        <v>0.5</v>
      </c>
      <c r="X670" s="103">
        <v>0</v>
      </c>
      <c r="Y670" s="103">
        <v>0</v>
      </c>
      <c r="Z670" s="103">
        <v>0</v>
      </c>
      <c r="AC670" s="102">
        <v>0</v>
      </c>
    </row>
    <row r="671" spans="1:29">
      <c r="A671" s="104" t="s">
        <v>1466</v>
      </c>
      <c r="B671" s="104" t="s">
        <v>1939</v>
      </c>
      <c r="C671" s="104" t="s">
        <v>1466</v>
      </c>
      <c r="D671" s="104" t="s">
        <v>1709</v>
      </c>
      <c r="E671" s="104" t="s">
        <v>1786</v>
      </c>
      <c r="F671" s="104" t="s">
        <v>1939</v>
      </c>
      <c r="M671" s="104" t="s">
        <v>1716</v>
      </c>
      <c r="N671" s="104" t="s">
        <v>1722</v>
      </c>
      <c r="O671" s="101">
        <v>45852</v>
      </c>
      <c r="P671" s="101">
        <v>45877</v>
      </c>
      <c r="Q671" s="101">
        <v>45851</v>
      </c>
      <c r="R671" s="101">
        <v>45857</v>
      </c>
      <c r="S671" s="184">
        <v>29</v>
      </c>
      <c r="T671" s="102">
        <v>22</v>
      </c>
      <c r="U671" s="102">
        <v>2.5</v>
      </c>
      <c r="V671" s="102">
        <v>0</v>
      </c>
      <c r="W671" s="102">
        <v>0.5</v>
      </c>
      <c r="X671" s="103">
        <v>0</v>
      </c>
      <c r="Y671" s="103">
        <v>0</v>
      </c>
      <c r="Z671" s="103">
        <v>0</v>
      </c>
      <c r="AC671" s="102">
        <v>0</v>
      </c>
    </row>
    <row r="672" spans="1:29">
      <c r="A672" s="104" t="s">
        <v>1466</v>
      </c>
      <c r="B672" s="104" t="s">
        <v>1939</v>
      </c>
      <c r="C672" s="104" t="s">
        <v>1466</v>
      </c>
      <c r="D672" s="104" t="s">
        <v>1709</v>
      </c>
      <c r="E672" s="104" t="s">
        <v>1786</v>
      </c>
      <c r="F672" s="104" t="s">
        <v>1939</v>
      </c>
      <c r="M672" s="104" t="s">
        <v>1716</v>
      </c>
      <c r="N672" s="104" t="s">
        <v>1722</v>
      </c>
      <c r="O672" s="101">
        <v>45852</v>
      </c>
      <c r="P672" s="101">
        <v>45877</v>
      </c>
      <c r="Q672" s="101">
        <v>45858</v>
      </c>
      <c r="R672" s="101">
        <v>45864</v>
      </c>
      <c r="S672" s="184">
        <v>30</v>
      </c>
      <c r="T672" s="102">
        <v>23</v>
      </c>
      <c r="U672" s="102">
        <v>2.5</v>
      </c>
      <c r="V672" s="102">
        <v>0</v>
      </c>
      <c r="W672" s="102">
        <v>0.5</v>
      </c>
      <c r="X672" s="103">
        <v>0</v>
      </c>
      <c r="Y672" s="103">
        <v>0</v>
      </c>
      <c r="Z672" s="103">
        <v>0</v>
      </c>
      <c r="AC672" s="102">
        <v>0</v>
      </c>
    </row>
    <row r="673" spans="1:29">
      <c r="A673" s="104" t="s">
        <v>1466</v>
      </c>
      <c r="B673" s="104" t="s">
        <v>1939</v>
      </c>
      <c r="C673" s="104" t="s">
        <v>1466</v>
      </c>
      <c r="D673" s="104" t="s">
        <v>1709</v>
      </c>
      <c r="E673" s="104" t="s">
        <v>1786</v>
      </c>
      <c r="F673" s="104" t="s">
        <v>1939</v>
      </c>
      <c r="M673" s="104" t="s">
        <v>1716</v>
      </c>
      <c r="N673" s="104" t="s">
        <v>1722</v>
      </c>
      <c r="O673" s="101">
        <v>45852</v>
      </c>
      <c r="P673" s="101">
        <v>45877</v>
      </c>
      <c r="Q673" s="101">
        <v>45865</v>
      </c>
      <c r="R673" s="101">
        <v>45871</v>
      </c>
      <c r="S673" s="184">
        <v>31</v>
      </c>
      <c r="T673" s="102">
        <v>24</v>
      </c>
      <c r="U673" s="102">
        <v>2.5</v>
      </c>
      <c r="V673" s="102">
        <v>0</v>
      </c>
      <c r="W673" s="102">
        <v>0.5</v>
      </c>
      <c r="X673" s="103">
        <v>0</v>
      </c>
      <c r="Y673" s="103">
        <v>0</v>
      </c>
      <c r="Z673" s="103">
        <v>0</v>
      </c>
      <c r="AC673" s="102">
        <v>0</v>
      </c>
    </row>
    <row r="674" spans="1:29">
      <c r="A674" s="104" t="s">
        <v>1466</v>
      </c>
      <c r="B674" s="104" t="s">
        <v>1939</v>
      </c>
      <c r="C674" s="104" t="s">
        <v>1466</v>
      </c>
      <c r="D674" s="104" t="s">
        <v>1709</v>
      </c>
      <c r="E674" s="104" t="s">
        <v>1786</v>
      </c>
      <c r="F674" s="104" t="s">
        <v>1939</v>
      </c>
      <c r="M674" s="104" t="s">
        <v>1716</v>
      </c>
      <c r="N674" s="104" t="s">
        <v>1722</v>
      </c>
      <c r="O674" s="101">
        <v>45852</v>
      </c>
      <c r="P674" s="101">
        <v>45877</v>
      </c>
      <c r="Q674" s="101">
        <v>45872</v>
      </c>
      <c r="R674" s="101">
        <v>45878</v>
      </c>
      <c r="S674" s="184">
        <v>32</v>
      </c>
      <c r="T674" s="102">
        <v>25</v>
      </c>
      <c r="U674" s="102">
        <v>2.5</v>
      </c>
      <c r="V674" s="102">
        <v>0</v>
      </c>
      <c r="W674" s="102">
        <v>0.5</v>
      </c>
      <c r="X674" s="103">
        <v>0</v>
      </c>
      <c r="Y674" s="103">
        <v>0</v>
      </c>
      <c r="Z674" s="103">
        <v>0</v>
      </c>
      <c r="AC674" s="102">
        <v>0</v>
      </c>
    </row>
    <row r="675" spans="1:29">
      <c r="A675" s="104" t="s">
        <v>1466</v>
      </c>
      <c r="B675" s="104" t="s">
        <v>1940</v>
      </c>
      <c r="C675" s="104" t="s">
        <v>1466</v>
      </c>
      <c r="D675" s="104" t="s">
        <v>1709</v>
      </c>
      <c r="E675" s="104" t="s">
        <v>1786</v>
      </c>
      <c r="F675" s="104" t="s">
        <v>1940</v>
      </c>
      <c r="M675" s="104" t="s">
        <v>1558</v>
      </c>
      <c r="N675" s="104" t="s">
        <v>1720</v>
      </c>
      <c r="O675" s="101">
        <v>45873</v>
      </c>
      <c r="P675" s="101">
        <v>45877</v>
      </c>
      <c r="Q675" s="101">
        <v>45872</v>
      </c>
      <c r="R675" s="101">
        <v>45878</v>
      </c>
      <c r="S675" s="184">
        <v>32</v>
      </c>
      <c r="T675" s="102">
        <v>25</v>
      </c>
      <c r="U675" s="102">
        <v>2.5</v>
      </c>
      <c r="V675" s="102">
        <v>0</v>
      </c>
      <c r="W675" s="102">
        <v>0.5</v>
      </c>
      <c r="X675" s="103">
        <v>0</v>
      </c>
      <c r="Y675" s="103">
        <v>0</v>
      </c>
      <c r="Z675" s="103">
        <v>0</v>
      </c>
      <c r="AC675" s="102">
        <v>0</v>
      </c>
    </row>
    <row r="676" spans="1:29">
      <c r="A676" s="104" t="s">
        <v>1466</v>
      </c>
      <c r="B676" s="104" t="s">
        <v>1942</v>
      </c>
      <c r="C676" s="104" t="s">
        <v>1466</v>
      </c>
      <c r="D676" s="104" t="s">
        <v>1709</v>
      </c>
      <c r="E676" s="104" t="s">
        <v>1941</v>
      </c>
      <c r="F676" s="104" t="s">
        <v>1942</v>
      </c>
      <c r="M676" s="104" t="s">
        <v>1716</v>
      </c>
      <c r="N676" s="104" t="s">
        <v>1722</v>
      </c>
      <c r="O676" s="101">
        <v>45880</v>
      </c>
      <c r="P676" s="101">
        <v>45922</v>
      </c>
      <c r="Q676" s="101">
        <v>45879</v>
      </c>
      <c r="R676" s="101">
        <v>45885</v>
      </c>
      <c r="S676" s="184">
        <v>33</v>
      </c>
      <c r="T676" s="102">
        <v>26</v>
      </c>
      <c r="U676" s="102">
        <v>2</v>
      </c>
      <c r="V676" s="102">
        <v>0</v>
      </c>
      <c r="W676" s="102">
        <v>0.5</v>
      </c>
      <c r="X676" s="103">
        <v>0</v>
      </c>
      <c r="Y676" s="103">
        <v>0</v>
      </c>
      <c r="Z676" s="103">
        <v>0</v>
      </c>
      <c r="AC676" s="102">
        <v>0</v>
      </c>
    </row>
    <row r="677" spans="1:29">
      <c r="A677" s="104" t="s">
        <v>1466</v>
      </c>
      <c r="B677" s="104" t="s">
        <v>1942</v>
      </c>
      <c r="C677" s="104" t="s">
        <v>1466</v>
      </c>
      <c r="D677" s="104" t="s">
        <v>1709</v>
      </c>
      <c r="E677" s="104" t="s">
        <v>1941</v>
      </c>
      <c r="F677" s="104" t="s">
        <v>1942</v>
      </c>
      <c r="M677" s="104" t="s">
        <v>1716</v>
      </c>
      <c r="N677" s="104" t="s">
        <v>1722</v>
      </c>
      <c r="O677" s="101">
        <v>45880</v>
      </c>
      <c r="P677" s="101">
        <v>45922</v>
      </c>
      <c r="Q677" s="101">
        <v>45886</v>
      </c>
      <c r="R677" s="101">
        <v>45892</v>
      </c>
      <c r="S677" s="184">
        <v>34</v>
      </c>
      <c r="T677" s="102">
        <v>27</v>
      </c>
      <c r="U677" s="102">
        <v>2.5</v>
      </c>
      <c r="V677" s="102">
        <v>0</v>
      </c>
      <c r="W677" s="102">
        <v>0.5</v>
      </c>
      <c r="X677" s="103">
        <v>0</v>
      </c>
      <c r="Y677" s="103">
        <v>0</v>
      </c>
      <c r="Z677" s="103">
        <v>0</v>
      </c>
      <c r="AC677" s="102">
        <v>0</v>
      </c>
    </row>
    <row r="678" spans="1:29">
      <c r="A678" s="104" t="s">
        <v>1466</v>
      </c>
      <c r="B678" s="104" t="s">
        <v>1942</v>
      </c>
      <c r="C678" s="104" t="s">
        <v>1466</v>
      </c>
      <c r="D678" s="104" t="s">
        <v>1709</v>
      </c>
      <c r="E678" s="104" t="s">
        <v>1941</v>
      </c>
      <c r="F678" s="104" t="s">
        <v>1942</v>
      </c>
      <c r="M678" s="104" t="s">
        <v>1716</v>
      </c>
      <c r="N678" s="104" t="s">
        <v>1722</v>
      </c>
      <c r="O678" s="101">
        <v>45880</v>
      </c>
      <c r="P678" s="101">
        <v>45922</v>
      </c>
      <c r="Q678" s="101">
        <v>45893</v>
      </c>
      <c r="R678" s="101">
        <v>45899</v>
      </c>
      <c r="S678" s="184">
        <v>35</v>
      </c>
      <c r="T678" s="102">
        <v>28</v>
      </c>
      <c r="U678" s="102">
        <v>2.5</v>
      </c>
      <c r="V678" s="102">
        <v>0</v>
      </c>
      <c r="W678" s="102">
        <v>0.5</v>
      </c>
      <c r="X678" s="103">
        <v>0</v>
      </c>
      <c r="Y678" s="103">
        <v>0</v>
      </c>
      <c r="Z678" s="103">
        <v>0</v>
      </c>
      <c r="AC678" s="102">
        <v>0</v>
      </c>
    </row>
    <row r="679" spans="1:29">
      <c r="A679" s="104" t="s">
        <v>1466</v>
      </c>
      <c r="B679" s="104" t="s">
        <v>1942</v>
      </c>
      <c r="C679" s="104" t="s">
        <v>1466</v>
      </c>
      <c r="D679" s="104" t="s">
        <v>1709</v>
      </c>
      <c r="E679" s="104" t="s">
        <v>1941</v>
      </c>
      <c r="F679" s="104" t="s">
        <v>1942</v>
      </c>
      <c r="M679" s="104" t="s">
        <v>1716</v>
      </c>
      <c r="N679" s="104" t="s">
        <v>1722</v>
      </c>
      <c r="O679" s="101">
        <v>45880</v>
      </c>
      <c r="P679" s="101">
        <v>45922</v>
      </c>
      <c r="Q679" s="101">
        <v>45900</v>
      </c>
      <c r="R679" s="101">
        <v>45906</v>
      </c>
      <c r="S679" s="184">
        <v>36</v>
      </c>
      <c r="T679" s="102">
        <v>29</v>
      </c>
      <c r="U679" s="102">
        <v>2.5</v>
      </c>
      <c r="V679" s="102">
        <v>0</v>
      </c>
      <c r="W679" s="102">
        <v>0.5</v>
      </c>
      <c r="X679" s="103">
        <v>0</v>
      </c>
      <c r="Y679" s="103">
        <v>0</v>
      </c>
      <c r="Z679" s="103">
        <v>0</v>
      </c>
      <c r="AC679" s="102">
        <v>0</v>
      </c>
    </row>
    <row r="680" spans="1:29">
      <c r="A680" s="104" t="s">
        <v>1466</v>
      </c>
      <c r="B680" s="104" t="s">
        <v>1942</v>
      </c>
      <c r="C680" s="104" t="s">
        <v>1466</v>
      </c>
      <c r="D680" s="104" t="s">
        <v>1709</v>
      </c>
      <c r="E680" s="104" t="s">
        <v>1941</v>
      </c>
      <c r="F680" s="104" t="s">
        <v>1942</v>
      </c>
      <c r="M680" s="104" t="s">
        <v>1716</v>
      </c>
      <c r="N680" s="104" t="s">
        <v>1722</v>
      </c>
      <c r="O680" s="101">
        <v>45880</v>
      </c>
      <c r="P680" s="101">
        <v>45922</v>
      </c>
      <c r="Q680" s="101">
        <v>45907</v>
      </c>
      <c r="R680" s="101">
        <v>45913</v>
      </c>
      <c r="S680" s="184">
        <v>37</v>
      </c>
      <c r="T680" s="102">
        <v>30</v>
      </c>
      <c r="U680" s="102">
        <v>2.5</v>
      </c>
      <c r="V680" s="102">
        <v>0</v>
      </c>
      <c r="W680" s="102">
        <v>0.5</v>
      </c>
      <c r="X680" s="103">
        <v>0</v>
      </c>
      <c r="Y680" s="103">
        <v>0</v>
      </c>
      <c r="Z680" s="103">
        <v>0</v>
      </c>
      <c r="AC680" s="102">
        <v>0</v>
      </c>
    </row>
    <row r="681" spans="1:29">
      <c r="A681" s="104" t="s">
        <v>1466</v>
      </c>
      <c r="B681" s="104" t="s">
        <v>1942</v>
      </c>
      <c r="C681" s="104" t="s">
        <v>1466</v>
      </c>
      <c r="D681" s="104" t="s">
        <v>1709</v>
      </c>
      <c r="E681" s="104" t="s">
        <v>1941</v>
      </c>
      <c r="F681" s="104" t="s">
        <v>1942</v>
      </c>
      <c r="M681" s="104" t="s">
        <v>1716</v>
      </c>
      <c r="N681" s="104" t="s">
        <v>1722</v>
      </c>
      <c r="O681" s="101">
        <v>45880</v>
      </c>
      <c r="P681" s="101">
        <v>45922</v>
      </c>
      <c r="Q681" s="101">
        <v>45914</v>
      </c>
      <c r="R681" s="101">
        <v>45920</v>
      </c>
      <c r="S681" s="184">
        <v>38</v>
      </c>
      <c r="T681" s="102">
        <v>31</v>
      </c>
      <c r="U681" s="102">
        <v>2.5</v>
      </c>
      <c r="V681" s="102">
        <v>0</v>
      </c>
      <c r="W681" s="102">
        <v>0.5</v>
      </c>
      <c r="X681" s="103">
        <v>0</v>
      </c>
      <c r="Y681" s="103">
        <v>0</v>
      </c>
      <c r="Z681" s="103">
        <v>0</v>
      </c>
      <c r="AC681" s="102">
        <v>0</v>
      </c>
    </row>
    <row r="682" spans="1:29">
      <c r="A682" s="104" t="s">
        <v>1466</v>
      </c>
      <c r="B682" s="104" t="s">
        <v>1942</v>
      </c>
      <c r="C682" s="104" t="s">
        <v>1466</v>
      </c>
      <c r="D682" s="104" t="s">
        <v>1709</v>
      </c>
      <c r="E682" s="104" t="s">
        <v>1941</v>
      </c>
      <c r="F682" s="104" t="s">
        <v>1942</v>
      </c>
      <c r="M682" s="104" t="s">
        <v>1716</v>
      </c>
      <c r="N682" s="104" t="s">
        <v>1722</v>
      </c>
      <c r="O682" s="101">
        <v>45880</v>
      </c>
      <c r="P682" s="101">
        <v>45922</v>
      </c>
      <c r="Q682" s="101">
        <v>45921</v>
      </c>
      <c r="R682" s="101">
        <v>45927</v>
      </c>
      <c r="S682" s="184">
        <v>39</v>
      </c>
      <c r="T682" s="102">
        <v>32</v>
      </c>
      <c r="U682" s="102">
        <v>0.5</v>
      </c>
      <c r="V682" s="102">
        <v>0</v>
      </c>
      <c r="W682" s="102">
        <v>0.5</v>
      </c>
      <c r="X682" s="103">
        <v>0</v>
      </c>
      <c r="Y682" s="103">
        <v>0</v>
      </c>
      <c r="Z682" s="103">
        <v>0</v>
      </c>
      <c r="AC682" s="102">
        <v>0</v>
      </c>
    </row>
    <row r="683" spans="1:29">
      <c r="A683" s="104" t="s">
        <v>1466</v>
      </c>
      <c r="B683" s="104" t="s">
        <v>1943</v>
      </c>
      <c r="C683" s="104" t="s">
        <v>1466</v>
      </c>
      <c r="D683" s="104" t="s">
        <v>1709</v>
      </c>
      <c r="E683" s="104" t="s">
        <v>1941</v>
      </c>
      <c r="F683" s="104" t="s">
        <v>1943</v>
      </c>
      <c r="M683" s="104" t="s">
        <v>1558</v>
      </c>
      <c r="N683" s="104" t="s">
        <v>1720</v>
      </c>
      <c r="O683" s="101">
        <v>45901</v>
      </c>
      <c r="P683" s="101">
        <v>45922</v>
      </c>
      <c r="Q683" s="101">
        <v>45900</v>
      </c>
      <c r="R683" s="101">
        <v>45906</v>
      </c>
      <c r="S683" s="184">
        <v>36</v>
      </c>
      <c r="T683" s="102">
        <v>29</v>
      </c>
      <c r="U683" s="102">
        <v>2.5</v>
      </c>
      <c r="V683" s="102">
        <v>0</v>
      </c>
      <c r="W683" s="102">
        <v>0.5</v>
      </c>
      <c r="X683" s="103">
        <v>0</v>
      </c>
      <c r="Y683" s="103">
        <v>0</v>
      </c>
      <c r="Z683" s="103">
        <v>0</v>
      </c>
      <c r="AC683" s="102">
        <v>0</v>
      </c>
    </row>
    <row r="684" spans="1:29">
      <c r="A684" s="104" t="s">
        <v>1466</v>
      </c>
      <c r="B684" s="104" t="s">
        <v>1943</v>
      </c>
      <c r="C684" s="104" t="s">
        <v>1466</v>
      </c>
      <c r="D684" s="104" t="s">
        <v>1709</v>
      </c>
      <c r="E684" s="104" t="s">
        <v>1941</v>
      </c>
      <c r="F684" s="104" t="s">
        <v>1943</v>
      </c>
      <c r="M684" s="104" t="s">
        <v>1558</v>
      </c>
      <c r="N684" s="104" t="s">
        <v>1720</v>
      </c>
      <c r="O684" s="101">
        <v>45901</v>
      </c>
      <c r="P684" s="101">
        <v>45922</v>
      </c>
      <c r="Q684" s="101">
        <v>45907</v>
      </c>
      <c r="R684" s="101">
        <v>45913</v>
      </c>
      <c r="S684" s="184">
        <v>37</v>
      </c>
      <c r="T684" s="102">
        <v>30</v>
      </c>
      <c r="U684" s="102">
        <v>2.5</v>
      </c>
      <c r="V684" s="102">
        <v>0</v>
      </c>
      <c r="W684" s="102">
        <v>0.5</v>
      </c>
      <c r="X684" s="103">
        <v>0</v>
      </c>
      <c r="Y684" s="103">
        <v>0</v>
      </c>
      <c r="Z684" s="103">
        <v>0</v>
      </c>
      <c r="AC684" s="102">
        <v>0</v>
      </c>
    </row>
    <row r="685" spans="1:29">
      <c r="A685" s="104" t="s">
        <v>1466</v>
      </c>
      <c r="B685" s="104" t="s">
        <v>1943</v>
      </c>
      <c r="C685" s="104" t="s">
        <v>1466</v>
      </c>
      <c r="D685" s="104" t="s">
        <v>1709</v>
      </c>
      <c r="E685" s="104" t="s">
        <v>1941</v>
      </c>
      <c r="F685" s="104" t="s">
        <v>1943</v>
      </c>
      <c r="M685" s="104" t="s">
        <v>1558</v>
      </c>
      <c r="N685" s="104" t="s">
        <v>1720</v>
      </c>
      <c r="O685" s="101">
        <v>45901</v>
      </c>
      <c r="P685" s="101">
        <v>45922</v>
      </c>
      <c r="Q685" s="101">
        <v>45914</v>
      </c>
      <c r="R685" s="101">
        <v>45920</v>
      </c>
      <c r="S685" s="184">
        <v>38</v>
      </c>
      <c r="T685" s="102">
        <v>31</v>
      </c>
      <c r="U685" s="102">
        <v>2.5</v>
      </c>
      <c r="V685" s="102">
        <v>0</v>
      </c>
      <c r="W685" s="102">
        <v>0.5</v>
      </c>
      <c r="X685" s="103">
        <v>0</v>
      </c>
      <c r="Y685" s="103">
        <v>0</v>
      </c>
      <c r="Z685" s="103">
        <v>0</v>
      </c>
      <c r="AC685" s="102">
        <v>0</v>
      </c>
    </row>
    <row r="686" spans="1:29">
      <c r="A686" s="104" t="s">
        <v>1466</v>
      </c>
      <c r="B686" s="104" t="s">
        <v>1943</v>
      </c>
      <c r="C686" s="104" t="s">
        <v>1466</v>
      </c>
      <c r="D686" s="104" t="s">
        <v>1709</v>
      </c>
      <c r="E686" s="104" t="s">
        <v>1941</v>
      </c>
      <c r="F686" s="104" t="s">
        <v>1943</v>
      </c>
      <c r="M686" s="104" t="s">
        <v>1558</v>
      </c>
      <c r="N686" s="104" t="s">
        <v>1720</v>
      </c>
      <c r="O686" s="101">
        <v>45901</v>
      </c>
      <c r="P686" s="101">
        <v>45922</v>
      </c>
      <c r="Q686" s="101">
        <v>45921</v>
      </c>
      <c r="R686" s="101">
        <v>45927</v>
      </c>
      <c r="S686" s="184">
        <v>39</v>
      </c>
      <c r="T686" s="102">
        <v>32</v>
      </c>
      <c r="U686" s="102">
        <v>0.5</v>
      </c>
      <c r="V686" s="102">
        <v>0</v>
      </c>
      <c r="W686" s="102">
        <v>0.5</v>
      </c>
      <c r="X686" s="103">
        <v>0</v>
      </c>
      <c r="Y686" s="103">
        <v>0</v>
      </c>
      <c r="Z686" s="103">
        <v>0</v>
      </c>
      <c r="AC686" s="102">
        <v>0</v>
      </c>
    </row>
    <row r="687" spans="1:29">
      <c r="A687" s="104" t="s">
        <v>1466</v>
      </c>
      <c r="B687" s="104" t="s">
        <v>1944</v>
      </c>
      <c r="C687" s="104" t="s">
        <v>1466</v>
      </c>
      <c r="D687" s="104" t="s">
        <v>1710</v>
      </c>
      <c r="E687" s="104" t="s">
        <v>1787</v>
      </c>
      <c r="F687" s="104" t="s">
        <v>1944</v>
      </c>
      <c r="M687" s="104" t="s">
        <v>1572</v>
      </c>
      <c r="N687" s="104" t="s">
        <v>1720</v>
      </c>
      <c r="O687" s="101">
        <v>45859</v>
      </c>
      <c r="P687" s="101">
        <v>45863</v>
      </c>
      <c r="Q687" s="101">
        <v>45858</v>
      </c>
      <c r="R687" s="101">
        <v>45864</v>
      </c>
      <c r="S687" s="184">
        <v>30</v>
      </c>
      <c r="T687" s="102">
        <v>23</v>
      </c>
      <c r="U687" s="102">
        <v>0.5</v>
      </c>
      <c r="V687" s="102">
        <v>0</v>
      </c>
      <c r="W687" s="102">
        <v>0.1</v>
      </c>
      <c r="X687" s="103">
        <v>0</v>
      </c>
      <c r="Y687" s="103">
        <v>0</v>
      </c>
      <c r="Z687" s="103">
        <v>0</v>
      </c>
      <c r="AC687" s="102">
        <v>0</v>
      </c>
    </row>
    <row r="688" spans="1:29">
      <c r="A688" s="104" t="s">
        <v>1466</v>
      </c>
      <c r="B688" s="104" t="s">
        <v>1945</v>
      </c>
      <c r="C688" s="104" t="s">
        <v>1466</v>
      </c>
      <c r="D688" s="104" t="s">
        <v>1710</v>
      </c>
      <c r="E688" s="104" t="s">
        <v>1787</v>
      </c>
      <c r="F688" s="104" t="s">
        <v>1945</v>
      </c>
      <c r="M688" s="104" t="s">
        <v>1557</v>
      </c>
      <c r="N688" s="104" t="s">
        <v>1723</v>
      </c>
      <c r="O688" s="101">
        <v>45866</v>
      </c>
      <c r="P688" s="101">
        <v>45869</v>
      </c>
      <c r="Q688" s="101">
        <v>45865</v>
      </c>
      <c r="R688" s="101">
        <v>45871</v>
      </c>
      <c r="S688" s="184">
        <v>31</v>
      </c>
      <c r="T688" s="102">
        <v>24</v>
      </c>
      <c r="U688" s="102">
        <v>4</v>
      </c>
      <c r="V688" s="102">
        <v>0</v>
      </c>
      <c r="W688" s="102">
        <v>1</v>
      </c>
      <c r="X688" s="103">
        <v>0</v>
      </c>
      <c r="Y688" s="103">
        <v>0</v>
      </c>
      <c r="Z688" s="103">
        <v>0</v>
      </c>
      <c r="AC688" s="102">
        <v>0</v>
      </c>
    </row>
    <row r="689" spans="1:29">
      <c r="A689" s="104" t="s">
        <v>1466</v>
      </c>
      <c r="B689" s="104" t="s">
        <v>1946</v>
      </c>
      <c r="C689" s="104" t="s">
        <v>1466</v>
      </c>
      <c r="D689" s="104" t="s">
        <v>1710</v>
      </c>
      <c r="E689" s="104" t="s">
        <v>1787</v>
      </c>
      <c r="F689" s="104" t="s">
        <v>1946</v>
      </c>
      <c r="M689" s="104" t="s">
        <v>1558</v>
      </c>
      <c r="N689" s="104" t="s">
        <v>1720</v>
      </c>
      <c r="O689" s="101">
        <v>45873</v>
      </c>
      <c r="P689" s="101">
        <v>45877</v>
      </c>
      <c r="Q689" s="101">
        <v>45872</v>
      </c>
      <c r="R689" s="101">
        <v>45878</v>
      </c>
      <c r="S689" s="184">
        <v>32</v>
      </c>
      <c r="T689" s="102">
        <v>25</v>
      </c>
      <c r="U689" s="102">
        <v>5</v>
      </c>
      <c r="V689" s="102">
        <v>0</v>
      </c>
      <c r="W689" s="102">
        <v>1</v>
      </c>
      <c r="X689" s="103">
        <v>0</v>
      </c>
      <c r="Y689" s="103">
        <v>0</v>
      </c>
      <c r="Z689" s="103">
        <v>0</v>
      </c>
      <c r="AC689" s="102">
        <v>0</v>
      </c>
    </row>
    <row r="690" spans="1:29">
      <c r="A690" s="104" t="s">
        <v>1466</v>
      </c>
      <c r="B690" s="104" t="s">
        <v>1947</v>
      </c>
      <c r="C690" s="104" t="s">
        <v>1466</v>
      </c>
      <c r="D690" s="104" t="s">
        <v>1710</v>
      </c>
      <c r="E690" s="104" t="s">
        <v>1788</v>
      </c>
      <c r="F690" s="104" t="s">
        <v>1947</v>
      </c>
      <c r="M690" s="104" t="s">
        <v>1572</v>
      </c>
      <c r="N690" s="104" t="s">
        <v>1720</v>
      </c>
      <c r="O690" s="101">
        <v>45870</v>
      </c>
      <c r="P690" s="101">
        <v>45891</v>
      </c>
      <c r="Q690" s="101">
        <v>45865</v>
      </c>
      <c r="R690" s="101">
        <v>45871</v>
      </c>
      <c r="S690" s="184">
        <v>31</v>
      </c>
      <c r="T690" s="102">
        <v>24</v>
      </c>
      <c r="U690" s="102">
        <v>0.1</v>
      </c>
      <c r="V690" s="102">
        <v>0</v>
      </c>
      <c r="W690" s="102">
        <v>0.1</v>
      </c>
      <c r="X690" s="103">
        <v>0</v>
      </c>
      <c r="Y690" s="103">
        <v>0</v>
      </c>
      <c r="Z690" s="103">
        <v>0</v>
      </c>
      <c r="AC690" s="102">
        <v>0</v>
      </c>
    </row>
    <row r="691" spans="1:29">
      <c r="A691" s="104" t="s">
        <v>1466</v>
      </c>
      <c r="B691" s="104" t="s">
        <v>1947</v>
      </c>
      <c r="C691" s="104" t="s">
        <v>1466</v>
      </c>
      <c r="D691" s="104" t="s">
        <v>1710</v>
      </c>
      <c r="E691" s="104" t="s">
        <v>1788</v>
      </c>
      <c r="F691" s="104" t="s">
        <v>1947</v>
      </c>
      <c r="M691" s="104" t="s">
        <v>1572</v>
      </c>
      <c r="N691" s="104" t="s">
        <v>1720</v>
      </c>
      <c r="O691" s="101">
        <v>45870</v>
      </c>
      <c r="P691" s="101">
        <v>45891</v>
      </c>
      <c r="Q691" s="101">
        <v>45872</v>
      </c>
      <c r="R691" s="101">
        <v>45878</v>
      </c>
      <c r="S691" s="184">
        <v>32</v>
      </c>
      <c r="T691" s="102">
        <v>25</v>
      </c>
      <c r="U691" s="102">
        <v>0.5</v>
      </c>
      <c r="V691" s="102">
        <v>0</v>
      </c>
      <c r="W691" s="102">
        <v>0.1</v>
      </c>
      <c r="X691" s="103">
        <v>0</v>
      </c>
      <c r="Y691" s="103">
        <v>0</v>
      </c>
      <c r="Z691" s="103">
        <v>0</v>
      </c>
      <c r="AC691" s="102">
        <v>0</v>
      </c>
    </row>
    <row r="692" spans="1:29">
      <c r="A692" s="104" t="s">
        <v>1466</v>
      </c>
      <c r="B692" s="104" t="s">
        <v>1947</v>
      </c>
      <c r="C692" s="104" t="s">
        <v>1466</v>
      </c>
      <c r="D692" s="104" t="s">
        <v>1710</v>
      </c>
      <c r="E692" s="104" t="s">
        <v>1788</v>
      </c>
      <c r="F692" s="104" t="s">
        <v>1947</v>
      </c>
      <c r="M692" s="104" t="s">
        <v>1572</v>
      </c>
      <c r="N692" s="104" t="s">
        <v>1720</v>
      </c>
      <c r="O692" s="101">
        <v>45870</v>
      </c>
      <c r="P692" s="101">
        <v>45891</v>
      </c>
      <c r="Q692" s="101">
        <v>45879</v>
      </c>
      <c r="R692" s="101">
        <v>45885</v>
      </c>
      <c r="S692" s="184">
        <v>33</v>
      </c>
      <c r="T692" s="102">
        <v>26</v>
      </c>
      <c r="U692" s="102">
        <v>0.4</v>
      </c>
      <c r="V692" s="102">
        <v>0</v>
      </c>
      <c r="W692" s="102">
        <v>0.1</v>
      </c>
      <c r="X692" s="103">
        <v>0</v>
      </c>
      <c r="Y692" s="103">
        <v>0</v>
      </c>
      <c r="Z692" s="103">
        <v>0</v>
      </c>
      <c r="AC692" s="102">
        <v>0</v>
      </c>
    </row>
    <row r="693" spans="1:29">
      <c r="A693" s="104" t="s">
        <v>1466</v>
      </c>
      <c r="B693" s="104" t="s">
        <v>1947</v>
      </c>
      <c r="C693" s="104" t="s">
        <v>1466</v>
      </c>
      <c r="D693" s="104" t="s">
        <v>1710</v>
      </c>
      <c r="E693" s="104" t="s">
        <v>1788</v>
      </c>
      <c r="F693" s="104" t="s">
        <v>1947</v>
      </c>
      <c r="M693" s="104" t="s">
        <v>1572</v>
      </c>
      <c r="N693" s="104" t="s">
        <v>1720</v>
      </c>
      <c r="O693" s="101">
        <v>45870</v>
      </c>
      <c r="P693" s="101">
        <v>45891</v>
      </c>
      <c r="Q693" s="101">
        <v>45886</v>
      </c>
      <c r="R693" s="101">
        <v>45892</v>
      </c>
      <c r="S693" s="184">
        <v>34</v>
      </c>
      <c r="T693" s="102">
        <v>27</v>
      </c>
      <c r="U693" s="102">
        <v>0.5</v>
      </c>
      <c r="V693" s="102">
        <v>0</v>
      </c>
      <c r="W693" s="102">
        <v>0.1</v>
      </c>
      <c r="X693" s="103">
        <v>0</v>
      </c>
      <c r="Y693" s="103">
        <v>0</v>
      </c>
      <c r="Z693" s="103">
        <v>0</v>
      </c>
      <c r="AC693" s="102">
        <v>0</v>
      </c>
    </row>
    <row r="694" spans="1:29">
      <c r="A694" s="104" t="s">
        <v>1466</v>
      </c>
      <c r="B694" s="104" t="s">
        <v>1948</v>
      </c>
      <c r="C694" s="104" t="s">
        <v>1466</v>
      </c>
      <c r="D694" s="104" t="s">
        <v>1710</v>
      </c>
      <c r="E694" s="104" t="s">
        <v>1788</v>
      </c>
      <c r="F694" s="104" t="s">
        <v>1948</v>
      </c>
      <c r="M694" s="104" t="s">
        <v>1557</v>
      </c>
      <c r="N694" s="104" t="s">
        <v>1723</v>
      </c>
      <c r="O694" s="101">
        <v>45915</v>
      </c>
      <c r="P694" s="101">
        <v>45919</v>
      </c>
      <c r="Q694" s="101">
        <v>45914</v>
      </c>
      <c r="R694" s="101">
        <v>45920</v>
      </c>
      <c r="S694" s="184">
        <v>38</v>
      </c>
      <c r="T694" s="102">
        <v>31</v>
      </c>
      <c r="U694" s="102">
        <v>5</v>
      </c>
      <c r="V694" s="102">
        <v>0</v>
      </c>
      <c r="W694" s="102">
        <v>1</v>
      </c>
      <c r="X694" s="103">
        <v>0</v>
      </c>
      <c r="Y694" s="103">
        <v>0</v>
      </c>
      <c r="Z694" s="103">
        <v>0</v>
      </c>
      <c r="AC694" s="102">
        <v>0</v>
      </c>
    </row>
    <row r="695" spans="1:29">
      <c r="A695" s="104" t="s">
        <v>1466</v>
      </c>
      <c r="B695" s="104" t="s">
        <v>1949</v>
      </c>
      <c r="C695" s="104" t="s">
        <v>1466</v>
      </c>
      <c r="D695" s="104" t="s">
        <v>1710</v>
      </c>
      <c r="E695" s="104" t="s">
        <v>1788</v>
      </c>
      <c r="F695" s="104" t="s">
        <v>1949</v>
      </c>
      <c r="M695" s="104" t="s">
        <v>1558</v>
      </c>
      <c r="N695" s="104" t="s">
        <v>1720</v>
      </c>
      <c r="O695" s="101">
        <v>45922</v>
      </c>
      <c r="P695" s="101">
        <v>45926</v>
      </c>
      <c r="Q695" s="101">
        <v>45921</v>
      </c>
      <c r="R695" s="101">
        <v>45927</v>
      </c>
      <c r="S695" s="184">
        <v>39</v>
      </c>
      <c r="T695" s="102">
        <v>32</v>
      </c>
      <c r="U695" s="102">
        <v>5</v>
      </c>
      <c r="V695" s="102">
        <v>0</v>
      </c>
      <c r="W695" s="102">
        <v>1</v>
      </c>
      <c r="X695" s="103">
        <v>0</v>
      </c>
      <c r="Y695" s="103">
        <v>0</v>
      </c>
      <c r="Z695" s="103">
        <v>0</v>
      </c>
      <c r="AC695" s="102">
        <v>0</v>
      </c>
    </row>
    <row r="696" spans="1:29">
      <c r="A696" s="104" t="s">
        <v>1465</v>
      </c>
      <c r="B696" s="104" t="s">
        <v>1950</v>
      </c>
      <c r="C696" s="104" t="s">
        <v>1467</v>
      </c>
      <c r="D696" s="104" t="s">
        <v>1789</v>
      </c>
      <c r="E696" s="104" t="s">
        <v>1950</v>
      </c>
      <c r="M696" s="104" t="s">
        <v>1563</v>
      </c>
      <c r="N696" s="104" t="s">
        <v>1720</v>
      </c>
      <c r="O696" s="101">
        <v>45870</v>
      </c>
      <c r="P696" s="101">
        <v>46010</v>
      </c>
      <c r="Q696" s="101">
        <v>45865</v>
      </c>
      <c r="R696" s="101">
        <v>45871</v>
      </c>
      <c r="S696" s="184">
        <v>31</v>
      </c>
      <c r="T696" s="102">
        <v>24</v>
      </c>
      <c r="U696" s="102">
        <v>0.1</v>
      </c>
      <c r="V696" s="102">
        <v>0</v>
      </c>
      <c r="W696" s="102">
        <v>0.1</v>
      </c>
      <c r="X696" s="103">
        <v>0</v>
      </c>
      <c r="Y696" s="103">
        <v>0</v>
      </c>
      <c r="Z696" s="103">
        <v>0</v>
      </c>
      <c r="AC696" s="102">
        <v>0</v>
      </c>
    </row>
    <row r="697" spans="1:29">
      <c r="A697" s="104" t="s">
        <v>1465</v>
      </c>
      <c r="B697" s="104" t="s">
        <v>1950</v>
      </c>
      <c r="C697" s="104" t="s">
        <v>1467</v>
      </c>
      <c r="D697" s="104" t="s">
        <v>1789</v>
      </c>
      <c r="E697" s="104" t="s">
        <v>1950</v>
      </c>
      <c r="M697" s="104" t="s">
        <v>1563</v>
      </c>
      <c r="N697" s="104" t="s">
        <v>1720</v>
      </c>
      <c r="O697" s="101">
        <v>45870</v>
      </c>
      <c r="P697" s="101">
        <v>46010</v>
      </c>
      <c r="Q697" s="101">
        <v>45872</v>
      </c>
      <c r="R697" s="101">
        <v>45878</v>
      </c>
      <c r="S697" s="184">
        <v>32</v>
      </c>
      <c r="T697" s="102">
        <v>25</v>
      </c>
      <c r="U697" s="102">
        <v>0.5</v>
      </c>
      <c r="V697" s="102">
        <v>0</v>
      </c>
      <c r="W697" s="102">
        <v>0.1</v>
      </c>
      <c r="X697" s="103">
        <v>0</v>
      </c>
      <c r="Y697" s="103">
        <v>0</v>
      </c>
      <c r="Z697" s="103">
        <v>0</v>
      </c>
      <c r="AC697" s="102">
        <v>0</v>
      </c>
    </row>
    <row r="698" spans="1:29">
      <c r="A698" s="104" t="s">
        <v>1465</v>
      </c>
      <c r="B698" s="104" t="s">
        <v>1950</v>
      </c>
      <c r="C698" s="104" t="s">
        <v>1467</v>
      </c>
      <c r="D698" s="104" t="s">
        <v>1789</v>
      </c>
      <c r="E698" s="104" t="s">
        <v>1950</v>
      </c>
      <c r="M698" s="104" t="s">
        <v>1563</v>
      </c>
      <c r="N698" s="104" t="s">
        <v>1720</v>
      </c>
      <c r="O698" s="101">
        <v>45870</v>
      </c>
      <c r="P698" s="101">
        <v>46010</v>
      </c>
      <c r="Q698" s="101">
        <v>45879</v>
      </c>
      <c r="R698" s="101">
        <v>45885</v>
      </c>
      <c r="S698" s="184">
        <v>33</v>
      </c>
      <c r="T698" s="102">
        <v>26</v>
      </c>
      <c r="U698" s="102">
        <v>0.4</v>
      </c>
      <c r="V698" s="102">
        <v>0</v>
      </c>
      <c r="W698" s="102">
        <v>0.1</v>
      </c>
      <c r="X698" s="103">
        <v>0</v>
      </c>
      <c r="Y698" s="103">
        <v>0</v>
      </c>
      <c r="Z698" s="103">
        <v>0</v>
      </c>
      <c r="AC698" s="102">
        <v>0</v>
      </c>
    </row>
    <row r="699" spans="1:29">
      <c r="A699" s="104" t="s">
        <v>1465</v>
      </c>
      <c r="B699" s="104" t="s">
        <v>1950</v>
      </c>
      <c r="C699" s="104" t="s">
        <v>1467</v>
      </c>
      <c r="D699" s="104" t="s">
        <v>1789</v>
      </c>
      <c r="E699" s="104" t="s">
        <v>1950</v>
      </c>
      <c r="M699" s="104" t="s">
        <v>1563</v>
      </c>
      <c r="N699" s="104" t="s">
        <v>1720</v>
      </c>
      <c r="O699" s="101">
        <v>45870</v>
      </c>
      <c r="P699" s="101">
        <v>46010</v>
      </c>
      <c r="Q699" s="101">
        <v>45886</v>
      </c>
      <c r="R699" s="101">
        <v>45892</v>
      </c>
      <c r="S699" s="184">
        <v>34</v>
      </c>
      <c r="T699" s="102">
        <v>27</v>
      </c>
      <c r="U699" s="102">
        <v>0.5</v>
      </c>
      <c r="V699" s="102">
        <v>0</v>
      </c>
      <c r="W699" s="102">
        <v>0.1</v>
      </c>
      <c r="X699" s="103">
        <v>0</v>
      </c>
      <c r="Y699" s="103">
        <v>0</v>
      </c>
      <c r="Z699" s="103">
        <v>0</v>
      </c>
      <c r="AC699" s="102">
        <v>0</v>
      </c>
    </row>
    <row r="700" spans="1:29">
      <c r="A700" s="104" t="s">
        <v>1465</v>
      </c>
      <c r="B700" s="104" t="s">
        <v>1950</v>
      </c>
      <c r="C700" s="104" t="s">
        <v>1467</v>
      </c>
      <c r="D700" s="104" t="s">
        <v>1789</v>
      </c>
      <c r="E700" s="104" t="s">
        <v>1950</v>
      </c>
      <c r="M700" s="104" t="s">
        <v>1563</v>
      </c>
      <c r="N700" s="104" t="s">
        <v>1720</v>
      </c>
      <c r="O700" s="101">
        <v>45870</v>
      </c>
      <c r="P700" s="101">
        <v>46010</v>
      </c>
      <c r="Q700" s="101">
        <v>45893</v>
      </c>
      <c r="R700" s="101">
        <v>45899</v>
      </c>
      <c r="S700" s="184">
        <v>35</v>
      </c>
      <c r="T700" s="102">
        <v>28</v>
      </c>
      <c r="U700" s="102">
        <v>0.5</v>
      </c>
      <c r="V700" s="102">
        <v>0</v>
      </c>
      <c r="W700" s="102">
        <v>0.1</v>
      </c>
      <c r="X700" s="103">
        <v>0</v>
      </c>
      <c r="Y700" s="103">
        <v>0</v>
      </c>
      <c r="Z700" s="103">
        <v>0</v>
      </c>
      <c r="AC700" s="102">
        <v>0</v>
      </c>
    </row>
    <row r="701" spans="1:29">
      <c r="A701" s="104" t="s">
        <v>1465</v>
      </c>
      <c r="B701" s="104" t="s">
        <v>1950</v>
      </c>
      <c r="C701" s="104" t="s">
        <v>1467</v>
      </c>
      <c r="D701" s="104" t="s">
        <v>1789</v>
      </c>
      <c r="E701" s="104" t="s">
        <v>1950</v>
      </c>
      <c r="M701" s="104" t="s">
        <v>1563</v>
      </c>
      <c r="N701" s="104" t="s">
        <v>1720</v>
      </c>
      <c r="O701" s="101">
        <v>45870</v>
      </c>
      <c r="P701" s="101">
        <v>46010</v>
      </c>
      <c r="Q701" s="101">
        <v>45900</v>
      </c>
      <c r="R701" s="101">
        <v>45906</v>
      </c>
      <c r="S701" s="184">
        <v>36</v>
      </c>
      <c r="T701" s="102">
        <v>29</v>
      </c>
      <c r="U701" s="102">
        <v>0.5</v>
      </c>
      <c r="V701" s="102">
        <v>0</v>
      </c>
      <c r="W701" s="102">
        <v>0.1</v>
      </c>
      <c r="X701" s="103">
        <v>0</v>
      </c>
      <c r="Y701" s="103">
        <v>0</v>
      </c>
      <c r="Z701" s="103">
        <v>0</v>
      </c>
      <c r="AC701" s="102">
        <v>0</v>
      </c>
    </row>
    <row r="702" spans="1:29">
      <c r="A702" s="104" t="s">
        <v>1465</v>
      </c>
      <c r="B702" s="104" t="s">
        <v>1950</v>
      </c>
      <c r="C702" s="104" t="s">
        <v>1467</v>
      </c>
      <c r="D702" s="104" t="s">
        <v>1789</v>
      </c>
      <c r="E702" s="104" t="s">
        <v>1950</v>
      </c>
      <c r="M702" s="104" t="s">
        <v>1563</v>
      </c>
      <c r="N702" s="104" t="s">
        <v>1720</v>
      </c>
      <c r="O702" s="101">
        <v>45870</v>
      </c>
      <c r="P702" s="101">
        <v>46010</v>
      </c>
      <c r="Q702" s="101">
        <v>45907</v>
      </c>
      <c r="R702" s="101">
        <v>45913</v>
      </c>
      <c r="S702" s="184">
        <v>37</v>
      </c>
      <c r="T702" s="102">
        <v>30</v>
      </c>
      <c r="U702" s="102">
        <v>0.5</v>
      </c>
      <c r="V702" s="102">
        <v>0</v>
      </c>
      <c r="W702" s="102">
        <v>0.1</v>
      </c>
      <c r="X702" s="103">
        <v>0</v>
      </c>
      <c r="Y702" s="103">
        <v>0</v>
      </c>
      <c r="Z702" s="103">
        <v>0</v>
      </c>
      <c r="AC702" s="102">
        <v>0</v>
      </c>
    </row>
    <row r="703" spans="1:29">
      <c r="A703" s="104" t="s">
        <v>1465</v>
      </c>
      <c r="B703" s="104" t="s">
        <v>1950</v>
      </c>
      <c r="C703" s="104" t="s">
        <v>1467</v>
      </c>
      <c r="D703" s="104" t="s">
        <v>1789</v>
      </c>
      <c r="E703" s="104" t="s">
        <v>1950</v>
      </c>
      <c r="M703" s="104" t="s">
        <v>1563</v>
      </c>
      <c r="N703" s="104" t="s">
        <v>1720</v>
      </c>
      <c r="O703" s="101">
        <v>45870</v>
      </c>
      <c r="P703" s="101">
        <v>46010</v>
      </c>
      <c r="Q703" s="101">
        <v>45914</v>
      </c>
      <c r="R703" s="101">
        <v>45920</v>
      </c>
      <c r="S703" s="184">
        <v>38</v>
      </c>
      <c r="T703" s="102">
        <v>31</v>
      </c>
      <c r="U703" s="102">
        <v>0.5</v>
      </c>
      <c r="V703" s="102">
        <v>0</v>
      </c>
      <c r="W703" s="102">
        <v>0.1</v>
      </c>
      <c r="X703" s="103">
        <v>0</v>
      </c>
      <c r="Y703" s="103">
        <v>0</v>
      </c>
      <c r="Z703" s="103">
        <v>0</v>
      </c>
      <c r="AC703" s="102">
        <v>0</v>
      </c>
    </row>
    <row r="704" spans="1:29">
      <c r="A704" s="104" t="s">
        <v>1465</v>
      </c>
      <c r="B704" s="104" t="s">
        <v>1950</v>
      </c>
      <c r="C704" s="104" t="s">
        <v>1467</v>
      </c>
      <c r="D704" s="104" t="s">
        <v>1789</v>
      </c>
      <c r="E704" s="104" t="s">
        <v>1950</v>
      </c>
      <c r="M704" s="104" t="s">
        <v>1563</v>
      </c>
      <c r="N704" s="104" t="s">
        <v>1720</v>
      </c>
      <c r="O704" s="101">
        <v>45870</v>
      </c>
      <c r="P704" s="101">
        <v>46010</v>
      </c>
      <c r="Q704" s="101">
        <v>45921</v>
      </c>
      <c r="R704" s="101">
        <v>45927</v>
      </c>
      <c r="S704" s="184">
        <v>39</v>
      </c>
      <c r="T704" s="102">
        <v>32</v>
      </c>
      <c r="U704" s="102">
        <v>0.5</v>
      </c>
      <c r="V704" s="102">
        <v>0</v>
      </c>
      <c r="W704" s="102">
        <v>0.1</v>
      </c>
      <c r="X704" s="103">
        <v>0</v>
      </c>
      <c r="Y704" s="103">
        <v>0</v>
      </c>
      <c r="Z704" s="103">
        <v>0</v>
      </c>
      <c r="AC704" s="102">
        <v>0</v>
      </c>
    </row>
    <row r="705" spans="1:29">
      <c r="A705" s="104" t="s">
        <v>1465</v>
      </c>
      <c r="B705" s="104" t="s">
        <v>1950</v>
      </c>
      <c r="C705" s="104" t="s">
        <v>1467</v>
      </c>
      <c r="D705" s="104" t="s">
        <v>1789</v>
      </c>
      <c r="E705" s="104" t="s">
        <v>1950</v>
      </c>
      <c r="M705" s="104" t="s">
        <v>1563</v>
      </c>
      <c r="N705" s="104" t="s">
        <v>1720</v>
      </c>
      <c r="O705" s="101">
        <v>45870</v>
      </c>
      <c r="P705" s="101">
        <v>46010</v>
      </c>
      <c r="Q705" s="101">
        <v>45928</v>
      </c>
      <c r="R705" s="101">
        <v>45934</v>
      </c>
      <c r="S705" s="184">
        <v>40</v>
      </c>
      <c r="T705" s="102">
        <v>33</v>
      </c>
      <c r="U705" s="102">
        <v>0.4</v>
      </c>
      <c r="V705" s="102">
        <v>0</v>
      </c>
      <c r="W705" s="102">
        <v>0.1</v>
      </c>
      <c r="X705" s="103">
        <v>0</v>
      </c>
      <c r="Y705" s="103">
        <v>0</v>
      </c>
      <c r="Z705" s="103">
        <v>0</v>
      </c>
      <c r="AC705" s="102">
        <v>0</v>
      </c>
    </row>
    <row r="706" spans="1:29">
      <c r="A706" s="104" t="s">
        <v>1465</v>
      </c>
      <c r="B706" s="104" t="s">
        <v>1950</v>
      </c>
      <c r="C706" s="104" t="s">
        <v>1467</v>
      </c>
      <c r="D706" s="104" t="s">
        <v>1789</v>
      </c>
      <c r="E706" s="104" t="s">
        <v>1950</v>
      </c>
      <c r="M706" s="104" t="s">
        <v>1563</v>
      </c>
      <c r="N706" s="104" t="s">
        <v>1720</v>
      </c>
      <c r="O706" s="101">
        <v>45870</v>
      </c>
      <c r="P706" s="101">
        <v>46010</v>
      </c>
      <c r="Q706" s="101">
        <v>45935</v>
      </c>
      <c r="R706" s="101">
        <v>45941</v>
      </c>
      <c r="S706" s="184">
        <v>41</v>
      </c>
      <c r="T706" s="102">
        <v>34</v>
      </c>
      <c r="U706" s="102">
        <v>0.1</v>
      </c>
      <c r="V706" s="102">
        <v>0</v>
      </c>
      <c r="W706" s="102">
        <v>0.1</v>
      </c>
      <c r="X706" s="103">
        <v>0</v>
      </c>
      <c r="Y706" s="103">
        <v>0</v>
      </c>
      <c r="Z706" s="103">
        <v>0</v>
      </c>
      <c r="AC706" s="102">
        <v>0</v>
      </c>
    </row>
    <row r="707" spans="1:29">
      <c r="A707" s="104" t="s">
        <v>1465</v>
      </c>
      <c r="B707" s="104" t="s">
        <v>1950</v>
      </c>
      <c r="C707" s="104" t="s">
        <v>1467</v>
      </c>
      <c r="D707" s="104" t="s">
        <v>1789</v>
      </c>
      <c r="E707" s="104" t="s">
        <v>1950</v>
      </c>
      <c r="M707" s="104" t="s">
        <v>1563</v>
      </c>
      <c r="N707" s="104" t="s">
        <v>1720</v>
      </c>
      <c r="O707" s="101">
        <v>45870</v>
      </c>
      <c r="P707" s="101">
        <v>46010</v>
      </c>
      <c r="Q707" s="101">
        <v>45942</v>
      </c>
      <c r="R707" s="101">
        <v>45948</v>
      </c>
      <c r="S707" s="184">
        <v>42</v>
      </c>
      <c r="T707" s="102">
        <v>35</v>
      </c>
      <c r="U707" s="102">
        <v>0.5</v>
      </c>
      <c r="V707" s="102">
        <v>0</v>
      </c>
      <c r="W707" s="102">
        <v>0.1</v>
      </c>
      <c r="X707" s="103">
        <v>0</v>
      </c>
      <c r="Y707" s="103">
        <v>0</v>
      </c>
      <c r="Z707" s="103">
        <v>0</v>
      </c>
      <c r="AC707" s="102">
        <v>0</v>
      </c>
    </row>
    <row r="708" spans="1:29">
      <c r="A708" s="104" t="s">
        <v>1465</v>
      </c>
      <c r="B708" s="104" t="s">
        <v>1950</v>
      </c>
      <c r="C708" s="104" t="s">
        <v>1467</v>
      </c>
      <c r="D708" s="104" t="s">
        <v>1789</v>
      </c>
      <c r="E708" s="104" t="s">
        <v>1950</v>
      </c>
      <c r="M708" s="104" t="s">
        <v>1563</v>
      </c>
      <c r="N708" s="104" t="s">
        <v>1720</v>
      </c>
      <c r="O708" s="101">
        <v>45870</v>
      </c>
      <c r="P708" s="101">
        <v>46010</v>
      </c>
      <c r="Q708" s="101">
        <v>45949</v>
      </c>
      <c r="R708" s="101">
        <v>45955</v>
      </c>
      <c r="S708" s="184">
        <v>43</v>
      </c>
      <c r="T708" s="102">
        <v>36</v>
      </c>
      <c r="U708" s="102">
        <v>0.5</v>
      </c>
      <c r="V708" s="102">
        <v>0</v>
      </c>
      <c r="W708" s="102">
        <v>0.1</v>
      </c>
      <c r="X708" s="103">
        <v>0</v>
      </c>
      <c r="Y708" s="103">
        <v>0</v>
      </c>
      <c r="Z708" s="103">
        <v>0</v>
      </c>
      <c r="AC708" s="102">
        <v>0</v>
      </c>
    </row>
    <row r="709" spans="1:29">
      <c r="A709" s="104" t="s">
        <v>1465</v>
      </c>
      <c r="B709" s="104" t="s">
        <v>1950</v>
      </c>
      <c r="C709" s="104" t="s">
        <v>1467</v>
      </c>
      <c r="D709" s="104" t="s">
        <v>1789</v>
      </c>
      <c r="E709" s="104" t="s">
        <v>1950</v>
      </c>
      <c r="M709" s="104" t="s">
        <v>1563</v>
      </c>
      <c r="N709" s="104" t="s">
        <v>1720</v>
      </c>
      <c r="O709" s="101">
        <v>45870</v>
      </c>
      <c r="P709" s="101">
        <v>46010</v>
      </c>
      <c r="Q709" s="101">
        <v>45956</v>
      </c>
      <c r="R709" s="101">
        <v>45962</v>
      </c>
      <c r="S709" s="184">
        <v>44</v>
      </c>
      <c r="T709" s="102">
        <v>37</v>
      </c>
      <c r="U709" s="102">
        <v>0.5</v>
      </c>
      <c r="V709" s="102">
        <v>0</v>
      </c>
      <c r="W709" s="102">
        <v>0.1</v>
      </c>
      <c r="X709" s="103">
        <v>0</v>
      </c>
      <c r="Y709" s="103">
        <v>0</v>
      </c>
      <c r="Z709" s="103">
        <v>0</v>
      </c>
      <c r="AC709" s="102">
        <v>0</v>
      </c>
    </row>
    <row r="710" spans="1:29">
      <c r="A710" s="104" t="s">
        <v>1465</v>
      </c>
      <c r="B710" s="104" t="s">
        <v>1950</v>
      </c>
      <c r="C710" s="104" t="s">
        <v>1467</v>
      </c>
      <c r="D710" s="104" t="s">
        <v>1789</v>
      </c>
      <c r="E710" s="104" t="s">
        <v>1950</v>
      </c>
      <c r="M710" s="104" t="s">
        <v>1563</v>
      </c>
      <c r="N710" s="104" t="s">
        <v>1720</v>
      </c>
      <c r="O710" s="101">
        <v>45870</v>
      </c>
      <c r="P710" s="101">
        <v>46010</v>
      </c>
      <c r="Q710" s="101">
        <v>45963</v>
      </c>
      <c r="R710" s="101">
        <v>45969</v>
      </c>
      <c r="S710" s="184">
        <v>45</v>
      </c>
      <c r="T710" s="102">
        <v>38</v>
      </c>
      <c r="U710" s="102">
        <v>0.5</v>
      </c>
      <c r="V710" s="102">
        <v>0</v>
      </c>
      <c r="W710" s="102">
        <v>0.1</v>
      </c>
      <c r="X710" s="103">
        <v>0</v>
      </c>
      <c r="Y710" s="103">
        <v>0</v>
      </c>
      <c r="Z710" s="103">
        <v>0</v>
      </c>
      <c r="AC710" s="102">
        <v>0</v>
      </c>
    </row>
    <row r="711" spans="1:29">
      <c r="A711" s="104" t="s">
        <v>1465</v>
      </c>
      <c r="B711" s="104" t="s">
        <v>1950</v>
      </c>
      <c r="C711" s="104" t="s">
        <v>1467</v>
      </c>
      <c r="D711" s="104" t="s">
        <v>1789</v>
      </c>
      <c r="E711" s="104" t="s">
        <v>1950</v>
      </c>
      <c r="M711" s="104" t="s">
        <v>1563</v>
      </c>
      <c r="N711" s="104" t="s">
        <v>1720</v>
      </c>
      <c r="O711" s="101">
        <v>45870</v>
      </c>
      <c r="P711" s="101">
        <v>46010</v>
      </c>
      <c r="Q711" s="101">
        <v>45970</v>
      </c>
      <c r="R711" s="101">
        <v>45976</v>
      </c>
      <c r="S711" s="184">
        <v>46</v>
      </c>
      <c r="T711" s="102">
        <v>39</v>
      </c>
      <c r="U711" s="102">
        <v>0.5</v>
      </c>
      <c r="V711" s="102">
        <v>0</v>
      </c>
      <c r="W711" s="102">
        <v>0.1</v>
      </c>
      <c r="X711" s="103">
        <v>0</v>
      </c>
      <c r="Y711" s="103">
        <v>0</v>
      </c>
      <c r="Z711" s="103">
        <v>0</v>
      </c>
      <c r="AC711" s="102">
        <v>0</v>
      </c>
    </row>
    <row r="712" spans="1:29">
      <c r="A712" s="104" t="s">
        <v>1465</v>
      </c>
      <c r="B712" s="104" t="s">
        <v>1950</v>
      </c>
      <c r="C712" s="104" t="s">
        <v>1467</v>
      </c>
      <c r="D712" s="104" t="s">
        <v>1789</v>
      </c>
      <c r="E712" s="104" t="s">
        <v>1950</v>
      </c>
      <c r="M712" s="104" t="s">
        <v>1563</v>
      </c>
      <c r="N712" s="104" t="s">
        <v>1720</v>
      </c>
      <c r="O712" s="101">
        <v>45870</v>
      </c>
      <c r="P712" s="101">
        <v>46010</v>
      </c>
      <c r="Q712" s="101">
        <v>45977</v>
      </c>
      <c r="R712" s="101">
        <v>45983</v>
      </c>
      <c r="S712" s="184">
        <v>47</v>
      </c>
      <c r="T712" s="102">
        <v>40</v>
      </c>
      <c r="U712" s="102">
        <v>0.5</v>
      </c>
      <c r="V712" s="102">
        <v>0</v>
      </c>
      <c r="W712" s="102">
        <v>0.1</v>
      </c>
      <c r="X712" s="103">
        <v>0</v>
      </c>
      <c r="Y712" s="103">
        <v>0</v>
      </c>
      <c r="Z712" s="103">
        <v>0</v>
      </c>
      <c r="AC712" s="102">
        <v>0</v>
      </c>
    </row>
    <row r="713" spans="1:29">
      <c r="A713" s="104" t="s">
        <v>1465</v>
      </c>
      <c r="B713" s="104" t="s">
        <v>1950</v>
      </c>
      <c r="C713" s="104" t="s">
        <v>1467</v>
      </c>
      <c r="D713" s="104" t="s">
        <v>1789</v>
      </c>
      <c r="E713" s="104" t="s">
        <v>1950</v>
      </c>
      <c r="M713" s="104" t="s">
        <v>1563</v>
      </c>
      <c r="N713" s="104" t="s">
        <v>1720</v>
      </c>
      <c r="O713" s="101">
        <v>45870</v>
      </c>
      <c r="P713" s="101">
        <v>46010</v>
      </c>
      <c r="Q713" s="101">
        <v>45984</v>
      </c>
      <c r="R713" s="101">
        <v>45990</v>
      </c>
      <c r="S713" s="184">
        <v>48</v>
      </c>
      <c r="T713" s="102">
        <v>41</v>
      </c>
      <c r="U713" s="102">
        <v>0.5</v>
      </c>
      <c r="V713" s="102">
        <v>0</v>
      </c>
      <c r="W713" s="102">
        <v>0.1</v>
      </c>
      <c r="X713" s="103">
        <v>0</v>
      </c>
      <c r="Y713" s="103">
        <v>0</v>
      </c>
      <c r="Z713" s="103">
        <v>0</v>
      </c>
      <c r="AC713" s="102">
        <v>0</v>
      </c>
    </row>
    <row r="714" spans="1:29">
      <c r="A714" s="104" t="s">
        <v>1465</v>
      </c>
      <c r="B714" s="104" t="s">
        <v>1950</v>
      </c>
      <c r="C714" s="104" t="s">
        <v>1467</v>
      </c>
      <c r="D714" s="104" t="s">
        <v>1789</v>
      </c>
      <c r="E714" s="104" t="s">
        <v>1950</v>
      </c>
      <c r="M714" s="104" t="s">
        <v>1563</v>
      </c>
      <c r="N714" s="104" t="s">
        <v>1720</v>
      </c>
      <c r="O714" s="101">
        <v>45870</v>
      </c>
      <c r="P714" s="101">
        <v>46010</v>
      </c>
      <c r="Q714" s="101">
        <v>45991</v>
      </c>
      <c r="R714" s="101">
        <v>45997</v>
      </c>
      <c r="S714" s="184">
        <v>49</v>
      </c>
      <c r="T714" s="102">
        <v>42</v>
      </c>
      <c r="U714" s="102">
        <v>0.5</v>
      </c>
      <c r="V714" s="102">
        <v>0</v>
      </c>
      <c r="W714" s="102">
        <v>0.1</v>
      </c>
      <c r="X714" s="103">
        <v>0</v>
      </c>
      <c r="Y714" s="103">
        <v>0</v>
      </c>
      <c r="Z714" s="103">
        <v>0</v>
      </c>
      <c r="AC714" s="102">
        <v>0</v>
      </c>
    </row>
    <row r="715" spans="1:29">
      <c r="A715" s="104" t="s">
        <v>1465</v>
      </c>
      <c r="B715" s="104" t="s">
        <v>1950</v>
      </c>
      <c r="C715" s="104" t="s">
        <v>1467</v>
      </c>
      <c r="D715" s="104" t="s">
        <v>1789</v>
      </c>
      <c r="E715" s="104" t="s">
        <v>1950</v>
      </c>
      <c r="M715" s="104" t="s">
        <v>1563</v>
      </c>
      <c r="N715" s="104" t="s">
        <v>1720</v>
      </c>
      <c r="O715" s="101">
        <v>45870</v>
      </c>
      <c r="P715" s="101">
        <v>46010</v>
      </c>
      <c r="Q715" s="101">
        <v>45998</v>
      </c>
      <c r="R715" s="101">
        <v>46004</v>
      </c>
      <c r="S715" s="184">
        <v>50</v>
      </c>
      <c r="T715" s="102">
        <v>43</v>
      </c>
      <c r="U715" s="102">
        <v>0.5</v>
      </c>
      <c r="V715" s="102">
        <v>0</v>
      </c>
      <c r="W715" s="102">
        <v>0.1</v>
      </c>
      <c r="X715" s="103">
        <v>0</v>
      </c>
      <c r="Y715" s="103">
        <v>0</v>
      </c>
      <c r="Z715" s="103">
        <v>0</v>
      </c>
      <c r="AC715" s="102">
        <v>0</v>
      </c>
    </row>
    <row r="716" spans="1:29">
      <c r="A716" s="104" t="s">
        <v>1465</v>
      </c>
      <c r="B716" s="104" t="s">
        <v>1950</v>
      </c>
      <c r="C716" s="104" t="s">
        <v>1467</v>
      </c>
      <c r="D716" s="104" t="s">
        <v>1789</v>
      </c>
      <c r="E716" s="104" t="s">
        <v>1950</v>
      </c>
      <c r="M716" s="104" t="s">
        <v>1563</v>
      </c>
      <c r="N716" s="104" t="s">
        <v>1720</v>
      </c>
      <c r="O716" s="101">
        <v>45870</v>
      </c>
      <c r="P716" s="101">
        <v>46010</v>
      </c>
      <c r="Q716" s="101">
        <v>46005</v>
      </c>
      <c r="R716" s="101">
        <v>46011</v>
      </c>
      <c r="S716" s="184">
        <v>51</v>
      </c>
      <c r="T716" s="102">
        <v>44</v>
      </c>
      <c r="U716" s="102">
        <v>0.5</v>
      </c>
      <c r="V716" s="102">
        <v>0</v>
      </c>
      <c r="W716" s="102">
        <v>0.1</v>
      </c>
      <c r="X716" s="103">
        <v>0</v>
      </c>
      <c r="Y716" s="103">
        <v>0</v>
      </c>
      <c r="Z716" s="103">
        <v>0</v>
      </c>
      <c r="AC716" s="102">
        <v>0</v>
      </c>
    </row>
    <row r="717" spans="1:29">
      <c r="A717" s="104" t="s">
        <v>1465</v>
      </c>
      <c r="B717" s="104" t="s">
        <v>1951</v>
      </c>
      <c r="C717" s="104" t="s">
        <v>1467</v>
      </c>
      <c r="D717" s="104" t="s">
        <v>1789</v>
      </c>
      <c r="E717" s="104" t="s">
        <v>1951</v>
      </c>
      <c r="M717" s="104" t="s">
        <v>1564</v>
      </c>
      <c r="N717" s="104" t="s">
        <v>1720</v>
      </c>
      <c r="O717" s="101">
        <v>45870</v>
      </c>
      <c r="P717" s="101">
        <v>45883</v>
      </c>
      <c r="Q717" s="101">
        <v>45865</v>
      </c>
      <c r="R717" s="101">
        <v>45871</v>
      </c>
      <c r="S717" s="184">
        <v>31</v>
      </c>
      <c r="T717" s="102">
        <v>24</v>
      </c>
      <c r="U717" s="102">
        <v>0.3</v>
      </c>
      <c r="V717" s="102">
        <v>0</v>
      </c>
      <c r="W717" s="102">
        <v>0.3</v>
      </c>
      <c r="X717" s="103">
        <v>0</v>
      </c>
      <c r="Y717" s="103">
        <v>0</v>
      </c>
      <c r="Z717" s="103">
        <v>0</v>
      </c>
      <c r="AC717" s="102">
        <v>0</v>
      </c>
    </row>
    <row r="718" spans="1:29">
      <c r="A718" s="104" t="s">
        <v>1465</v>
      </c>
      <c r="B718" s="104" t="s">
        <v>1951</v>
      </c>
      <c r="C718" s="104" t="s">
        <v>1467</v>
      </c>
      <c r="D718" s="104" t="s">
        <v>1789</v>
      </c>
      <c r="E718" s="104" t="s">
        <v>1951</v>
      </c>
      <c r="M718" s="104" t="s">
        <v>1564</v>
      </c>
      <c r="N718" s="104" t="s">
        <v>1720</v>
      </c>
      <c r="O718" s="101">
        <v>45870</v>
      </c>
      <c r="P718" s="101">
        <v>45883</v>
      </c>
      <c r="Q718" s="101">
        <v>45872</v>
      </c>
      <c r="R718" s="101">
        <v>45878</v>
      </c>
      <c r="S718" s="184">
        <v>32</v>
      </c>
      <c r="T718" s="102">
        <v>25</v>
      </c>
      <c r="U718" s="102">
        <v>1.5</v>
      </c>
      <c r="V718" s="102">
        <v>0</v>
      </c>
      <c r="W718" s="102">
        <v>0.3</v>
      </c>
      <c r="X718" s="103">
        <v>0</v>
      </c>
      <c r="Y718" s="103">
        <v>0</v>
      </c>
      <c r="Z718" s="103">
        <v>0</v>
      </c>
      <c r="AC718" s="102">
        <v>0</v>
      </c>
    </row>
    <row r="719" spans="1:29">
      <c r="A719" s="104" t="s">
        <v>1465</v>
      </c>
      <c r="B719" s="104" t="s">
        <v>1951</v>
      </c>
      <c r="C719" s="104" t="s">
        <v>1467</v>
      </c>
      <c r="D719" s="104" t="s">
        <v>1789</v>
      </c>
      <c r="E719" s="104" t="s">
        <v>1951</v>
      </c>
      <c r="M719" s="104" t="s">
        <v>1564</v>
      </c>
      <c r="N719" s="104" t="s">
        <v>1720</v>
      </c>
      <c r="O719" s="101">
        <v>45870</v>
      </c>
      <c r="P719" s="101">
        <v>45883</v>
      </c>
      <c r="Q719" s="101">
        <v>45879</v>
      </c>
      <c r="R719" s="101">
        <v>45885</v>
      </c>
      <c r="S719" s="184">
        <v>33</v>
      </c>
      <c r="T719" s="102">
        <v>26</v>
      </c>
      <c r="U719" s="102">
        <v>1.2</v>
      </c>
      <c r="V719" s="102">
        <v>0</v>
      </c>
      <c r="W719" s="102">
        <v>0.3</v>
      </c>
      <c r="X719" s="103">
        <v>0</v>
      </c>
      <c r="Y719" s="103">
        <v>0</v>
      </c>
      <c r="Z719" s="103">
        <v>0</v>
      </c>
      <c r="AC719" s="102">
        <v>0</v>
      </c>
    </row>
    <row r="720" spans="1:29">
      <c r="A720" s="104" t="s">
        <v>1465</v>
      </c>
      <c r="B720" s="104" t="s">
        <v>1962</v>
      </c>
      <c r="C720" s="104" t="s">
        <v>1467</v>
      </c>
      <c r="D720" s="104" t="s">
        <v>1789</v>
      </c>
      <c r="E720" s="104" t="s">
        <v>1962</v>
      </c>
      <c r="M720" s="104" t="s">
        <v>1565</v>
      </c>
      <c r="N720" s="104" t="s">
        <v>1720</v>
      </c>
      <c r="O720" s="101">
        <v>45887</v>
      </c>
      <c r="P720" s="101">
        <v>45898</v>
      </c>
      <c r="Q720" s="101">
        <v>45886</v>
      </c>
      <c r="R720" s="101">
        <v>45892</v>
      </c>
      <c r="S720" s="184">
        <v>34</v>
      </c>
      <c r="T720" s="102">
        <v>27</v>
      </c>
      <c r="U720" s="102">
        <v>1.5</v>
      </c>
      <c r="V720" s="102">
        <v>0</v>
      </c>
      <c r="W720" s="102">
        <v>0.3</v>
      </c>
      <c r="X720" s="103">
        <v>0</v>
      </c>
      <c r="Y720" s="103">
        <v>0</v>
      </c>
      <c r="Z720" s="103">
        <v>0</v>
      </c>
      <c r="AC720" s="102">
        <v>0</v>
      </c>
    </row>
    <row r="721" spans="1:29">
      <c r="A721" s="104" t="s">
        <v>1465</v>
      </c>
      <c r="B721" s="104" t="s">
        <v>1962</v>
      </c>
      <c r="C721" s="104" t="s">
        <v>1467</v>
      </c>
      <c r="D721" s="104" t="s">
        <v>1789</v>
      </c>
      <c r="E721" s="104" t="s">
        <v>1962</v>
      </c>
      <c r="M721" s="104" t="s">
        <v>1565</v>
      </c>
      <c r="N721" s="104" t="s">
        <v>1720</v>
      </c>
      <c r="O721" s="101">
        <v>45887</v>
      </c>
      <c r="P721" s="101">
        <v>45898</v>
      </c>
      <c r="Q721" s="101">
        <v>45893</v>
      </c>
      <c r="R721" s="101">
        <v>45899</v>
      </c>
      <c r="S721" s="184">
        <v>35</v>
      </c>
      <c r="T721" s="102">
        <v>28</v>
      </c>
      <c r="U721" s="102">
        <v>1.5</v>
      </c>
      <c r="V721" s="102">
        <v>0</v>
      </c>
      <c r="W721" s="102">
        <v>0.3</v>
      </c>
      <c r="X721" s="103">
        <v>0</v>
      </c>
      <c r="Y721" s="103">
        <v>0</v>
      </c>
      <c r="Z721" s="103">
        <v>0</v>
      </c>
      <c r="AC721" s="102">
        <v>0</v>
      </c>
    </row>
    <row r="722" spans="1:29">
      <c r="A722" s="104" t="s">
        <v>1465</v>
      </c>
      <c r="B722" s="104" t="s">
        <v>1963</v>
      </c>
      <c r="C722" s="104" t="s">
        <v>1467</v>
      </c>
      <c r="D722" s="104" t="s">
        <v>1789</v>
      </c>
      <c r="E722" s="104" t="s">
        <v>1963</v>
      </c>
      <c r="M722" s="104" t="s">
        <v>1595</v>
      </c>
      <c r="N722" s="104" t="s">
        <v>1720</v>
      </c>
      <c r="O722" s="101">
        <v>45901</v>
      </c>
      <c r="P722" s="101">
        <v>46020</v>
      </c>
      <c r="Q722" s="101">
        <v>45900</v>
      </c>
      <c r="R722" s="101">
        <v>45906</v>
      </c>
      <c r="S722" s="184">
        <v>36</v>
      </c>
      <c r="T722" s="102">
        <v>29</v>
      </c>
      <c r="U722" s="102">
        <v>5</v>
      </c>
      <c r="V722" s="102">
        <v>0</v>
      </c>
      <c r="W722" s="102">
        <v>1</v>
      </c>
      <c r="X722" s="103">
        <v>0</v>
      </c>
      <c r="Y722" s="103">
        <v>0</v>
      </c>
      <c r="Z722" s="103">
        <v>0</v>
      </c>
      <c r="AC722" s="102">
        <v>0</v>
      </c>
    </row>
    <row r="723" spans="1:29">
      <c r="A723" s="104" t="s">
        <v>1465</v>
      </c>
      <c r="B723" s="104" t="s">
        <v>1963</v>
      </c>
      <c r="C723" s="104" t="s">
        <v>1467</v>
      </c>
      <c r="D723" s="104" t="s">
        <v>1789</v>
      </c>
      <c r="E723" s="104" t="s">
        <v>1963</v>
      </c>
      <c r="M723" s="104" t="s">
        <v>1595</v>
      </c>
      <c r="N723" s="104" t="s">
        <v>1720</v>
      </c>
      <c r="O723" s="101">
        <v>45901</v>
      </c>
      <c r="P723" s="101">
        <v>46020</v>
      </c>
      <c r="Q723" s="101">
        <v>45907</v>
      </c>
      <c r="R723" s="101">
        <v>45913</v>
      </c>
      <c r="S723" s="184">
        <v>37</v>
      </c>
      <c r="T723" s="102">
        <v>30</v>
      </c>
      <c r="U723" s="102">
        <v>5</v>
      </c>
      <c r="V723" s="102">
        <v>0</v>
      </c>
      <c r="W723" s="102">
        <v>1</v>
      </c>
      <c r="X723" s="103">
        <v>0</v>
      </c>
      <c r="Y723" s="103">
        <v>0</v>
      </c>
      <c r="Z723" s="103">
        <v>0</v>
      </c>
      <c r="AC723" s="102">
        <v>0</v>
      </c>
    </row>
    <row r="724" spans="1:29">
      <c r="A724" s="104" t="s">
        <v>1465</v>
      </c>
      <c r="B724" s="104" t="s">
        <v>1963</v>
      </c>
      <c r="C724" s="104" t="s">
        <v>1467</v>
      </c>
      <c r="D724" s="104" t="s">
        <v>1789</v>
      </c>
      <c r="E724" s="104" t="s">
        <v>1963</v>
      </c>
      <c r="M724" s="104" t="s">
        <v>1595</v>
      </c>
      <c r="N724" s="104" t="s">
        <v>1720</v>
      </c>
      <c r="O724" s="101">
        <v>45901</v>
      </c>
      <c r="P724" s="101">
        <v>46020</v>
      </c>
      <c r="Q724" s="101">
        <v>45914</v>
      </c>
      <c r="R724" s="101">
        <v>45920</v>
      </c>
      <c r="S724" s="184">
        <v>38</v>
      </c>
      <c r="T724" s="102">
        <v>31</v>
      </c>
      <c r="U724" s="102">
        <v>5</v>
      </c>
      <c r="V724" s="102">
        <v>0</v>
      </c>
      <c r="W724" s="102">
        <v>1</v>
      </c>
      <c r="X724" s="103">
        <v>0</v>
      </c>
      <c r="Y724" s="103">
        <v>0</v>
      </c>
      <c r="Z724" s="103">
        <v>0</v>
      </c>
      <c r="AC724" s="102">
        <v>0</v>
      </c>
    </row>
    <row r="725" spans="1:29">
      <c r="A725" s="104" t="s">
        <v>1465</v>
      </c>
      <c r="B725" s="104" t="s">
        <v>1963</v>
      </c>
      <c r="C725" s="104" t="s">
        <v>1467</v>
      </c>
      <c r="D725" s="104" t="s">
        <v>1789</v>
      </c>
      <c r="E725" s="104" t="s">
        <v>1963</v>
      </c>
      <c r="M725" s="104" t="s">
        <v>1595</v>
      </c>
      <c r="N725" s="104" t="s">
        <v>1720</v>
      </c>
      <c r="O725" s="101">
        <v>45901</v>
      </c>
      <c r="P725" s="101">
        <v>46020</v>
      </c>
      <c r="Q725" s="101">
        <v>45921</v>
      </c>
      <c r="R725" s="101">
        <v>45927</v>
      </c>
      <c r="S725" s="184">
        <v>39</v>
      </c>
      <c r="T725" s="102">
        <v>32</v>
      </c>
      <c r="U725" s="102">
        <v>5</v>
      </c>
      <c r="V725" s="102">
        <v>0</v>
      </c>
      <c r="W725" s="102">
        <v>1</v>
      </c>
      <c r="X725" s="103">
        <v>0</v>
      </c>
      <c r="Y725" s="103">
        <v>0</v>
      </c>
      <c r="Z725" s="103">
        <v>0</v>
      </c>
      <c r="AC725" s="102">
        <v>0</v>
      </c>
    </row>
    <row r="726" spans="1:29">
      <c r="A726" s="104" t="s">
        <v>1465</v>
      </c>
      <c r="B726" s="104" t="s">
        <v>1963</v>
      </c>
      <c r="C726" s="104" t="s">
        <v>1467</v>
      </c>
      <c r="D726" s="104" t="s">
        <v>1789</v>
      </c>
      <c r="E726" s="104" t="s">
        <v>1963</v>
      </c>
      <c r="M726" s="104" t="s">
        <v>1595</v>
      </c>
      <c r="N726" s="104" t="s">
        <v>1720</v>
      </c>
      <c r="O726" s="101">
        <v>45901</v>
      </c>
      <c r="P726" s="101">
        <v>46020</v>
      </c>
      <c r="Q726" s="101">
        <v>45928</v>
      </c>
      <c r="R726" s="101">
        <v>45934</v>
      </c>
      <c r="S726" s="184">
        <v>40</v>
      </c>
      <c r="T726" s="102">
        <v>33</v>
      </c>
      <c r="U726" s="102">
        <v>4</v>
      </c>
      <c r="V726" s="102">
        <v>0</v>
      </c>
      <c r="W726" s="102">
        <v>1</v>
      </c>
      <c r="X726" s="103">
        <v>0</v>
      </c>
      <c r="Y726" s="103">
        <v>0</v>
      </c>
      <c r="Z726" s="103">
        <v>0</v>
      </c>
      <c r="AC726" s="102">
        <v>0</v>
      </c>
    </row>
    <row r="727" spans="1:29">
      <c r="A727" s="104" t="s">
        <v>1465</v>
      </c>
      <c r="B727" s="104" t="s">
        <v>1963</v>
      </c>
      <c r="C727" s="104" t="s">
        <v>1467</v>
      </c>
      <c r="D727" s="104" t="s">
        <v>1789</v>
      </c>
      <c r="E727" s="104" t="s">
        <v>1963</v>
      </c>
      <c r="M727" s="104" t="s">
        <v>1595</v>
      </c>
      <c r="N727" s="104" t="s">
        <v>1720</v>
      </c>
      <c r="O727" s="101">
        <v>45901</v>
      </c>
      <c r="P727" s="101">
        <v>46020</v>
      </c>
      <c r="Q727" s="101">
        <v>45935</v>
      </c>
      <c r="R727" s="101">
        <v>45941</v>
      </c>
      <c r="S727" s="184">
        <v>41</v>
      </c>
      <c r="T727" s="102">
        <v>34</v>
      </c>
      <c r="U727" s="102">
        <v>1</v>
      </c>
      <c r="V727" s="102">
        <v>0</v>
      </c>
      <c r="W727" s="102">
        <v>1</v>
      </c>
      <c r="X727" s="103">
        <v>0</v>
      </c>
      <c r="Y727" s="103">
        <v>0</v>
      </c>
      <c r="Z727" s="103">
        <v>0</v>
      </c>
      <c r="AC727" s="102">
        <v>0</v>
      </c>
    </row>
    <row r="728" spans="1:29">
      <c r="A728" s="104" t="s">
        <v>1465</v>
      </c>
      <c r="B728" s="104" t="s">
        <v>1963</v>
      </c>
      <c r="C728" s="104" t="s">
        <v>1467</v>
      </c>
      <c r="D728" s="104" t="s">
        <v>1789</v>
      </c>
      <c r="E728" s="104" t="s">
        <v>1963</v>
      </c>
      <c r="M728" s="104" t="s">
        <v>1595</v>
      </c>
      <c r="N728" s="104" t="s">
        <v>1720</v>
      </c>
      <c r="O728" s="101">
        <v>45901</v>
      </c>
      <c r="P728" s="101">
        <v>46020</v>
      </c>
      <c r="Q728" s="101">
        <v>45942</v>
      </c>
      <c r="R728" s="101">
        <v>45948</v>
      </c>
      <c r="S728" s="184">
        <v>42</v>
      </c>
      <c r="T728" s="102">
        <v>35</v>
      </c>
      <c r="U728" s="102">
        <v>5</v>
      </c>
      <c r="V728" s="102">
        <v>0</v>
      </c>
      <c r="W728" s="102">
        <v>1</v>
      </c>
      <c r="X728" s="103">
        <v>0</v>
      </c>
      <c r="Y728" s="103">
        <v>0</v>
      </c>
      <c r="Z728" s="103">
        <v>0</v>
      </c>
      <c r="AC728" s="102">
        <v>0</v>
      </c>
    </row>
    <row r="729" spans="1:29">
      <c r="A729" s="104" t="s">
        <v>1465</v>
      </c>
      <c r="B729" s="104" t="s">
        <v>1963</v>
      </c>
      <c r="C729" s="104" t="s">
        <v>1467</v>
      </c>
      <c r="D729" s="104" t="s">
        <v>1789</v>
      </c>
      <c r="E729" s="104" t="s">
        <v>1963</v>
      </c>
      <c r="M729" s="104" t="s">
        <v>1595</v>
      </c>
      <c r="N729" s="104" t="s">
        <v>1720</v>
      </c>
      <c r="O729" s="101">
        <v>45901</v>
      </c>
      <c r="P729" s="101">
        <v>46020</v>
      </c>
      <c r="Q729" s="101">
        <v>45949</v>
      </c>
      <c r="R729" s="101">
        <v>45955</v>
      </c>
      <c r="S729" s="184">
        <v>43</v>
      </c>
      <c r="T729" s="102">
        <v>36</v>
      </c>
      <c r="U729" s="102">
        <v>5</v>
      </c>
      <c r="V729" s="102">
        <v>0</v>
      </c>
      <c r="W729" s="102">
        <v>1</v>
      </c>
      <c r="X729" s="103">
        <v>0</v>
      </c>
      <c r="Y729" s="103">
        <v>0</v>
      </c>
      <c r="Z729" s="103">
        <v>0</v>
      </c>
      <c r="AC729" s="102">
        <v>0</v>
      </c>
    </row>
    <row r="730" spans="1:29">
      <c r="A730" s="104" t="s">
        <v>1465</v>
      </c>
      <c r="B730" s="104" t="s">
        <v>1963</v>
      </c>
      <c r="C730" s="104" t="s">
        <v>1467</v>
      </c>
      <c r="D730" s="104" t="s">
        <v>1789</v>
      </c>
      <c r="E730" s="104" t="s">
        <v>1963</v>
      </c>
      <c r="M730" s="104" t="s">
        <v>1595</v>
      </c>
      <c r="N730" s="104" t="s">
        <v>1720</v>
      </c>
      <c r="O730" s="101">
        <v>45901</v>
      </c>
      <c r="P730" s="101">
        <v>46020</v>
      </c>
      <c r="Q730" s="101">
        <v>45956</v>
      </c>
      <c r="R730" s="101">
        <v>45962</v>
      </c>
      <c r="S730" s="184">
        <v>44</v>
      </c>
      <c r="T730" s="102">
        <v>37</v>
      </c>
      <c r="U730" s="102">
        <v>5</v>
      </c>
      <c r="V730" s="102">
        <v>0</v>
      </c>
      <c r="W730" s="102">
        <v>1</v>
      </c>
      <c r="X730" s="103">
        <v>0</v>
      </c>
      <c r="Y730" s="103">
        <v>0</v>
      </c>
      <c r="Z730" s="103">
        <v>0</v>
      </c>
      <c r="AC730" s="102">
        <v>0</v>
      </c>
    </row>
    <row r="731" spans="1:29">
      <c r="A731" s="104" t="s">
        <v>1465</v>
      </c>
      <c r="B731" s="104" t="s">
        <v>1963</v>
      </c>
      <c r="C731" s="104" t="s">
        <v>1467</v>
      </c>
      <c r="D731" s="104" t="s">
        <v>1789</v>
      </c>
      <c r="E731" s="104" t="s">
        <v>1963</v>
      </c>
      <c r="M731" s="104" t="s">
        <v>1595</v>
      </c>
      <c r="N731" s="104" t="s">
        <v>1720</v>
      </c>
      <c r="O731" s="101">
        <v>45901</v>
      </c>
      <c r="P731" s="101">
        <v>46020</v>
      </c>
      <c r="Q731" s="101">
        <v>45963</v>
      </c>
      <c r="R731" s="101">
        <v>45969</v>
      </c>
      <c r="S731" s="184">
        <v>45</v>
      </c>
      <c r="T731" s="102">
        <v>38</v>
      </c>
      <c r="U731" s="102">
        <v>5</v>
      </c>
      <c r="V731" s="102">
        <v>0</v>
      </c>
      <c r="W731" s="102">
        <v>1</v>
      </c>
      <c r="X731" s="103">
        <v>0</v>
      </c>
      <c r="Y731" s="103">
        <v>0</v>
      </c>
      <c r="Z731" s="103">
        <v>0</v>
      </c>
      <c r="AC731" s="102">
        <v>0</v>
      </c>
    </row>
    <row r="732" spans="1:29">
      <c r="A732" s="104" t="s">
        <v>1465</v>
      </c>
      <c r="B732" s="104" t="s">
        <v>1963</v>
      </c>
      <c r="C732" s="104" t="s">
        <v>1467</v>
      </c>
      <c r="D732" s="104" t="s">
        <v>1789</v>
      </c>
      <c r="E732" s="104" t="s">
        <v>1963</v>
      </c>
      <c r="M732" s="104" t="s">
        <v>1595</v>
      </c>
      <c r="N732" s="104" t="s">
        <v>1720</v>
      </c>
      <c r="O732" s="101">
        <v>45901</v>
      </c>
      <c r="P732" s="101">
        <v>46020</v>
      </c>
      <c r="Q732" s="101">
        <v>45970</v>
      </c>
      <c r="R732" s="101">
        <v>45976</v>
      </c>
      <c r="S732" s="184">
        <v>46</v>
      </c>
      <c r="T732" s="102">
        <v>39</v>
      </c>
      <c r="U732" s="102">
        <v>5</v>
      </c>
      <c r="V732" s="102">
        <v>0</v>
      </c>
      <c r="W732" s="102">
        <v>1</v>
      </c>
      <c r="X732" s="103">
        <v>0</v>
      </c>
      <c r="Y732" s="103">
        <v>0</v>
      </c>
      <c r="Z732" s="103">
        <v>0</v>
      </c>
      <c r="AC732" s="102">
        <v>0</v>
      </c>
    </row>
    <row r="733" spans="1:29">
      <c r="A733" s="104" t="s">
        <v>1465</v>
      </c>
      <c r="B733" s="104" t="s">
        <v>1963</v>
      </c>
      <c r="C733" s="104" t="s">
        <v>1467</v>
      </c>
      <c r="D733" s="104" t="s">
        <v>1789</v>
      </c>
      <c r="E733" s="104" t="s">
        <v>1963</v>
      </c>
      <c r="M733" s="104" t="s">
        <v>1595</v>
      </c>
      <c r="N733" s="104" t="s">
        <v>1720</v>
      </c>
      <c r="O733" s="101">
        <v>45901</v>
      </c>
      <c r="P733" s="101">
        <v>46020</v>
      </c>
      <c r="Q733" s="101">
        <v>45977</v>
      </c>
      <c r="R733" s="101">
        <v>45983</v>
      </c>
      <c r="S733" s="184">
        <v>47</v>
      </c>
      <c r="T733" s="102">
        <v>40</v>
      </c>
      <c r="U733" s="102">
        <v>5</v>
      </c>
      <c r="V733" s="102">
        <v>0</v>
      </c>
      <c r="W733" s="102">
        <v>1</v>
      </c>
      <c r="X733" s="103">
        <v>0</v>
      </c>
      <c r="Y733" s="103">
        <v>0</v>
      </c>
      <c r="Z733" s="103">
        <v>0</v>
      </c>
      <c r="AC733" s="102">
        <v>0</v>
      </c>
    </row>
    <row r="734" spans="1:29">
      <c r="A734" s="104" t="s">
        <v>1465</v>
      </c>
      <c r="B734" s="104" t="s">
        <v>1963</v>
      </c>
      <c r="C734" s="104" t="s">
        <v>1467</v>
      </c>
      <c r="D734" s="104" t="s">
        <v>1789</v>
      </c>
      <c r="E734" s="104" t="s">
        <v>1963</v>
      </c>
      <c r="M734" s="104" t="s">
        <v>1595</v>
      </c>
      <c r="N734" s="104" t="s">
        <v>1720</v>
      </c>
      <c r="O734" s="101">
        <v>45901</v>
      </c>
      <c r="P734" s="101">
        <v>46020</v>
      </c>
      <c r="Q734" s="101">
        <v>45984</v>
      </c>
      <c r="R734" s="101">
        <v>45990</v>
      </c>
      <c r="S734" s="184">
        <v>48</v>
      </c>
      <c r="T734" s="102">
        <v>41</v>
      </c>
      <c r="U734" s="102">
        <v>5</v>
      </c>
      <c r="V734" s="102">
        <v>0</v>
      </c>
      <c r="W734" s="102">
        <v>1</v>
      </c>
      <c r="X734" s="103">
        <v>0</v>
      </c>
      <c r="Y734" s="103">
        <v>0</v>
      </c>
      <c r="Z734" s="103">
        <v>0</v>
      </c>
      <c r="AC734" s="102">
        <v>0</v>
      </c>
    </row>
    <row r="735" spans="1:29">
      <c r="A735" s="104" t="s">
        <v>1465</v>
      </c>
      <c r="B735" s="104" t="s">
        <v>1963</v>
      </c>
      <c r="C735" s="104" t="s">
        <v>1467</v>
      </c>
      <c r="D735" s="104" t="s">
        <v>1789</v>
      </c>
      <c r="E735" s="104" t="s">
        <v>1963</v>
      </c>
      <c r="M735" s="104" t="s">
        <v>1595</v>
      </c>
      <c r="N735" s="104" t="s">
        <v>1720</v>
      </c>
      <c r="O735" s="101">
        <v>45901</v>
      </c>
      <c r="P735" s="101">
        <v>46020</v>
      </c>
      <c r="Q735" s="101">
        <v>45991</v>
      </c>
      <c r="R735" s="101">
        <v>45997</v>
      </c>
      <c r="S735" s="184">
        <v>49</v>
      </c>
      <c r="T735" s="102">
        <v>42</v>
      </c>
      <c r="U735" s="102">
        <v>5</v>
      </c>
      <c r="V735" s="102">
        <v>0</v>
      </c>
      <c r="W735" s="102">
        <v>1</v>
      </c>
      <c r="X735" s="103">
        <v>0</v>
      </c>
      <c r="Y735" s="103">
        <v>0</v>
      </c>
      <c r="Z735" s="103">
        <v>0</v>
      </c>
      <c r="AC735" s="102">
        <v>0</v>
      </c>
    </row>
    <row r="736" spans="1:29">
      <c r="A736" s="104" t="s">
        <v>1465</v>
      </c>
      <c r="B736" s="104" t="s">
        <v>1963</v>
      </c>
      <c r="C736" s="104" t="s">
        <v>1467</v>
      </c>
      <c r="D736" s="104" t="s">
        <v>1789</v>
      </c>
      <c r="E736" s="104" t="s">
        <v>1963</v>
      </c>
      <c r="M736" s="104" t="s">
        <v>1595</v>
      </c>
      <c r="N736" s="104" t="s">
        <v>1720</v>
      </c>
      <c r="O736" s="101">
        <v>45901</v>
      </c>
      <c r="P736" s="101">
        <v>46020</v>
      </c>
      <c r="Q736" s="101">
        <v>45998</v>
      </c>
      <c r="R736" s="101">
        <v>46004</v>
      </c>
      <c r="S736" s="184">
        <v>50</v>
      </c>
      <c r="T736" s="102">
        <v>43</v>
      </c>
      <c r="U736" s="102">
        <v>5</v>
      </c>
      <c r="V736" s="102">
        <v>0</v>
      </c>
      <c r="W736" s="102">
        <v>1</v>
      </c>
      <c r="X736" s="103">
        <v>0</v>
      </c>
      <c r="Y736" s="103">
        <v>0</v>
      </c>
      <c r="Z736" s="103">
        <v>0</v>
      </c>
      <c r="AC736" s="102">
        <v>0</v>
      </c>
    </row>
    <row r="737" spans="1:29">
      <c r="A737" s="104" t="s">
        <v>1465</v>
      </c>
      <c r="B737" s="104" t="s">
        <v>1963</v>
      </c>
      <c r="C737" s="104" t="s">
        <v>1467</v>
      </c>
      <c r="D737" s="104" t="s">
        <v>1789</v>
      </c>
      <c r="E737" s="104" t="s">
        <v>1963</v>
      </c>
      <c r="M737" s="104" t="s">
        <v>1595</v>
      </c>
      <c r="N737" s="104" t="s">
        <v>1720</v>
      </c>
      <c r="O737" s="101">
        <v>45901</v>
      </c>
      <c r="P737" s="101">
        <v>46020</v>
      </c>
      <c r="Q737" s="101">
        <v>46005</v>
      </c>
      <c r="R737" s="101">
        <v>46011</v>
      </c>
      <c r="S737" s="184">
        <v>51</v>
      </c>
      <c r="T737" s="102">
        <v>44</v>
      </c>
      <c r="U737" s="102">
        <v>5</v>
      </c>
      <c r="V737" s="102">
        <v>0</v>
      </c>
      <c r="W737" s="102">
        <v>1</v>
      </c>
      <c r="X737" s="103">
        <v>0</v>
      </c>
      <c r="Y737" s="103">
        <v>0</v>
      </c>
      <c r="Z737" s="103">
        <v>0</v>
      </c>
      <c r="AC737" s="102">
        <v>0</v>
      </c>
    </row>
    <row r="738" spans="1:29">
      <c r="A738" s="104" t="s">
        <v>1465</v>
      </c>
      <c r="B738" s="104" t="s">
        <v>1963</v>
      </c>
      <c r="C738" s="104" t="s">
        <v>1467</v>
      </c>
      <c r="D738" s="104" t="s">
        <v>1789</v>
      </c>
      <c r="E738" s="104" t="s">
        <v>1963</v>
      </c>
      <c r="M738" s="104" t="s">
        <v>1595</v>
      </c>
      <c r="N738" s="104" t="s">
        <v>1720</v>
      </c>
      <c r="O738" s="101">
        <v>45901</v>
      </c>
      <c r="P738" s="101">
        <v>46020</v>
      </c>
      <c r="Q738" s="101">
        <v>46012</v>
      </c>
      <c r="R738" s="101">
        <v>46018</v>
      </c>
      <c r="S738" s="184">
        <v>52</v>
      </c>
      <c r="T738" s="102">
        <v>45</v>
      </c>
      <c r="U738" s="102">
        <v>4</v>
      </c>
      <c r="V738" s="102">
        <v>0</v>
      </c>
      <c r="W738" s="102">
        <v>1</v>
      </c>
      <c r="X738" s="103">
        <v>0</v>
      </c>
      <c r="Y738" s="103">
        <v>0</v>
      </c>
      <c r="Z738" s="103">
        <v>0</v>
      </c>
      <c r="AC738" s="102">
        <v>0</v>
      </c>
    </row>
    <row r="739" spans="1:29">
      <c r="A739" s="104" t="s">
        <v>1465</v>
      </c>
      <c r="B739" s="104" t="s">
        <v>1963</v>
      </c>
      <c r="C739" s="104" t="s">
        <v>1467</v>
      </c>
      <c r="D739" s="104" t="s">
        <v>1789</v>
      </c>
      <c r="E739" s="104" t="s">
        <v>1963</v>
      </c>
      <c r="M739" s="104" t="s">
        <v>1595</v>
      </c>
      <c r="N739" s="104" t="s">
        <v>1720</v>
      </c>
      <c r="O739" s="101">
        <v>45901</v>
      </c>
      <c r="P739" s="101">
        <v>46020</v>
      </c>
      <c r="Q739" s="101">
        <v>46019</v>
      </c>
      <c r="R739" s="101">
        <v>46025</v>
      </c>
      <c r="S739" s="184">
        <v>53</v>
      </c>
      <c r="T739" s="102">
        <v>46</v>
      </c>
      <c r="U739" s="102">
        <v>1</v>
      </c>
      <c r="V739" s="102">
        <v>0</v>
      </c>
      <c r="W739" s="102">
        <v>1</v>
      </c>
      <c r="X739" s="103">
        <v>0</v>
      </c>
      <c r="Y739" s="103">
        <v>0</v>
      </c>
      <c r="Z739" s="103">
        <v>0</v>
      </c>
      <c r="AC739" s="102">
        <v>0</v>
      </c>
    </row>
    <row r="740" spans="1:29">
      <c r="A740" s="104" t="s">
        <v>1465</v>
      </c>
      <c r="B740" s="104" t="s">
        <v>1952</v>
      </c>
      <c r="C740" s="104" t="s">
        <v>1467</v>
      </c>
      <c r="D740" s="104" t="s">
        <v>1790</v>
      </c>
      <c r="E740" s="104" t="s">
        <v>1952</v>
      </c>
      <c r="M740" s="104" t="s">
        <v>1574</v>
      </c>
      <c r="N740" s="104" t="s">
        <v>1720</v>
      </c>
      <c r="O740" s="101">
        <v>45870</v>
      </c>
      <c r="P740" s="101">
        <v>45891</v>
      </c>
      <c r="Q740" s="101">
        <v>45865</v>
      </c>
      <c r="R740" s="101">
        <v>45871</v>
      </c>
      <c r="S740" s="184">
        <v>31</v>
      </c>
      <c r="T740" s="102">
        <v>24</v>
      </c>
      <c r="U740" s="102">
        <v>0.1</v>
      </c>
      <c r="V740" s="102">
        <v>0</v>
      </c>
      <c r="W740" s="102">
        <v>0.1</v>
      </c>
      <c r="X740" s="103">
        <v>0</v>
      </c>
      <c r="Y740" s="103">
        <v>0</v>
      </c>
      <c r="Z740" s="103">
        <v>0</v>
      </c>
      <c r="AC740" s="102">
        <v>0</v>
      </c>
    </row>
    <row r="741" spans="1:29">
      <c r="A741" s="104" t="s">
        <v>1465</v>
      </c>
      <c r="B741" s="104" t="s">
        <v>1952</v>
      </c>
      <c r="C741" s="104" t="s">
        <v>1467</v>
      </c>
      <c r="D741" s="104" t="s">
        <v>1790</v>
      </c>
      <c r="E741" s="104" t="s">
        <v>1952</v>
      </c>
      <c r="M741" s="104" t="s">
        <v>1574</v>
      </c>
      <c r="N741" s="104" t="s">
        <v>1720</v>
      </c>
      <c r="O741" s="101">
        <v>45870</v>
      </c>
      <c r="P741" s="101">
        <v>45891</v>
      </c>
      <c r="Q741" s="101">
        <v>45872</v>
      </c>
      <c r="R741" s="101">
        <v>45878</v>
      </c>
      <c r="S741" s="184">
        <v>32</v>
      </c>
      <c r="T741" s="102">
        <v>25</v>
      </c>
      <c r="U741" s="102">
        <v>0.5</v>
      </c>
      <c r="V741" s="102">
        <v>0</v>
      </c>
      <c r="W741" s="102">
        <v>0.1</v>
      </c>
      <c r="X741" s="103">
        <v>0</v>
      </c>
      <c r="Y741" s="103">
        <v>0</v>
      </c>
      <c r="Z741" s="103">
        <v>0</v>
      </c>
      <c r="AC741" s="102">
        <v>0</v>
      </c>
    </row>
    <row r="742" spans="1:29">
      <c r="A742" s="104" t="s">
        <v>1465</v>
      </c>
      <c r="B742" s="104" t="s">
        <v>1952</v>
      </c>
      <c r="C742" s="104" t="s">
        <v>1467</v>
      </c>
      <c r="D742" s="104" t="s">
        <v>1790</v>
      </c>
      <c r="E742" s="104" t="s">
        <v>1952</v>
      </c>
      <c r="M742" s="104" t="s">
        <v>1574</v>
      </c>
      <c r="N742" s="104" t="s">
        <v>1720</v>
      </c>
      <c r="O742" s="101">
        <v>45870</v>
      </c>
      <c r="P742" s="101">
        <v>45891</v>
      </c>
      <c r="Q742" s="101">
        <v>45879</v>
      </c>
      <c r="R742" s="101">
        <v>45885</v>
      </c>
      <c r="S742" s="184">
        <v>33</v>
      </c>
      <c r="T742" s="102">
        <v>26</v>
      </c>
      <c r="U742" s="102">
        <v>0.4</v>
      </c>
      <c r="V742" s="102">
        <v>0</v>
      </c>
      <c r="W742" s="102">
        <v>0.1</v>
      </c>
      <c r="X742" s="103">
        <v>0</v>
      </c>
      <c r="Y742" s="103">
        <v>0</v>
      </c>
      <c r="Z742" s="103">
        <v>0</v>
      </c>
      <c r="AC742" s="102">
        <v>0</v>
      </c>
    </row>
    <row r="743" spans="1:29">
      <c r="A743" s="104" t="s">
        <v>1465</v>
      </c>
      <c r="B743" s="104" t="s">
        <v>1952</v>
      </c>
      <c r="C743" s="104" t="s">
        <v>1467</v>
      </c>
      <c r="D743" s="104" t="s">
        <v>1790</v>
      </c>
      <c r="E743" s="104" t="s">
        <v>1952</v>
      </c>
      <c r="M743" s="104" t="s">
        <v>1574</v>
      </c>
      <c r="N743" s="104" t="s">
        <v>1720</v>
      </c>
      <c r="O743" s="101">
        <v>45870</v>
      </c>
      <c r="P743" s="101">
        <v>45891</v>
      </c>
      <c r="Q743" s="101">
        <v>45886</v>
      </c>
      <c r="R743" s="101">
        <v>45892</v>
      </c>
      <c r="S743" s="184">
        <v>34</v>
      </c>
      <c r="T743" s="102">
        <v>27</v>
      </c>
      <c r="U743" s="102">
        <v>0.5</v>
      </c>
      <c r="V743" s="102">
        <v>0</v>
      </c>
      <c r="W743" s="102">
        <v>0.1</v>
      </c>
      <c r="X743" s="103">
        <v>0</v>
      </c>
      <c r="Y743" s="103">
        <v>0</v>
      </c>
      <c r="Z743" s="103">
        <v>0</v>
      </c>
      <c r="AC743" s="102">
        <v>0</v>
      </c>
    </row>
    <row r="744" spans="1:29">
      <c r="A744" s="104" t="s">
        <v>1465</v>
      </c>
      <c r="B744" s="104" t="s">
        <v>1953</v>
      </c>
      <c r="C744" s="104" t="s">
        <v>1467</v>
      </c>
      <c r="D744" s="104" t="s">
        <v>1790</v>
      </c>
      <c r="E744" s="104" t="s">
        <v>1953</v>
      </c>
      <c r="M744" s="104" t="s">
        <v>1575</v>
      </c>
      <c r="N744" s="104" t="s">
        <v>1720</v>
      </c>
      <c r="O744" s="101">
        <v>45901</v>
      </c>
      <c r="P744" s="101">
        <v>45930</v>
      </c>
      <c r="Q744" s="101">
        <v>45900</v>
      </c>
      <c r="R744" s="101">
        <v>45906</v>
      </c>
      <c r="S744" s="184">
        <v>36</v>
      </c>
      <c r="T744" s="102">
        <v>29</v>
      </c>
      <c r="U744" s="102">
        <v>5</v>
      </c>
      <c r="V744" s="102">
        <v>0</v>
      </c>
      <c r="W744" s="102">
        <v>1</v>
      </c>
      <c r="X744" s="103">
        <v>0</v>
      </c>
      <c r="Y744" s="103">
        <v>0</v>
      </c>
      <c r="Z744" s="103">
        <v>0</v>
      </c>
      <c r="AC744" s="102">
        <v>0</v>
      </c>
    </row>
    <row r="745" spans="1:29">
      <c r="A745" s="104" t="s">
        <v>1465</v>
      </c>
      <c r="B745" s="104" t="s">
        <v>1953</v>
      </c>
      <c r="C745" s="104" t="s">
        <v>1467</v>
      </c>
      <c r="D745" s="104" t="s">
        <v>1790</v>
      </c>
      <c r="E745" s="104" t="s">
        <v>1953</v>
      </c>
      <c r="M745" s="104" t="s">
        <v>1575</v>
      </c>
      <c r="N745" s="104" t="s">
        <v>1720</v>
      </c>
      <c r="O745" s="101">
        <v>45901</v>
      </c>
      <c r="P745" s="101">
        <v>45930</v>
      </c>
      <c r="Q745" s="101">
        <v>45907</v>
      </c>
      <c r="R745" s="101">
        <v>45913</v>
      </c>
      <c r="S745" s="184">
        <v>37</v>
      </c>
      <c r="T745" s="102">
        <v>30</v>
      </c>
      <c r="U745" s="102">
        <v>5</v>
      </c>
      <c r="V745" s="102">
        <v>0</v>
      </c>
      <c r="W745" s="102">
        <v>1</v>
      </c>
      <c r="X745" s="103">
        <v>0</v>
      </c>
      <c r="Y745" s="103">
        <v>0</v>
      </c>
      <c r="Z745" s="103">
        <v>0</v>
      </c>
      <c r="AC745" s="102">
        <v>0</v>
      </c>
    </row>
    <row r="746" spans="1:29">
      <c r="A746" s="104" t="s">
        <v>1465</v>
      </c>
      <c r="B746" s="104" t="s">
        <v>1953</v>
      </c>
      <c r="C746" s="104" t="s">
        <v>1467</v>
      </c>
      <c r="D746" s="104" t="s">
        <v>1790</v>
      </c>
      <c r="E746" s="104" t="s">
        <v>1953</v>
      </c>
      <c r="M746" s="104" t="s">
        <v>1575</v>
      </c>
      <c r="N746" s="104" t="s">
        <v>1720</v>
      </c>
      <c r="O746" s="101">
        <v>45901</v>
      </c>
      <c r="P746" s="101">
        <v>45930</v>
      </c>
      <c r="Q746" s="101">
        <v>45914</v>
      </c>
      <c r="R746" s="101">
        <v>45920</v>
      </c>
      <c r="S746" s="184">
        <v>38</v>
      </c>
      <c r="T746" s="102">
        <v>31</v>
      </c>
      <c r="U746" s="102">
        <v>5</v>
      </c>
      <c r="V746" s="102">
        <v>0</v>
      </c>
      <c r="W746" s="102">
        <v>1</v>
      </c>
      <c r="X746" s="103">
        <v>0</v>
      </c>
      <c r="Y746" s="103">
        <v>0</v>
      </c>
      <c r="Z746" s="103">
        <v>0</v>
      </c>
      <c r="AC746" s="102">
        <v>0</v>
      </c>
    </row>
    <row r="747" spans="1:29">
      <c r="A747" s="104" t="s">
        <v>1465</v>
      </c>
      <c r="B747" s="104" t="s">
        <v>1953</v>
      </c>
      <c r="C747" s="104" t="s">
        <v>1467</v>
      </c>
      <c r="D747" s="104" t="s">
        <v>1790</v>
      </c>
      <c r="E747" s="104" t="s">
        <v>1953</v>
      </c>
      <c r="M747" s="104" t="s">
        <v>1575</v>
      </c>
      <c r="N747" s="104" t="s">
        <v>1720</v>
      </c>
      <c r="O747" s="101">
        <v>45901</v>
      </c>
      <c r="P747" s="101">
        <v>45930</v>
      </c>
      <c r="Q747" s="101">
        <v>45921</v>
      </c>
      <c r="R747" s="101">
        <v>45927</v>
      </c>
      <c r="S747" s="184">
        <v>39</v>
      </c>
      <c r="T747" s="102">
        <v>32</v>
      </c>
      <c r="U747" s="102">
        <v>5</v>
      </c>
      <c r="V747" s="102">
        <v>0</v>
      </c>
      <c r="W747" s="102">
        <v>1</v>
      </c>
      <c r="X747" s="103">
        <v>0</v>
      </c>
      <c r="Y747" s="103">
        <v>0</v>
      </c>
      <c r="Z747" s="103">
        <v>0</v>
      </c>
      <c r="AC747" s="102">
        <v>0</v>
      </c>
    </row>
    <row r="748" spans="1:29">
      <c r="A748" s="104" t="s">
        <v>1465</v>
      </c>
      <c r="B748" s="104" t="s">
        <v>1953</v>
      </c>
      <c r="C748" s="104" t="s">
        <v>1467</v>
      </c>
      <c r="D748" s="104" t="s">
        <v>1790</v>
      </c>
      <c r="E748" s="104" t="s">
        <v>1953</v>
      </c>
      <c r="M748" s="104" t="s">
        <v>1575</v>
      </c>
      <c r="N748" s="104" t="s">
        <v>1720</v>
      </c>
      <c r="O748" s="101">
        <v>45901</v>
      </c>
      <c r="P748" s="101">
        <v>45930</v>
      </c>
      <c r="Q748" s="101">
        <v>45928</v>
      </c>
      <c r="R748" s="101">
        <v>45934</v>
      </c>
      <c r="S748" s="184">
        <v>40</v>
      </c>
      <c r="T748" s="102">
        <v>33</v>
      </c>
      <c r="U748" s="102">
        <v>2</v>
      </c>
      <c r="V748" s="102">
        <v>0</v>
      </c>
      <c r="W748" s="102">
        <v>1</v>
      </c>
      <c r="X748" s="103">
        <v>0</v>
      </c>
      <c r="Y748" s="103">
        <v>0</v>
      </c>
      <c r="Z748" s="103">
        <v>0</v>
      </c>
      <c r="AC748" s="102">
        <v>0</v>
      </c>
    </row>
    <row r="749" spans="1:29">
      <c r="A749" s="104" t="s">
        <v>1465</v>
      </c>
      <c r="B749" s="104" t="s">
        <v>1954</v>
      </c>
      <c r="C749" s="104" t="s">
        <v>1467</v>
      </c>
      <c r="D749" s="104" t="s">
        <v>1791</v>
      </c>
      <c r="E749" s="104" t="s">
        <v>1954</v>
      </c>
      <c r="M749" s="104" t="s">
        <v>1574</v>
      </c>
      <c r="N749" s="104" t="s">
        <v>1720</v>
      </c>
      <c r="O749" s="101">
        <v>45931</v>
      </c>
      <c r="P749" s="101">
        <v>45961</v>
      </c>
      <c r="Q749" s="101">
        <v>45928</v>
      </c>
      <c r="R749" s="101">
        <v>45934</v>
      </c>
      <c r="S749" s="184">
        <v>40</v>
      </c>
      <c r="T749" s="102">
        <v>33</v>
      </c>
      <c r="U749" s="102">
        <v>0.2</v>
      </c>
      <c r="V749" s="102">
        <v>0</v>
      </c>
      <c r="W749" s="102">
        <v>0.1</v>
      </c>
      <c r="X749" s="103">
        <v>0</v>
      </c>
      <c r="Y749" s="103">
        <v>0</v>
      </c>
      <c r="Z749" s="103">
        <v>0</v>
      </c>
      <c r="AC749" s="102">
        <v>0</v>
      </c>
    </row>
    <row r="750" spans="1:29">
      <c r="A750" s="104" t="s">
        <v>1465</v>
      </c>
      <c r="B750" s="104" t="s">
        <v>1954</v>
      </c>
      <c r="C750" s="104" t="s">
        <v>1467</v>
      </c>
      <c r="D750" s="104" t="s">
        <v>1791</v>
      </c>
      <c r="E750" s="104" t="s">
        <v>1954</v>
      </c>
      <c r="M750" s="104" t="s">
        <v>1574</v>
      </c>
      <c r="N750" s="104" t="s">
        <v>1720</v>
      </c>
      <c r="O750" s="101">
        <v>45931</v>
      </c>
      <c r="P750" s="101">
        <v>45961</v>
      </c>
      <c r="Q750" s="101">
        <v>45935</v>
      </c>
      <c r="R750" s="101">
        <v>45941</v>
      </c>
      <c r="S750" s="184">
        <v>41</v>
      </c>
      <c r="T750" s="102">
        <v>34</v>
      </c>
      <c r="U750" s="102">
        <v>0.1</v>
      </c>
      <c r="V750" s="102">
        <v>0</v>
      </c>
      <c r="W750" s="102">
        <v>0.1</v>
      </c>
      <c r="X750" s="103">
        <v>0</v>
      </c>
      <c r="Y750" s="103">
        <v>0</v>
      </c>
      <c r="Z750" s="103">
        <v>0</v>
      </c>
      <c r="AC750" s="102">
        <v>0</v>
      </c>
    </row>
    <row r="751" spans="1:29">
      <c r="A751" s="104" t="s">
        <v>1465</v>
      </c>
      <c r="B751" s="104" t="s">
        <v>1954</v>
      </c>
      <c r="C751" s="104" t="s">
        <v>1467</v>
      </c>
      <c r="D751" s="104" t="s">
        <v>1791</v>
      </c>
      <c r="E751" s="104" t="s">
        <v>1954</v>
      </c>
      <c r="M751" s="104" t="s">
        <v>1574</v>
      </c>
      <c r="N751" s="104" t="s">
        <v>1720</v>
      </c>
      <c r="O751" s="101">
        <v>45931</v>
      </c>
      <c r="P751" s="101">
        <v>45961</v>
      </c>
      <c r="Q751" s="101">
        <v>45942</v>
      </c>
      <c r="R751" s="101">
        <v>45948</v>
      </c>
      <c r="S751" s="184">
        <v>42</v>
      </c>
      <c r="T751" s="102">
        <v>35</v>
      </c>
      <c r="U751" s="102">
        <v>0.5</v>
      </c>
      <c r="V751" s="102">
        <v>0</v>
      </c>
      <c r="W751" s="102">
        <v>0.1</v>
      </c>
      <c r="X751" s="103">
        <v>0</v>
      </c>
      <c r="Y751" s="103">
        <v>0</v>
      </c>
      <c r="Z751" s="103">
        <v>0</v>
      </c>
      <c r="AC751" s="102">
        <v>0</v>
      </c>
    </row>
    <row r="752" spans="1:29">
      <c r="A752" s="104" t="s">
        <v>1465</v>
      </c>
      <c r="B752" s="104" t="s">
        <v>1954</v>
      </c>
      <c r="C752" s="104" t="s">
        <v>1467</v>
      </c>
      <c r="D752" s="104" t="s">
        <v>1791</v>
      </c>
      <c r="E752" s="104" t="s">
        <v>1954</v>
      </c>
      <c r="M752" s="104" t="s">
        <v>1574</v>
      </c>
      <c r="N752" s="104" t="s">
        <v>1720</v>
      </c>
      <c r="O752" s="101">
        <v>45931</v>
      </c>
      <c r="P752" s="101">
        <v>45961</v>
      </c>
      <c r="Q752" s="101">
        <v>45949</v>
      </c>
      <c r="R752" s="101">
        <v>45955</v>
      </c>
      <c r="S752" s="184">
        <v>43</v>
      </c>
      <c r="T752" s="102">
        <v>36</v>
      </c>
      <c r="U752" s="102">
        <v>0.5</v>
      </c>
      <c r="V752" s="102">
        <v>0</v>
      </c>
      <c r="W752" s="102">
        <v>0.1</v>
      </c>
      <c r="X752" s="103">
        <v>0</v>
      </c>
      <c r="Y752" s="103">
        <v>0</v>
      </c>
      <c r="Z752" s="103">
        <v>0</v>
      </c>
      <c r="AC752" s="102">
        <v>0</v>
      </c>
    </row>
    <row r="753" spans="1:29">
      <c r="A753" s="104" t="s">
        <v>1465</v>
      </c>
      <c r="B753" s="104" t="s">
        <v>1954</v>
      </c>
      <c r="C753" s="104" t="s">
        <v>1467</v>
      </c>
      <c r="D753" s="104" t="s">
        <v>1791</v>
      </c>
      <c r="E753" s="104" t="s">
        <v>1954</v>
      </c>
      <c r="M753" s="104" t="s">
        <v>1574</v>
      </c>
      <c r="N753" s="104" t="s">
        <v>1720</v>
      </c>
      <c r="O753" s="101">
        <v>45931</v>
      </c>
      <c r="P753" s="101">
        <v>45961</v>
      </c>
      <c r="Q753" s="101">
        <v>45956</v>
      </c>
      <c r="R753" s="101">
        <v>45962</v>
      </c>
      <c r="S753" s="184">
        <v>44</v>
      </c>
      <c r="T753" s="102">
        <v>37</v>
      </c>
      <c r="U753" s="102">
        <v>0.5</v>
      </c>
      <c r="V753" s="102">
        <v>0</v>
      </c>
      <c r="W753" s="102">
        <v>0.1</v>
      </c>
      <c r="X753" s="103">
        <v>0</v>
      </c>
      <c r="Y753" s="103">
        <v>0</v>
      </c>
      <c r="Z753" s="103">
        <v>0</v>
      </c>
      <c r="AC753" s="102">
        <v>0</v>
      </c>
    </row>
    <row r="754" spans="1:29">
      <c r="A754" s="104" t="s">
        <v>1465</v>
      </c>
      <c r="B754" s="104" t="s">
        <v>1955</v>
      </c>
      <c r="C754" s="104" t="s">
        <v>1467</v>
      </c>
      <c r="D754" s="104" t="s">
        <v>1791</v>
      </c>
      <c r="E754" s="104" t="s">
        <v>1955</v>
      </c>
      <c r="M754" s="104" t="s">
        <v>1575</v>
      </c>
      <c r="N754" s="104" t="s">
        <v>1720</v>
      </c>
      <c r="O754" s="101">
        <v>45964</v>
      </c>
      <c r="P754" s="101">
        <v>46017</v>
      </c>
      <c r="Q754" s="101">
        <v>45963</v>
      </c>
      <c r="R754" s="101">
        <v>45969</v>
      </c>
      <c r="S754" s="184">
        <v>45</v>
      </c>
      <c r="T754" s="102">
        <v>38</v>
      </c>
      <c r="U754" s="102">
        <v>50</v>
      </c>
      <c r="V754" s="102">
        <v>0</v>
      </c>
      <c r="W754" s="102">
        <v>10</v>
      </c>
      <c r="X754" s="103">
        <v>0</v>
      </c>
      <c r="Y754" s="103">
        <v>0</v>
      </c>
      <c r="Z754" s="103">
        <v>0</v>
      </c>
      <c r="AC754" s="102">
        <v>0</v>
      </c>
    </row>
    <row r="755" spans="1:29">
      <c r="A755" s="104" t="s">
        <v>1465</v>
      </c>
      <c r="B755" s="104" t="s">
        <v>1955</v>
      </c>
      <c r="C755" s="104" t="s">
        <v>1467</v>
      </c>
      <c r="D755" s="104" t="s">
        <v>1791</v>
      </c>
      <c r="E755" s="104" t="s">
        <v>1955</v>
      </c>
      <c r="M755" s="104" t="s">
        <v>1575</v>
      </c>
      <c r="N755" s="104" t="s">
        <v>1720</v>
      </c>
      <c r="O755" s="101">
        <v>45964</v>
      </c>
      <c r="P755" s="101">
        <v>46017</v>
      </c>
      <c r="Q755" s="101">
        <v>45970</v>
      </c>
      <c r="R755" s="101">
        <v>45976</v>
      </c>
      <c r="S755" s="184">
        <v>46</v>
      </c>
      <c r="T755" s="102">
        <v>39</v>
      </c>
      <c r="U755" s="102">
        <v>50</v>
      </c>
      <c r="V755" s="102">
        <v>0</v>
      </c>
      <c r="W755" s="102">
        <v>10</v>
      </c>
      <c r="X755" s="103">
        <v>0</v>
      </c>
      <c r="Y755" s="103">
        <v>0</v>
      </c>
      <c r="Z755" s="103">
        <v>0</v>
      </c>
      <c r="AC755" s="102">
        <v>0</v>
      </c>
    </row>
    <row r="756" spans="1:29">
      <c r="A756" s="104" t="s">
        <v>1465</v>
      </c>
      <c r="B756" s="104" t="s">
        <v>1955</v>
      </c>
      <c r="C756" s="104" t="s">
        <v>1467</v>
      </c>
      <c r="D756" s="104" t="s">
        <v>1791</v>
      </c>
      <c r="E756" s="104" t="s">
        <v>1955</v>
      </c>
      <c r="M756" s="104" t="s">
        <v>1575</v>
      </c>
      <c r="N756" s="104" t="s">
        <v>1720</v>
      </c>
      <c r="O756" s="101">
        <v>45964</v>
      </c>
      <c r="P756" s="101">
        <v>46017</v>
      </c>
      <c r="Q756" s="101">
        <v>45977</v>
      </c>
      <c r="R756" s="101">
        <v>45983</v>
      </c>
      <c r="S756" s="184">
        <v>47</v>
      </c>
      <c r="T756" s="102">
        <v>40</v>
      </c>
      <c r="U756" s="102">
        <v>50</v>
      </c>
      <c r="V756" s="102">
        <v>0</v>
      </c>
      <c r="W756" s="102">
        <v>10</v>
      </c>
      <c r="X756" s="103">
        <v>0</v>
      </c>
      <c r="Y756" s="103">
        <v>0</v>
      </c>
      <c r="Z756" s="103">
        <v>0</v>
      </c>
      <c r="AC756" s="102">
        <v>0</v>
      </c>
    </row>
    <row r="757" spans="1:29">
      <c r="A757" s="104" t="s">
        <v>1465</v>
      </c>
      <c r="B757" s="104" t="s">
        <v>1955</v>
      </c>
      <c r="C757" s="104" t="s">
        <v>1467</v>
      </c>
      <c r="D757" s="104" t="s">
        <v>1791</v>
      </c>
      <c r="E757" s="104" t="s">
        <v>1955</v>
      </c>
      <c r="M757" s="104" t="s">
        <v>1575</v>
      </c>
      <c r="N757" s="104" t="s">
        <v>1720</v>
      </c>
      <c r="O757" s="101">
        <v>45964</v>
      </c>
      <c r="P757" s="101">
        <v>46017</v>
      </c>
      <c r="Q757" s="101">
        <v>45984</v>
      </c>
      <c r="R757" s="101">
        <v>45990</v>
      </c>
      <c r="S757" s="184">
        <v>48</v>
      </c>
      <c r="T757" s="102">
        <v>41</v>
      </c>
      <c r="U757" s="102">
        <v>50</v>
      </c>
      <c r="V757" s="102">
        <v>0</v>
      </c>
      <c r="W757" s="102">
        <v>10</v>
      </c>
      <c r="X757" s="103">
        <v>0</v>
      </c>
      <c r="Y757" s="103">
        <v>0</v>
      </c>
      <c r="Z757" s="103">
        <v>0</v>
      </c>
      <c r="AC757" s="102">
        <v>0</v>
      </c>
    </row>
    <row r="758" spans="1:29">
      <c r="A758" s="104" t="s">
        <v>1465</v>
      </c>
      <c r="B758" s="104" t="s">
        <v>1955</v>
      </c>
      <c r="C758" s="104" t="s">
        <v>1467</v>
      </c>
      <c r="D758" s="104" t="s">
        <v>1791</v>
      </c>
      <c r="E758" s="104" t="s">
        <v>1955</v>
      </c>
      <c r="M758" s="104" t="s">
        <v>1575</v>
      </c>
      <c r="N758" s="104" t="s">
        <v>1720</v>
      </c>
      <c r="O758" s="101">
        <v>45964</v>
      </c>
      <c r="P758" s="101">
        <v>46017</v>
      </c>
      <c r="Q758" s="101">
        <v>45991</v>
      </c>
      <c r="R758" s="101">
        <v>45997</v>
      </c>
      <c r="S758" s="184">
        <v>49</v>
      </c>
      <c r="T758" s="102">
        <v>42</v>
      </c>
      <c r="U758" s="102">
        <v>50</v>
      </c>
      <c r="V758" s="102">
        <v>0</v>
      </c>
      <c r="W758" s="102">
        <v>10</v>
      </c>
      <c r="X758" s="103">
        <v>0</v>
      </c>
      <c r="Y758" s="103">
        <v>0</v>
      </c>
      <c r="Z758" s="103">
        <v>0</v>
      </c>
      <c r="AC758" s="102">
        <v>0</v>
      </c>
    </row>
    <row r="759" spans="1:29">
      <c r="A759" s="104" t="s">
        <v>1465</v>
      </c>
      <c r="B759" s="104" t="s">
        <v>1955</v>
      </c>
      <c r="C759" s="104" t="s">
        <v>1467</v>
      </c>
      <c r="D759" s="104" t="s">
        <v>1791</v>
      </c>
      <c r="E759" s="104" t="s">
        <v>1955</v>
      </c>
      <c r="M759" s="104" t="s">
        <v>1575</v>
      </c>
      <c r="N759" s="104" t="s">
        <v>1720</v>
      </c>
      <c r="O759" s="101">
        <v>45964</v>
      </c>
      <c r="P759" s="101">
        <v>46017</v>
      </c>
      <c r="Q759" s="101">
        <v>45998</v>
      </c>
      <c r="R759" s="101">
        <v>46004</v>
      </c>
      <c r="S759" s="184">
        <v>50</v>
      </c>
      <c r="T759" s="102">
        <v>43</v>
      </c>
      <c r="U759" s="102">
        <v>50</v>
      </c>
      <c r="V759" s="102">
        <v>0</v>
      </c>
      <c r="W759" s="102">
        <v>10</v>
      </c>
      <c r="X759" s="103">
        <v>0</v>
      </c>
      <c r="Y759" s="103">
        <v>0</v>
      </c>
      <c r="Z759" s="103">
        <v>0</v>
      </c>
      <c r="AC759" s="102">
        <v>0</v>
      </c>
    </row>
    <row r="760" spans="1:29">
      <c r="A760" s="104" t="s">
        <v>1465</v>
      </c>
      <c r="B760" s="104" t="s">
        <v>1955</v>
      </c>
      <c r="C760" s="104" t="s">
        <v>1467</v>
      </c>
      <c r="D760" s="104" t="s">
        <v>1791</v>
      </c>
      <c r="E760" s="104" t="s">
        <v>1955</v>
      </c>
      <c r="M760" s="104" t="s">
        <v>1575</v>
      </c>
      <c r="N760" s="104" t="s">
        <v>1720</v>
      </c>
      <c r="O760" s="101">
        <v>45964</v>
      </c>
      <c r="P760" s="101">
        <v>46017</v>
      </c>
      <c r="Q760" s="101">
        <v>46005</v>
      </c>
      <c r="R760" s="101">
        <v>46011</v>
      </c>
      <c r="S760" s="184">
        <v>51</v>
      </c>
      <c r="T760" s="102">
        <v>44</v>
      </c>
      <c r="U760" s="102">
        <v>50</v>
      </c>
      <c r="V760" s="102">
        <v>0</v>
      </c>
      <c r="W760" s="102">
        <v>10</v>
      </c>
      <c r="X760" s="103">
        <v>0</v>
      </c>
      <c r="Y760" s="103">
        <v>0</v>
      </c>
      <c r="Z760" s="103">
        <v>0</v>
      </c>
      <c r="AC760" s="102">
        <v>0</v>
      </c>
    </row>
    <row r="761" spans="1:29">
      <c r="A761" s="104" t="s">
        <v>1465</v>
      </c>
      <c r="B761" s="104" t="s">
        <v>1955</v>
      </c>
      <c r="C761" s="104" t="s">
        <v>1467</v>
      </c>
      <c r="D761" s="104" t="s">
        <v>1791</v>
      </c>
      <c r="E761" s="104" t="s">
        <v>1955</v>
      </c>
      <c r="M761" s="104" t="s">
        <v>1575</v>
      </c>
      <c r="N761" s="104" t="s">
        <v>1720</v>
      </c>
      <c r="O761" s="101">
        <v>45964</v>
      </c>
      <c r="P761" s="101">
        <v>46017</v>
      </c>
      <c r="Q761" s="101">
        <v>46012</v>
      </c>
      <c r="R761" s="101">
        <v>46018</v>
      </c>
      <c r="S761" s="184">
        <v>52</v>
      </c>
      <c r="T761" s="102">
        <v>45</v>
      </c>
      <c r="U761" s="102">
        <v>40</v>
      </c>
      <c r="V761" s="102">
        <v>0</v>
      </c>
      <c r="W761" s="102">
        <v>10</v>
      </c>
      <c r="X761" s="103">
        <v>0</v>
      </c>
      <c r="Y761" s="103">
        <v>0</v>
      </c>
      <c r="Z761" s="103">
        <v>0</v>
      </c>
      <c r="AC761" s="102">
        <v>0</v>
      </c>
    </row>
    <row r="762" spans="1:29">
      <c r="A762" s="104" t="s">
        <v>1465</v>
      </c>
      <c r="B762" s="104" t="s">
        <v>1957</v>
      </c>
      <c r="C762" s="104" t="s">
        <v>1467</v>
      </c>
      <c r="D762" s="104" t="s">
        <v>1956</v>
      </c>
      <c r="E762" s="104" t="s">
        <v>1957</v>
      </c>
      <c r="M762" s="104" t="s">
        <v>1574</v>
      </c>
      <c r="N762" s="104" t="s">
        <v>1720</v>
      </c>
      <c r="O762" s="101">
        <v>45992</v>
      </c>
      <c r="P762" s="101">
        <v>46010</v>
      </c>
      <c r="Q762" s="101">
        <v>45991</v>
      </c>
      <c r="R762" s="101">
        <v>45997</v>
      </c>
      <c r="S762" s="184">
        <v>49</v>
      </c>
      <c r="T762" s="102">
        <v>42</v>
      </c>
      <c r="U762" s="102">
        <v>0.5</v>
      </c>
      <c r="V762" s="102">
        <v>0</v>
      </c>
      <c r="W762" s="102">
        <v>0.1</v>
      </c>
      <c r="X762" s="103">
        <v>0</v>
      </c>
      <c r="Y762" s="103">
        <v>0</v>
      </c>
      <c r="Z762" s="103">
        <v>0</v>
      </c>
      <c r="AC762" s="102">
        <v>0</v>
      </c>
    </row>
    <row r="763" spans="1:29">
      <c r="A763" s="104" t="s">
        <v>1465</v>
      </c>
      <c r="B763" s="104" t="s">
        <v>1957</v>
      </c>
      <c r="C763" s="104" t="s">
        <v>1467</v>
      </c>
      <c r="D763" s="104" t="s">
        <v>1956</v>
      </c>
      <c r="E763" s="104" t="s">
        <v>1957</v>
      </c>
      <c r="M763" s="104" t="s">
        <v>1574</v>
      </c>
      <c r="N763" s="104" t="s">
        <v>1720</v>
      </c>
      <c r="O763" s="101">
        <v>45992</v>
      </c>
      <c r="P763" s="101">
        <v>46010</v>
      </c>
      <c r="Q763" s="101">
        <v>45998</v>
      </c>
      <c r="R763" s="101">
        <v>46004</v>
      </c>
      <c r="S763" s="184">
        <v>50</v>
      </c>
      <c r="T763" s="102">
        <v>43</v>
      </c>
      <c r="U763" s="102">
        <v>0.5</v>
      </c>
      <c r="V763" s="102">
        <v>0</v>
      </c>
      <c r="W763" s="102">
        <v>0.1</v>
      </c>
      <c r="X763" s="103">
        <v>0</v>
      </c>
      <c r="Y763" s="103">
        <v>0</v>
      </c>
      <c r="Z763" s="103">
        <v>0</v>
      </c>
      <c r="AC763" s="102">
        <v>0</v>
      </c>
    </row>
    <row r="764" spans="1:29">
      <c r="A764" s="104" t="s">
        <v>1465</v>
      </c>
      <c r="B764" s="104" t="s">
        <v>1957</v>
      </c>
      <c r="C764" s="104" t="s">
        <v>1467</v>
      </c>
      <c r="D764" s="104" t="s">
        <v>1956</v>
      </c>
      <c r="E764" s="104" t="s">
        <v>1957</v>
      </c>
      <c r="M764" s="104" t="s">
        <v>1574</v>
      </c>
      <c r="N764" s="104" t="s">
        <v>1720</v>
      </c>
      <c r="O764" s="101">
        <v>45992</v>
      </c>
      <c r="P764" s="101">
        <v>46010</v>
      </c>
      <c r="Q764" s="101">
        <v>46005</v>
      </c>
      <c r="R764" s="101">
        <v>46011</v>
      </c>
      <c r="S764" s="184">
        <v>51</v>
      </c>
      <c r="T764" s="102">
        <v>44</v>
      </c>
      <c r="U764" s="102">
        <v>0.5</v>
      </c>
      <c r="V764" s="102">
        <v>0</v>
      </c>
      <c r="W764" s="102">
        <v>0.1</v>
      </c>
      <c r="X764" s="103">
        <v>0</v>
      </c>
      <c r="Y764" s="103">
        <v>0</v>
      </c>
      <c r="Z764" s="103">
        <v>0</v>
      </c>
      <c r="AC764" s="102">
        <v>0</v>
      </c>
    </row>
    <row r="765" spans="1:29">
      <c r="A765" s="104" t="s">
        <v>1465</v>
      </c>
      <c r="B765" s="104" t="s">
        <v>1958</v>
      </c>
      <c r="C765" s="104" t="s">
        <v>1467</v>
      </c>
      <c r="D765" s="104" t="s">
        <v>1956</v>
      </c>
      <c r="E765" s="104" t="s">
        <v>1958</v>
      </c>
      <c r="M765" s="104" t="s">
        <v>1575</v>
      </c>
      <c r="N765" s="104" t="s">
        <v>1720</v>
      </c>
      <c r="O765" s="101">
        <v>46020</v>
      </c>
      <c r="P765" s="101">
        <v>46052</v>
      </c>
      <c r="Q765" s="101">
        <v>46019</v>
      </c>
      <c r="R765" s="101">
        <v>46025</v>
      </c>
      <c r="S765" s="184">
        <v>53</v>
      </c>
      <c r="T765" s="102">
        <v>46</v>
      </c>
      <c r="U765" s="102">
        <v>40</v>
      </c>
      <c r="V765" s="102">
        <v>0</v>
      </c>
      <c r="W765" s="102">
        <v>10</v>
      </c>
      <c r="X765" s="103">
        <v>0</v>
      </c>
      <c r="Y765" s="103">
        <v>0</v>
      </c>
      <c r="Z765" s="103">
        <v>0</v>
      </c>
      <c r="AC765" s="102">
        <v>0</v>
      </c>
    </row>
    <row r="766" spans="1:29">
      <c r="A766" s="104" t="s">
        <v>1465</v>
      </c>
      <c r="B766" s="104" t="s">
        <v>1958</v>
      </c>
      <c r="C766" s="104" t="s">
        <v>1467</v>
      </c>
      <c r="D766" s="104" t="s">
        <v>1956</v>
      </c>
      <c r="E766" s="104" t="s">
        <v>1958</v>
      </c>
      <c r="M766" s="104" t="s">
        <v>1575</v>
      </c>
      <c r="N766" s="104" t="s">
        <v>1720</v>
      </c>
      <c r="O766" s="101">
        <v>46020</v>
      </c>
      <c r="P766" s="101">
        <v>46052</v>
      </c>
      <c r="Q766" s="101">
        <v>46026</v>
      </c>
      <c r="R766" s="101">
        <v>46032</v>
      </c>
      <c r="S766" s="184">
        <v>2</v>
      </c>
      <c r="T766" s="102">
        <v>47</v>
      </c>
      <c r="U766" s="102">
        <v>50</v>
      </c>
      <c r="V766" s="102">
        <v>0</v>
      </c>
      <c r="W766" s="102">
        <v>10</v>
      </c>
      <c r="X766" s="103">
        <v>0</v>
      </c>
      <c r="Y766" s="103">
        <v>0</v>
      </c>
      <c r="Z766" s="103">
        <v>0</v>
      </c>
      <c r="AC766" s="102">
        <v>0</v>
      </c>
    </row>
    <row r="767" spans="1:29">
      <c r="A767" s="104" t="s">
        <v>1465</v>
      </c>
      <c r="B767" s="104" t="s">
        <v>1958</v>
      </c>
      <c r="C767" s="104" t="s">
        <v>1467</v>
      </c>
      <c r="D767" s="104" t="s">
        <v>1956</v>
      </c>
      <c r="E767" s="104" t="s">
        <v>1958</v>
      </c>
      <c r="M767" s="104" t="s">
        <v>1575</v>
      </c>
      <c r="N767" s="104" t="s">
        <v>1720</v>
      </c>
      <c r="O767" s="101">
        <v>46020</v>
      </c>
      <c r="P767" s="101">
        <v>46052</v>
      </c>
      <c r="Q767" s="101">
        <v>46033</v>
      </c>
      <c r="R767" s="101">
        <v>46039</v>
      </c>
      <c r="S767" s="184">
        <v>3</v>
      </c>
      <c r="T767" s="102">
        <v>48</v>
      </c>
      <c r="U767" s="102">
        <v>50</v>
      </c>
      <c r="V767" s="102">
        <v>0</v>
      </c>
      <c r="W767" s="102">
        <v>10</v>
      </c>
      <c r="X767" s="103">
        <v>0</v>
      </c>
      <c r="Y767" s="103">
        <v>0</v>
      </c>
      <c r="Z767" s="103">
        <v>0</v>
      </c>
      <c r="AC767" s="102">
        <v>0</v>
      </c>
    </row>
    <row r="768" spans="1:29">
      <c r="A768" s="104" t="s">
        <v>1465</v>
      </c>
      <c r="B768" s="104" t="s">
        <v>1958</v>
      </c>
      <c r="C768" s="104" t="s">
        <v>1467</v>
      </c>
      <c r="D768" s="104" t="s">
        <v>1956</v>
      </c>
      <c r="E768" s="104" t="s">
        <v>1958</v>
      </c>
      <c r="M768" s="104" t="s">
        <v>1575</v>
      </c>
      <c r="N768" s="104" t="s">
        <v>1720</v>
      </c>
      <c r="O768" s="101">
        <v>46020</v>
      </c>
      <c r="P768" s="101">
        <v>46052</v>
      </c>
      <c r="Q768" s="101">
        <v>46040</v>
      </c>
      <c r="R768" s="101">
        <v>46046</v>
      </c>
      <c r="S768" s="184">
        <v>4</v>
      </c>
      <c r="T768" s="102">
        <v>49</v>
      </c>
      <c r="U768" s="102">
        <v>50</v>
      </c>
      <c r="V768" s="102">
        <v>0</v>
      </c>
      <c r="W768" s="102">
        <v>10</v>
      </c>
      <c r="X768" s="103">
        <v>0</v>
      </c>
      <c r="Y768" s="103">
        <v>0</v>
      </c>
      <c r="Z768" s="103">
        <v>0</v>
      </c>
      <c r="AC768" s="102">
        <v>0</v>
      </c>
    </row>
    <row r="769" spans="1:29">
      <c r="A769" s="104" t="s">
        <v>1465</v>
      </c>
      <c r="B769" s="104" t="s">
        <v>1958</v>
      </c>
      <c r="C769" s="104" t="s">
        <v>1467</v>
      </c>
      <c r="D769" s="104" t="s">
        <v>1956</v>
      </c>
      <c r="E769" s="104" t="s">
        <v>1958</v>
      </c>
      <c r="M769" s="104" t="s">
        <v>1575</v>
      </c>
      <c r="N769" s="104" t="s">
        <v>1720</v>
      </c>
      <c r="O769" s="101">
        <v>46020</v>
      </c>
      <c r="P769" s="101">
        <v>46052</v>
      </c>
      <c r="Q769" s="101">
        <v>46047</v>
      </c>
      <c r="R769" s="101">
        <v>46053</v>
      </c>
      <c r="S769" s="184">
        <v>5</v>
      </c>
      <c r="T769" s="102">
        <v>50</v>
      </c>
      <c r="U769" s="102">
        <v>50</v>
      </c>
      <c r="V769" s="102">
        <v>0</v>
      </c>
      <c r="W769" s="102">
        <v>10</v>
      </c>
      <c r="X769" s="103">
        <v>0</v>
      </c>
      <c r="Y769" s="103">
        <v>0</v>
      </c>
      <c r="Z769" s="103">
        <v>0</v>
      </c>
      <c r="AC769" s="102">
        <v>0</v>
      </c>
    </row>
    <row r="770" spans="1:29">
      <c r="A770" s="104" t="s">
        <v>1465</v>
      </c>
      <c r="B770" s="104" t="s">
        <v>1960</v>
      </c>
      <c r="C770" s="104" t="s">
        <v>1467</v>
      </c>
      <c r="D770" s="104" t="s">
        <v>1959</v>
      </c>
      <c r="E770" s="104" t="s">
        <v>1960</v>
      </c>
      <c r="M770" s="104" t="s">
        <v>1577</v>
      </c>
      <c r="N770" s="104" t="s">
        <v>1720</v>
      </c>
      <c r="O770" s="101">
        <v>45870</v>
      </c>
      <c r="P770" s="101">
        <v>46010</v>
      </c>
      <c r="Q770" s="101">
        <v>45865</v>
      </c>
      <c r="R770" s="101">
        <v>45871</v>
      </c>
      <c r="S770" s="184">
        <v>31</v>
      </c>
      <c r="T770" s="102">
        <v>24</v>
      </c>
      <c r="U770" s="102">
        <v>0.1</v>
      </c>
      <c r="V770" s="102">
        <v>0</v>
      </c>
      <c r="W770" s="102">
        <v>0.1</v>
      </c>
      <c r="X770" s="103">
        <v>0</v>
      </c>
      <c r="Y770" s="103">
        <v>0</v>
      </c>
      <c r="Z770" s="103">
        <v>0</v>
      </c>
      <c r="AC770" s="102">
        <v>0</v>
      </c>
    </row>
    <row r="771" spans="1:29">
      <c r="A771" s="104" t="s">
        <v>1465</v>
      </c>
      <c r="B771" s="104" t="s">
        <v>1960</v>
      </c>
      <c r="C771" s="104" t="s">
        <v>1467</v>
      </c>
      <c r="D771" s="104" t="s">
        <v>1959</v>
      </c>
      <c r="E771" s="104" t="s">
        <v>1960</v>
      </c>
      <c r="M771" s="104" t="s">
        <v>1577</v>
      </c>
      <c r="N771" s="104" t="s">
        <v>1720</v>
      </c>
      <c r="O771" s="101">
        <v>45870</v>
      </c>
      <c r="P771" s="101">
        <v>46010</v>
      </c>
      <c r="Q771" s="101">
        <v>45872</v>
      </c>
      <c r="R771" s="101">
        <v>45878</v>
      </c>
      <c r="S771" s="184">
        <v>32</v>
      </c>
      <c r="T771" s="102">
        <v>25</v>
      </c>
      <c r="U771" s="102">
        <v>0.5</v>
      </c>
      <c r="V771" s="102">
        <v>0</v>
      </c>
      <c r="W771" s="102">
        <v>0.1</v>
      </c>
      <c r="X771" s="103">
        <v>0</v>
      </c>
      <c r="Y771" s="103">
        <v>0</v>
      </c>
      <c r="Z771" s="103">
        <v>0</v>
      </c>
      <c r="AC771" s="102">
        <v>0</v>
      </c>
    </row>
    <row r="772" spans="1:29">
      <c r="A772" s="104" t="s">
        <v>1465</v>
      </c>
      <c r="B772" s="104" t="s">
        <v>1960</v>
      </c>
      <c r="C772" s="104" t="s">
        <v>1467</v>
      </c>
      <c r="D772" s="104" t="s">
        <v>1959</v>
      </c>
      <c r="E772" s="104" t="s">
        <v>1960</v>
      </c>
      <c r="M772" s="104" t="s">
        <v>1577</v>
      </c>
      <c r="N772" s="104" t="s">
        <v>1720</v>
      </c>
      <c r="O772" s="101">
        <v>45870</v>
      </c>
      <c r="P772" s="101">
        <v>46010</v>
      </c>
      <c r="Q772" s="101">
        <v>45879</v>
      </c>
      <c r="R772" s="101">
        <v>45885</v>
      </c>
      <c r="S772" s="184">
        <v>33</v>
      </c>
      <c r="T772" s="102">
        <v>26</v>
      </c>
      <c r="U772" s="102">
        <v>0.4</v>
      </c>
      <c r="V772" s="102">
        <v>0</v>
      </c>
      <c r="W772" s="102">
        <v>0.1</v>
      </c>
      <c r="X772" s="103">
        <v>0</v>
      </c>
      <c r="Y772" s="103">
        <v>0</v>
      </c>
      <c r="Z772" s="103">
        <v>0</v>
      </c>
      <c r="AC772" s="102">
        <v>0</v>
      </c>
    </row>
    <row r="773" spans="1:29">
      <c r="A773" s="104" t="s">
        <v>1465</v>
      </c>
      <c r="B773" s="104" t="s">
        <v>1960</v>
      </c>
      <c r="C773" s="104" t="s">
        <v>1467</v>
      </c>
      <c r="D773" s="104" t="s">
        <v>1959</v>
      </c>
      <c r="E773" s="104" t="s">
        <v>1960</v>
      </c>
      <c r="M773" s="104" t="s">
        <v>1577</v>
      </c>
      <c r="N773" s="104" t="s">
        <v>1720</v>
      </c>
      <c r="O773" s="101">
        <v>45870</v>
      </c>
      <c r="P773" s="101">
        <v>46010</v>
      </c>
      <c r="Q773" s="101">
        <v>45886</v>
      </c>
      <c r="R773" s="101">
        <v>45892</v>
      </c>
      <c r="S773" s="184">
        <v>34</v>
      </c>
      <c r="T773" s="102">
        <v>27</v>
      </c>
      <c r="U773" s="102">
        <v>0.5</v>
      </c>
      <c r="V773" s="102">
        <v>0</v>
      </c>
      <c r="W773" s="102">
        <v>0.1</v>
      </c>
      <c r="X773" s="103">
        <v>0</v>
      </c>
      <c r="Y773" s="103">
        <v>0</v>
      </c>
      <c r="Z773" s="103">
        <v>0</v>
      </c>
      <c r="AC773" s="102">
        <v>0</v>
      </c>
    </row>
    <row r="774" spans="1:29">
      <c r="A774" s="104" t="s">
        <v>1465</v>
      </c>
      <c r="B774" s="104" t="s">
        <v>1960</v>
      </c>
      <c r="C774" s="104" t="s">
        <v>1467</v>
      </c>
      <c r="D774" s="104" t="s">
        <v>1959</v>
      </c>
      <c r="E774" s="104" t="s">
        <v>1960</v>
      </c>
      <c r="M774" s="104" t="s">
        <v>1577</v>
      </c>
      <c r="N774" s="104" t="s">
        <v>1720</v>
      </c>
      <c r="O774" s="101">
        <v>45870</v>
      </c>
      <c r="P774" s="101">
        <v>46010</v>
      </c>
      <c r="Q774" s="101">
        <v>45893</v>
      </c>
      <c r="R774" s="101">
        <v>45899</v>
      </c>
      <c r="S774" s="184">
        <v>35</v>
      </c>
      <c r="T774" s="102">
        <v>28</v>
      </c>
      <c r="U774" s="102">
        <v>0.5</v>
      </c>
      <c r="V774" s="102">
        <v>0</v>
      </c>
      <c r="W774" s="102">
        <v>0.1</v>
      </c>
      <c r="X774" s="103">
        <v>0</v>
      </c>
      <c r="Y774" s="103">
        <v>0</v>
      </c>
      <c r="Z774" s="103">
        <v>0</v>
      </c>
      <c r="AC774" s="102">
        <v>0</v>
      </c>
    </row>
    <row r="775" spans="1:29">
      <c r="A775" s="104" t="s">
        <v>1465</v>
      </c>
      <c r="B775" s="104" t="s">
        <v>1960</v>
      </c>
      <c r="C775" s="104" t="s">
        <v>1467</v>
      </c>
      <c r="D775" s="104" t="s">
        <v>1959</v>
      </c>
      <c r="E775" s="104" t="s">
        <v>1960</v>
      </c>
      <c r="M775" s="104" t="s">
        <v>1577</v>
      </c>
      <c r="N775" s="104" t="s">
        <v>1720</v>
      </c>
      <c r="O775" s="101">
        <v>45870</v>
      </c>
      <c r="P775" s="101">
        <v>46010</v>
      </c>
      <c r="Q775" s="101">
        <v>45900</v>
      </c>
      <c r="R775" s="101">
        <v>45906</v>
      </c>
      <c r="S775" s="184">
        <v>36</v>
      </c>
      <c r="T775" s="102">
        <v>29</v>
      </c>
      <c r="U775" s="102">
        <v>0.5</v>
      </c>
      <c r="V775" s="102">
        <v>0</v>
      </c>
      <c r="W775" s="102">
        <v>0.1</v>
      </c>
      <c r="X775" s="103">
        <v>0</v>
      </c>
      <c r="Y775" s="103">
        <v>0</v>
      </c>
      <c r="Z775" s="103">
        <v>0</v>
      </c>
      <c r="AC775" s="102">
        <v>0</v>
      </c>
    </row>
    <row r="776" spans="1:29">
      <c r="A776" s="104" t="s">
        <v>1465</v>
      </c>
      <c r="B776" s="104" t="s">
        <v>1960</v>
      </c>
      <c r="C776" s="104" t="s">
        <v>1467</v>
      </c>
      <c r="D776" s="104" t="s">
        <v>1959</v>
      </c>
      <c r="E776" s="104" t="s">
        <v>1960</v>
      </c>
      <c r="M776" s="104" t="s">
        <v>1577</v>
      </c>
      <c r="N776" s="104" t="s">
        <v>1720</v>
      </c>
      <c r="O776" s="101">
        <v>45870</v>
      </c>
      <c r="P776" s="101">
        <v>46010</v>
      </c>
      <c r="Q776" s="101">
        <v>45907</v>
      </c>
      <c r="R776" s="101">
        <v>45913</v>
      </c>
      <c r="S776" s="184">
        <v>37</v>
      </c>
      <c r="T776" s="102">
        <v>30</v>
      </c>
      <c r="U776" s="102">
        <v>0.5</v>
      </c>
      <c r="V776" s="102">
        <v>0</v>
      </c>
      <c r="W776" s="102">
        <v>0.1</v>
      </c>
      <c r="X776" s="103">
        <v>0</v>
      </c>
      <c r="Y776" s="103">
        <v>0</v>
      </c>
      <c r="Z776" s="103">
        <v>0</v>
      </c>
      <c r="AC776" s="102">
        <v>0</v>
      </c>
    </row>
    <row r="777" spans="1:29">
      <c r="A777" s="104" t="s">
        <v>1465</v>
      </c>
      <c r="B777" s="104" t="s">
        <v>1960</v>
      </c>
      <c r="C777" s="104" t="s">
        <v>1467</v>
      </c>
      <c r="D777" s="104" t="s">
        <v>1959</v>
      </c>
      <c r="E777" s="104" t="s">
        <v>1960</v>
      </c>
      <c r="M777" s="104" t="s">
        <v>1577</v>
      </c>
      <c r="N777" s="104" t="s">
        <v>1720</v>
      </c>
      <c r="O777" s="101">
        <v>45870</v>
      </c>
      <c r="P777" s="101">
        <v>46010</v>
      </c>
      <c r="Q777" s="101">
        <v>45914</v>
      </c>
      <c r="R777" s="101">
        <v>45920</v>
      </c>
      <c r="S777" s="184">
        <v>38</v>
      </c>
      <c r="T777" s="102">
        <v>31</v>
      </c>
      <c r="U777" s="102">
        <v>0.5</v>
      </c>
      <c r="V777" s="102">
        <v>0</v>
      </c>
      <c r="W777" s="102">
        <v>0.1</v>
      </c>
      <c r="X777" s="103">
        <v>0</v>
      </c>
      <c r="Y777" s="103">
        <v>0</v>
      </c>
      <c r="Z777" s="103">
        <v>0</v>
      </c>
      <c r="AC777" s="102">
        <v>0</v>
      </c>
    </row>
    <row r="778" spans="1:29">
      <c r="A778" s="104" t="s">
        <v>1465</v>
      </c>
      <c r="B778" s="104" t="s">
        <v>1960</v>
      </c>
      <c r="C778" s="104" t="s">
        <v>1467</v>
      </c>
      <c r="D778" s="104" t="s">
        <v>1959</v>
      </c>
      <c r="E778" s="104" t="s">
        <v>1960</v>
      </c>
      <c r="M778" s="104" t="s">
        <v>1577</v>
      </c>
      <c r="N778" s="104" t="s">
        <v>1720</v>
      </c>
      <c r="O778" s="101">
        <v>45870</v>
      </c>
      <c r="P778" s="101">
        <v>46010</v>
      </c>
      <c r="Q778" s="101">
        <v>45921</v>
      </c>
      <c r="R778" s="101">
        <v>45927</v>
      </c>
      <c r="S778" s="184">
        <v>39</v>
      </c>
      <c r="T778" s="102">
        <v>32</v>
      </c>
      <c r="U778" s="102">
        <v>0.5</v>
      </c>
      <c r="V778" s="102">
        <v>0</v>
      </c>
      <c r="W778" s="102">
        <v>0.1</v>
      </c>
      <c r="X778" s="103">
        <v>0</v>
      </c>
      <c r="Y778" s="103">
        <v>0</v>
      </c>
      <c r="Z778" s="103">
        <v>0</v>
      </c>
      <c r="AC778" s="102">
        <v>0</v>
      </c>
    </row>
    <row r="779" spans="1:29">
      <c r="A779" s="104" t="s">
        <v>1465</v>
      </c>
      <c r="B779" s="104" t="s">
        <v>1960</v>
      </c>
      <c r="C779" s="104" t="s">
        <v>1467</v>
      </c>
      <c r="D779" s="104" t="s">
        <v>1959</v>
      </c>
      <c r="E779" s="104" t="s">
        <v>1960</v>
      </c>
      <c r="M779" s="104" t="s">
        <v>1577</v>
      </c>
      <c r="N779" s="104" t="s">
        <v>1720</v>
      </c>
      <c r="O779" s="101">
        <v>45870</v>
      </c>
      <c r="P779" s="101">
        <v>46010</v>
      </c>
      <c r="Q779" s="101">
        <v>45928</v>
      </c>
      <c r="R779" s="101">
        <v>45934</v>
      </c>
      <c r="S779" s="184">
        <v>40</v>
      </c>
      <c r="T779" s="102">
        <v>33</v>
      </c>
      <c r="U779" s="102">
        <v>0.4</v>
      </c>
      <c r="V779" s="102">
        <v>0</v>
      </c>
      <c r="W779" s="102">
        <v>0.1</v>
      </c>
      <c r="X779" s="103">
        <v>0</v>
      </c>
      <c r="Y779" s="103">
        <v>0</v>
      </c>
      <c r="Z779" s="103">
        <v>0</v>
      </c>
      <c r="AC779" s="102">
        <v>0</v>
      </c>
    </row>
    <row r="780" spans="1:29">
      <c r="A780" s="104" t="s">
        <v>1465</v>
      </c>
      <c r="B780" s="104" t="s">
        <v>1960</v>
      </c>
      <c r="C780" s="104" t="s">
        <v>1467</v>
      </c>
      <c r="D780" s="104" t="s">
        <v>1959</v>
      </c>
      <c r="E780" s="104" t="s">
        <v>1960</v>
      </c>
      <c r="M780" s="104" t="s">
        <v>1577</v>
      </c>
      <c r="N780" s="104" t="s">
        <v>1720</v>
      </c>
      <c r="O780" s="101">
        <v>45870</v>
      </c>
      <c r="P780" s="101">
        <v>46010</v>
      </c>
      <c r="Q780" s="101">
        <v>45935</v>
      </c>
      <c r="R780" s="101">
        <v>45941</v>
      </c>
      <c r="S780" s="184">
        <v>41</v>
      </c>
      <c r="T780" s="102">
        <v>34</v>
      </c>
      <c r="U780" s="102">
        <v>0.1</v>
      </c>
      <c r="V780" s="102">
        <v>0</v>
      </c>
      <c r="W780" s="102">
        <v>0.1</v>
      </c>
      <c r="X780" s="103">
        <v>0</v>
      </c>
      <c r="Y780" s="103">
        <v>0</v>
      </c>
      <c r="Z780" s="103">
        <v>0</v>
      </c>
      <c r="AC780" s="102">
        <v>0</v>
      </c>
    </row>
    <row r="781" spans="1:29">
      <c r="A781" s="104" t="s">
        <v>1465</v>
      </c>
      <c r="B781" s="104" t="s">
        <v>1960</v>
      </c>
      <c r="C781" s="104" t="s">
        <v>1467</v>
      </c>
      <c r="D781" s="104" t="s">
        <v>1959</v>
      </c>
      <c r="E781" s="104" t="s">
        <v>1960</v>
      </c>
      <c r="M781" s="104" t="s">
        <v>1577</v>
      </c>
      <c r="N781" s="104" t="s">
        <v>1720</v>
      </c>
      <c r="O781" s="101">
        <v>45870</v>
      </c>
      <c r="P781" s="101">
        <v>46010</v>
      </c>
      <c r="Q781" s="101">
        <v>45942</v>
      </c>
      <c r="R781" s="101">
        <v>45948</v>
      </c>
      <c r="S781" s="184">
        <v>42</v>
      </c>
      <c r="T781" s="102">
        <v>35</v>
      </c>
      <c r="U781" s="102">
        <v>0.5</v>
      </c>
      <c r="V781" s="102">
        <v>0</v>
      </c>
      <c r="W781" s="102">
        <v>0.1</v>
      </c>
      <c r="X781" s="103">
        <v>0</v>
      </c>
      <c r="Y781" s="103">
        <v>0</v>
      </c>
      <c r="Z781" s="103">
        <v>0</v>
      </c>
      <c r="AC781" s="102">
        <v>0</v>
      </c>
    </row>
    <row r="782" spans="1:29">
      <c r="A782" s="104" t="s">
        <v>1465</v>
      </c>
      <c r="B782" s="104" t="s">
        <v>1960</v>
      </c>
      <c r="C782" s="104" t="s">
        <v>1467</v>
      </c>
      <c r="D782" s="104" t="s">
        <v>1959</v>
      </c>
      <c r="E782" s="104" t="s">
        <v>1960</v>
      </c>
      <c r="M782" s="104" t="s">
        <v>1577</v>
      </c>
      <c r="N782" s="104" t="s">
        <v>1720</v>
      </c>
      <c r="O782" s="101">
        <v>45870</v>
      </c>
      <c r="P782" s="101">
        <v>46010</v>
      </c>
      <c r="Q782" s="101">
        <v>45949</v>
      </c>
      <c r="R782" s="101">
        <v>45955</v>
      </c>
      <c r="S782" s="184">
        <v>43</v>
      </c>
      <c r="T782" s="102">
        <v>36</v>
      </c>
      <c r="U782" s="102">
        <v>0.5</v>
      </c>
      <c r="V782" s="102">
        <v>0</v>
      </c>
      <c r="W782" s="102">
        <v>0.1</v>
      </c>
      <c r="X782" s="103">
        <v>0</v>
      </c>
      <c r="Y782" s="103">
        <v>0</v>
      </c>
      <c r="Z782" s="103">
        <v>0</v>
      </c>
      <c r="AC782" s="102">
        <v>0</v>
      </c>
    </row>
    <row r="783" spans="1:29">
      <c r="A783" s="104" t="s">
        <v>1465</v>
      </c>
      <c r="B783" s="104" t="s">
        <v>1960</v>
      </c>
      <c r="C783" s="104" t="s">
        <v>1467</v>
      </c>
      <c r="D783" s="104" t="s">
        <v>1959</v>
      </c>
      <c r="E783" s="104" t="s">
        <v>1960</v>
      </c>
      <c r="M783" s="104" t="s">
        <v>1577</v>
      </c>
      <c r="N783" s="104" t="s">
        <v>1720</v>
      </c>
      <c r="O783" s="101">
        <v>45870</v>
      </c>
      <c r="P783" s="101">
        <v>46010</v>
      </c>
      <c r="Q783" s="101">
        <v>45956</v>
      </c>
      <c r="R783" s="101">
        <v>45962</v>
      </c>
      <c r="S783" s="184">
        <v>44</v>
      </c>
      <c r="T783" s="102">
        <v>37</v>
      </c>
      <c r="U783" s="102">
        <v>0.5</v>
      </c>
      <c r="V783" s="102">
        <v>0</v>
      </c>
      <c r="W783" s="102">
        <v>0.1</v>
      </c>
      <c r="X783" s="103">
        <v>0</v>
      </c>
      <c r="Y783" s="103">
        <v>0</v>
      </c>
      <c r="Z783" s="103">
        <v>0</v>
      </c>
      <c r="AC783" s="102">
        <v>0</v>
      </c>
    </row>
    <row r="784" spans="1:29">
      <c r="A784" s="104" t="s">
        <v>1465</v>
      </c>
      <c r="B784" s="104" t="s">
        <v>1960</v>
      </c>
      <c r="C784" s="104" t="s">
        <v>1467</v>
      </c>
      <c r="D784" s="104" t="s">
        <v>1959</v>
      </c>
      <c r="E784" s="104" t="s">
        <v>1960</v>
      </c>
      <c r="M784" s="104" t="s">
        <v>1577</v>
      </c>
      <c r="N784" s="104" t="s">
        <v>1720</v>
      </c>
      <c r="O784" s="101">
        <v>45870</v>
      </c>
      <c r="P784" s="101">
        <v>46010</v>
      </c>
      <c r="Q784" s="101">
        <v>45963</v>
      </c>
      <c r="R784" s="101">
        <v>45969</v>
      </c>
      <c r="S784" s="184">
        <v>45</v>
      </c>
      <c r="T784" s="102">
        <v>38</v>
      </c>
      <c r="U784" s="102">
        <v>0.5</v>
      </c>
      <c r="V784" s="102">
        <v>0</v>
      </c>
      <c r="W784" s="102">
        <v>0.1</v>
      </c>
      <c r="X784" s="103">
        <v>0</v>
      </c>
      <c r="Y784" s="103">
        <v>0</v>
      </c>
      <c r="Z784" s="103">
        <v>0</v>
      </c>
      <c r="AC784" s="102">
        <v>0</v>
      </c>
    </row>
    <row r="785" spans="1:29">
      <c r="A785" s="104" t="s">
        <v>1465</v>
      </c>
      <c r="B785" s="104" t="s">
        <v>1960</v>
      </c>
      <c r="C785" s="104" t="s">
        <v>1467</v>
      </c>
      <c r="D785" s="104" t="s">
        <v>1959</v>
      </c>
      <c r="E785" s="104" t="s">
        <v>1960</v>
      </c>
      <c r="M785" s="104" t="s">
        <v>1577</v>
      </c>
      <c r="N785" s="104" t="s">
        <v>1720</v>
      </c>
      <c r="O785" s="101">
        <v>45870</v>
      </c>
      <c r="P785" s="101">
        <v>46010</v>
      </c>
      <c r="Q785" s="101">
        <v>45970</v>
      </c>
      <c r="R785" s="101">
        <v>45976</v>
      </c>
      <c r="S785" s="184">
        <v>46</v>
      </c>
      <c r="T785" s="102">
        <v>39</v>
      </c>
      <c r="U785" s="102">
        <v>0.5</v>
      </c>
      <c r="V785" s="102">
        <v>0</v>
      </c>
      <c r="W785" s="102">
        <v>0.1</v>
      </c>
      <c r="X785" s="103">
        <v>0</v>
      </c>
      <c r="Y785" s="103">
        <v>0</v>
      </c>
      <c r="Z785" s="103">
        <v>0</v>
      </c>
      <c r="AC785" s="102">
        <v>0</v>
      </c>
    </row>
    <row r="786" spans="1:29">
      <c r="A786" s="104" t="s">
        <v>1465</v>
      </c>
      <c r="B786" s="104" t="s">
        <v>1960</v>
      </c>
      <c r="C786" s="104" t="s">
        <v>1467</v>
      </c>
      <c r="D786" s="104" t="s">
        <v>1959</v>
      </c>
      <c r="E786" s="104" t="s">
        <v>1960</v>
      </c>
      <c r="M786" s="104" t="s">
        <v>1577</v>
      </c>
      <c r="N786" s="104" t="s">
        <v>1720</v>
      </c>
      <c r="O786" s="101">
        <v>45870</v>
      </c>
      <c r="P786" s="101">
        <v>46010</v>
      </c>
      <c r="Q786" s="101">
        <v>45977</v>
      </c>
      <c r="R786" s="101">
        <v>45983</v>
      </c>
      <c r="S786" s="184">
        <v>47</v>
      </c>
      <c r="T786" s="102">
        <v>40</v>
      </c>
      <c r="U786" s="102">
        <v>0.5</v>
      </c>
      <c r="V786" s="102">
        <v>0</v>
      </c>
      <c r="W786" s="102">
        <v>0.1</v>
      </c>
      <c r="X786" s="103">
        <v>0</v>
      </c>
      <c r="Y786" s="103">
        <v>0</v>
      </c>
      <c r="Z786" s="103">
        <v>0</v>
      </c>
      <c r="AC786" s="102">
        <v>0</v>
      </c>
    </row>
    <row r="787" spans="1:29">
      <c r="A787" s="104" t="s">
        <v>1465</v>
      </c>
      <c r="B787" s="104" t="s">
        <v>1960</v>
      </c>
      <c r="C787" s="104" t="s">
        <v>1467</v>
      </c>
      <c r="D787" s="104" t="s">
        <v>1959</v>
      </c>
      <c r="E787" s="104" t="s">
        <v>1960</v>
      </c>
      <c r="M787" s="104" t="s">
        <v>1577</v>
      </c>
      <c r="N787" s="104" t="s">
        <v>1720</v>
      </c>
      <c r="O787" s="101">
        <v>45870</v>
      </c>
      <c r="P787" s="101">
        <v>46010</v>
      </c>
      <c r="Q787" s="101">
        <v>45984</v>
      </c>
      <c r="R787" s="101">
        <v>45990</v>
      </c>
      <c r="S787" s="184">
        <v>48</v>
      </c>
      <c r="T787" s="102">
        <v>41</v>
      </c>
      <c r="U787" s="102">
        <v>0.5</v>
      </c>
      <c r="V787" s="102">
        <v>0</v>
      </c>
      <c r="W787" s="102">
        <v>0.1</v>
      </c>
      <c r="X787" s="103">
        <v>0</v>
      </c>
      <c r="Y787" s="103">
        <v>0</v>
      </c>
      <c r="Z787" s="103">
        <v>0</v>
      </c>
      <c r="AC787" s="102">
        <v>0</v>
      </c>
    </row>
    <row r="788" spans="1:29">
      <c r="A788" s="104" t="s">
        <v>1465</v>
      </c>
      <c r="B788" s="104" t="s">
        <v>1960</v>
      </c>
      <c r="C788" s="104" t="s">
        <v>1467</v>
      </c>
      <c r="D788" s="104" t="s">
        <v>1959</v>
      </c>
      <c r="E788" s="104" t="s">
        <v>1960</v>
      </c>
      <c r="M788" s="104" t="s">
        <v>1577</v>
      </c>
      <c r="N788" s="104" t="s">
        <v>1720</v>
      </c>
      <c r="O788" s="101">
        <v>45870</v>
      </c>
      <c r="P788" s="101">
        <v>46010</v>
      </c>
      <c r="Q788" s="101">
        <v>45991</v>
      </c>
      <c r="R788" s="101">
        <v>45997</v>
      </c>
      <c r="S788" s="184">
        <v>49</v>
      </c>
      <c r="T788" s="102">
        <v>42</v>
      </c>
      <c r="U788" s="102">
        <v>0.5</v>
      </c>
      <c r="V788" s="102">
        <v>0</v>
      </c>
      <c r="W788" s="102">
        <v>0.1</v>
      </c>
      <c r="X788" s="103">
        <v>0</v>
      </c>
      <c r="Y788" s="103">
        <v>0</v>
      </c>
      <c r="Z788" s="103">
        <v>0</v>
      </c>
      <c r="AC788" s="102">
        <v>0</v>
      </c>
    </row>
    <row r="789" spans="1:29">
      <c r="A789" s="104" t="s">
        <v>1465</v>
      </c>
      <c r="B789" s="104" t="s">
        <v>1960</v>
      </c>
      <c r="C789" s="104" t="s">
        <v>1467</v>
      </c>
      <c r="D789" s="104" t="s">
        <v>1959</v>
      </c>
      <c r="E789" s="104" t="s">
        <v>1960</v>
      </c>
      <c r="M789" s="104" t="s">
        <v>1577</v>
      </c>
      <c r="N789" s="104" t="s">
        <v>1720</v>
      </c>
      <c r="O789" s="101">
        <v>45870</v>
      </c>
      <c r="P789" s="101">
        <v>46010</v>
      </c>
      <c r="Q789" s="101">
        <v>45998</v>
      </c>
      <c r="R789" s="101">
        <v>46004</v>
      </c>
      <c r="S789" s="184">
        <v>50</v>
      </c>
      <c r="T789" s="102">
        <v>43</v>
      </c>
      <c r="U789" s="102">
        <v>0.5</v>
      </c>
      <c r="V789" s="102">
        <v>0</v>
      </c>
      <c r="W789" s="102">
        <v>0.1</v>
      </c>
      <c r="X789" s="103">
        <v>0</v>
      </c>
      <c r="Y789" s="103">
        <v>0</v>
      </c>
      <c r="Z789" s="103">
        <v>0</v>
      </c>
      <c r="AC789" s="102">
        <v>0</v>
      </c>
    </row>
    <row r="790" spans="1:29">
      <c r="A790" s="104" t="s">
        <v>1465</v>
      </c>
      <c r="B790" s="104" t="s">
        <v>1960</v>
      </c>
      <c r="C790" s="104" t="s">
        <v>1467</v>
      </c>
      <c r="D790" s="104" t="s">
        <v>1959</v>
      </c>
      <c r="E790" s="104" t="s">
        <v>1960</v>
      </c>
      <c r="M790" s="104" t="s">
        <v>1577</v>
      </c>
      <c r="N790" s="104" t="s">
        <v>1720</v>
      </c>
      <c r="O790" s="101">
        <v>45870</v>
      </c>
      <c r="P790" s="101">
        <v>46010</v>
      </c>
      <c r="Q790" s="101">
        <v>46005</v>
      </c>
      <c r="R790" s="101">
        <v>46011</v>
      </c>
      <c r="S790" s="184">
        <v>51</v>
      </c>
      <c r="T790" s="102">
        <v>44</v>
      </c>
      <c r="U790" s="102">
        <v>0.5</v>
      </c>
      <c r="V790" s="102">
        <v>0</v>
      </c>
      <c r="W790" s="102">
        <v>0.1</v>
      </c>
      <c r="X790" s="103">
        <v>0</v>
      </c>
      <c r="Y790" s="103">
        <v>0</v>
      </c>
      <c r="Z790" s="103">
        <v>0</v>
      </c>
      <c r="AC790" s="102">
        <v>0</v>
      </c>
    </row>
    <row r="791" spans="1:29">
      <c r="A791" s="104" t="s">
        <v>1465</v>
      </c>
      <c r="B791" s="104" t="s">
        <v>1961</v>
      </c>
      <c r="C791" s="104" t="s">
        <v>1467</v>
      </c>
      <c r="D791" s="104" t="s">
        <v>1959</v>
      </c>
      <c r="E791" s="104" t="s">
        <v>1961</v>
      </c>
      <c r="M791" s="104" t="s">
        <v>1578</v>
      </c>
      <c r="N791" s="104" t="s">
        <v>1720</v>
      </c>
      <c r="O791" s="101">
        <v>45901</v>
      </c>
      <c r="P791" s="101">
        <v>46069</v>
      </c>
      <c r="Q791" s="101">
        <v>45900</v>
      </c>
      <c r="R791" s="101">
        <v>45906</v>
      </c>
      <c r="S791" s="184">
        <v>36</v>
      </c>
      <c r="T791" s="102">
        <v>29</v>
      </c>
      <c r="U791" s="102">
        <v>100</v>
      </c>
      <c r="V791" s="102">
        <v>0</v>
      </c>
      <c r="W791" s="102">
        <v>20</v>
      </c>
      <c r="X791" s="103">
        <v>0</v>
      </c>
      <c r="Y791" s="103">
        <v>0</v>
      </c>
      <c r="Z791" s="103">
        <v>0</v>
      </c>
      <c r="AC791" s="102">
        <v>0</v>
      </c>
    </row>
    <row r="792" spans="1:29">
      <c r="A792" s="104" t="s">
        <v>1465</v>
      </c>
      <c r="B792" s="104" t="s">
        <v>1961</v>
      </c>
      <c r="C792" s="104" t="s">
        <v>1467</v>
      </c>
      <c r="D792" s="104" t="s">
        <v>1959</v>
      </c>
      <c r="E792" s="104" t="s">
        <v>1961</v>
      </c>
      <c r="M792" s="104" t="s">
        <v>1578</v>
      </c>
      <c r="N792" s="104" t="s">
        <v>1720</v>
      </c>
      <c r="O792" s="101">
        <v>45901</v>
      </c>
      <c r="P792" s="101">
        <v>46069</v>
      </c>
      <c r="Q792" s="101">
        <v>45907</v>
      </c>
      <c r="R792" s="101">
        <v>45913</v>
      </c>
      <c r="S792" s="184">
        <v>37</v>
      </c>
      <c r="T792" s="102">
        <v>30</v>
      </c>
      <c r="U792" s="102">
        <v>100</v>
      </c>
      <c r="V792" s="102">
        <v>0</v>
      </c>
      <c r="W792" s="102">
        <v>20</v>
      </c>
      <c r="X792" s="103">
        <v>0</v>
      </c>
      <c r="Y792" s="103">
        <v>0</v>
      </c>
      <c r="Z792" s="103">
        <v>0</v>
      </c>
      <c r="AC792" s="102">
        <v>0</v>
      </c>
    </row>
    <row r="793" spans="1:29">
      <c r="A793" s="104" t="s">
        <v>1465</v>
      </c>
      <c r="B793" s="104" t="s">
        <v>1961</v>
      </c>
      <c r="C793" s="104" t="s">
        <v>1467</v>
      </c>
      <c r="D793" s="104" t="s">
        <v>1959</v>
      </c>
      <c r="E793" s="104" t="s">
        <v>1961</v>
      </c>
      <c r="M793" s="104" t="s">
        <v>1578</v>
      </c>
      <c r="N793" s="104" t="s">
        <v>1720</v>
      </c>
      <c r="O793" s="101">
        <v>45901</v>
      </c>
      <c r="P793" s="101">
        <v>46069</v>
      </c>
      <c r="Q793" s="101">
        <v>45914</v>
      </c>
      <c r="R793" s="101">
        <v>45920</v>
      </c>
      <c r="S793" s="184">
        <v>38</v>
      </c>
      <c r="T793" s="102">
        <v>31</v>
      </c>
      <c r="U793" s="102">
        <v>100</v>
      </c>
      <c r="V793" s="102">
        <v>0</v>
      </c>
      <c r="W793" s="102">
        <v>20</v>
      </c>
      <c r="X793" s="103">
        <v>0</v>
      </c>
      <c r="Y793" s="103">
        <v>0</v>
      </c>
      <c r="Z793" s="103">
        <v>0</v>
      </c>
      <c r="AC793" s="102">
        <v>0</v>
      </c>
    </row>
    <row r="794" spans="1:29">
      <c r="A794" s="104" t="s">
        <v>1465</v>
      </c>
      <c r="B794" s="104" t="s">
        <v>1961</v>
      </c>
      <c r="C794" s="104" t="s">
        <v>1467</v>
      </c>
      <c r="D794" s="104" t="s">
        <v>1959</v>
      </c>
      <c r="E794" s="104" t="s">
        <v>1961</v>
      </c>
      <c r="M794" s="104" t="s">
        <v>1578</v>
      </c>
      <c r="N794" s="104" t="s">
        <v>1720</v>
      </c>
      <c r="O794" s="101">
        <v>45901</v>
      </c>
      <c r="P794" s="101">
        <v>46069</v>
      </c>
      <c r="Q794" s="101">
        <v>45921</v>
      </c>
      <c r="R794" s="101">
        <v>45927</v>
      </c>
      <c r="S794" s="184">
        <v>39</v>
      </c>
      <c r="T794" s="102">
        <v>32</v>
      </c>
      <c r="U794" s="102">
        <v>100</v>
      </c>
      <c r="V794" s="102">
        <v>0</v>
      </c>
      <c r="W794" s="102">
        <v>20</v>
      </c>
      <c r="X794" s="103">
        <v>0</v>
      </c>
      <c r="Y794" s="103">
        <v>0</v>
      </c>
      <c r="Z794" s="103">
        <v>0</v>
      </c>
      <c r="AC794" s="102">
        <v>0</v>
      </c>
    </row>
    <row r="795" spans="1:29">
      <c r="A795" s="104" t="s">
        <v>1465</v>
      </c>
      <c r="B795" s="104" t="s">
        <v>1961</v>
      </c>
      <c r="C795" s="104" t="s">
        <v>1467</v>
      </c>
      <c r="D795" s="104" t="s">
        <v>1959</v>
      </c>
      <c r="E795" s="104" t="s">
        <v>1961</v>
      </c>
      <c r="M795" s="104" t="s">
        <v>1578</v>
      </c>
      <c r="N795" s="104" t="s">
        <v>1720</v>
      </c>
      <c r="O795" s="101">
        <v>45901</v>
      </c>
      <c r="P795" s="101">
        <v>46069</v>
      </c>
      <c r="Q795" s="101">
        <v>45928</v>
      </c>
      <c r="R795" s="101">
        <v>45934</v>
      </c>
      <c r="S795" s="184">
        <v>40</v>
      </c>
      <c r="T795" s="102">
        <v>33</v>
      </c>
      <c r="U795" s="102">
        <v>80</v>
      </c>
      <c r="V795" s="102">
        <v>0</v>
      </c>
      <c r="W795" s="102">
        <v>20</v>
      </c>
      <c r="X795" s="103">
        <v>0</v>
      </c>
      <c r="Y795" s="103">
        <v>0</v>
      </c>
      <c r="Z795" s="103">
        <v>0</v>
      </c>
      <c r="AC795" s="102">
        <v>0</v>
      </c>
    </row>
    <row r="796" spans="1:29">
      <c r="A796" s="104" t="s">
        <v>1465</v>
      </c>
      <c r="B796" s="104" t="s">
        <v>1961</v>
      </c>
      <c r="C796" s="104" t="s">
        <v>1467</v>
      </c>
      <c r="D796" s="104" t="s">
        <v>1959</v>
      </c>
      <c r="E796" s="104" t="s">
        <v>1961</v>
      </c>
      <c r="M796" s="104" t="s">
        <v>1578</v>
      </c>
      <c r="N796" s="104" t="s">
        <v>1720</v>
      </c>
      <c r="O796" s="101">
        <v>45901</v>
      </c>
      <c r="P796" s="101">
        <v>46069</v>
      </c>
      <c r="Q796" s="101">
        <v>45935</v>
      </c>
      <c r="R796" s="101">
        <v>45941</v>
      </c>
      <c r="S796" s="184">
        <v>41</v>
      </c>
      <c r="T796" s="102">
        <v>34</v>
      </c>
      <c r="U796" s="102">
        <v>20</v>
      </c>
      <c r="V796" s="102">
        <v>0</v>
      </c>
      <c r="W796" s="102">
        <v>20</v>
      </c>
      <c r="X796" s="103">
        <v>0</v>
      </c>
      <c r="Y796" s="103">
        <v>0</v>
      </c>
      <c r="Z796" s="103">
        <v>0</v>
      </c>
      <c r="AC796" s="102">
        <v>0</v>
      </c>
    </row>
    <row r="797" spans="1:29">
      <c r="A797" s="104" t="s">
        <v>1465</v>
      </c>
      <c r="B797" s="104" t="s">
        <v>1961</v>
      </c>
      <c r="C797" s="104" t="s">
        <v>1467</v>
      </c>
      <c r="D797" s="104" t="s">
        <v>1959</v>
      </c>
      <c r="E797" s="104" t="s">
        <v>1961</v>
      </c>
      <c r="M797" s="104" t="s">
        <v>1578</v>
      </c>
      <c r="N797" s="104" t="s">
        <v>1720</v>
      </c>
      <c r="O797" s="101">
        <v>45901</v>
      </c>
      <c r="P797" s="101">
        <v>46069</v>
      </c>
      <c r="Q797" s="101">
        <v>45942</v>
      </c>
      <c r="R797" s="101">
        <v>45948</v>
      </c>
      <c r="S797" s="184">
        <v>42</v>
      </c>
      <c r="T797" s="102">
        <v>35</v>
      </c>
      <c r="U797" s="102">
        <v>100</v>
      </c>
      <c r="V797" s="102">
        <v>0</v>
      </c>
      <c r="W797" s="102">
        <v>20</v>
      </c>
      <c r="X797" s="103">
        <v>0</v>
      </c>
      <c r="Y797" s="103">
        <v>0</v>
      </c>
      <c r="Z797" s="103">
        <v>0</v>
      </c>
      <c r="AC797" s="102">
        <v>0</v>
      </c>
    </row>
    <row r="798" spans="1:29">
      <c r="A798" s="104" t="s">
        <v>1465</v>
      </c>
      <c r="B798" s="104" t="s">
        <v>1961</v>
      </c>
      <c r="C798" s="104" t="s">
        <v>1467</v>
      </c>
      <c r="D798" s="104" t="s">
        <v>1959</v>
      </c>
      <c r="E798" s="104" t="s">
        <v>1961</v>
      </c>
      <c r="M798" s="104" t="s">
        <v>1578</v>
      </c>
      <c r="N798" s="104" t="s">
        <v>1720</v>
      </c>
      <c r="O798" s="101">
        <v>45901</v>
      </c>
      <c r="P798" s="101">
        <v>46069</v>
      </c>
      <c r="Q798" s="101">
        <v>45949</v>
      </c>
      <c r="R798" s="101">
        <v>45955</v>
      </c>
      <c r="S798" s="184">
        <v>43</v>
      </c>
      <c r="T798" s="102">
        <v>36</v>
      </c>
      <c r="U798" s="102">
        <v>100</v>
      </c>
      <c r="V798" s="102">
        <v>0</v>
      </c>
      <c r="W798" s="102">
        <v>20</v>
      </c>
      <c r="X798" s="103">
        <v>0</v>
      </c>
      <c r="Y798" s="103">
        <v>0</v>
      </c>
      <c r="Z798" s="103">
        <v>0</v>
      </c>
      <c r="AC798" s="102">
        <v>0</v>
      </c>
    </row>
    <row r="799" spans="1:29">
      <c r="A799" s="104" t="s">
        <v>1465</v>
      </c>
      <c r="B799" s="104" t="s">
        <v>1961</v>
      </c>
      <c r="C799" s="104" t="s">
        <v>1467</v>
      </c>
      <c r="D799" s="104" t="s">
        <v>1959</v>
      </c>
      <c r="E799" s="104" t="s">
        <v>1961</v>
      </c>
      <c r="M799" s="104" t="s">
        <v>1578</v>
      </c>
      <c r="N799" s="104" t="s">
        <v>1720</v>
      </c>
      <c r="O799" s="101">
        <v>45901</v>
      </c>
      <c r="P799" s="101">
        <v>46069</v>
      </c>
      <c r="Q799" s="101">
        <v>45956</v>
      </c>
      <c r="R799" s="101">
        <v>45962</v>
      </c>
      <c r="S799" s="184">
        <v>44</v>
      </c>
      <c r="T799" s="102">
        <v>37</v>
      </c>
      <c r="U799" s="102">
        <v>100</v>
      </c>
      <c r="V799" s="102">
        <v>0</v>
      </c>
      <c r="W799" s="102">
        <v>20</v>
      </c>
      <c r="X799" s="103">
        <v>0</v>
      </c>
      <c r="Y799" s="103">
        <v>0</v>
      </c>
      <c r="Z799" s="103">
        <v>0</v>
      </c>
      <c r="AC799" s="102">
        <v>0</v>
      </c>
    </row>
    <row r="800" spans="1:29">
      <c r="A800" s="104" t="s">
        <v>1465</v>
      </c>
      <c r="B800" s="104" t="s">
        <v>1961</v>
      </c>
      <c r="C800" s="104" t="s">
        <v>1467</v>
      </c>
      <c r="D800" s="104" t="s">
        <v>1959</v>
      </c>
      <c r="E800" s="104" t="s">
        <v>1961</v>
      </c>
      <c r="M800" s="104" t="s">
        <v>1578</v>
      </c>
      <c r="N800" s="104" t="s">
        <v>1720</v>
      </c>
      <c r="O800" s="101">
        <v>45901</v>
      </c>
      <c r="P800" s="101">
        <v>46069</v>
      </c>
      <c r="Q800" s="101">
        <v>45963</v>
      </c>
      <c r="R800" s="101">
        <v>45969</v>
      </c>
      <c r="S800" s="184">
        <v>45</v>
      </c>
      <c r="T800" s="102">
        <v>38</v>
      </c>
      <c r="U800" s="102">
        <v>100</v>
      </c>
      <c r="V800" s="102">
        <v>0</v>
      </c>
      <c r="W800" s="102">
        <v>20</v>
      </c>
      <c r="X800" s="103">
        <v>0</v>
      </c>
      <c r="Y800" s="103">
        <v>0</v>
      </c>
      <c r="Z800" s="103">
        <v>0</v>
      </c>
      <c r="AC800" s="102">
        <v>0</v>
      </c>
    </row>
    <row r="801" spans="1:29">
      <c r="A801" s="104" t="s">
        <v>1465</v>
      </c>
      <c r="B801" s="104" t="s">
        <v>1961</v>
      </c>
      <c r="C801" s="104" t="s">
        <v>1467</v>
      </c>
      <c r="D801" s="104" t="s">
        <v>1959</v>
      </c>
      <c r="E801" s="104" t="s">
        <v>1961</v>
      </c>
      <c r="M801" s="104" t="s">
        <v>1578</v>
      </c>
      <c r="N801" s="104" t="s">
        <v>1720</v>
      </c>
      <c r="O801" s="101">
        <v>45901</v>
      </c>
      <c r="P801" s="101">
        <v>46069</v>
      </c>
      <c r="Q801" s="101">
        <v>45970</v>
      </c>
      <c r="R801" s="101">
        <v>45976</v>
      </c>
      <c r="S801" s="184">
        <v>46</v>
      </c>
      <c r="T801" s="102">
        <v>39</v>
      </c>
      <c r="U801" s="102">
        <v>100</v>
      </c>
      <c r="V801" s="102">
        <v>0</v>
      </c>
      <c r="W801" s="102">
        <v>20</v>
      </c>
      <c r="X801" s="103">
        <v>0</v>
      </c>
      <c r="Y801" s="103">
        <v>0</v>
      </c>
      <c r="Z801" s="103">
        <v>0</v>
      </c>
      <c r="AC801" s="102">
        <v>0</v>
      </c>
    </row>
    <row r="802" spans="1:29">
      <c r="A802" s="104" t="s">
        <v>1465</v>
      </c>
      <c r="B802" s="104" t="s">
        <v>1961</v>
      </c>
      <c r="C802" s="104" t="s">
        <v>1467</v>
      </c>
      <c r="D802" s="104" t="s">
        <v>1959</v>
      </c>
      <c r="E802" s="104" t="s">
        <v>1961</v>
      </c>
      <c r="M802" s="104" t="s">
        <v>1578</v>
      </c>
      <c r="N802" s="104" t="s">
        <v>1720</v>
      </c>
      <c r="O802" s="101">
        <v>45901</v>
      </c>
      <c r="P802" s="101">
        <v>46069</v>
      </c>
      <c r="Q802" s="101">
        <v>45977</v>
      </c>
      <c r="R802" s="101">
        <v>45983</v>
      </c>
      <c r="S802" s="184">
        <v>47</v>
      </c>
      <c r="T802" s="102">
        <v>40</v>
      </c>
      <c r="U802" s="102">
        <v>100</v>
      </c>
      <c r="V802" s="102">
        <v>0</v>
      </c>
      <c r="W802" s="102">
        <v>20</v>
      </c>
      <c r="X802" s="103">
        <v>0</v>
      </c>
      <c r="Y802" s="103">
        <v>0</v>
      </c>
      <c r="Z802" s="103">
        <v>0</v>
      </c>
      <c r="AC802" s="102">
        <v>0</v>
      </c>
    </row>
    <row r="803" spans="1:29">
      <c r="A803" s="104" t="s">
        <v>1465</v>
      </c>
      <c r="B803" s="104" t="s">
        <v>1961</v>
      </c>
      <c r="C803" s="104" t="s">
        <v>1467</v>
      </c>
      <c r="D803" s="104" t="s">
        <v>1959</v>
      </c>
      <c r="E803" s="104" t="s">
        <v>1961</v>
      </c>
      <c r="M803" s="104" t="s">
        <v>1578</v>
      </c>
      <c r="N803" s="104" t="s">
        <v>1720</v>
      </c>
      <c r="O803" s="101">
        <v>45901</v>
      </c>
      <c r="P803" s="101">
        <v>46069</v>
      </c>
      <c r="Q803" s="101">
        <v>45984</v>
      </c>
      <c r="R803" s="101">
        <v>45990</v>
      </c>
      <c r="S803" s="184">
        <v>48</v>
      </c>
      <c r="T803" s="102">
        <v>41</v>
      </c>
      <c r="U803" s="102">
        <v>100</v>
      </c>
      <c r="V803" s="102">
        <v>0</v>
      </c>
      <c r="W803" s="102">
        <v>20</v>
      </c>
      <c r="X803" s="103">
        <v>0</v>
      </c>
      <c r="Y803" s="103">
        <v>0</v>
      </c>
      <c r="Z803" s="103">
        <v>0</v>
      </c>
      <c r="AC803" s="102">
        <v>0</v>
      </c>
    </row>
    <row r="804" spans="1:29">
      <c r="A804" s="104" t="s">
        <v>1465</v>
      </c>
      <c r="B804" s="104" t="s">
        <v>1961</v>
      </c>
      <c r="C804" s="104" t="s">
        <v>1467</v>
      </c>
      <c r="D804" s="104" t="s">
        <v>1959</v>
      </c>
      <c r="E804" s="104" t="s">
        <v>1961</v>
      </c>
      <c r="M804" s="104" t="s">
        <v>1578</v>
      </c>
      <c r="N804" s="104" t="s">
        <v>1720</v>
      </c>
      <c r="O804" s="101">
        <v>45901</v>
      </c>
      <c r="P804" s="101">
        <v>46069</v>
      </c>
      <c r="Q804" s="101">
        <v>45991</v>
      </c>
      <c r="R804" s="101">
        <v>45997</v>
      </c>
      <c r="S804" s="184">
        <v>49</v>
      </c>
      <c r="T804" s="102">
        <v>42</v>
      </c>
      <c r="U804" s="102">
        <v>100</v>
      </c>
      <c r="V804" s="102">
        <v>0</v>
      </c>
      <c r="W804" s="102">
        <v>20</v>
      </c>
      <c r="X804" s="103">
        <v>0</v>
      </c>
      <c r="Y804" s="103">
        <v>0</v>
      </c>
      <c r="Z804" s="103">
        <v>0</v>
      </c>
      <c r="AC804" s="102">
        <v>0</v>
      </c>
    </row>
    <row r="805" spans="1:29">
      <c r="A805" s="104" t="s">
        <v>1465</v>
      </c>
      <c r="B805" s="104" t="s">
        <v>1961</v>
      </c>
      <c r="C805" s="104" t="s">
        <v>1467</v>
      </c>
      <c r="D805" s="104" t="s">
        <v>1959</v>
      </c>
      <c r="E805" s="104" t="s">
        <v>1961</v>
      </c>
      <c r="M805" s="104" t="s">
        <v>1578</v>
      </c>
      <c r="N805" s="104" t="s">
        <v>1720</v>
      </c>
      <c r="O805" s="101">
        <v>45901</v>
      </c>
      <c r="P805" s="101">
        <v>46069</v>
      </c>
      <c r="Q805" s="101">
        <v>45998</v>
      </c>
      <c r="R805" s="101">
        <v>46004</v>
      </c>
      <c r="S805" s="184">
        <v>50</v>
      </c>
      <c r="T805" s="102">
        <v>43</v>
      </c>
      <c r="U805" s="102">
        <v>100</v>
      </c>
      <c r="V805" s="102">
        <v>0</v>
      </c>
      <c r="W805" s="102">
        <v>20</v>
      </c>
      <c r="X805" s="103">
        <v>0</v>
      </c>
      <c r="Y805" s="103">
        <v>0</v>
      </c>
      <c r="Z805" s="103">
        <v>0</v>
      </c>
      <c r="AC805" s="102">
        <v>0</v>
      </c>
    </row>
    <row r="806" spans="1:29">
      <c r="A806" s="104" t="s">
        <v>1465</v>
      </c>
      <c r="B806" s="104" t="s">
        <v>1961</v>
      </c>
      <c r="C806" s="104" t="s">
        <v>1467</v>
      </c>
      <c r="D806" s="104" t="s">
        <v>1959</v>
      </c>
      <c r="E806" s="104" t="s">
        <v>1961</v>
      </c>
      <c r="M806" s="104" t="s">
        <v>1578</v>
      </c>
      <c r="N806" s="104" t="s">
        <v>1720</v>
      </c>
      <c r="O806" s="101">
        <v>45901</v>
      </c>
      <c r="P806" s="101">
        <v>46069</v>
      </c>
      <c r="Q806" s="101">
        <v>46005</v>
      </c>
      <c r="R806" s="101">
        <v>46011</v>
      </c>
      <c r="S806" s="184">
        <v>51</v>
      </c>
      <c r="T806" s="102">
        <v>44</v>
      </c>
      <c r="U806" s="102">
        <v>100</v>
      </c>
      <c r="V806" s="102">
        <v>0</v>
      </c>
      <c r="W806" s="102">
        <v>20</v>
      </c>
      <c r="X806" s="103">
        <v>0</v>
      </c>
      <c r="Y806" s="103">
        <v>0</v>
      </c>
      <c r="Z806" s="103">
        <v>0</v>
      </c>
      <c r="AC806" s="102">
        <v>0</v>
      </c>
    </row>
    <row r="807" spans="1:29">
      <c r="A807" s="104" t="s">
        <v>1465</v>
      </c>
      <c r="B807" s="104" t="s">
        <v>1961</v>
      </c>
      <c r="C807" s="104" t="s">
        <v>1467</v>
      </c>
      <c r="D807" s="104" t="s">
        <v>1959</v>
      </c>
      <c r="E807" s="104" t="s">
        <v>1961</v>
      </c>
      <c r="M807" s="104" t="s">
        <v>1578</v>
      </c>
      <c r="N807" s="104" t="s">
        <v>1720</v>
      </c>
      <c r="O807" s="101">
        <v>45901</v>
      </c>
      <c r="P807" s="101">
        <v>46069</v>
      </c>
      <c r="Q807" s="101">
        <v>46012</v>
      </c>
      <c r="R807" s="101">
        <v>46018</v>
      </c>
      <c r="S807" s="184">
        <v>52</v>
      </c>
      <c r="T807" s="102">
        <v>45</v>
      </c>
      <c r="U807" s="102">
        <v>80</v>
      </c>
      <c r="V807" s="102">
        <v>0</v>
      </c>
      <c r="W807" s="102">
        <v>20</v>
      </c>
      <c r="X807" s="103">
        <v>0</v>
      </c>
      <c r="Y807" s="103">
        <v>0</v>
      </c>
      <c r="Z807" s="103">
        <v>0</v>
      </c>
      <c r="AC807" s="102">
        <v>0</v>
      </c>
    </row>
    <row r="808" spans="1:29">
      <c r="A808" s="104" t="s">
        <v>1465</v>
      </c>
      <c r="B808" s="104" t="s">
        <v>1961</v>
      </c>
      <c r="C808" s="104" t="s">
        <v>1467</v>
      </c>
      <c r="D808" s="104" t="s">
        <v>1959</v>
      </c>
      <c r="E808" s="104" t="s">
        <v>1961</v>
      </c>
      <c r="M808" s="104" t="s">
        <v>1578</v>
      </c>
      <c r="N808" s="104" t="s">
        <v>1720</v>
      </c>
      <c r="O808" s="101">
        <v>45901</v>
      </c>
      <c r="P808" s="101">
        <v>46069</v>
      </c>
      <c r="Q808" s="101">
        <v>46019</v>
      </c>
      <c r="R808" s="101">
        <v>46025</v>
      </c>
      <c r="S808" s="184">
        <v>53</v>
      </c>
      <c r="T808" s="102">
        <v>46</v>
      </c>
      <c r="U808" s="102">
        <v>80</v>
      </c>
      <c r="V808" s="102">
        <v>0</v>
      </c>
      <c r="W808" s="102">
        <v>20</v>
      </c>
      <c r="X808" s="103">
        <v>0</v>
      </c>
      <c r="Y808" s="103">
        <v>0</v>
      </c>
      <c r="Z808" s="103">
        <v>0</v>
      </c>
      <c r="AC808" s="102">
        <v>0</v>
      </c>
    </row>
    <row r="809" spans="1:29">
      <c r="A809" s="104" t="s">
        <v>1465</v>
      </c>
      <c r="B809" s="104" t="s">
        <v>1961</v>
      </c>
      <c r="C809" s="104" t="s">
        <v>1467</v>
      </c>
      <c r="D809" s="104" t="s">
        <v>1959</v>
      </c>
      <c r="E809" s="104" t="s">
        <v>1961</v>
      </c>
      <c r="M809" s="104" t="s">
        <v>1578</v>
      </c>
      <c r="N809" s="104" t="s">
        <v>1720</v>
      </c>
      <c r="O809" s="101">
        <v>45901</v>
      </c>
      <c r="P809" s="101">
        <v>46069</v>
      </c>
      <c r="Q809" s="101">
        <v>46026</v>
      </c>
      <c r="R809" s="101">
        <v>46032</v>
      </c>
      <c r="S809" s="184">
        <v>2</v>
      </c>
      <c r="T809" s="102">
        <v>47</v>
      </c>
      <c r="U809" s="102">
        <v>100</v>
      </c>
      <c r="V809" s="102">
        <v>0</v>
      </c>
      <c r="W809" s="102">
        <v>20</v>
      </c>
      <c r="X809" s="103">
        <v>0</v>
      </c>
      <c r="Y809" s="103">
        <v>0</v>
      </c>
      <c r="Z809" s="103">
        <v>0</v>
      </c>
      <c r="AC809" s="102">
        <v>0</v>
      </c>
    </row>
    <row r="810" spans="1:29">
      <c r="A810" s="104" t="s">
        <v>1465</v>
      </c>
      <c r="B810" s="104" t="s">
        <v>1961</v>
      </c>
      <c r="C810" s="104" t="s">
        <v>1467</v>
      </c>
      <c r="D810" s="104" t="s">
        <v>1959</v>
      </c>
      <c r="E810" s="104" t="s">
        <v>1961</v>
      </c>
      <c r="M810" s="104" t="s">
        <v>1578</v>
      </c>
      <c r="N810" s="104" t="s">
        <v>1720</v>
      </c>
      <c r="O810" s="101">
        <v>45901</v>
      </c>
      <c r="P810" s="101">
        <v>46069</v>
      </c>
      <c r="Q810" s="101">
        <v>46033</v>
      </c>
      <c r="R810" s="101">
        <v>46039</v>
      </c>
      <c r="S810" s="184">
        <v>3</v>
      </c>
      <c r="T810" s="102">
        <v>48</v>
      </c>
      <c r="U810" s="102">
        <v>100</v>
      </c>
      <c r="V810" s="102">
        <v>0</v>
      </c>
      <c r="W810" s="102">
        <v>20</v>
      </c>
      <c r="X810" s="103">
        <v>0</v>
      </c>
      <c r="Y810" s="103">
        <v>0</v>
      </c>
      <c r="Z810" s="103">
        <v>0</v>
      </c>
      <c r="AC810" s="102">
        <v>0</v>
      </c>
    </row>
    <row r="811" spans="1:29">
      <c r="A811" s="104" t="s">
        <v>1465</v>
      </c>
      <c r="B811" s="104" t="s">
        <v>1961</v>
      </c>
      <c r="C811" s="104" t="s">
        <v>1467</v>
      </c>
      <c r="D811" s="104" t="s">
        <v>1959</v>
      </c>
      <c r="E811" s="104" t="s">
        <v>1961</v>
      </c>
      <c r="M811" s="104" t="s">
        <v>1578</v>
      </c>
      <c r="N811" s="104" t="s">
        <v>1720</v>
      </c>
      <c r="O811" s="101">
        <v>45901</v>
      </c>
      <c r="P811" s="101">
        <v>46069</v>
      </c>
      <c r="Q811" s="101">
        <v>46040</v>
      </c>
      <c r="R811" s="101">
        <v>46046</v>
      </c>
      <c r="S811" s="184">
        <v>4</v>
      </c>
      <c r="T811" s="102">
        <v>49</v>
      </c>
      <c r="U811" s="102">
        <v>100</v>
      </c>
      <c r="V811" s="102">
        <v>0</v>
      </c>
      <c r="W811" s="102">
        <v>20</v>
      </c>
      <c r="X811" s="103">
        <v>0</v>
      </c>
      <c r="Y811" s="103">
        <v>0</v>
      </c>
      <c r="Z811" s="103">
        <v>0</v>
      </c>
      <c r="AC811" s="102">
        <v>0</v>
      </c>
    </row>
    <row r="812" spans="1:29">
      <c r="A812" s="104" t="s">
        <v>1465</v>
      </c>
      <c r="B812" s="104" t="s">
        <v>1961</v>
      </c>
      <c r="C812" s="104" t="s">
        <v>1467</v>
      </c>
      <c r="D812" s="104" t="s">
        <v>1959</v>
      </c>
      <c r="E812" s="104" t="s">
        <v>1961</v>
      </c>
      <c r="M812" s="104" t="s">
        <v>1578</v>
      </c>
      <c r="N812" s="104" t="s">
        <v>1720</v>
      </c>
      <c r="O812" s="101">
        <v>45901</v>
      </c>
      <c r="P812" s="101">
        <v>46069</v>
      </c>
      <c r="Q812" s="101">
        <v>46047</v>
      </c>
      <c r="R812" s="101">
        <v>46053</v>
      </c>
      <c r="S812" s="184">
        <v>5</v>
      </c>
      <c r="T812" s="102">
        <v>50</v>
      </c>
      <c r="U812" s="102">
        <v>100</v>
      </c>
      <c r="V812" s="102">
        <v>0</v>
      </c>
      <c r="W812" s="102">
        <v>20</v>
      </c>
      <c r="X812" s="103">
        <v>0</v>
      </c>
      <c r="Y812" s="103">
        <v>0</v>
      </c>
      <c r="Z812" s="103">
        <v>0</v>
      </c>
      <c r="AC812" s="102">
        <v>0</v>
      </c>
    </row>
    <row r="813" spans="1:29">
      <c r="A813" s="104" t="s">
        <v>1465</v>
      </c>
      <c r="B813" s="104" t="s">
        <v>1961</v>
      </c>
      <c r="C813" s="104" t="s">
        <v>1467</v>
      </c>
      <c r="D813" s="104" t="s">
        <v>1959</v>
      </c>
      <c r="E813" s="104" t="s">
        <v>1961</v>
      </c>
      <c r="M813" s="104" t="s">
        <v>1578</v>
      </c>
      <c r="N813" s="104" t="s">
        <v>1720</v>
      </c>
      <c r="O813" s="101">
        <v>45901</v>
      </c>
      <c r="P813" s="101">
        <v>46069</v>
      </c>
      <c r="Q813" s="101">
        <v>46054</v>
      </c>
      <c r="R813" s="101">
        <v>46060</v>
      </c>
      <c r="S813" s="184">
        <v>6</v>
      </c>
      <c r="T813" s="102">
        <v>51</v>
      </c>
      <c r="U813" s="102">
        <v>100</v>
      </c>
      <c r="V813" s="102">
        <v>0</v>
      </c>
      <c r="W813" s="102">
        <v>20</v>
      </c>
      <c r="X813" s="103">
        <v>0</v>
      </c>
      <c r="Y813" s="103">
        <v>0</v>
      </c>
      <c r="Z813" s="103">
        <v>0</v>
      </c>
      <c r="AC813" s="102">
        <v>0</v>
      </c>
    </row>
    <row r="814" spans="1:29">
      <c r="A814" s="104" t="s">
        <v>1465</v>
      </c>
      <c r="B814" s="104" t="s">
        <v>1961</v>
      </c>
      <c r="C814" s="104" t="s">
        <v>1467</v>
      </c>
      <c r="D814" s="104" t="s">
        <v>1959</v>
      </c>
      <c r="E814" s="104" t="s">
        <v>1961</v>
      </c>
      <c r="M814" s="104" t="s">
        <v>1578</v>
      </c>
      <c r="N814" s="104" t="s">
        <v>1720</v>
      </c>
      <c r="O814" s="101">
        <v>45901</v>
      </c>
      <c r="P814" s="101">
        <v>46069</v>
      </c>
      <c r="Q814" s="101">
        <v>46061</v>
      </c>
      <c r="R814" s="101">
        <v>46067</v>
      </c>
      <c r="S814" s="184">
        <v>7</v>
      </c>
      <c r="T814" s="102">
        <v>52</v>
      </c>
      <c r="U814" s="102">
        <v>100</v>
      </c>
      <c r="V814" s="102">
        <v>0</v>
      </c>
      <c r="W814" s="102">
        <v>20</v>
      </c>
      <c r="X814" s="103">
        <v>0</v>
      </c>
      <c r="Y814" s="103">
        <v>0</v>
      </c>
      <c r="Z814" s="103">
        <v>0</v>
      </c>
      <c r="AC814" s="102">
        <v>0</v>
      </c>
    </row>
    <row r="815" spans="1:29">
      <c r="A815" s="104" t="s">
        <v>1465</v>
      </c>
      <c r="B815" s="104" t="s">
        <v>1961</v>
      </c>
      <c r="C815" s="104" t="s">
        <v>1467</v>
      </c>
      <c r="D815" s="104" t="s">
        <v>1959</v>
      </c>
      <c r="E815" s="104" t="s">
        <v>1961</v>
      </c>
      <c r="M815" s="104" t="s">
        <v>1578</v>
      </c>
      <c r="N815" s="104" t="s">
        <v>1720</v>
      </c>
      <c r="O815" s="101">
        <v>45901</v>
      </c>
      <c r="P815" s="101">
        <v>46069</v>
      </c>
      <c r="Q815" s="101">
        <v>46068</v>
      </c>
      <c r="R815" s="101">
        <v>46074</v>
      </c>
      <c r="S815" s="184">
        <v>8</v>
      </c>
      <c r="T815" s="102">
        <v>53</v>
      </c>
      <c r="U815" s="102">
        <v>0</v>
      </c>
      <c r="V815" s="102">
        <v>0</v>
      </c>
      <c r="W815" s="102">
        <v>20</v>
      </c>
      <c r="X815" s="103">
        <v>0</v>
      </c>
      <c r="Y815" s="103">
        <v>0</v>
      </c>
      <c r="Z815" s="103">
        <v>0</v>
      </c>
      <c r="AC815" s="102">
        <v>0</v>
      </c>
    </row>
    <row r="816" spans="1:29">
      <c r="A816" s="104" t="s">
        <v>1465</v>
      </c>
      <c r="B816" s="104" t="s">
        <v>1965</v>
      </c>
      <c r="C816" s="104" t="s">
        <v>1467</v>
      </c>
      <c r="D816" s="104" t="s">
        <v>1964</v>
      </c>
      <c r="E816" s="104" t="s">
        <v>1965</v>
      </c>
      <c r="M816" s="104" t="s">
        <v>1580</v>
      </c>
      <c r="N816" s="104" t="s">
        <v>1720</v>
      </c>
      <c r="O816" s="101">
        <v>45964</v>
      </c>
      <c r="P816" s="101">
        <v>46017</v>
      </c>
      <c r="Q816" s="101">
        <v>45963</v>
      </c>
      <c r="R816" s="101">
        <v>45969</v>
      </c>
      <c r="S816" s="184">
        <v>45</v>
      </c>
      <c r="T816" s="102">
        <v>38</v>
      </c>
      <c r="U816" s="102">
        <v>0.5</v>
      </c>
      <c r="V816" s="102">
        <v>0</v>
      </c>
      <c r="W816" s="102">
        <v>0.1</v>
      </c>
      <c r="X816" s="103">
        <v>0</v>
      </c>
      <c r="Y816" s="103">
        <v>0</v>
      </c>
      <c r="Z816" s="103">
        <v>0</v>
      </c>
      <c r="AC816" s="102">
        <v>0</v>
      </c>
    </row>
    <row r="817" spans="1:29">
      <c r="A817" s="104" t="s">
        <v>1465</v>
      </c>
      <c r="B817" s="104" t="s">
        <v>1965</v>
      </c>
      <c r="C817" s="104" t="s">
        <v>1467</v>
      </c>
      <c r="D817" s="104" t="s">
        <v>1964</v>
      </c>
      <c r="E817" s="104" t="s">
        <v>1965</v>
      </c>
      <c r="M817" s="104" t="s">
        <v>1580</v>
      </c>
      <c r="N817" s="104" t="s">
        <v>1720</v>
      </c>
      <c r="O817" s="101">
        <v>45964</v>
      </c>
      <c r="P817" s="101">
        <v>46017</v>
      </c>
      <c r="Q817" s="101">
        <v>45970</v>
      </c>
      <c r="R817" s="101">
        <v>45976</v>
      </c>
      <c r="S817" s="184">
        <v>46</v>
      </c>
      <c r="T817" s="102">
        <v>39</v>
      </c>
      <c r="U817" s="102">
        <v>0.5</v>
      </c>
      <c r="V817" s="102">
        <v>0</v>
      </c>
      <c r="W817" s="102">
        <v>0.1</v>
      </c>
      <c r="X817" s="103">
        <v>0</v>
      </c>
      <c r="Y817" s="103">
        <v>0</v>
      </c>
      <c r="Z817" s="103">
        <v>0</v>
      </c>
      <c r="AC817" s="102">
        <v>0</v>
      </c>
    </row>
    <row r="818" spans="1:29">
      <c r="A818" s="104" t="s">
        <v>1465</v>
      </c>
      <c r="B818" s="104" t="s">
        <v>1965</v>
      </c>
      <c r="C818" s="104" t="s">
        <v>1467</v>
      </c>
      <c r="D818" s="104" t="s">
        <v>1964</v>
      </c>
      <c r="E818" s="104" t="s">
        <v>1965</v>
      </c>
      <c r="M818" s="104" t="s">
        <v>1580</v>
      </c>
      <c r="N818" s="104" t="s">
        <v>1720</v>
      </c>
      <c r="O818" s="101">
        <v>45964</v>
      </c>
      <c r="P818" s="101">
        <v>46017</v>
      </c>
      <c r="Q818" s="101">
        <v>45977</v>
      </c>
      <c r="R818" s="101">
        <v>45983</v>
      </c>
      <c r="S818" s="184">
        <v>47</v>
      </c>
      <c r="T818" s="102">
        <v>40</v>
      </c>
      <c r="U818" s="102">
        <v>0.5</v>
      </c>
      <c r="V818" s="102">
        <v>0</v>
      </c>
      <c r="W818" s="102">
        <v>0.1</v>
      </c>
      <c r="X818" s="103">
        <v>0</v>
      </c>
      <c r="Y818" s="103">
        <v>0</v>
      </c>
      <c r="Z818" s="103">
        <v>0</v>
      </c>
      <c r="AC818" s="102">
        <v>0</v>
      </c>
    </row>
    <row r="819" spans="1:29">
      <c r="A819" s="104" t="s">
        <v>1465</v>
      </c>
      <c r="B819" s="104" t="s">
        <v>1965</v>
      </c>
      <c r="C819" s="104" t="s">
        <v>1467</v>
      </c>
      <c r="D819" s="104" t="s">
        <v>1964</v>
      </c>
      <c r="E819" s="104" t="s">
        <v>1965</v>
      </c>
      <c r="M819" s="104" t="s">
        <v>1580</v>
      </c>
      <c r="N819" s="104" t="s">
        <v>1720</v>
      </c>
      <c r="O819" s="101">
        <v>45964</v>
      </c>
      <c r="P819" s="101">
        <v>46017</v>
      </c>
      <c r="Q819" s="101">
        <v>45984</v>
      </c>
      <c r="R819" s="101">
        <v>45990</v>
      </c>
      <c r="S819" s="184">
        <v>48</v>
      </c>
      <c r="T819" s="102">
        <v>41</v>
      </c>
      <c r="U819" s="102">
        <v>0.5</v>
      </c>
      <c r="V819" s="102">
        <v>0</v>
      </c>
      <c r="W819" s="102">
        <v>0.1</v>
      </c>
      <c r="X819" s="103">
        <v>0</v>
      </c>
      <c r="Y819" s="103">
        <v>0</v>
      </c>
      <c r="Z819" s="103">
        <v>0</v>
      </c>
      <c r="AC819" s="102">
        <v>0</v>
      </c>
    </row>
    <row r="820" spans="1:29">
      <c r="A820" s="104" t="s">
        <v>1465</v>
      </c>
      <c r="B820" s="104" t="s">
        <v>1965</v>
      </c>
      <c r="C820" s="104" t="s">
        <v>1467</v>
      </c>
      <c r="D820" s="104" t="s">
        <v>1964</v>
      </c>
      <c r="E820" s="104" t="s">
        <v>1965</v>
      </c>
      <c r="M820" s="104" t="s">
        <v>1580</v>
      </c>
      <c r="N820" s="104" t="s">
        <v>1720</v>
      </c>
      <c r="O820" s="101">
        <v>45964</v>
      </c>
      <c r="P820" s="101">
        <v>46017</v>
      </c>
      <c r="Q820" s="101">
        <v>45991</v>
      </c>
      <c r="R820" s="101">
        <v>45997</v>
      </c>
      <c r="S820" s="184">
        <v>49</v>
      </c>
      <c r="T820" s="102">
        <v>42</v>
      </c>
      <c r="U820" s="102">
        <v>0.5</v>
      </c>
      <c r="V820" s="102">
        <v>0</v>
      </c>
      <c r="W820" s="102">
        <v>0.1</v>
      </c>
      <c r="X820" s="103">
        <v>0</v>
      </c>
      <c r="Y820" s="103">
        <v>0</v>
      </c>
      <c r="Z820" s="103">
        <v>0</v>
      </c>
      <c r="AC820" s="102">
        <v>0</v>
      </c>
    </row>
    <row r="821" spans="1:29">
      <c r="A821" s="104" t="s">
        <v>1465</v>
      </c>
      <c r="B821" s="104" t="s">
        <v>1965</v>
      </c>
      <c r="C821" s="104" t="s">
        <v>1467</v>
      </c>
      <c r="D821" s="104" t="s">
        <v>1964</v>
      </c>
      <c r="E821" s="104" t="s">
        <v>1965</v>
      </c>
      <c r="M821" s="104" t="s">
        <v>1580</v>
      </c>
      <c r="N821" s="104" t="s">
        <v>1720</v>
      </c>
      <c r="O821" s="101">
        <v>45964</v>
      </c>
      <c r="P821" s="101">
        <v>46017</v>
      </c>
      <c r="Q821" s="101">
        <v>45998</v>
      </c>
      <c r="R821" s="101">
        <v>46004</v>
      </c>
      <c r="S821" s="184">
        <v>50</v>
      </c>
      <c r="T821" s="102">
        <v>43</v>
      </c>
      <c r="U821" s="102">
        <v>0.5</v>
      </c>
      <c r="V821" s="102">
        <v>0</v>
      </c>
      <c r="W821" s="102">
        <v>0.1</v>
      </c>
      <c r="X821" s="103">
        <v>0</v>
      </c>
      <c r="Y821" s="103">
        <v>0</v>
      </c>
      <c r="Z821" s="103">
        <v>0</v>
      </c>
      <c r="AC821" s="102">
        <v>0</v>
      </c>
    </row>
    <row r="822" spans="1:29">
      <c r="A822" s="104" t="s">
        <v>1465</v>
      </c>
      <c r="B822" s="104" t="s">
        <v>1965</v>
      </c>
      <c r="C822" s="104" t="s">
        <v>1467</v>
      </c>
      <c r="D822" s="104" t="s">
        <v>1964</v>
      </c>
      <c r="E822" s="104" t="s">
        <v>1965</v>
      </c>
      <c r="M822" s="104" t="s">
        <v>1580</v>
      </c>
      <c r="N822" s="104" t="s">
        <v>1720</v>
      </c>
      <c r="O822" s="101">
        <v>45964</v>
      </c>
      <c r="P822" s="101">
        <v>46017</v>
      </c>
      <c r="Q822" s="101">
        <v>46005</v>
      </c>
      <c r="R822" s="101">
        <v>46011</v>
      </c>
      <c r="S822" s="184">
        <v>51</v>
      </c>
      <c r="T822" s="102">
        <v>44</v>
      </c>
      <c r="U822" s="102">
        <v>0.5</v>
      </c>
      <c r="V822" s="102">
        <v>0</v>
      </c>
      <c r="W822" s="102">
        <v>0.1</v>
      </c>
      <c r="X822" s="103">
        <v>0</v>
      </c>
      <c r="Y822" s="103">
        <v>0</v>
      </c>
      <c r="Z822" s="103">
        <v>0</v>
      </c>
      <c r="AC822" s="102">
        <v>0</v>
      </c>
    </row>
    <row r="823" spans="1:29">
      <c r="A823" s="104" t="s">
        <v>1465</v>
      </c>
      <c r="B823" s="104" t="s">
        <v>1965</v>
      </c>
      <c r="C823" s="104" t="s">
        <v>1467</v>
      </c>
      <c r="D823" s="104" t="s">
        <v>1964</v>
      </c>
      <c r="E823" s="104" t="s">
        <v>1965</v>
      </c>
      <c r="M823" s="104" t="s">
        <v>1580</v>
      </c>
      <c r="N823" s="104" t="s">
        <v>1720</v>
      </c>
      <c r="O823" s="101">
        <v>45964</v>
      </c>
      <c r="P823" s="101">
        <v>46017</v>
      </c>
      <c r="Q823" s="101">
        <v>46012</v>
      </c>
      <c r="R823" s="101">
        <v>46018</v>
      </c>
      <c r="S823" s="184">
        <v>52</v>
      </c>
      <c r="T823" s="102">
        <v>45</v>
      </c>
      <c r="U823" s="102">
        <v>0.4</v>
      </c>
      <c r="V823" s="102">
        <v>0</v>
      </c>
      <c r="W823" s="102">
        <v>0.1</v>
      </c>
      <c r="X823" s="103">
        <v>0</v>
      </c>
      <c r="Y823" s="103">
        <v>0</v>
      </c>
      <c r="Z823" s="103">
        <v>0</v>
      </c>
      <c r="AC823" s="102">
        <v>0</v>
      </c>
    </row>
    <row r="824" spans="1:29">
      <c r="A824" s="104" t="s">
        <v>1465</v>
      </c>
      <c r="B824" s="104" t="s">
        <v>1966</v>
      </c>
      <c r="C824" s="104" t="s">
        <v>1467</v>
      </c>
      <c r="D824" s="104" t="s">
        <v>1964</v>
      </c>
      <c r="E824" s="104" t="s">
        <v>1966</v>
      </c>
      <c r="M824" s="104" t="s">
        <v>1581</v>
      </c>
      <c r="N824" s="104" t="s">
        <v>1720</v>
      </c>
      <c r="O824" s="101">
        <v>46006</v>
      </c>
      <c r="P824" s="101">
        <v>46022</v>
      </c>
      <c r="Q824" s="101">
        <v>46005</v>
      </c>
      <c r="R824" s="101">
        <v>46011</v>
      </c>
      <c r="S824" s="184">
        <v>51</v>
      </c>
      <c r="T824" s="102">
        <v>44</v>
      </c>
      <c r="U824" s="102">
        <v>0.5</v>
      </c>
      <c r="V824" s="102">
        <v>0</v>
      </c>
      <c r="W824" s="102">
        <v>0.1</v>
      </c>
      <c r="X824" s="103">
        <v>0</v>
      </c>
      <c r="Y824" s="103">
        <v>0</v>
      </c>
      <c r="Z824" s="103">
        <v>0</v>
      </c>
      <c r="AC824" s="102">
        <v>0</v>
      </c>
    </row>
    <row r="825" spans="1:29">
      <c r="A825" s="104" t="s">
        <v>1465</v>
      </c>
      <c r="B825" s="104" t="s">
        <v>1966</v>
      </c>
      <c r="C825" s="104" t="s">
        <v>1467</v>
      </c>
      <c r="D825" s="104" t="s">
        <v>1964</v>
      </c>
      <c r="E825" s="104" t="s">
        <v>1966</v>
      </c>
      <c r="M825" s="104" t="s">
        <v>1581</v>
      </c>
      <c r="N825" s="104" t="s">
        <v>1720</v>
      </c>
      <c r="O825" s="101">
        <v>46006</v>
      </c>
      <c r="P825" s="101">
        <v>46022</v>
      </c>
      <c r="Q825" s="101">
        <v>46012</v>
      </c>
      <c r="R825" s="101">
        <v>46018</v>
      </c>
      <c r="S825" s="184">
        <v>52</v>
      </c>
      <c r="T825" s="102">
        <v>45</v>
      </c>
      <c r="U825" s="102">
        <v>0.4</v>
      </c>
      <c r="V825" s="102">
        <v>0</v>
      </c>
      <c r="W825" s="102">
        <v>0.1</v>
      </c>
      <c r="X825" s="103">
        <v>0</v>
      </c>
      <c r="Y825" s="103">
        <v>0</v>
      </c>
      <c r="Z825" s="103">
        <v>0</v>
      </c>
      <c r="AC825" s="102">
        <v>0</v>
      </c>
    </row>
    <row r="826" spans="1:29">
      <c r="A826" s="104" t="s">
        <v>1465</v>
      </c>
      <c r="B826" s="104" t="s">
        <v>1966</v>
      </c>
      <c r="C826" s="104" t="s">
        <v>1467</v>
      </c>
      <c r="D826" s="104" t="s">
        <v>1964</v>
      </c>
      <c r="E826" s="104" t="s">
        <v>1966</v>
      </c>
      <c r="M826" s="104" t="s">
        <v>1581</v>
      </c>
      <c r="N826" s="104" t="s">
        <v>1720</v>
      </c>
      <c r="O826" s="101">
        <v>46006</v>
      </c>
      <c r="P826" s="101">
        <v>46022</v>
      </c>
      <c r="Q826" s="101">
        <v>46019</v>
      </c>
      <c r="R826" s="101">
        <v>46025</v>
      </c>
      <c r="S826" s="184">
        <v>53</v>
      </c>
      <c r="T826" s="102">
        <v>46</v>
      </c>
      <c r="U826" s="102">
        <v>0.30000000000000004</v>
      </c>
      <c r="V826" s="102">
        <v>0</v>
      </c>
      <c r="W826" s="102">
        <v>0.1</v>
      </c>
      <c r="X826" s="103">
        <v>0</v>
      </c>
      <c r="Y826" s="103">
        <v>0</v>
      </c>
      <c r="Z826" s="103">
        <v>0</v>
      </c>
      <c r="AC826" s="102">
        <v>0</v>
      </c>
    </row>
    <row r="827" spans="1:29">
      <c r="A827" s="104" t="s">
        <v>1465</v>
      </c>
      <c r="B827" s="104" t="s">
        <v>1967</v>
      </c>
      <c r="C827" s="104" t="s">
        <v>1467</v>
      </c>
      <c r="D827" s="104" t="s">
        <v>1964</v>
      </c>
      <c r="E827" s="104" t="s">
        <v>1967</v>
      </c>
      <c r="M827" s="104" t="s">
        <v>1582</v>
      </c>
      <c r="N827" s="104" t="s">
        <v>1720</v>
      </c>
      <c r="O827" s="101">
        <v>46039</v>
      </c>
      <c r="P827" s="101">
        <v>46066</v>
      </c>
      <c r="Q827" s="101">
        <v>46033</v>
      </c>
      <c r="R827" s="101">
        <v>46039</v>
      </c>
      <c r="S827" s="184">
        <v>3</v>
      </c>
      <c r="T827" s="102">
        <v>48</v>
      </c>
      <c r="U827" s="102">
        <v>0</v>
      </c>
      <c r="V827" s="102">
        <v>0</v>
      </c>
      <c r="W827" s="102">
        <v>1</v>
      </c>
      <c r="X827" s="103">
        <v>0</v>
      </c>
      <c r="Y827" s="103">
        <v>0</v>
      </c>
      <c r="Z827" s="103">
        <v>0</v>
      </c>
      <c r="AC827" s="102">
        <v>0</v>
      </c>
    </row>
    <row r="828" spans="1:29">
      <c r="A828" s="104" t="s">
        <v>1465</v>
      </c>
      <c r="B828" s="104" t="s">
        <v>1967</v>
      </c>
      <c r="C828" s="104" t="s">
        <v>1467</v>
      </c>
      <c r="D828" s="104" t="s">
        <v>1964</v>
      </c>
      <c r="E828" s="104" t="s">
        <v>1967</v>
      </c>
      <c r="M828" s="104" t="s">
        <v>1582</v>
      </c>
      <c r="N828" s="104" t="s">
        <v>1720</v>
      </c>
      <c r="O828" s="101">
        <v>46039</v>
      </c>
      <c r="P828" s="101">
        <v>46066</v>
      </c>
      <c r="Q828" s="101">
        <v>46040</v>
      </c>
      <c r="R828" s="101">
        <v>46046</v>
      </c>
      <c r="S828" s="184">
        <v>4</v>
      </c>
      <c r="T828" s="102">
        <v>49</v>
      </c>
      <c r="U828" s="102">
        <v>5</v>
      </c>
      <c r="V828" s="102">
        <v>0</v>
      </c>
      <c r="W828" s="102">
        <v>1</v>
      </c>
      <c r="X828" s="103">
        <v>0</v>
      </c>
      <c r="Y828" s="103">
        <v>0</v>
      </c>
      <c r="Z828" s="103">
        <v>0</v>
      </c>
      <c r="AC828" s="102">
        <v>0</v>
      </c>
    </row>
    <row r="829" spans="1:29">
      <c r="A829" s="104" t="s">
        <v>1465</v>
      </c>
      <c r="B829" s="104" t="s">
        <v>1967</v>
      </c>
      <c r="C829" s="104" t="s">
        <v>1467</v>
      </c>
      <c r="D829" s="104" t="s">
        <v>1964</v>
      </c>
      <c r="E829" s="104" t="s">
        <v>1967</v>
      </c>
      <c r="M829" s="104" t="s">
        <v>1582</v>
      </c>
      <c r="N829" s="104" t="s">
        <v>1720</v>
      </c>
      <c r="O829" s="101">
        <v>46039</v>
      </c>
      <c r="P829" s="101">
        <v>46066</v>
      </c>
      <c r="Q829" s="101">
        <v>46047</v>
      </c>
      <c r="R829" s="101">
        <v>46053</v>
      </c>
      <c r="S829" s="184">
        <v>5</v>
      </c>
      <c r="T829" s="102">
        <v>50</v>
      </c>
      <c r="U829" s="102">
        <v>5</v>
      </c>
      <c r="V829" s="102">
        <v>0</v>
      </c>
      <c r="W829" s="102">
        <v>1</v>
      </c>
      <c r="X829" s="103">
        <v>0</v>
      </c>
      <c r="Y829" s="103">
        <v>0</v>
      </c>
      <c r="Z829" s="103">
        <v>0</v>
      </c>
      <c r="AC829" s="102">
        <v>0</v>
      </c>
    </row>
    <row r="830" spans="1:29">
      <c r="A830" s="104" t="s">
        <v>1465</v>
      </c>
      <c r="B830" s="104" t="s">
        <v>1967</v>
      </c>
      <c r="C830" s="104" t="s">
        <v>1467</v>
      </c>
      <c r="D830" s="104" t="s">
        <v>1964</v>
      </c>
      <c r="E830" s="104" t="s">
        <v>1967</v>
      </c>
      <c r="M830" s="104" t="s">
        <v>1582</v>
      </c>
      <c r="N830" s="104" t="s">
        <v>1720</v>
      </c>
      <c r="O830" s="101">
        <v>46039</v>
      </c>
      <c r="P830" s="101">
        <v>46066</v>
      </c>
      <c r="Q830" s="101">
        <v>46054</v>
      </c>
      <c r="R830" s="101">
        <v>46060</v>
      </c>
      <c r="S830" s="184">
        <v>6</v>
      </c>
      <c r="T830" s="102">
        <v>51</v>
      </c>
      <c r="U830" s="102">
        <v>5</v>
      </c>
      <c r="V830" s="102">
        <v>0</v>
      </c>
      <c r="W830" s="102">
        <v>1</v>
      </c>
      <c r="X830" s="103">
        <v>0</v>
      </c>
      <c r="Y830" s="103">
        <v>0</v>
      </c>
      <c r="Z830" s="103">
        <v>0</v>
      </c>
      <c r="AC830" s="102">
        <v>0</v>
      </c>
    </row>
    <row r="831" spans="1:29">
      <c r="A831" s="104" t="s">
        <v>1465</v>
      </c>
      <c r="B831" s="104" t="s">
        <v>1967</v>
      </c>
      <c r="C831" s="104" t="s">
        <v>1467</v>
      </c>
      <c r="D831" s="104" t="s">
        <v>1964</v>
      </c>
      <c r="E831" s="104" t="s">
        <v>1967</v>
      </c>
      <c r="M831" s="104" t="s">
        <v>1582</v>
      </c>
      <c r="N831" s="104" t="s">
        <v>1720</v>
      </c>
      <c r="O831" s="101">
        <v>46039</v>
      </c>
      <c r="P831" s="101">
        <v>46066</v>
      </c>
      <c r="Q831" s="101">
        <v>46061</v>
      </c>
      <c r="R831" s="101">
        <v>46067</v>
      </c>
      <c r="S831" s="184">
        <v>7</v>
      </c>
      <c r="T831" s="102">
        <v>52</v>
      </c>
      <c r="U831" s="102">
        <v>5</v>
      </c>
      <c r="V831" s="102">
        <v>0</v>
      </c>
      <c r="W831" s="102">
        <v>1</v>
      </c>
      <c r="X831" s="103">
        <v>0</v>
      </c>
      <c r="Y831" s="103">
        <v>0</v>
      </c>
      <c r="Z831" s="103">
        <v>0</v>
      </c>
      <c r="AC831" s="102">
        <v>0</v>
      </c>
    </row>
  </sheetData>
  <phoneticPr fontId="16"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5"/>
  <sheetViews>
    <sheetView showGridLines="0" zoomScale="90" zoomScaleNormal="90" workbookViewId="0">
      <selection activeCell="L18" sqref="L18"/>
    </sheetView>
  </sheetViews>
  <sheetFormatPr defaultColWidth="9" defaultRowHeight="15.75"/>
  <cols>
    <col min="1" max="1" width="5.875" style="78" customWidth="1"/>
    <col min="2" max="2" width="29.875" style="99" customWidth="1"/>
    <col min="3" max="3" width="1.25" style="78" customWidth="1"/>
    <col min="4" max="11" width="9" style="78"/>
    <col min="12" max="12" width="19.5" style="78" customWidth="1"/>
    <col min="13" max="21" width="9" style="78"/>
    <col min="22" max="22" width="0" style="78" hidden="1" customWidth="1"/>
    <col min="23" max="26" width="9" style="78"/>
    <col min="27" max="28" width="0" style="78" hidden="1" customWidth="1"/>
    <col min="29" max="16384" width="9" style="78"/>
  </cols>
  <sheetData>
    <row r="1" spans="1:12" ht="20.25" customHeight="1">
      <c r="A1" s="401" t="s">
        <v>1361</v>
      </c>
      <c r="B1" s="402"/>
      <c r="C1" s="402"/>
      <c r="D1" s="402"/>
      <c r="E1" s="402"/>
      <c r="F1" s="402"/>
      <c r="G1" s="402"/>
      <c r="H1" s="107"/>
      <c r="I1" s="107"/>
      <c r="J1" s="405" t="s">
        <v>726</v>
      </c>
      <c r="K1" s="406"/>
      <c r="L1" s="406"/>
    </row>
    <row r="2" spans="1:12" s="32" customFormat="1" ht="33.75" customHeight="1">
      <c r="A2" s="403"/>
      <c r="B2" s="404"/>
      <c r="C2" s="404"/>
      <c r="D2" s="404"/>
      <c r="E2" s="404"/>
      <c r="F2" s="404"/>
      <c r="G2" s="404"/>
      <c r="H2" s="399" t="s">
        <v>1362</v>
      </c>
      <c r="I2" s="400"/>
      <c r="J2" s="400"/>
      <c r="K2" s="400"/>
      <c r="L2" s="400"/>
    </row>
    <row r="4" spans="1:12" ht="17.25" customHeight="1">
      <c r="B4" s="407" t="s">
        <v>1363</v>
      </c>
      <c r="C4" s="408"/>
      <c r="D4" s="408"/>
      <c r="E4" s="408"/>
      <c r="F4" s="408"/>
      <c r="G4" s="408"/>
      <c r="H4" s="408"/>
      <c r="I4" s="408"/>
      <c r="J4" s="408"/>
      <c r="K4" s="408"/>
      <c r="L4" s="408"/>
    </row>
    <row r="5" spans="1:12" ht="27.75" customHeight="1">
      <c r="B5" s="408"/>
      <c r="C5" s="408"/>
      <c r="D5" s="408"/>
      <c r="E5" s="408"/>
      <c r="F5" s="408"/>
      <c r="G5" s="408"/>
      <c r="H5" s="408"/>
      <c r="I5" s="408"/>
      <c r="J5" s="408"/>
      <c r="K5" s="408"/>
      <c r="L5" s="408"/>
    </row>
    <row r="6" spans="1:12" s="32" customFormat="1" ht="12.75">
      <c r="B6" s="79"/>
    </row>
    <row r="7" spans="1:12" s="32" customFormat="1" ht="18.75">
      <c r="B7" s="80" t="s">
        <v>1364</v>
      </c>
      <c r="D7" s="81"/>
    </row>
    <row r="8" spans="1:12" s="32" customFormat="1" ht="7.5" customHeight="1">
      <c r="B8" s="79"/>
    </row>
    <row r="9" spans="1:12" s="32" customFormat="1" ht="29.25" customHeight="1" thickBot="1">
      <c r="A9" s="82"/>
      <c r="B9" s="83" t="s">
        <v>449</v>
      </c>
      <c r="C9" s="82"/>
      <c r="D9" s="398" t="s">
        <v>1365</v>
      </c>
      <c r="E9" s="398"/>
      <c r="F9" s="398"/>
      <c r="G9" s="398"/>
      <c r="H9" s="398"/>
      <c r="I9" s="398"/>
      <c r="J9" s="398"/>
      <c r="K9" s="398"/>
      <c r="L9" s="398"/>
    </row>
    <row r="10" spans="1:12" s="32" customFormat="1" ht="29.25" customHeight="1" thickTop="1" thickBot="1">
      <c r="A10" s="82"/>
      <c r="B10" s="84" t="s">
        <v>450</v>
      </c>
      <c r="C10" s="82"/>
      <c r="D10" s="398" t="s">
        <v>1366</v>
      </c>
      <c r="E10" s="398"/>
      <c r="F10" s="398"/>
      <c r="G10" s="398"/>
      <c r="H10" s="398"/>
      <c r="I10" s="398"/>
      <c r="J10" s="398"/>
      <c r="K10" s="398"/>
      <c r="L10" s="398"/>
    </row>
    <row r="11" spans="1:12" s="32" customFormat="1" ht="29.25" customHeight="1" thickTop="1" thickBot="1">
      <c r="A11" s="82"/>
      <c r="B11" s="85" t="s">
        <v>451</v>
      </c>
      <c r="C11" s="82"/>
      <c r="D11" s="398" t="s">
        <v>1367</v>
      </c>
      <c r="E11" s="398"/>
      <c r="F11" s="398"/>
      <c r="G11" s="398"/>
      <c r="H11" s="398"/>
      <c r="I11" s="398"/>
      <c r="J11" s="398"/>
      <c r="K11" s="398"/>
      <c r="L11" s="398"/>
    </row>
    <row r="12" spans="1:12" s="32" customFormat="1" ht="29.25" customHeight="1" thickTop="1" thickBot="1">
      <c r="A12" s="82"/>
      <c r="B12" s="86" t="s">
        <v>452</v>
      </c>
      <c r="C12" s="82"/>
      <c r="D12" s="398" t="s">
        <v>1368</v>
      </c>
      <c r="E12" s="398"/>
      <c r="F12" s="398"/>
      <c r="G12" s="398"/>
      <c r="H12" s="398"/>
      <c r="I12" s="398"/>
      <c r="J12" s="398"/>
      <c r="K12" s="398"/>
      <c r="L12" s="398"/>
    </row>
    <row r="13" spans="1:12" s="32" customFormat="1" ht="29.25" customHeight="1" thickTop="1" thickBot="1">
      <c r="A13" s="82"/>
      <c r="B13" s="87" t="s">
        <v>538</v>
      </c>
      <c r="C13" s="82"/>
      <c r="D13" s="398" t="s">
        <v>1369</v>
      </c>
      <c r="E13" s="398"/>
      <c r="F13" s="398"/>
      <c r="G13" s="398"/>
      <c r="H13" s="398"/>
      <c r="I13" s="398"/>
      <c r="J13" s="398"/>
      <c r="K13" s="398"/>
      <c r="L13" s="398"/>
    </row>
    <row r="14" spans="1:12" s="32" customFormat="1" ht="29.25" customHeight="1" thickTop="1" thickBot="1">
      <c r="A14" s="82"/>
      <c r="B14" s="88" t="s">
        <v>453</v>
      </c>
      <c r="C14" s="82"/>
      <c r="D14" s="398" t="s">
        <v>1370</v>
      </c>
      <c r="E14" s="398"/>
      <c r="F14" s="398"/>
      <c r="G14" s="398"/>
      <c r="H14" s="398"/>
      <c r="I14" s="398"/>
      <c r="J14" s="398"/>
      <c r="K14" s="398"/>
      <c r="L14" s="398"/>
    </row>
    <row r="15" spans="1:12" ht="16.5" thickTop="1">
      <c r="A15" s="89"/>
      <c r="B15" s="90"/>
      <c r="C15" s="89"/>
      <c r="D15" s="91"/>
      <c r="E15" s="91"/>
      <c r="F15" s="91"/>
      <c r="G15" s="91"/>
      <c r="H15" s="91"/>
      <c r="I15" s="91"/>
      <c r="J15" s="91"/>
      <c r="K15" s="91"/>
      <c r="L15" s="91"/>
    </row>
    <row r="16" spans="1:12" s="32" customFormat="1" ht="18.75">
      <c r="B16" s="80" t="s">
        <v>1371</v>
      </c>
      <c r="D16" s="81"/>
    </row>
    <row r="17" spans="2:12" s="32" customFormat="1" ht="5.25" customHeight="1">
      <c r="B17" s="92"/>
      <c r="D17" s="81"/>
    </row>
    <row r="18" spans="2:12" s="32" customFormat="1" ht="26.25" customHeight="1" thickBot="1">
      <c r="B18" s="93" t="s">
        <v>1372</v>
      </c>
      <c r="D18" s="397" t="s">
        <v>1384</v>
      </c>
      <c r="E18" s="397"/>
      <c r="F18" s="397"/>
      <c r="G18" s="397"/>
      <c r="H18" s="397"/>
      <c r="I18" s="397"/>
      <c r="J18" s="397"/>
      <c r="K18" s="397"/>
      <c r="L18" s="100" t="s">
        <v>1396</v>
      </c>
    </row>
    <row r="19" spans="2:12" s="32" customFormat="1" ht="53.25" customHeight="1" thickTop="1" thickBot="1">
      <c r="B19" s="93" t="s">
        <v>560</v>
      </c>
      <c r="D19" s="397" t="s">
        <v>1385</v>
      </c>
      <c r="E19" s="397"/>
      <c r="F19" s="397"/>
      <c r="G19" s="397"/>
      <c r="H19" s="397"/>
      <c r="I19" s="397"/>
      <c r="J19" s="397"/>
      <c r="K19" s="397"/>
      <c r="L19" s="100" t="s">
        <v>1396</v>
      </c>
    </row>
    <row r="20" spans="2:12" s="32" customFormat="1" ht="26.25" customHeight="1" thickTop="1" thickBot="1">
      <c r="B20" s="93" t="s">
        <v>1373</v>
      </c>
      <c r="D20" s="397" t="s">
        <v>1386</v>
      </c>
      <c r="E20" s="397"/>
      <c r="F20" s="397"/>
      <c r="G20" s="397"/>
      <c r="H20" s="397"/>
      <c r="I20" s="397"/>
      <c r="J20" s="397"/>
      <c r="K20" s="397"/>
      <c r="L20" s="100" t="s">
        <v>1396</v>
      </c>
    </row>
    <row r="21" spans="2:12" s="32" customFormat="1" ht="26.25" customHeight="1" thickTop="1" thickBot="1">
      <c r="B21" s="93" t="s">
        <v>1374</v>
      </c>
      <c r="D21" s="397" t="s">
        <v>1387</v>
      </c>
      <c r="E21" s="397"/>
      <c r="F21" s="397"/>
      <c r="G21" s="397"/>
      <c r="H21" s="397"/>
      <c r="I21" s="397"/>
      <c r="J21" s="397"/>
      <c r="K21" s="397"/>
      <c r="L21" s="100" t="s">
        <v>1396</v>
      </c>
    </row>
    <row r="22" spans="2:12" s="32" customFormat="1" ht="33.75" customHeight="1" thickTop="1" thickBot="1">
      <c r="B22" s="93" t="s">
        <v>1375</v>
      </c>
      <c r="D22" s="397" t="s">
        <v>1388</v>
      </c>
      <c r="E22" s="397"/>
      <c r="F22" s="397"/>
      <c r="G22" s="397"/>
      <c r="H22" s="397"/>
      <c r="I22" s="397"/>
      <c r="J22" s="397"/>
      <c r="K22" s="397"/>
      <c r="L22" s="100" t="s">
        <v>1396</v>
      </c>
    </row>
    <row r="23" spans="2:12" s="32" customFormat="1" ht="52.5" customHeight="1" thickTop="1" thickBot="1">
      <c r="B23" s="93" t="s">
        <v>1376</v>
      </c>
      <c r="D23" s="397" t="s">
        <v>1389</v>
      </c>
      <c r="E23" s="397"/>
      <c r="F23" s="397"/>
      <c r="G23" s="397"/>
      <c r="H23" s="397"/>
      <c r="I23" s="397"/>
      <c r="J23" s="397"/>
      <c r="K23" s="397"/>
      <c r="L23" s="100" t="s">
        <v>1396</v>
      </c>
    </row>
    <row r="24" spans="2:12" s="32" customFormat="1" ht="47.25" customHeight="1" thickTop="1" thickBot="1">
      <c r="B24" s="93" t="s">
        <v>1377</v>
      </c>
      <c r="D24" s="397" t="s">
        <v>1390</v>
      </c>
      <c r="E24" s="397"/>
      <c r="F24" s="397"/>
      <c r="G24" s="397"/>
      <c r="H24" s="397"/>
      <c r="I24" s="397"/>
      <c r="J24" s="397"/>
      <c r="K24" s="397"/>
      <c r="L24" s="100" t="s">
        <v>1396</v>
      </c>
    </row>
    <row r="25" spans="2:12" s="32" customFormat="1" ht="33.75" customHeight="1" thickTop="1" thickBot="1">
      <c r="B25" s="93" t="s">
        <v>1378</v>
      </c>
      <c r="D25" s="397" t="s">
        <v>1391</v>
      </c>
      <c r="E25" s="397"/>
      <c r="F25" s="397"/>
      <c r="G25" s="397"/>
      <c r="H25" s="397"/>
      <c r="I25" s="397"/>
      <c r="J25" s="397"/>
      <c r="K25" s="397"/>
      <c r="L25" s="100" t="s">
        <v>1396</v>
      </c>
    </row>
    <row r="26" spans="2:12" s="32" customFormat="1" ht="53.25" customHeight="1" thickTop="1" thickBot="1">
      <c r="B26" s="93" t="s">
        <v>1379</v>
      </c>
      <c r="D26" s="397" t="s">
        <v>1392</v>
      </c>
      <c r="E26" s="397"/>
      <c r="F26" s="397"/>
      <c r="G26" s="397"/>
      <c r="H26" s="397"/>
      <c r="I26" s="397"/>
      <c r="J26" s="397"/>
      <c r="K26" s="397"/>
      <c r="L26" s="100" t="s">
        <v>1396</v>
      </c>
    </row>
    <row r="27" spans="2:12" s="32" customFormat="1" ht="35.25" customHeight="1" thickTop="1" thickBot="1">
      <c r="B27" s="93" t="s">
        <v>1380</v>
      </c>
      <c r="D27" s="397" t="s">
        <v>1393</v>
      </c>
      <c r="E27" s="397"/>
      <c r="F27" s="397"/>
      <c r="G27" s="397"/>
      <c r="H27" s="397"/>
      <c r="I27" s="397"/>
      <c r="J27" s="397"/>
      <c r="K27" s="397"/>
      <c r="L27" s="100" t="s">
        <v>1396</v>
      </c>
    </row>
    <row r="28" spans="2:12" s="32" customFormat="1" ht="43.5" customHeight="1" thickTop="1" thickBot="1">
      <c r="B28" s="93" t="s">
        <v>452</v>
      </c>
      <c r="D28" s="397" t="s">
        <v>1394</v>
      </c>
      <c r="E28" s="397"/>
      <c r="F28" s="397"/>
      <c r="G28" s="397"/>
      <c r="H28" s="397"/>
      <c r="I28" s="397"/>
      <c r="J28" s="397"/>
      <c r="K28" s="397"/>
      <c r="L28" s="100" t="s">
        <v>1396</v>
      </c>
    </row>
    <row r="29" spans="2:12" s="32" customFormat="1" ht="49.5" customHeight="1" thickTop="1" thickBot="1">
      <c r="B29" s="93" t="s">
        <v>1381</v>
      </c>
      <c r="D29" s="397" t="s">
        <v>1395</v>
      </c>
      <c r="E29" s="397"/>
      <c r="F29" s="397"/>
      <c r="G29" s="397"/>
      <c r="H29" s="397"/>
      <c r="I29" s="397"/>
      <c r="J29" s="397"/>
      <c r="K29" s="397"/>
      <c r="L29" s="100" t="s">
        <v>1396</v>
      </c>
    </row>
    <row r="30" spans="2:12" s="32" customFormat="1" ht="24.75" customHeight="1" thickTop="1" thickBot="1">
      <c r="B30" s="141" t="s">
        <v>1382</v>
      </c>
      <c r="D30" s="397" t="s">
        <v>1344</v>
      </c>
      <c r="E30" s="397"/>
      <c r="F30" s="397"/>
      <c r="G30" s="397"/>
      <c r="H30" s="397"/>
      <c r="I30" s="397"/>
      <c r="J30" s="397"/>
      <c r="K30" s="397"/>
      <c r="L30" s="100" t="s">
        <v>1396</v>
      </c>
    </row>
    <row r="31" spans="2:12" s="32" customFormat="1" ht="24.75" customHeight="1" thickTop="1" thickBot="1">
      <c r="B31" s="93" t="s">
        <v>1383</v>
      </c>
      <c r="D31" s="397" t="s">
        <v>1345</v>
      </c>
      <c r="E31" s="397"/>
      <c r="F31" s="397"/>
      <c r="G31" s="397"/>
      <c r="H31" s="397"/>
      <c r="I31" s="397"/>
      <c r="J31" s="397"/>
      <c r="K31" s="397"/>
      <c r="L31" s="100" t="s">
        <v>1396</v>
      </c>
    </row>
    <row r="32" spans="2:12" s="32" customFormat="1" ht="24.75" customHeight="1" thickTop="1" thickBot="1">
      <c r="B32" s="93" t="s">
        <v>1355</v>
      </c>
      <c r="D32" s="397" t="s">
        <v>1359</v>
      </c>
      <c r="E32" s="397"/>
      <c r="F32" s="397"/>
      <c r="G32" s="397"/>
      <c r="H32" s="397"/>
      <c r="I32" s="397"/>
      <c r="J32" s="397"/>
      <c r="K32" s="397"/>
      <c r="L32" s="100" t="s">
        <v>1396</v>
      </c>
    </row>
    <row r="33" spans="2:12" s="32" customFormat="1" thickTop="1">
      <c r="B33" s="94"/>
      <c r="D33" s="81"/>
      <c r="L33" s="82"/>
    </row>
    <row r="34" spans="2:12" s="32" customFormat="1" ht="18.75" customHeight="1">
      <c r="B34" s="95" t="s">
        <v>1397</v>
      </c>
      <c r="C34" s="96"/>
      <c r="D34" s="97"/>
      <c r="E34" s="96"/>
      <c r="F34" s="96"/>
      <c r="G34" s="96"/>
      <c r="H34" s="96"/>
      <c r="I34" s="96"/>
      <c r="J34" s="96"/>
      <c r="K34" s="96"/>
      <c r="L34" s="98"/>
    </row>
    <row r="35" spans="2:12" s="32" customFormat="1" ht="59.25" customHeight="1">
      <c r="B35" s="409" t="s">
        <v>1398</v>
      </c>
      <c r="C35" s="409"/>
      <c r="D35" s="409"/>
      <c r="E35" s="409"/>
      <c r="F35" s="409"/>
      <c r="G35" s="409"/>
      <c r="H35" s="409"/>
      <c r="I35" s="409"/>
      <c r="J35" s="409"/>
      <c r="K35" s="409"/>
      <c r="L35" s="409"/>
    </row>
  </sheetData>
  <mergeCells count="26">
    <mergeCell ref="D31:K31"/>
    <mergeCell ref="D30:K30"/>
    <mergeCell ref="D28:K28"/>
    <mergeCell ref="D29:K29"/>
    <mergeCell ref="B35:L35"/>
    <mergeCell ref="D32:K32"/>
    <mergeCell ref="H2:L2"/>
    <mergeCell ref="D22:K22"/>
    <mergeCell ref="A1:G2"/>
    <mergeCell ref="D25:K25"/>
    <mergeCell ref="J1:L1"/>
    <mergeCell ref="D19:K19"/>
    <mergeCell ref="D20:K20"/>
    <mergeCell ref="D21:K21"/>
    <mergeCell ref="B4:L5"/>
    <mergeCell ref="D18:K18"/>
    <mergeCell ref="D9:L9"/>
    <mergeCell ref="D10:L10"/>
    <mergeCell ref="D26:K26"/>
    <mergeCell ref="D27:K27"/>
    <mergeCell ref="D11:L11"/>
    <mergeCell ref="D12:L12"/>
    <mergeCell ref="D14:L14"/>
    <mergeCell ref="D13:L13"/>
    <mergeCell ref="D23:K23"/>
    <mergeCell ref="D24:K24"/>
  </mergeCells>
  <phoneticPr fontId="16" type="noConversion"/>
  <hyperlinks>
    <hyperlink ref="B9" location="Schedule!A1" display="Schedule"/>
    <hyperlink ref="B10" location="Progress!A1" display="Progress"/>
    <hyperlink ref="B11" location="AnalysisReport!A1" display="AnalysisReport"/>
    <hyperlink ref="B13" location="Workload!A1" display="Workload"/>
    <hyperlink ref="L18" r:id="rId1" display="https://xlworks.net/xlgantt-easy-tip/"/>
    <hyperlink ref="L19" r:id="rId2" display="https://xlworks.net/xlgantt-howto-02-task/"/>
    <hyperlink ref="L20" r:id="rId3" display="https://xlworks.net/xlgantt-howto-03-gantt-chart/"/>
    <hyperlink ref="L22" r:id="rId4" display="https://xlworks.net/xlgantt-howto-05-analysis-report/"/>
    <hyperlink ref="L23" r:id="rId5" display="https://xlworks.net/xlgantt-howto-06-schedule-change-management/"/>
    <hyperlink ref="L24" r:id="rId6" display="https://xlworks.net/xlgantt-howto-07-deliverables/"/>
    <hyperlink ref="L25" r:id="rId7" display="https://xlworks.net/xlgantt-howto-08-add-tasks-to-outlook/"/>
    <hyperlink ref="L26" r:id="rId8" display="https://xlworks.net/xlgantt-howto-09-multilingual-support/"/>
    <hyperlink ref="L27" r:id="rId9" display="https://xlworks.net/xlgantt-howto-10-import-schedule/"/>
    <hyperlink ref="L28" r:id="rId10" display="https://xlworks.net/xlgantt-howto-11-calendar/"/>
    <hyperlink ref="L29" r:id="rId11" display="https://xlworks.net/xlgantt-howto-12-integration-with-excel/"/>
    <hyperlink ref="L21" r:id="rId12" display="https://xlworks.net/xlgantt-howto-04-project-progress/"/>
    <hyperlink ref="B12" location="Calendar!A1" display="Calendar"/>
    <hyperlink ref="J1" r:id="rId13" display="https://xlworks.net/xlgantt-project-scheduler/"/>
    <hyperlink ref="H2" r:id="rId14" display="https://xlworks.net/xlgantt-project-scheduler/"/>
    <hyperlink ref="L31" r:id="rId15" display="https://xlworks.net/xlgantt-howto-15-color-theme/"/>
    <hyperlink ref="L30" r:id="rId16" display="https://xlworks.net/xlgantt-howto-14-workloads/"/>
    <hyperlink ref="L32" r:id="rId17" display="https://xlworks.net/xlgantt-howto-16-task-dependencies/"/>
  </hyperlinks>
  <pageMargins left="0.7" right="0.7" top="0.75" bottom="0.75" header="0.3" footer="0.3"/>
  <pageSetup paperSize="9" orientation="portrait" horizontalDpi="300" verticalDpi="300"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2.75"/>
  <cols>
    <col min="1" max="1" width="6.25" style="69" customWidth="1"/>
    <col min="2" max="2" width="33.25" style="69" bestFit="1" customWidth="1"/>
    <col min="3" max="3" width="20.25" style="68" customWidth="1"/>
    <col min="4" max="4" width="23.125" style="68" customWidth="1"/>
    <col min="5" max="5" width="10" style="68" customWidth="1"/>
    <col min="6" max="6" width="15.25" style="68" customWidth="1"/>
    <col min="7" max="7" width="21.25" style="68" bestFit="1" customWidth="1"/>
    <col min="8" max="8" width="40.375" style="69" customWidth="1"/>
    <col min="9" max="9" width="23.625" style="69" bestFit="1" customWidth="1"/>
    <col min="10" max="10" width="9.5" style="69" bestFit="1" customWidth="1"/>
    <col min="11" max="11" width="22.5" style="69" bestFit="1" customWidth="1"/>
    <col min="12" max="12" width="60.75" style="69" bestFit="1" customWidth="1"/>
    <col min="13" max="13" width="25.125" style="69" bestFit="1" customWidth="1"/>
    <col min="14" max="14" width="4.75" style="69" bestFit="1" customWidth="1"/>
    <col min="15" max="15" width="23" style="69" bestFit="1" customWidth="1"/>
    <col min="16" max="16" width="8" style="69" bestFit="1" customWidth="1"/>
    <col min="17" max="17" width="28.375" style="69" bestFit="1" customWidth="1"/>
    <col min="18" max="18" width="6" style="69" bestFit="1" customWidth="1"/>
    <col min="19" max="19" width="27.75" style="69" bestFit="1" customWidth="1"/>
    <col min="20" max="20" width="4.75" style="69" bestFit="1" customWidth="1"/>
    <col min="21" max="21" width="24.375" style="69" bestFit="1" customWidth="1"/>
    <col min="22" max="22" width="4.25" style="69" bestFit="1" customWidth="1"/>
    <col min="23" max="23" width="28.875" style="69" bestFit="1" customWidth="1"/>
    <col min="24" max="24" width="8" style="69" bestFit="1" customWidth="1"/>
    <col min="25" max="25" width="22.625" style="69" bestFit="1" customWidth="1"/>
    <col min="26" max="26" width="4.875" style="69" bestFit="1" customWidth="1"/>
    <col min="27" max="27" width="24.375" style="69" hidden="1" customWidth="1"/>
    <col min="28" max="28" width="7.375" style="69" hidden="1" customWidth="1"/>
    <col min="29" max="29" width="19.75" style="69" bestFit="1" customWidth="1"/>
    <col min="30" max="30" width="4.25" style="69" bestFit="1" customWidth="1"/>
    <col min="31" max="31" width="15.375" style="69" bestFit="1" customWidth="1"/>
    <col min="32" max="32" width="39.625" style="69" bestFit="1" customWidth="1"/>
    <col min="33" max="33" width="35.75" style="69" bestFit="1" customWidth="1"/>
    <col min="34" max="34" width="4.875" style="69" bestFit="1" customWidth="1"/>
    <col min="35" max="35" width="24.25" style="69" bestFit="1" customWidth="1"/>
    <col min="36" max="36" width="8.75" style="69" bestFit="1" customWidth="1"/>
    <col min="37" max="37" width="26" style="69" bestFit="1" customWidth="1"/>
    <col min="38" max="38" width="4.625" style="69" bestFit="1" customWidth="1"/>
    <col min="39" max="39" width="35.625" style="69" bestFit="1" customWidth="1"/>
    <col min="40" max="40" width="33.375" style="69" bestFit="1" customWidth="1"/>
    <col min="41" max="41" width="22.625" style="69" bestFit="1" customWidth="1"/>
    <col min="42" max="42" width="5.25" style="69" bestFit="1" customWidth="1"/>
    <col min="43" max="43" width="16.625" style="69" bestFit="1" customWidth="1"/>
    <col min="44" max="44" width="93.375" style="69" bestFit="1" customWidth="1"/>
    <col min="45" max="45" width="21" style="69" bestFit="1" customWidth="1"/>
    <col min="46" max="46" width="5.5" style="69" bestFit="1" customWidth="1"/>
    <col min="47" max="47" width="14.875" style="69" bestFit="1" customWidth="1"/>
    <col min="48" max="48" width="28.625" style="69" bestFit="1" customWidth="1"/>
    <col min="49" max="49" width="22.625" style="69" bestFit="1" customWidth="1"/>
    <col min="50" max="50" width="4.875" style="69" bestFit="1" customWidth="1"/>
    <col min="51" max="51" width="15.625" style="69" bestFit="1" customWidth="1"/>
    <col min="52" max="53" width="13.125" style="69" bestFit="1" customWidth="1"/>
    <col min="54" max="55" width="14.875" style="69" bestFit="1" customWidth="1"/>
    <col min="56" max="57" width="22.625" style="69" bestFit="1" customWidth="1"/>
    <col min="58" max="59" width="15.625" style="69" bestFit="1" customWidth="1"/>
    <col min="60" max="61" width="13.125" style="69" bestFit="1" customWidth="1"/>
    <col min="62" max="63" width="14.875" style="69" bestFit="1" customWidth="1"/>
    <col min="64" max="65" width="22.625" style="69" bestFit="1" customWidth="1"/>
    <col min="66" max="66" width="10" style="69"/>
    <col min="67" max="67" width="33.75" style="69" bestFit="1" customWidth="1"/>
    <col min="68" max="16384" width="10" style="69"/>
  </cols>
  <sheetData>
    <row r="1" spans="1:8" s="68" customFormat="1">
      <c r="A1" s="67" t="s">
        <v>659</v>
      </c>
      <c r="B1" s="67" t="s">
        <v>656</v>
      </c>
      <c r="C1" s="67" t="s">
        <v>657</v>
      </c>
      <c r="D1" s="67" t="s">
        <v>658</v>
      </c>
      <c r="E1" s="67" t="s">
        <v>3</v>
      </c>
      <c r="F1" s="67" t="s">
        <v>4</v>
      </c>
      <c r="G1" s="67" t="s">
        <v>5</v>
      </c>
      <c r="H1" s="67" t="s">
        <v>660</v>
      </c>
    </row>
    <row r="2" spans="1:8">
      <c r="A2" s="126" t="s">
        <v>655</v>
      </c>
      <c r="B2" s="126" t="s">
        <v>6</v>
      </c>
      <c r="C2" s="127" t="s">
        <v>7</v>
      </c>
      <c r="D2" s="127"/>
      <c r="E2" s="127"/>
      <c r="F2" s="127"/>
      <c r="G2" s="127"/>
      <c r="H2" s="127" t="s">
        <v>8</v>
      </c>
    </row>
    <row r="3" spans="1:8">
      <c r="A3" s="126" t="s">
        <v>655</v>
      </c>
      <c r="B3" s="126" t="s">
        <v>338</v>
      </c>
      <c r="C3" s="127" t="s">
        <v>7</v>
      </c>
      <c r="D3" s="127"/>
      <c r="E3" s="127"/>
      <c r="F3" s="127"/>
      <c r="G3" s="127"/>
      <c r="H3" s="127" t="s">
        <v>8</v>
      </c>
    </row>
    <row r="4" spans="1:8">
      <c r="A4" s="126" t="s">
        <v>655</v>
      </c>
      <c r="B4" s="126" t="s">
        <v>9</v>
      </c>
      <c r="C4" s="142" t="s">
        <v>339</v>
      </c>
      <c r="D4" s="127"/>
      <c r="E4" s="127"/>
      <c r="F4" s="127"/>
      <c r="G4" s="127"/>
      <c r="H4" s="127" t="s">
        <v>8</v>
      </c>
    </row>
    <row r="5" spans="1:8">
      <c r="A5" s="126" t="s">
        <v>655</v>
      </c>
      <c r="B5" s="126" t="s">
        <v>10</v>
      </c>
      <c r="C5" s="127" t="s">
        <v>11</v>
      </c>
      <c r="D5" s="127"/>
      <c r="E5" s="127"/>
      <c r="F5" s="127"/>
      <c r="G5" s="127"/>
      <c r="H5" s="127" t="s">
        <v>8</v>
      </c>
    </row>
    <row r="6" spans="1:8" ht="13.5">
      <c r="A6" s="126" t="s">
        <v>655</v>
      </c>
      <c r="B6" s="126" t="s">
        <v>12</v>
      </c>
      <c r="C6" s="143" t="s">
        <v>780</v>
      </c>
      <c r="D6" s="127"/>
      <c r="E6" s="127"/>
      <c r="F6" s="127"/>
      <c r="G6" s="127"/>
      <c r="H6" s="127" t="s">
        <v>8</v>
      </c>
    </row>
    <row r="7" spans="1:8">
      <c r="A7" s="126" t="s">
        <v>655</v>
      </c>
      <c r="B7" s="126" t="s">
        <v>13</v>
      </c>
      <c r="C7" s="126" t="s">
        <v>7</v>
      </c>
      <c r="D7" s="127"/>
      <c r="E7" s="127"/>
      <c r="F7" s="127"/>
      <c r="G7" s="127"/>
      <c r="H7" s="127" t="s">
        <v>8</v>
      </c>
    </row>
    <row r="8" spans="1:8">
      <c r="A8" s="145" t="s">
        <v>655</v>
      </c>
      <c r="B8" s="145" t="s">
        <v>14</v>
      </c>
      <c r="C8" s="146" t="s">
        <v>725</v>
      </c>
      <c r="D8" s="147" t="s">
        <v>2565</v>
      </c>
      <c r="E8" s="147">
        <v>82</v>
      </c>
      <c r="F8" s="147"/>
      <c r="G8" s="145"/>
      <c r="H8" s="147" t="s">
        <v>734</v>
      </c>
    </row>
    <row r="9" spans="1:8">
      <c r="A9" s="126" t="s">
        <v>655</v>
      </c>
      <c r="B9" s="126" t="s">
        <v>15</v>
      </c>
      <c r="C9" s="144">
        <v>44717</v>
      </c>
      <c r="D9" s="127"/>
      <c r="E9" s="127"/>
      <c r="F9" s="127"/>
      <c r="G9" s="127"/>
      <c r="H9" s="127" t="s">
        <v>8</v>
      </c>
    </row>
    <row r="10" spans="1:8">
      <c r="A10" s="126" t="s">
        <v>655</v>
      </c>
      <c r="B10" s="126" t="s">
        <v>16</v>
      </c>
      <c r="C10" s="127" t="s">
        <v>17</v>
      </c>
      <c r="D10" s="127"/>
      <c r="E10" s="127"/>
      <c r="F10" s="127"/>
      <c r="G10" s="127"/>
      <c r="H10" s="127" t="s">
        <v>8</v>
      </c>
    </row>
    <row r="11" spans="1:8">
      <c r="A11" s="69" t="s">
        <v>775</v>
      </c>
      <c r="B11" s="69" t="s">
        <v>749</v>
      </c>
      <c r="C11" s="68">
        <v>1</v>
      </c>
      <c r="G11" s="71">
        <v>46062.457118055558</v>
      </c>
    </row>
    <row r="12" spans="1:8">
      <c r="A12" s="69" t="s">
        <v>775</v>
      </c>
      <c r="B12" s="69" t="s">
        <v>748</v>
      </c>
      <c r="C12" s="68">
        <v>1</v>
      </c>
    </row>
    <row r="13" spans="1:8">
      <c r="A13" s="69" t="s">
        <v>775</v>
      </c>
      <c r="B13" s="69" t="s">
        <v>697</v>
      </c>
      <c r="C13" s="68">
        <v>1</v>
      </c>
      <c r="G13" s="71">
        <v>46062.457118055558</v>
      </c>
    </row>
    <row r="14" spans="1:8">
      <c r="A14" s="69" t="s">
        <v>775</v>
      </c>
      <c r="B14" s="69" t="s">
        <v>698</v>
      </c>
      <c r="C14" s="68">
        <v>0</v>
      </c>
      <c r="G14" s="71">
        <v>46062.457118055558</v>
      </c>
    </row>
    <row r="15" spans="1:8">
      <c r="A15" s="69" t="s">
        <v>775</v>
      </c>
      <c r="B15" s="69" t="s">
        <v>696</v>
      </c>
      <c r="C15" s="68">
        <v>1</v>
      </c>
      <c r="G15" s="71">
        <v>46062.457118055558</v>
      </c>
    </row>
    <row r="16" spans="1:8">
      <c r="A16" s="69" t="s">
        <v>775</v>
      </c>
      <c r="B16" s="69" t="s">
        <v>736</v>
      </c>
      <c r="C16" s="68">
        <v>1</v>
      </c>
      <c r="G16" s="71">
        <v>46062.457118055558</v>
      </c>
    </row>
    <row r="17" spans="1:7">
      <c r="A17" s="69" t="s">
        <v>775</v>
      </c>
      <c r="B17" s="69" t="s">
        <v>743</v>
      </c>
      <c r="C17" s="68">
        <v>1</v>
      </c>
      <c r="G17" s="71">
        <v>46062.457118055558</v>
      </c>
    </row>
    <row r="18" spans="1:7">
      <c r="A18" s="69" t="s">
        <v>775</v>
      </c>
      <c r="B18" s="69" t="s">
        <v>744</v>
      </c>
      <c r="C18" s="68">
        <v>1</v>
      </c>
      <c r="G18" s="71">
        <v>46062.457118055558</v>
      </c>
    </row>
    <row r="19" spans="1:7">
      <c r="A19" s="69" t="s">
        <v>775</v>
      </c>
      <c r="B19" s="69" t="s">
        <v>742</v>
      </c>
      <c r="C19" s="70">
        <v>46066</v>
      </c>
      <c r="G19" s="71">
        <v>46062.457118055558</v>
      </c>
    </row>
    <row r="20" spans="1:7">
      <c r="A20" s="69" t="s">
        <v>775</v>
      </c>
      <c r="B20" s="69" t="s">
        <v>699</v>
      </c>
      <c r="C20" s="68">
        <v>0</v>
      </c>
      <c r="G20" s="71">
        <v>46062.457118055558</v>
      </c>
    </row>
    <row r="21" spans="1:7">
      <c r="A21" s="69" t="s">
        <v>775</v>
      </c>
      <c r="B21" s="69" t="s">
        <v>741</v>
      </c>
      <c r="C21" s="68">
        <v>0</v>
      </c>
      <c r="G21" s="71">
        <v>46062.457118055558</v>
      </c>
    </row>
    <row r="22" spans="1:7">
      <c r="A22" s="69" t="s">
        <v>775</v>
      </c>
      <c r="B22" s="69" t="s">
        <v>745</v>
      </c>
      <c r="C22" s="68">
        <v>1</v>
      </c>
      <c r="G22" s="71">
        <v>46062.457118055558</v>
      </c>
    </row>
    <row r="23" spans="1:7">
      <c r="A23" s="69" t="s">
        <v>775</v>
      </c>
      <c r="B23" s="69" t="s">
        <v>701</v>
      </c>
      <c r="C23" s="68">
        <v>0</v>
      </c>
      <c r="G23" s="71">
        <v>46062.457118055558</v>
      </c>
    </row>
    <row r="24" spans="1:7">
      <c r="A24" s="69" t="s">
        <v>775</v>
      </c>
      <c r="B24" s="69" t="s">
        <v>738</v>
      </c>
      <c r="C24" s="70">
        <v>46069</v>
      </c>
      <c r="G24" s="71">
        <v>46062.457118055558</v>
      </c>
    </row>
    <row r="25" spans="1:7">
      <c r="A25" s="69" t="s">
        <v>775</v>
      </c>
      <c r="B25" s="69" t="s">
        <v>735</v>
      </c>
      <c r="C25" s="68" t="s">
        <v>2483</v>
      </c>
      <c r="G25" s="71">
        <v>46062.457118055558</v>
      </c>
    </row>
    <row r="26" spans="1:7">
      <c r="A26" s="69" t="s">
        <v>775</v>
      </c>
      <c r="B26" s="69" t="s">
        <v>737</v>
      </c>
      <c r="C26" s="70">
        <v>45705</v>
      </c>
      <c r="G26" s="71">
        <v>46062.457118055558</v>
      </c>
    </row>
    <row r="27" spans="1:7">
      <c r="A27" s="69" t="s">
        <v>775</v>
      </c>
      <c r="B27" s="69" t="s">
        <v>739</v>
      </c>
      <c r="C27" s="68" t="s">
        <v>2566</v>
      </c>
      <c r="G27" s="71">
        <v>46062.457025462965</v>
      </c>
    </row>
    <row r="28" spans="1:7">
      <c r="A28" s="69" t="s">
        <v>775</v>
      </c>
      <c r="B28" s="69" t="s">
        <v>740</v>
      </c>
      <c r="C28" s="68">
        <v>0</v>
      </c>
      <c r="G28" s="71">
        <v>46062.457118055558</v>
      </c>
    </row>
    <row r="29" spans="1:7">
      <c r="A29" s="69" t="s">
        <v>775</v>
      </c>
      <c r="B29" s="69" t="s">
        <v>746</v>
      </c>
      <c r="C29" s="68">
        <v>20</v>
      </c>
      <c r="G29" s="71">
        <v>46062.457118055558</v>
      </c>
    </row>
    <row r="30" spans="1:7">
      <c r="A30" s="69" t="s">
        <v>775</v>
      </c>
      <c r="B30" s="69" t="s">
        <v>747</v>
      </c>
      <c r="C30" s="68">
        <v>10</v>
      </c>
      <c r="G30" s="71">
        <v>46062.457118055558</v>
      </c>
    </row>
    <row r="31" spans="1:7">
      <c r="A31" s="69" t="s">
        <v>1351</v>
      </c>
      <c r="B31" s="69" t="s">
        <v>1352</v>
      </c>
      <c r="C31" s="68">
        <v>-4105</v>
      </c>
      <c r="F31" s="71"/>
      <c r="G31" s="71">
        <v>46062.457361111112</v>
      </c>
    </row>
    <row r="32" spans="1:7">
      <c r="A32" s="69" t="s">
        <v>776</v>
      </c>
      <c r="B32" s="69" t="s">
        <v>757</v>
      </c>
      <c r="C32" s="68">
        <v>1</v>
      </c>
      <c r="G32" s="71">
        <v>46062.457118055558</v>
      </c>
    </row>
    <row r="33" spans="1:7">
      <c r="A33" s="69" t="s">
        <v>776</v>
      </c>
      <c r="B33" s="69" t="s">
        <v>760</v>
      </c>
      <c r="C33" s="68">
        <v>0</v>
      </c>
    </row>
    <row r="34" spans="1:7">
      <c r="A34" s="69" t="s">
        <v>776</v>
      </c>
      <c r="B34" s="69" t="s">
        <v>702</v>
      </c>
      <c r="C34" s="68">
        <v>1</v>
      </c>
      <c r="G34" s="71">
        <v>46062.457118055558</v>
      </c>
    </row>
    <row r="35" spans="1:7">
      <c r="A35" s="69" t="s">
        <v>776</v>
      </c>
      <c r="B35" s="69" t="s">
        <v>704</v>
      </c>
      <c r="C35" s="68">
        <v>1</v>
      </c>
      <c r="G35" s="71">
        <v>46062.457118055558</v>
      </c>
    </row>
    <row r="36" spans="1:7">
      <c r="A36" s="69" t="s">
        <v>776</v>
      </c>
      <c r="B36" s="69" t="s">
        <v>703</v>
      </c>
      <c r="C36" s="68">
        <v>1</v>
      </c>
      <c r="G36" s="71">
        <v>46062.457118055558</v>
      </c>
    </row>
    <row r="37" spans="1:7">
      <c r="A37" s="69" t="s">
        <v>776</v>
      </c>
      <c r="B37" s="69" t="s">
        <v>751</v>
      </c>
      <c r="C37" s="68">
        <v>0</v>
      </c>
      <c r="G37" s="71">
        <v>46062.457118055558</v>
      </c>
    </row>
    <row r="38" spans="1:7">
      <c r="A38" s="69" t="s">
        <v>776</v>
      </c>
      <c r="B38" s="69" t="s">
        <v>754</v>
      </c>
      <c r="C38" s="68">
        <v>1</v>
      </c>
      <c r="G38" s="71">
        <v>46062.457118055558</v>
      </c>
    </row>
    <row r="39" spans="1:7">
      <c r="A39" s="69" t="s">
        <v>776</v>
      </c>
      <c r="B39" s="69" t="s">
        <v>765</v>
      </c>
      <c r="C39" s="68">
        <v>2</v>
      </c>
      <c r="G39" s="71">
        <v>46062.457118055558</v>
      </c>
    </row>
    <row r="40" spans="1:7">
      <c r="A40" s="69" t="s">
        <v>776</v>
      </c>
      <c r="B40" s="69" t="s">
        <v>755</v>
      </c>
      <c r="C40" s="68">
        <v>0.7</v>
      </c>
    </row>
    <row r="41" spans="1:7">
      <c r="A41" s="69" t="s">
        <v>776</v>
      </c>
      <c r="B41" s="69" t="s">
        <v>764</v>
      </c>
      <c r="C41" s="68">
        <v>1</v>
      </c>
      <c r="G41" s="71">
        <v>46062.457118055558</v>
      </c>
    </row>
    <row r="42" spans="1:7">
      <c r="A42" s="69" t="s">
        <v>776</v>
      </c>
      <c r="B42" s="69" t="s">
        <v>758</v>
      </c>
      <c r="C42" s="68">
        <v>1</v>
      </c>
      <c r="G42" s="71">
        <v>46062.457118055558</v>
      </c>
    </row>
    <row r="43" spans="1:7">
      <c r="A43" s="69" t="s">
        <v>776</v>
      </c>
      <c r="B43" s="69" t="s">
        <v>768</v>
      </c>
      <c r="C43" s="68">
        <v>-4131</v>
      </c>
      <c r="G43" s="71">
        <v>46062.457118055558</v>
      </c>
    </row>
    <row r="44" spans="1:7">
      <c r="A44" s="69" t="s">
        <v>776</v>
      </c>
      <c r="B44" s="69" t="s">
        <v>759</v>
      </c>
      <c r="C44" s="68">
        <v>7</v>
      </c>
      <c r="G44" s="71">
        <v>46062.457118055558</v>
      </c>
    </row>
    <row r="45" spans="1:7">
      <c r="A45" s="69" t="s">
        <v>776</v>
      </c>
      <c r="B45" s="69" t="s">
        <v>761</v>
      </c>
      <c r="C45" s="68">
        <v>0</v>
      </c>
      <c r="G45" s="71">
        <v>46062.457118055558</v>
      </c>
    </row>
    <row r="46" spans="1:7">
      <c r="A46" s="69" t="s">
        <v>776</v>
      </c>
      <c r="B46" s="69" t="s">
        <v>762</v>
      </c>
      <c r="C46" s="68">
        <v>1</v>
      </c>
      <c r="G46" s="71">
        <v>46062.457118055558</v>
      </c>
    </row>
    <row r="47" spans="1:7">
      <c r="A47" s="69" t="s">
        <v>776</v>
      </c>
      <c r="B47" s="69" t="s">
        <v>763</v>
      </c>
      <c r="C47" s="68">
        <v>1</v>
      </c>
      <c r="G47" s="71">
        <v>46062.457118055558</v>
      </c>
    </row>
    <row r="48" spans="1:7">
      <c r="A48" s="69" t="s">
        <v>776</v>
      </c>
      <c r="B48" s="69" t="s">
        <v>752</v>
      </c>
      <c r="C48" s="68">
        <v>1</v>
      </c>
    </row>
    <row r="49" spans="1:7">
      <c r="A49" s="69" t="s">
        <v>776</v>
      </c>
      <c r="B49" s="69" t="s">
        <v>753</v>
      </c>
      <c r="C49" s="68">
        <v>0</v>
      </c>
    </row>
    <row r="50" spans="1:7">
      <c r="A50" s="69" t="s">
        <v>776</v>
      </c>
      <c r="B50" s="69" t="s">
        <v>756</v>
      </c>
      <c r="C50" s="68">
        <v>2</v>
      </c>
      <c r="G50" s="71">
        <v>46062.457118055558</v>
      </c>
    </row>
    <row r="51" spans="1:7">
      <c r="A51" s="69" t="s">
        <v>776</v>
      </c>
      <c r="B51" s="69" t="s">
        <v>767</v>
      </c>
      <c r="C51" s="68" t="s">
        <v>750</v>
      </c>
    </row>
    <row r="52" spans="1:7">
      <c r="A52" s="69" t="s">
        <v>776</v>
      </c>
      <c r="B52" s="69" t="s">
        <v>700</v>
      </c>
      <c r="C52" s="68">
        <v>100</v>
      </c>
      <c r="G52" s="71">
        <v>46062.457118055558</v>
      </c>
    </row>
    <row r="53" spans="1:7">
      <c r="A53" s="69" t="s">
        <v>776</v>
      </c>
      <c r="B53" s="69" t="s">
        <v>766</v>
      </c>
      <c r="C53" s="68">
        <v>9</v>
      </c>
    </row>
    <row r="54" spans="1:7">
      <c r="A54" s="69" t="s">
        <v>777</v>
      </c>
      <c r="B54" s="69" t="s">
        <v>663</v>
      </c>
      <c r="C54" s="68">
        <v>1</v>
      </c>
      <c r="G54" s="71">
        <v>46062.457118055558</v>
      </c>
    </row>
    <row r="55" spans="1:7">
      <c r="A55" s="69" t="s">
        <v>777</v>
      </c>
      <c r="B55" s="69" t="s">
        <v>769</v>
      </c>
      <c r="C55" s="68" t="s">
        <v>2589</v>
      </c>
      <c r="G55" s="71">
        <v>46062.457118055558</v>
      </c>
    </row>
    <row r="56" spans="1:7">
      <c r="A56" s="69" t="s">
        <v>777</v>
      </c>
      <c r="B56" s="69" t="s">
        <v>662</v>
      </c>
      <c r="C56" s="68" t="s">
        <v>705</v>
      </c>
      <c r="G56" s="71">
        <v>44717.947500000002</v>
      </c>
    </row>
    <row r="57" spans="1:7">
      <c r="A57" s="69" t="s">
        <v>777</v>
      </c>
      <c r="B57" s="69" t="s">
        <v>661</v>
      </c>
      <c r="C57" s="68" t="s">
        <v>705</v>
      </c>
      <c r="G57" s="71">
        <v>46062.457118055558</v>
      </c>
    </row>
    <row r="58" spans="1:7">
      <c r="A58" s="69" t="s">
        <v>723</v>
      </c>
      <c r="B58" s="69" t="s">
        <v>772</v>
      </c>
      <c r="C58" s="68">
        <v>82</v>
      </c>
      <c r="G58" s="71">
        <v>46062.457118055558</v>
      </c>
    </row>
    <row r="59" spans="1:7">
      <c r="A59" s="69" t="s">
        <v>723</v>
      </c>
      <c r="B59" s="69" t="s">
        <v>771</v>
      </c>
      <c r="C59" s="68">
        <v>1</v>
      </c>
      <c r="G59" s="71">
        <v>46062.457118055558</v>
      </c>
    </row>
    <row r="60" spans="1:7">
      <c r="A60" s="69" t="s">
        <v>723</v>
      </c>
      <c r="B60" s="69" t="s">
        <v>770</v>
      </c>
      <c r="C60" s="68">
        <v>82</v>
      </c>
      <c r="G60" s="71">
        <v>44717.85429398148</v>
      </c>
    </row>
    <row r="61" spans="1:7">
      <c r="A61" s="69" t="s">
        <v>723</v>
      </c>
      <c r="B61" s="69" t="s">
        <v>773</v>
      </c>
      <c r="C61" s="68" t="s">
        <v>2591</v>
      </c>
      <c r="G61" s="71">
        <v>46062.457118055558</v>
      </c>
    </row>
    <row r="62" spans="1:7">
      <c r="A62" s="69" t="s">
        <v>778</v>
      </c>
      <c r="B62" s="69" t="s">
        <v>690</v>
      </c>
      <c r="C62" s="68" t="b">
        <v>0</v>
      </c>
      <c r="G62" s="71">
        <v>46062.457118055558</v>
      </c>
    </row>
    <row r="63" spans="1:7">
      <c r="A63" s="69" t="s">
        <v>778</v>
      </c>
      <c r="B63" s="69" t="s">
        <v>691</v>
      </c>
      <c r="C63" s="68" t="b">
        <v>0</v>
      </c>
      <c r="G63" s="71">
        <v>46062.457118055558</v>
      </c>
    </row>
    <row r="64" spans="1:7">
      <c r="A64" s="69" t="s">
        <v>778</v>
      </c>
      <c r="B64" s="69" t="s">
        <v>692</v>
      </c>
      <c r="C64" s="68" t="b">
        <v>1</v>
      </c>
      <c r="G64" s="71">
        <v>46062.457118055558</v>
      </c>
    </row>
    <row r="65" spans="1:7">
      <c r="A65" s="69" t="s">
        <v>778</v>
      </c>
      <c r="B65" s="69" t="s">
        <v>674</v>
      </c>
      <c r="C65" s="68" t="b">
        <v>1</v>
      </c>
      <c r="G65" s="71">
        <v>46062.457118055558</v>
      </c>
    </row>
    <row r="66" spans="1:7">
      <c r="A66" s="69" t="s">
        <v>778</v>
      </c>
      <c r="B66" s="69" t="s">
        <v>675</v>
      </c>
      <c r="C66" s="68" t="b">
        <v>1</v>
      </c>
      <c r="G66" s="71">
        <v>46062.457118055558</v>
      </c>
    </row>
    <row r="67" spans="1:7">
      <c r="A67" s="69" t="s">
        <v>778</v>
      </c>
      <c r="B67" s="69" t="s">
        <v>676</v>
      </c>
      <c r="C67" s="68" t="b">
        <v>1</v>
      </c>
      <c r="G67" s="71">
        <v>46062.457118055558</v>
      </c>
    </row>
    <row r="68" spans="1:7">
      <c r="A68" s="69" t="s">
        <v>778</v>
      </c>
      <c r="B68" s="69" t="s">
        <v>677</v>
      </c>
      <c r="C68" s="68" t="b">
        <v>1</v>
      </c>
      <c r="G68" s="71">
        <v>46062.457118055558</v>
      </c>
    </row>
    <row r="69" spans="1:7">
      <c r="A69" s="69" t="s">
        <v>778</v>
      </c>
      <c r="B69" s="69" t="s">
        <v>678</v>
      </c>
      <c r="G69" s="71">
        <v>46062.457118055558</v>
      </c>
    </row>
    <row r="70" spans="1:7">
      <c r="A70" s="69" t="s">
        <v>778</v>
      </c>
      <c r="B70" s="69" t="s">
        <v>693</v>
      </c>
      <c r="C70" s="68" t="s">
        <v>2496</v>
      </c>
      <c r="G70" s="71">
        <v>46062.457118055558</v>
      </c>
    </row>
    <row r="71" spans="1:7">
      <c r="A71" s="69" t="s">
        <v>778</v>
      </c>
      <c r="B71" s="69" t="s">
        <v>695</v>
      </c>
      <c r="C71" s="68" t="s">
        <v>2500</v>
      </c>
      <c r="G71" s="71">
        <v>46062.457118055558</v>
      </c>
    </row>
    <row r="72" spans="1:7">
      <c r="A72" s="69" t="s">
        <v>778</v>
      </c>
      <c r="B72" s="69" t="s">
        <v>694</v>
      </c>
      <c r="C72" s="68" t="s">
        <v>2497</v>
      </c>
      <c r="G72" s="71">
        <v>46062.457118055558</v>
      </c>
    </row>
    <row r="73" spans="1:7">
      <c r="A73" s="69" t="s">
        <v>778</v>
      </c>
      <c r="B73" s="69" t="s">
        <v>680</v>
      </c>
      <c r="C73" s="68" t="s">
        <v>2590</v>
      </c>
      <c r="G73" s="71">
        <v>46062.457118055558</v>
      </c>
    </row>
    <row r="74" spans="1:7">
      <c r="A74" s="69" t="s">
        <v>778</v>
      </c>
      <c r="B74" s="69" t="s">
        <v>683</v>
      </c>
      <c r="C74" s="68" t="s">
        <v>2488</v>
      </c>
      <c r="G74" s="71">
        <v>46062.457118055558</v>
      </c>
    </row>
    <row r="75" spans="1:7">
      <c r="A75" s="69" t="s">
        <v>778</v>
      </c>
      <c r="B75" s="69" t="s">
        <v>682</v>
      </c>
      <c r="C75" s="68" t="s">
        <v>2491</v>
      </c>
      <c r="G75" s="71">
        <v>46062.457118055558</v>
      </c>
    </row>
    <row r="76" spans="1:7">
      <c r="A76" s="69" t="s">
        <v>778</v>
      </c>
      <c r="B76" s="69" t="s">
        <v>681</v>
      </c>
      <c r="C76" s="68" t="s">
        <v>2494</v>
      </c>
      <c r="G76" s="71">
        <v>46062.457118055558</v>
      </c>
    </row>
    <row r="77" spans="1:7">
      <c r="A77" s="69" t="s">
        <v>778</v>
      </c>
      <c r="B77" s="69" t="s">
        <v>679</v>
      </c>
      <c r="G77" s="71">
        <v>46062.457118055558</v>
      </c>
    </row>
    <row r="78" spans="1:7">
      <c r="A78" s="69" t="s">
        <v>778</v>
      </c>
      <c r="B78" s="69" t="s">
        <v>684</v>
      </c>
      <c r="C78" s="68" t="s">
        <v>2484</v>
      </c>
      <c r="G78" s="71">
        <v>46062.457118055558</v>
      </c>
    </row>
    <row r="79" spans="1:7">
      <c r="A79" s="69" t="s">
        <v>778</v>
      </c>
      <c r="B79" s="69" t="s">
        <v>689</v>
      </c>
      <c r="C79" s="68" t="s">
        <v>2485</v>
      </c>
      <c r="G79" s="71">
        <v>46062.457118055558</v>
      </c>
    </row>
    <row r="80" spans="1:7">
      <c r="A80" s="69" t="s">
        <v>778</v>
      </c>
      <c r="B80" s="69" t="s">
        <v>688</v>
      </c>
      <c r="C80" s="68" t="s">
        <v>2486</v>
      </c>
      <c r="G80" s="71">
        <v>46062.457118055558</v>
      </c>
    </row>
    <row r="81" spans="1:7">
      <c r="A81" s="69" t="s">
        <v>778</v>
      </c>
      <c r="B81" s="69" t="s">
        <v>669</v>
      </c>
      <c r="C81" s="68" t="s">
        <v>2498</v>
      </c>
      <c r="G81" s="71">
        <v>46062.457118055558</v>
      </c>
    </row>
    <row r="82" spans="1:7">
      <c r="A82" s="69" t="s">
        <v>778</v>
      </c>
      <c r="B82" s="69" t="s">
        <v>673</v>
      </c>
      <c r="C82" s="68" t="s">
        <v>2487</v>
      </c>
      <c r="G82" s="71">
        <v>46062.457118055558</v>
      </c>
    </row>
    <row r="83" spans="1:7">
      <c r="A83" s="69" t="s">
        <v>778</v>
      </c>
      <c r="B83" s="69" t="s">
        <v>672</v>
      </c>
      <c r="C83" s="68" t="s">
        <v>2490</v>
      </c>
      <c r="G83" s="71">
        <v>46062.457118055558</v>
      </c>
    </row>
    <row r="84" spans="1:7">
      <c r="A84" s="69" t="s">
        <v>778</v>
      </c>
      <c r="B84" s="69" t="s">
        <v>671</v>
      </c>
      <c r="C84" s="68" t="s">
        <v>2493</v>
      </c>
      <c r="G84" s="71">
        <v>46062.457118055558</v>
      </c>
    </row>
    <row r="85" spans="1:7">
      <c r="A85" s="69" t="s">
        <v>778</v>
      </c>
      <c r="B85" s="69" t="s">
        <v>670</v>
      </c>
      <c r="G85" s="71">
        <v>46062.457118055558</v>
      </c>
    </row>
    <row r="86" spans="1:7">
      <c r="A86" s="69" t="s">
        <v>778</v>
      </c>
      <c r="B86" s="69" t="s">
        <v>685</v>
      </c>
      <c r="C86" s="68" t="s">
        <v>1360</v>
      </c>
      <c r="G86" s="71">
        <v>46062.457118055558</v>
      </c>
    </row>
    <row r="87" spans="1:7">
      <c r="A87" s="69" t="s">
        <v>778</v>
      </c>
      <c r="B87" s="69" t="s">
        <v>686</v>
      </c>
      <c r="C87" s="68" t="s">
        <v>1360</v>
      </c>
      <c r="G87" s="71">
        <v>46062.457118055558</v>
      </c>
    </row>
    <row r="88" spans="1:7">
      <c r="A88" s="69" t="s">
        <v>778</v>
      </c>
      <c r="B88" s="69" t="s">
        <v>687</v>
      </c>
      <c r="C88" s="68" t="s">
        <v>1360</v>
      </c>
      <c r="G88" s="71">
        <v>46062.457118055558</v>
      </c>
    </row>
    <row r="89" spans="1:7">
      <c r="A89" s="69" t="s">
        <v>778</v>
      </c>
      <c r="B89" s="69" t="s">
        <v>664</v>
      </c>
      <c r="C89" s="68" t="s">
        <v>2499</v>
      </c>
      <c r="G89" s="71">
        <v>46062.457118055558</v>
      </c>
    </row>
    <row r="90" spans="1:7">
      <c r="A90" s="69" t="s">
        <v>778</v>
      </c>
      <c r="B90" s="69" t="s">
        <v>665</v>
      </c>
      <c r="C90" s="68" t="s">
        <v>2489</v>
      </c>
      <c r="G90" s="71">
        <v>46062.457118055558</v>
      </c>
    </row>
    <row r="91" spans="1:7">
      <c r="A91" s="69" t="s">
        <v>778</v>
      </c>
      <c r="B91" s="69" t="s">
        <v>666</v>
      </c>
      <c r="C91" s="68" t="s">
        <v>2492</v>
      </c>
      <c r="G91" s="71">
        <v>46062.457118055558</v>
      </c>
    </row>
    <row r="92" spans="1:7">
      <c r="A92" s="69" t="s">
        <v>778</v>
      </c>
      <c r="B92" s="69" t="s">
        <v>667</v>
      </c>
      <c r="C92" s="68" t="s">
        <v>2495</v>
      </c>
      <c r="G92" s="71">
        <v>46062.457118055558</v>
      </c>
    </row>
    <row r="93" spans="1:7">
      <c r="A93" s="69" t="s">
        <v>778</v>
      </c>
      <c r="B93" s="69" t="s">
        <v>668</v>
      </c>
      <c r="G93" s="71">
        <v>46062.457118055558</v>
      </c>
    </row>
    <row r="94" spans="1:7">
      <c r="A94" s="69" t="s">
        <v>706</v>
      </c>
      <c r="B94" s="69" t="s">
        <v>711</v>
      </c>
      <c r="C94" s="68" t="b">
        <v>1</v>
      </c>
      <c r="F94" s="71"/>
      <c r="G94" s="71">
        <v>44717.850543981483</v>
      </c>
    </row>
    <row r="95" spans="1:7">
      <c r="A95" s="69" t="s">
        <v>706</v>
      </c>
      <c r="B95" s="69" t="s">
        <v>722</v>
      </c>
      <c r="C95" s="68" t="b">
        <v>1</v>
      </c>
      <c r="F95" s="71"/>
      <c r="G95" s="71">
        <v>44717.850543981483</v>
      </c>
    </row>
    <row r="96" spans="1:7">
      <c r="A96" s="69" t="s">
        <v>706</v>
      </c>
      <c r="B96" s="69" t="s">
        <v>721</v>
      </c>
      <c r="C96" s="68" t="b">
        <v>0</v>
      </c>
      <c r="F96" s="71"/>
      <c r="G96" s="71">
        <v>44717.850543981483</v>
      </c>
    </row>
    <row r="97" spans="1:7">
      <c r="A97" s="69" t="s">
        <v>706</v>
      </c>
      <c r="B97" s="69" t="s">
        <v>710</v>
      </c>
      <c r="C97" s="68" t="b">
        <v>0</v>
      </c>
      <c r="F97" s="71"/>
      <c r="G97" s="71">
        <v>44717.850543981483</v>
      </c>
    </row>
    <row r="98" spans="1:7">
      <c r="A98" s="69" t="s">
        <v>706</v>
      </c>
      <c r="B98" s="69" t="s">
        <v>720</v>
      </c>
      <c r="C98" s="68" t="b">
        <v>0</v>
      </c>
      <c r="F98" s="71"/>
      <c r="G98" s="71">
        <v>44717.850543981483</v>
      </c>
    </row>
    <row r="99" spans="1:7">
      <c r="A99" s="69" t="s">
        <v>706</v>
      </c>
      <c r="B99" s="69" t="s">
        <v>718</v>
      </c>
      <c r="C99" s="68" t="b">
        <v>1</v>
      </c>
      <c r="F99" s="71"/>
      <c r="G99" s="71">
        <v>44717.850543981483</v>
      </c>
    </row>
    <row r="100" spans="1:7">
      <c r="A100" s="69" t="s">
        <v>706</v>
      </c>
      <c r="B100" s="69" t="s">
        <v>719</v>
      </c>
      <c r="C100" s="68" t="b">
        <v>0</v>
      </c>
      <c r="F100" s="71"/>
      <c r="G100" s="71">
        <v>44717.850543981483</v>
      </c>
    </row>
    <row r="101" spans="1:7">
      <c r="A101" s="69" t="s">
        <v>706</v>
      </c>
      <c r="B101" s="69" t="s">
        <v>714</v>
      </c>
      <c r="C101" s="68" t="b">
        <v>0</v>
      </c>
      <c r="F101" s="71"/>
      <c r="G101" s="71">
        <v>44717.850543981483</v>
      </c>
    </row>
    <row r="102" spans="1:7">
      <c r="A102" s="69" t="s">
        <v>706</v>
      </c>
      <c r="B102" s="69" t="s">
        <v>709</v>
      </c>
      <c r="C102" s="68" t="b">
        <v>0</v>
      </c>
      <c r="F102" s="71"/>
      <c r="G102" s="71">
        <v>44717.850543981483</v>
      </c>
    </row>
    <row r="103" spans="1:7">
      <c r="A103" s="69" t="s">
        <v>706</v>
      </c>
      <c r="B103" s="69" t="s">
        <v>708</v>
      </c>
      <c r="C103" s="68" t="b">
        <v>0</v>
      </c>
      <c r="F103" s="71"/>
      <c r="G103" s="71">
        <v>44717.850543981483</v>
      </c>
    </row>
    <row r="104" spans="1:7">
      <c r="A104" s="69" t="s">
        <v>706</v>
      </c>
      <c r="B104" s="69" t="s">
        <v>707</v>
      </c>
      <c r="C104" s="68" t="b">
        <v>0</v>
      </c>
      <c r="F104" s="71"/>
      <c r="G104" s="71">
        <v>44717.850543981483</v>
      </c>
    </row>
    <row r="105" spans="1:7">
      <c r="A105" s="69" t="s">
        <v>706</v>
      </c>
      <c r="B105" s="69" t="s">
        <v>716</v>
      </c>
      <c r="C105" s="68">
        <v>0</v>
      </c>
      <c r="F105" s="71"/>
      <c r="G105" s="71">
        <v>44717.850543981483</v>
      </c>
    </row>
    <row r="106" spans="1:7">
      <c r="A106" s="69" t="s">
        <v>706</v>
      </c>
      <c r="B106" s="69" t="s">
        <v>715</v>
      </c>
      <c r="C106" s="68">
        <v>80</v>
      </c>
      <c r="F106" s="71"/>
      <c r="G106" s="71">
        <v>44717.850543981483</v>
      </c>
    </row>
    <row r="107" spans="1:7">
      <c r="A107" s="69" t="s">
        <v>706</v>
      </c>
      <c r="B107" s="69" t="s">
        <v>717</v>
      </c>
      <c r="F107" s="71"/>
      <c r="G107" s="71">
        <v>44717.850543981483</v>
      </c>
    </row>
    <row r="108" spans="1:7">
      <c r="A108" s="69" t="s">
        <v>706</v>
      </c>
      <c r="B108" s="69" t="s">
        <v>712</v>
      </c>
      <c r="C108" s="70">
        <v>44562</v>
      </c>
      <c r="F108" s="71"/>
      <c r="G108" s="71">
        <v>44717.850543981483</v>
      </c>
    </row>
    <row r="109" spans="1:7">
      <c r="A109" s="69" t="s">
        <v>706</v>
      </c>
      <c r="B109" s="69" t="s">
        <v>713</v>
      </c>
      <c r="C109" s="70">
        <v>44199</v>
      </c>
      <c r="F109" s="71"/>
      <c r="G109" s="71">
        <v>44717.850543981483</v>
      </c>
    </row>
  </sheetData>
  <sortState ref="A54:AB93">
    <sortCondition ref="A54:A93"/>
    <sortCondition ref="B54:B93"/>
  </sortState>
  <phoneticPr fontId="16" type="noConversion"/>
  <hyperlinks>
    <hyperlink ref="C6" r:id="rId1"/>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12</vt:i4>
      </vt:variant>
      <vt:variant>
        <vt:lpstr>이름이 지정된 범위</vt:lpstr>
      </vt:variant>
      <vt:variant>
        <vt:i4>34</vt:i4>
      </vt:variant>
    </vt:vector>
  </HeadingPairs>
  <TitlesOfParts>
    <vt:vector size="46" baseType="lpstr">
      <vt:lpstr>표지</vt:lpstr>
      <vt:lpstr>개정이력</vt:lpstr>
      <vt:lpstr>Schedule</vt:lpstr>
      <vt:lpstr>(참조)</vt:lpstr>
      <vt:lpstr>(비중)</vt:lpstr>
      <vt:lpstr>(상세진척)</vt:lpstr>
      <vt:lpstr>Progress</vt:lpstr>
      <vt:lpstr>AnalysisReport</vt:lpstr>
      <vt:lpstr>Calendar</vt:lpstr>
      <vt:lpstr>TranslatedLanguages</vt:lpstr>
      <vt:lpstr>Workload</vt:lpstr>
      <vt:lpstr>Help</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2022-06-05T11:24:31Z</cp:lastPrinted>
  <dcterms:created xsi:type="dcterms:W3CDTF">2018-02-18T09:45:14Z</dcterms:created>
  <dcterms:modified xsi:type="dcterms:W3CDTF">2026-02-09T01:58:40Z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asoo_Trace_ID">
    <vt:lpwstr>eyAibm9kZUNvdW50IjogNCwgIm5vZGUxIiA6IHsiZHNkIjoiMDEwMDAwMDAwMDAwMjEwMyIsImxvZ1RpbWUiOiIyMDI1LTAyLTE3VDAzOjUxOjIzWiIsInBJRCI6MSwicHJvY2Vzc0lkIjoxODQwNCwicHJvY2Vzc05hbWUiOiJFWENFTC5FWEUiLCJ0cmFjZUlkIjoiQTI4MUE2MTZGQjZENDRFRDhGQjE2RTEzNzhDRTJFOTQiLCJ1c2VyQ29</vt:lpwstr>
  </property>
  <property fmtid="{D5CDD505-2E9C-101B-9397-08002B2CF9AE}" pid="3" name="MSIP_Label_d132b298-d092-4ba9-a1be-2a4de4a74ea4_Enabled">
    <vt:lpwstr>true</vt:lpwstr>
  </property>
  <property fmtid="{D5CDD505-2E9C-101B-9397-08002B2CF9AE}" pid="4" name="MSIP_Label_d132b298-d092-4ba9-a1be-2a4de4a74ea4_SetDate">
    <vt:lpwstr>2025-02-20T01:19:32Z</vt:lpwstr>
  </property>
  <property fmtid="{D5CDD505-2E9C-101B-9397-08002B2CF9AE}" pid="5" name="MSIP_Label_d132b298-d092-4ba9-a1be-2a4de4a74ea4_Method">
    <vt:lpwstr>Privileged</vt:lpwstr>
  </property>
  <property fmtid="{D5CDD505-2E9C-101B-9397-08002B2CF9AE}" pid="6" name="MSIP_Label_d132b298-d092-4ba9-a1be-2a4de4a74ea4_Name">
    <vt:lpwstr>평문화</vt:lpwstr>
  </property>
  <property fmtid="{D5CDD505-2E9C-101B-9397-08002B2CF9AE}" pid="7" name="MSIP_Label_d132b298-d092-4ba9-a1be-2a4de4a74ea4_SiteId">
    <vt:lpwstr>ee6af5c5-684f-4539-9eb6-64793af08027</vt:lpwstr>
  </property>
  <property fmtid="{D5CDD505-2E9C-101B-9397-08002B2CF9AE}" pid="8" name="MSIP_Label_d132b298-d092-4ba9-a1be-2a4de4a74ea4_ActionId">
    <vt:lpwstr>f84862bd-7c6f-4b65-b566-7fe31e8a40d5</vt:lpwstr>
  </property>
  <property fmtid="{D5CDD505-2E9C-101B-9397-08002B2CF9AE}" pid="9" name="MSIP_Label_d132b298-d092-4ba9-a1be-2a4de4a74ea4_ContentBits">
    <vt:lpwstr>0</vt:lpwstr>
  </property>
</Properties>
</file>