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pa\report\scraping\"/>
    </mc:Choice>
  </mc:AlternateContent>
  <bookViews>
    <workbookView xWindow="0" yWindow="0" windowWidth="28800" windowHeight="12450" tabRatio="666" activeTab="4"/>
  </bookViews>
  <sheets>
    <sheet name="４月" sheetId="130" r:id="rId1"/>
    <sheet name="5月" sheetId="132" r:id="rId2"/>
    <sheet name="6月" sheetId="133" r:id="rId3"/>
    <sheet name="7月" sheetId="134" r:id="rId4"/>
    <sheet name="8月" sheetId="135" r:id="rId5"/>
    <sheet name="9月" sheetId="136" r:id="rId6"/>
    <sheet name="10月" sheetId="137" r:id="rId7"/>
    <sheet name="11月" sheetId="138" r:id="rId8"/>
    <sheet name="12月" sheetId="139" r:id="rId9"/>
    <sheet name="A1月" sheetId="140" r:id="rId10"/>
    <sheet name="A2月" sheetId="141" r:id="rId11"/>
    <sheet name="A3月" sheetId="142" r:id="rId12"/>
    <sheet name="祝日リスト" sheetId="131" r:id="rId13"/>
  </sheets>
  <definedNames>
    <definedName name="_xlnm.Print_Area" localSheetId="6">'10月'!$A$1:$S$61</definedName>
    <definedName name="_xlnm.Print_Area" localSheetId="7">'11月'!$A$1:$S$61</definedName>
    <definedName name="_xlnm.Print_Area" localSheetId="8">'12月'!$A$1:$S$61</definedName>
    <definedName name="_xlnm.Print_Area" localSheetId="0">'４月'!$A$1:$S$61</definedName>
    <definedName name="_xlnm.Print_Area" localSheetId="1">'5月'!$A$1:$S$61</definedName>
    <definedName name="_xlnm.Print_Area" localSheetId="2">'6月'!$A$1:$S$61</definedName>
    <definedName name="_xlnm.Print_Area" localSheetId="3">'7月'!$A$1:$S$61</definedName>
    <definedName name="_xlnm.Print_Area" localSheetId="4">'8月'!$A$1:$S$61</definedName>
    <definedName name="_xlnm.Print_Area" localSheetId="5">'9月'!$A$1:$S$61</definedName>
    <definedName name="_xlnm.Print_Area" localSheetId="9">A1月!$A$1:$S$61</definedName>
    <definedName name="_xlnm.Print_Area" localSheetId="10">A2月!$A$1:$S$61</definedName>
    <definedName name="_xlnm.Print_Area" localSheetId="11">A3月!$A$1:$S$61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130" l="1"/>
  <c r="J36" i="132" l="1"/>
  <c r="I36" i="132"/>
  <c r="G36" i="132"/>
  <c r="H36" i="132" s="1"/>
  <c r="F36" i="132"/>
  <c r="J35" i="132"/>
  <c r="I35" i="132"/>
  <c r="H35" i="132"/>
  <c r="G35" i="132"/>
  <c r="F35" i="132"/>
  <c r="J34" i="132"/>
  <c r="I34" i="132"/>
  <c r="H34" i="132"/>
  <c r="G34" i="132"/>
  <c r="F34" i="132"/>
  <c r="J33" i="132"/>
  <c r="I33" i="132"/>
  <c r="H33" i="132"/>
  <c r="G33" i="132"/>
  <c r="F33" i="132"/>
  <c r="J32" i="132"/>
  <c r="I32" i="132"/>
  <c r="G32" i="132"/>
  <c r="H32" i="132" s="1"/>
  <c r="F32" i="132"/>
  <c r="J31" i="132"/>
  <c r="I31" i="132"/>
  <c r="H31" i="132"/>
  <c r="G31" i="132"/>
  <c r="F31" i="132"/>
  <c r="J30" i="132"/>
  <c r="I30" i="132"/>
  <c r="H30" i="132"/>
  <c r="G30" i="132"/>
  <c r="F30" i="132"/>
  <c r="J29" i="132"/>
  <c r="I29" i="132"/>
  <c r="G29" i="132"/>
  <c r="H29" i="132" s="1"/>
  <c r="F29" i="132"/>
  <c r="J28" i="132"/>
  <c r="I28" i="132"/>
  <c r="G28" i="132"/>
  <c r="H28" i="132" s="1"/>
  <c r="F28" i="132"/>
  <c r="J27" i="132"/>
  <c r="I27" i="132"/>
  <c r="H27" i="132"/>
  <c r="G27" i="132"/>
  <c r="F27" i="132"/>
  <c r="J26" i="132"/>
  <c r="I26" i="132"/>
  <c r="H26" i="132"/>
  <c r="G26" i="132"/>
  <c r="F26" i="132"/>
  <c r="J25" i="132"/>
  <c r="I25" i="132"/>
  <c r="G25" i="132"/>
  <c r="H25" i="132" s="1"/>
  <c r="F25" i="132"/>
  <c r="J24" i="132"/>
  <c r="I24" i="132"/>
  <c r="G24" i="132"/>
  <c r="H24" i="132" s="1"/>
  <c r="F24" i="132"/>
  <c r="J23" i="132"/>
  <c r="I23" i="132"/>
  <c r="H23" i="132"/>
  <c r="G23" i="132"/>
  <c r="F23" i="132"/>
  <c r="J22" i="132"/>
  <c r="I22" i="132"/>
  <c r="H22" i="132"/>
  <c r="G22" i="132"/>
  <c r="F22" i="132"/>
  <c r="J21" i="132"/>
  <c r="I21" i="132"/>
  <c r="G21" i="132"/>
  <c r="H21" i="132" s="1"/>
  <c r="F21" i="132"/>
  <c r="J20" i="132"/>
  <c r="I20" i="132"/>
  <c r="G20" i="132"/>
  <c r="H20" i="132" s="1"/>
  <c r="F20" i="132"/>
  <c r="J19" i="132"/>
  <c r="I19" i="132"/>
  <c r="H19" i="132"/>
  <c r="G19" i="132"/>
  <c r="F19" i="132"/>
  <c r="J18" i="132"/>
  <c r="I18" i="132"/>
  <c r="H18" i="132"/>
  <c r="G18" i="132"/>
  <c r="F18" i="132"/>
  <c r="J17" i="132"/>
  <c r="I17" i="132"/>
  <c r="G17" i="132"/>
  <c r="H17" i="132" s="1"/>
  <c r="F17" i="132"/>
  <c r="J16" i="132"/>
  <c r="I16" i="132"/>
  <c r="G16" i="132"/>
  <c r="H16" i="132" s="1"/>
  <c r="F16" i="132"/>
  <c r="J15" i="132"/>
  <c r="I15" i="132"/>
  <c r="H15" i="132"/>
  <c r="G15" i="132"/>
  <c r="F15" i="132"/>
  <c r="J14" i="132"/>
  <c r="I14" i="132"/>
  <c r="H14" i="132"/>
  <c r="G14" i="132"/>
  <c r="F14" i="132"/>
  <c r="J13" i="132"/>
  <c r="I13" i="132"/>
  <c r="G13" i="132"/>
  <c r="H13" i="132" s="1"/>
  <c r="F13" i="132"/>
  <c r="J12" i="132"/>
  <c r="I12" i="132"/>
  <c r="G12" i="132"/>
  <c r="H12" i="132" s="1"/>
  <c r="F12" i="132"/>
  <c r="J11" i="132"/>
  <c r="I11" i="132"/>
  <c r="H11" i="132"/>
  <c r="G11" i="132"/>
  <c r="F11" i="132"/>
  <c r="J10" i="132"/>
  <c r="I10" i="132"/>
  <c r="H10" i="132"/>
  <c r="G10" i="132"/>
  <c r="F10" i="132"/>
  <c r="J9" i="132"/>
  <c r="I9" i="132"/>
  <c r="G9" i="132"/>
  <c r="H9" i="132" s="1"/>
  <c r="F9" i="132"/>
  <c r="J8" i="132"/>
  <c r="I8" i="132"/>
  <c r="G8" i="132"/>
  <c r="H8" i="132" s="1"/>
  <c r="F8" i="132"/>
  <c r="J7" i="132"/>
  <c r="I7" i="132"/>
  <c r="H7" i="132"/>
  <c r="G7" i="132"/>
  <c r="F7" i="132"/>
  <c r="J6" i="132"/>
  <c r="I6" i="132"/>
  <c r="H6" i="132"/>
  <c r="G6" i="132"/>
  <c r="F6" i="132"/>
  <c r="J36" i="133"/>
  <c r="I36" i="133"/>
  <c r="G36" i="133"/>
  <c r="H36" i="133" s="1"/>
  <c r="F36" i="133"/>
  <c r="J35" i="133"/>
  <c r="I35" i="133"/>
  <c r="G35" i="133"/>
  <c r="H35" i="133" s="1"/>
  <c r="F35" i="133"/>
  <c r="J34" i="133"/>
  <c r="I34" i="133"/>
  <c r="H34" i="133"/>
  <c r="G34" i="133"/>
  <c r="F34" i="133"/>
  <c r="J33" i="133"/>
  <c r="I33" i="133"/>
  <c r="H33" i="133"/>
  <c r="G33" i="133"/>
  <c r="F33" i="133"/>
  <c r="J32" i="133"/>
  <c r="I32" i="133"/>
  <c r="G32" i="133"/>
  <c r="H32" i="133" s="1"/>
  <c r="F32" i="133"/>
  <c r="J31" i="133"/>
  <c r="I31" i="133"/>
  <c r="G31" i="133"/>
  <c r="H31" i="133" s="1"/>
  <c r="F31" i="133"/>
  <c r="J30" i="133"/>
  <c r="I30" i="133"/>
  <c r="H30" i="133"/>
  <c r="G30" i="133"/>
  <c r="F30" i="133"/>
  <c r="J29" i="133"/>
  <c r="I29" i="133"/>
  <c r="H29" i="133"/>
  <c r="G29" i="133"/>
  <c r="F29" i="133"/>
  <c r="J28" i="133"/>
  <c r="I28" i="133"/>
  <c r="G28" i="133"/>
  <c r="H28" i="133" s="1"/>
  <c r="F28" i="133"/>
  <c r="J27" i="133"/>
  <c r="I27" i="133"/>
  <c r="G27" i="133"/>
  <c r="H27" i="133" s="1"/>
  <c r="F27" i="133"/>
  <c r="J26" i="133"/>
  <c r="I26" i="133"/>
  <c r="H26" i="133"/>
  <c r="G26" i="133"/>
  <c r="F26" i="133"/>
  <c r="J25" i="133"/>
  <c r="I25" i="133"/>
  <c r="H25" i="133"/>
  <c r="G25" i="133"/>
  <c r="F25" i="133"/>
  <c r="J24" i="133"/>
  <c r="I24" i="133"/>
  <c r="G24" i="133"/>
  <c r="H24" i="133" s="1"/>
  <c r="F24" i="133"/>
  <c r="J23" i="133"/>
  <c r="I23" i="133"/>
  <c r="G23" i="133"/>
  <c r="H23" i="133" s="1"/>
  <c r="F23" i="133"/>
  <c r="J22" i="133"/>
  <c r="I22" i="133"/>
  <c r="H22" i="133"/>
  <c r="G22" i="133"/>
  <c r="F22" i="133"/>
  <c r="J21" i="133"/>
  <c r="I21" i="133"/>
  <c r="H21" i="133"/>
  <c r="G21" i="133"/>
  <c r="F21" i="133"/>
  <c r="J20" i="133"/>
  <c r="I20" i="133"/>
  <c r="G20" i="133"/>
  <c r="H20" i="133" s="1"/>
  <c r="F20" i="133"/>
  <c r="J19" i="133"/>
  <c r="I19" i="133"/>
  <c r="G19" i="133"/>
  <c r="H19" i="133" s="1"/>
  <c r="F19" i="133"/>
  <c r="J18" i="133"/>
  <c r="I18" i="133"/>
  <c r="H18" i="133"/>
  <c r="G18" i="133"/>
  <c r="F18" i="133"/>
  <c r="J17" i="133"/>
  <c r="I17" i="133"/>
  <c r="H17" i="133"/>
  <c r="G17" i="133"/>
  <c r="F17" i="133"/>
  <c r="J16" i="133"/>
  <c r="I16" i="133"/>
  <c r="G16" i="133"/>
  <c r="H16" i="133" s="1"/>
  <c r="F16" i="133"/>
  <c r="J15" i="133"/>
  <c r="I15" i="133"/>
  <c r="G15" i="133"/>
  <c r="H15" i="133" s="1"/>
  <c r="F15" i="133"/>
  <c r="J14" i="133"/>
  <c r="I14" i="133"/>
  <c r="H14" i="133"/>
  <c r="G14" i="133"/>
  <c r="F14" i="133"/>
  <c r="J13" i="133"/>
  <c r="I13" i="133"/>
  <c r="H13" i="133"/>
  <c r="G13" i="133"/>
  <c r="F13" i="133"/>
  <c r="J12" i="133"/>
  <c r="I12" i="133"/>
  <c r="G12" i="133"/>
  <c r="H12" i="133" s="1"/>
  <c r="F12" i="133"/>
  <c r="J11" i="133"/>
  <c r="I11" i="133"/>
  <c r="G11" i="133"/>
  <c r="H11" i="133" s="1"/>
  <c r="F11" i="133"/>
  <c r="J10" i="133"/>
  <c r="I10" i="133"/>
  <c r="H10" i="133"/>
  <c r="G10" i="133"/>
  <c r="F10" i="133"/>
  <c r="J9" i="133"/>
  <c r="I9" i="133"/>
  <c r="H9" i="133"/>
  <c r="G9" i="133"/>
  <c r="F9" i="133"/>
  <c r="J8" i="133"/>
  <c r="I8" i="133"/>
  <c r="G8" i="133"/>
  <c r="H8" i="133" s="1"/>
  <c r="F8" i="133"/>
  <c r="J7" i="133"/>
  <c r="I7" i="133"/>
  <c r="G7" i="133"/>
  <c r="H7" i="133" s="1"/>
  <c r="F7" i="133"/>
  <c r="J6" i="133"/>
  <c r="I6" i="133"/>
  <c r="H6" i="133"/>
  <c r="G6" i="133"/>
  <c r="F6" i="133"/>
  <c r="J36" i="134"/>
  <c r="I36" i="134"/>
  <c r="H36" i="134"/>
  <c r="G36" i="134"/>
  <c r="F36" i="134"/>
  <c r="J35" i="134"/>
  <c r="I35" i="134"/>
  <c r="H35" i="134"/>
  <c r="G35" i="134"/>
  <c r="F35" i="134"/>
  <c r="J34" i="134"/>
  <c r="I34" i="134"/>
  <c r="G34" i="134"/>
  <c r="H34" i="134" s="1"/>
  <c r="F34" i="134"/>
  <c r="J33" i="134"/>
  <c r="I33" i="134"/>
  <c r="H33" i="134"/>
  <c r="G33" i="134"/>
  <c r="F33" i="134"/>
  <c r="J32" i="134"/>
  <c r="I32" i="134"/>
  <c r="H32" i="134"/>
  <c r="G32" i="134"/>
  <c r="F32" i="134"/>
  <c r="J31" i="134"/>
  <c r="I31" i="134"/>
  <c r="H31" i="134"/>
  <c r="G31" i="134"/>
  <c r="F31" i="134"/>
  <c r="J30" i="134"/>
  <c r="I30" i="134"/>
  <c r="G30" i="134"/>
  <c r="H30" i="134" s="1"/>
  <c r="F30" i="134"/>
  <c r="J29" i="134"/>
  <c r="I29" i="134"/>
  <c r="H29" i="134"/>
  <c r="G29" i="134"/>
  <c r="F29" i="134"/>
  <c r="J28" i="134"/>
  <c r="I28" i="134"/>
  <c r="H28" i="134"/>
  <c r="G28" i="134"/>
  <c r="F28" i="134"/>
  <c r="J27" i="134"/>
  <c r="I27" i="134"/>
  <c r="H27" i="134"/>
  <c r="G27" i="134"/>
  <c r="F27" i="134"/>
  <c r="J26" i="134"/>
  <c r="I26" i="134"/>
  <c r="G26" i="134"/>
  <c r="H26" i="134" s="1"/>
  <c r="F26" i="134"/>
  <c r="J25" i="134"/>
  <c r="I25" i="134"/>
  <c r="H25" i="134"/>
  <c r="G25" i="134"/>
  <c r="F25" i="134"/>
  <c r="J24" i="134"/>
  <c r="I24" i="134"/>
  <c r="H24" i="134"/>
  <c r="G24" i="134"/>
  <c r="F24" i="134"/>
  <c r="J23" i="134"/>
  <c r="I23" i="134"/>
  <c r="H23" i="134"/>
  <c r="G23" i="134"/>
  <c r="F23" i="134"/>
  <c r="J22" i="134"/>
  <c r="I22" i="134"/>
  <c r="G22" i="134"/>
  <c r="H22" i="134" s="1"/>
  <c r="F22" i="134"/>
  <c r="J21" i="134"/>
  <c r="I21" i="134"/>
  <c r="H21" i="134"/>
  <c r="G21" i="134"/>
  <c r="F21" i="134"/>
  <c r="J20" i="134"/>
  <c r="I20" i="134"/>
  <c r="H20" i="134"/>
  <c r="G20" i="134"/>
  <c r="F20" i="134"/>
  <c r="J19" i="134"/>
  <c r="I19" i="134"/>
  <c r="G19" i="134"/>
  <c r="H19" i="134" s="1"/>
  <c r="F19" i="134"/>
  <c r="J18" i="134"/>
  <c r="I18" i="134"/>
  <c r="G18" i="134"/>
  <c r="H18" i="134" s="1"/>
  <c r="F18" i="134"/>
  <c r="J17" i="134"/>
  <c r="I17" i="134"/>
  <c r="H17" i="134"/>
  <c r="G17" i="134"/>
  <c r="F17" i="134"/>
  <c r="J16" i="134"/>
  <c r="I16" i="134"/>
  <c r="H16" i="134"/>
  <c r="G16" i="134"/>
  <c r="F16" i="134"/>
  <c r="J15" i="134"/>
  <c r="I15" i="134"/>
  <c r="G15" i="134"/>
  <c r="H15" i="134" s="1"/>
  <c r="F15" i="134"/>
  <c r="J14" i="134"/>
  <c r="I14" i="134"/>
  <c r="G14" i="134"/>
  <c r="H14" i="134" s="1"/>
  <c r="F14" i="134"/>
  <c r="J13" i="134"/>
  <c r="I13" i="134"/>
  <c r="H13" i="134"/>
  <c r="G13" i="134"/>
  <c r="F13" i="134"/>
  <c r="J12" i="134"/>
  <c r="I12" i="134"/>
  <c r="H12" i="134"/>
  <c r="G12" i="134"/>
  <c r="F12" i="134"/>
  <c r="J11" i="134"/>
  <c r="I11" i="134"/>
  <c r="G11" i="134"/>
  <c r="H11" i="134" s="1"/>
  <c r="F11" i="134"/>
  <c r="J10" i="134"/>
  <c r="I10" i="134"/>
  <c r="G10" i="134"/>
  <c r="H10" i="134" s="1"/>
  <c r="F10" i="134"/>
  <c r="J9" i="134"/>
  <c r="I9" i="134"/>
  <c r="H9" i="134"/>
  <c r="G9" i="134"/>
  <c r="F9" i="134"/>
  <c r="J8" i="134"/>
  <c r="I8" i="134"/>
  <c r="H8" i="134"/>
  <c r="G8" i="134"/>
  <c r="F8" i="134"/>
  <c r="J7" i="134"/>
  <c r="I7" i="134"/>
  <c r="H7" i="134"/>
  <c r="G7" i="134"/>
  <c r="F7" i="134"/>
  <c r="J6" i="134"/>
  <c r="I6" i="134"/>
  <c r="G6" i="134"/>
  <c r="H6" i="134" s="1"/>
  <c r="F6" i="134"/>
  <c r="J36" i="135"/>
  <c r="I36" i="135"/>
  <c r="F36" i="135"/>
  <c r="J35" i="135"/>
  <c r="I35" i="135"/>
  <c r="F35" i="135"/>
  <c r="J34" i="135"/>
  <c r="I34" i="135"/>
  <c r="F34" i="135"/>
  <c r="J33" i="135"/>
  <c r="I33" i="135"/>
  <c r="G33" i="135"/>
  <c r="H33" i="135" s="1"/>
  <c r="F33" i="135"/>
  <c r="J32" i="135"/>
  <c r="I32" i="135"/>
  <c r="H32" i="135"/>
  <c r="G32" i="135"/>
  <c r="F32" i="135"/>
  <c r="J31" i="135"/>
  <c r="I31" i="135"/>
  <c r="F31" i="135"/>
  <c r="J30" i="135"/>
  <c r="I30" i="135"/>
  <c r="F30" i="135"/>
  <c r="J29" i="135"/>
  <c r="I29" i="135"/>
  <c r="F29" i="135"/>
  <c r="J28" i="135"/>
  <c r="I28" i="135"/>
  <c r="F28" i="135"/>
  <c r="J27" i="135"/>
  <c r="I27" i="135"/>
  <c r="F27" i="135"/>
  <c r="J26" i="135"/>
  <c r="I26" i="135"/>
  <c r="G26" i="135"/>
  <c r="H26" i="135" s="1"/>
  <c r="F26" i="135"/>
  <c r="J25" i="135"/>
  <c r="I25" i="135"/>
  <c r="G25" i="135"/>
  <c r="H25" i="135" s="1"/>
  <c r="F25" i="135"/>
  <c r="J24" i="135"/>
  <c r="I24" i="135"/>
  <c r="J23" i="135"/>
  <c r="I23" i="135"/>
  <c r="F23" i="135"/>
  <c r="J22" i="135"/>
  <c r="I22" i="135"/>
  <c r="F22" i="135"/>
  <c r="J21" i="135"/>
  <c r="I21" i="135"/>
  <c r="F21" i="135"/>
  <c r="J20" i="135"/>
  <c r="I20" i="135"/>
  <c r="F20" i="135"/>
  <c r="J19" i="135"/>
  <c r="I19" i="135"/>
  <c r="H19" i="135"/>
  <c r="G19" i="135"/>
  <c r="F19" i="135"/>
  <c r="J18" i="135"/>
  <c r="I18" i="135"/>
  <c r="H18" i="135"/>
  <c r="G18" i="135"/>
  <c r="F18" i="135"/>
  <c r="J17" i="135"/>
  <c r="I17" i="135"/>
  <c r="J16" i="135"/>
  <c r="I16" i="135"/>
  <c r="H16" i="135"/>
  <c r="G16" i="135"/>
  <c r="F16" i="135"/>
  <c r="J15" i="135"/>
  <c r="I15" i="135"/>
  <c r="F15" i="135"/>
  <c r="J14" i="135"/>
  <c r="I14" i="135"/>
  <c r="F14" i="135"/>
  <c r="J13" i="135"/>
  <c r="I13" i="135"/>
  <c r="F13" i="135"/>
  <c r="J12" i="135"/>
  <c r="I12" i="135"/>
  <c r="H12" i="135"/>
  <c r="G12" i="135"/>
  <c r="F12" i="135"/>
  <c r="J11" i="135"/>
  <c r="I11" i="135"/>
  <c r="H11" i="135"/>
  <c r="G11" i="135"/>
  <c r="F11" i="135"/>
  <c r="J10" i="135"/>
  <c r="I10" i="135"/>
  <c r="F10" i="135"/>
  <c r="J9" i="135"/>
  <c r="I9" i="135"/>
  <c r="F9" i="135"/>
  <c r="J8" i="135"/>
  <c r="I8" i="135"/>
  <c r="F8" i="135"/>
  <c r="J7" i="135"/>
  <c r="I7" i="135"/>
  <c r="F7" i="135"/>
  <c r="J6" i="135"/>
  <c r="I6" i="135"/>
  <c r="F6" i="135"/>
  <c r="J36" i="136"/>
  <c r="I36" i="136"/>
  <c r="G36" i="136"/>
  <c r="H36" i="136" s="1"/>
  <c r="F36" i="136"/>
  <c r="J35" i="136"/>
  <c r="I35" i="136"/>
  <c r="H35" i="136"/>
  <c r="G35" i="136"/>
  <c r="F35" i="136"/>
  <c r="J34" i="136"/>
  <c r="I34" i="136"/>
  <c r="H34" i="136"/>
  <c r="G34" i="136"/>
  <c r="F34" i="136"/>
  <c r="J33" i="136"/>
  <c r="I33" i="136"/>
  <c r="G33" i="136"/>
  <c r="H33" i="136" s="1"/>
  <c r="F33" i="136"/>
  <c r="J32" i="136"/>
  <c r="I32" i="136"/>
  <c r="G32" i="136"/>
  <c r="H32" i="136" s="1"/>
  <c r="F32" i="136"/>
  <c r="J31" i="136"/>
  <c r="I31" i="136"/>
  <c r="H31" i="136"/>
  <c r="G31" i="136"/>
  <c r="F31" i="136"/>
  <c r="J30" i="136"/>
  <c r="I30" i="136"/>
  <c r="H30" i="136"/>
  <c r="G30" i="136"/>
  <c r="F30" i="136"/>
  <c r="J29" i="136"/>
  <c r="I29" i="136"/>
  <c r="H29" i="136"/>
  <c r="G29" i="136"/>
  <c r="F29" i="136"/>
  <c r="J28" i="136"/>
  <c r="I28" i="136"/>
  <c r="G28" i="136"/>
  <c r="H28" i="136" s="1"/>
  <c r="F28" i="136"/>
  <c r="J27" i="136"/>
  <c r="I27" i="136"/>
  <c r="H27" i="136"/>
  <c r="G27" i="136"/>
  <c r="F27" i="136"/>
  <c r="J26" i="136"/>
  <c r="I26" i="136"/>
  <c r="H26" i="136"/>
  <c r="G26" i="136"/>
  <c r="F26" i="136"/>
  <c r="J25" i="136"/>
  <c r="I25" i="136"/>
  <c r="H25" i="136"/>
  <c r="G25" i="136"/>
  <c r="F25" i="136"/>
  <c r="J24" i="136"/>
  <c r="I24" i="136"/>
  <c r="G24" i="136"/>
  <c r="H24" i="136" s="1"/>
  <c r="F24" i="136"/>
  <c r="J23" i="136"/>
  <c r="I23" i="136"/>
  <c r="H23" i="136"/>
  <c r="G23" i="136"/>
  <c r="F23" i="136"/>
  <c r="J22" i="136"/>
  <c r="I22" i="136"/>
  <c r="H22" i="136"/>
  <c r="G22" i="136"/>
  <c r="F22" i="136"/>
  <c r="J21" i="136"/>
  <c r="I21" i="136"/>
  <c r="H21" i="136"/>
  <c r="G21" i="136"/>
  <c r="F21" i="136"/>
  <c r="J20" i="136"/>
  <c r="I20" i="136"/>
  <c r="G20" i="136"/>
  <c r="H20" i="136" s="1"/>
  <c r="F20" i="136"/>
  <c r="J19" i="136"/>
  <c r="I19" i="136"/>
  <c r="H19" i="136"/>
  <c r="G19" i="136"/>
  <c r="F19" i="136"/>
  <c r="J18" i="136"/>
  <c r="I18" i="136"/>
  <c r="H18" i="136"/>
  <c r="G18" i="136"/>
  <c r="F18" i="136"/>
  <c r="J17" i="136"/>
  <c r="I17" i="136"/>
  <c r="H17" i="136"/>
  <c r="G17" i="136"/>
  <c r="F17" i="136"/>
  <c r="J16" i="136"/>
  <c r="I16" i="136"/>
  <c r="G16" i="136"/>
  <c r="H16" i="136" s="1"/>
  <c r="F16" i="136"/>
  <c r="J15" i="136"/>
  <c r="I15" i="136"/>
  <c r="H15" i="136"/>
  <c r="G15" i="136"/>
  <c r="F15" i="136"/>
  <c r="J14" i="136"/>
  <c r="I14" i="136"/>
  <c r="H14" i="136"/>
  <c r="G14" i="136"/>
  <c r="F14" i="136"/>
  <c r="J13" i="136"/>
  <c r="I13" i="136"/>
  <c r="G13" i="136"/>
  <c r="H13" i="136" s="1"/>
  <c r="F13" i="136"/>
  <c r="J12" i="136"/>
  <c r="I12" i="136"/>
  <c r="G12" i="136"/>
  <c r="H12" i="136" s="1"/>
  <c r="F12" i="136"/>
  <c r="J11" i="136"/>
  <c r="I11" i="136"/>
  <c r="H11" i="136"/>
  <c r="G11" i="136"/>
  <c r="F11" i="136"/>
  <c r="J10" i="136"/>
  <c r="I10" i="136"/>
  <c r="H10" i="136"/>
  <c r="G10" i="136"/>
  <c r="F10" i="136"/>
  <c r="J9" i="136"/>
  <c r="I9" i="136"/>
  <c r="G9" i="136"/>
  <c r="H9" i="136" s="1"/>
  <c r="F9" i="136"/>
  <c r="J8" i="136"/>
  <c r="I8" i="136"/>
  <c r="G8" i="136"/>
  <c r="H8" i="136" s="1"/>
  <c r="F8" i="136"/>
  <c r="J7" i="136"/>
  <c r="I7" i="136"/>
  <c r="H7" i="136"/>
  <c r="G7" i="136"/>
  <c r="F7" i="136"/>
  <c r="J6" i="136"/>
  <c r="I6" i="136"/>
  <c r="H6" i="136"/>
  <c r="G6" i="136"/>
  <c r="F6" i="136"/>
  <c r="J36" i="137"/>
  <c r="I36" i="137"/>
  <c r="G36" i="137"/>
  <c r="H36" i="137" s="1"/>
  <c r="F36" i="137"/>
  <c r="J35" i="137"/>
  <c r="I35" i="137"/>
  <c r="G35" i="137"/>
  <c r="H35" i="137" s="1"/>
  <c r="F35" i="137"/>
  <c r="J34" i="137"/>
  <c r="I34" i="137"/>
  <c r="H34" i="137"/>
  <c r="G34" i="137"/>
  <c r="F34" i="137"/>
  <c r="J33" i="137"/>
  <c r="I33" i="137"/>
  <c r="H33" i="137"/>
  <c r="G33" i="137"/>
  <c r="F33" i="137"/>
  <c r="J32" i="137"/>
  <c r="I32" i="137"/>
  <c r="G32" i="137"/>
  <c r="H32" i="137" s="1"/>
  <c r="F32" i="137"/>
  <c r="J31" i="137"/>
  <c r="I31" i="137"/>
  <c r="G31" i="137"/>
  <c r="H31" i="137" s="1"/>
  <c r="F31" i="137"/>
  <c r="J30" i="137"/>
  <c r="I30" i="137"/>
  <c r="H30" i="137"/>
  <c r="G30" i="137"/>
  <c r="F30" i="137"/>
  <c r="J29" i="137"/>
  <c r="I29" i="137"/>
  <c r="H29" i="137"/>
  <c r="G29" i="137"/>
  <c r="F29" i="137"/>
  <c r="J28" i="137"/>
  <c r="I28" i="137"/>
  <c r="G28" i="137"/>
  <c r="H28" i="137" s="1"/>
  <c r="F28" i="137"/>
  <c r="J27" i="137"/>
  <c r="I27" i="137"/>
  <c r="G27" i="137"/>
  <c r="H27" i="137" s="1"/>
  <c r="F27" i="137"/>
  <c r="J26" i="137"/>
  <c r="I26" i="137"/>
  <c r="H26" i="137"/>
  <c r="G26" i="137"/>
  <c r="F26" i="137"/>
  <c r="J25" i="137"/>
  <c r="I25" i="137"/>
  <c r="H25" i="137"/>
  <c r="G25" i="137"/>
  <c r="F25" i="137"/>
  <c r="J24" i="137"/>
  <c r="I24" i="137"/>
  <c r="G24" i="137"/>
  <c r="H24" i="137" s="1"/>
  <c r="F24" i="137"/>
  <c r="J23" i="137"/>
  <c r="I23" i="137"/>
  <c r="G23" i="137"/>
  <c r="H23" i="137" s="1"/>
  <c r="F23" i="137"/>
  <c r="J22" i="137"/>
  <c r="I22" i="137"/>
  <c r="H22" i="137"/>
  <c r="G22" i="137"/>
  <c r="F22" i="137"/>
  <c r="J21" i="137"/>
  <c r="I21" i="137"/>
  <c r="H21" i="137"/>
  <c r="G21" i="137"/>
  <c r="F21" i="137"/>
  <c r="J20" i="137"/>
  <c r="I20" i="137"/>
  <c r="G20" i="137"/>
  <c r="H20" i="137" s="1"/>
  <c r="F20" i="137"/>
  <c r="J19" i="137"/>
  <c r="I19" i="137"/>
  <c r="G19" i="137"/>
  <c r="H19" i="137" s="1"/>
  <c r="F19" i="137"/>
  <c r="J18" i="137"/>
  <c r="I18" i="137"/>
  <c r="H18" i="137"/>
  <c r="G18" i="137"/>
  <c r="F18" i="137"/>
  <c r="J17" i="137"/>
  <c r="I17" i="137"/>
  <c r="H17" i="137"/>
  <c r="G17" i="137"/>
  <c r="F17" i="137"/>
  <c r="J16" i="137"/>
  <c r="I16" i="137"/>
  <c r="G16" i="137"/>
  <c r="H16" i="137" s="1"/>
  <c r="F16" i="137"/>
  <c r="J15" i="137"/>
  <c r="I15" i="137"/>
  <c r="G15" i="137"/>
  <c r="H15" i="137" s="1"/>
  <c r="F15" i="137"/>
  <c r="J14" i="137"/>
  <c r="I14" i="137"/>
  <c r="H14" i="137"/>
  <c r="G14" i="137"/>
  <c r="F14" i="137"/>
  <c r="J13" i="137"/>
  <c r="I13" i="137"/>
  <c r="H13" i="137"/>
  <c r="G13" i="137"/>
  <c r="F13" i="137"/>
  <c r="J12" i="137"/>
  <c r="I12" i="137"/>
  <c r="G12" i="137"/>
  <c r="H12" i="137" s="1"/>
  <c r="F12" i="137"/>
  <c r="J11" i="137"/>
  <c r="I11" i="137"/>
  <c r="G11" i="137"/>
  <c r="H11" i="137" s="1"/>
  <c r="F11" i="137"/>
  <c r="J10" i="137"/>
  <c r="I10" i="137"/>
  <c r="H10" i="137"/>
  <c r="G10" i="137"/>
  <c r="F10" i="137"/>
  <c r="J9" i="137"/>
  <c r="I9" i="137"/>
  <c r="H9" i="137"/>
  <c r="G9" i="137"/>
  <c r="F9" i="137"/>
  <c r="J8" i="137"/>
  <c r="I8" i="137"/>
  <c r="G8" i="137"/>
  <c r="H8" i="137" s="1"/>
  <c r="F8" i="137"/>
  <c r="J7" i="137"/>
  <c r="I7" i="137"/>
  <c r="G7" i="137"/>
  <c r="H7" i="137" s="1"/>
  <c r="F7" i="137"/>
  <c r="J6" i="137"/>
  <c r="I6" i="137"/>
  <c r="H6" i="137"/>
  <c r="G6" i="137"/>
  <c r="F6" i="137"/>
  <c r="J36" i="138"/>
  <c r="I36" i="138"/>
  <c r="H36" i="138"/>
  <c r="G36" i="138"/>
  <c r="F36" i="138"/>
  <c r="J35" i="138"/>
  <c r="I35" i="138"/>
  <c r="G35" i="138"/>
  <c r="H35" i="138" s="1"/>
  <c r="F35" i="138"/>
  <c r="J34" i="138"/>
  <c r="I34" i="138"/>
  <c r="G34" i="138"/>
  <c r="H34" i="138" s="1"/>
  <c r="F34" i="138"/>
  <c r="J33" i="138"/>
  <c r="I33" i="138"/>
  <c r="H33" i="138"/>
  <c r="G33" i="138"/>
  <c r="F33" i="138"/>
  <c r="J32" i="138"/>
  <c r="I32" i="138"/>
  <c r="H32" i="138"/>
  <c r="G32" i="138"/>
  <c r="F32" i="138"/>
  <c r="J31" i="138"/>
  <c r="I31" i="138"/>
  <c r="H31" i="138"/>
  <c r="G31" i="138"/>
  <c r="F31" i="138"/>
  <c r="J30" i="138"/>
  <c r="I30" i="138"/>
  <c r="G30" i="138"/>
  <c r="H30" i="138" s="1"/>
  <c r="F30" i="138"/>
  <c r="J29" i="138"/>
  <c r="I29" i="138"/>
  <c r="H29" i="138"/>
  <c r="G29" i="138"/>
  <c r="F29" i="138"/>
  <c r="J28" i="138"/>
  <c r="I28" i="138"/>
  <c r="H28" i="138"/>
  <c r="G28" i="138"/>
  <c r="F28" i="138"/>
  <c r="J27" i="138"/>
  <c r="I27" i="138"/>
  <c r="H27" i="138"/>
  <c r="G27" i="138"/>
  <c r="F27" i="138"/>
  <c r="J26" i="138"/>
  <c r="I26" i="138"/>
  <c r="G26" i="138"/>
  <c r="H26" i="138" s="1"/>
  <c r="F26" i="138"/>
  <c r="J25" i="138"/>
  <c r="I25" i="138"/>
  <c r="H25" i="138"/>
  <c r="G25" i="138"/>
  <c r="F25" i="138"/>
  <c r="J24" i="138"/>
  <c r="I24" i="138"/>
  <c r="H24" i="138"/>
  <c r="G24" i="138"/>
  <c r="F24" i="138"/>
  <c r="J23" i="138"/>
  <c r="I23" i="138"/>
  <c r="H23" i="138"/>
  <c r="G23" i="138"/>
  <c r="F23" i="138"/>
  <c r="J22" i="138"/>
  <c r="I22" i="138"/>
  <c r="G22" i="138"/>
  <c r="H22" i="138" s="1"/>
  <c r="F22" i="138"/>
  <c r="J21" i="138"/>
  <c r="I21" i="138"/>
  <c r="H21" i="138"/>
  <c r="G21" i="138"/>
  <c r="F21" i="138"/>
  <c r="J20" i="138"/>
  <c r="I20" i="138"/>
  <c r="H20" i="138"/>
  <c r="G20" i="138"/>
  <c r="F20" i="138"/>
  <c r="J19" i="138"/>
  <c r="I19" i="138"/>
  <c r="H19" i="138"/>
  <c r="G19" i="138"/>
  <c r="F19" i="138"/>
  <c r="J18" i="138"/>
  <c r="I18" i="138"/>
  <c r="G18" i="138"/>
  <c r="H18" i="138" s="1"/>
  <c r="F18" i="138"/>
  <c r="J17" i="138"/>
  <c r="I17" i="138"/>
  <c r="H17" i="138"/>
  <c r="G17" i="138"/>
  <c r="F17" i="138"/>
  <c r="J16" i="138"/>
  <c r="I16" i="138"/>
  <c r="H16" i="138"/>
  <c r="G16" i="138"/>
  <c r="F16" i="138"/>
  <c r="J15" i="138"/>
  <c r="I15" i="138"/>
  <c r="H15" i="138"/>
  <c r="G15" i="138"/>
  <c r="F15" i="138"/>
  <c r="J14" i="138"/>
  <c r="I14" i="138"/>
  <c r="G14" i="138"/>
  <c r="H14" i="138" s="1"/>
  <c r="F14" i="138"/>
  <c r="J13" i="138"/>
  <c r="I13" i="138"/>
  <c r="H13" i="138"/>
  <c r="G13" i="138"/>
  <c r="F13" i="138"/>
  <c r="J12" i="138"/>
  <c r="I12" i="138"/>
  <c r="H12" i="138"/>
  <c r="G12" i="138"/>
  <c r="F12" i="138"/>
  <c r="J11" i="138"/>
  <c r="I11" i="138"/>
  <c r="H11" i="138"/>
  <c r="G11" i="138"/>
  <c r="F11" i="138"/>
  <c r="J10" i="138"/>
  <c r="I10" i="138"/>
  <c r="G10" i="138"/>
  <c r="H10" i="138" s="1"/>
  <c r="F10" i="138"/>
  <c r="J9" i="138"/>
  <c r="I9" i="138"/>
  <c r="H9" i="138"/>
  <c r="G9" i="138"/>
  <c r="F9" i="138"/>
  <c r="J8" i="138"/>
  <c r="I8" i="138"/>
  <c r="H8" i="138"/>
  <c r="G8" i="138"/>
  <c r="F8" i="138"/>
  <c r="J7" i="138"/>
  <c r="I7" i="138"/>
  <c r="H7" i="138"/>
  <c r="G7" i="138"/>
  <c r="F7" i="138"/>
  <c r="J6" i="138"/>
  <c r="I6" i="138"/>
  <c r="G6" i="138"/>
  <c r="H6" i="138" s="1"/>
  <c r="F6" i="138"/>
  <c r="J36" i="139"/>
  <c r="I36" i="139"/>
  <c r="H36" i="139"/>
  <c r="G36" i="139"/>
  <c r="F36" i="139"/>
  <c r="J35" i="139"/>
  <c r="I35" i="139"/>
  <c r="H35" i="139"/>
  <c r="G35" i="139"/>
  <c r="F35" i="139"/>
  <c r="J34" i="139"/>
  <c r="I34" i="139"/>
  <c r="H34" i="139"/>
  <c r="G34" i="139"/>
  <c r="F34" i="139"/>
  <c r="J33" i="139"/>
  <c r="I33" i="139"/>
  <c r="G33" i="139"/>
  <c r="H33" i="139" s="1"/>
  <c r="F33" i="139"/>
  <c r="J32" i="139"/>
  <c r="I32" i="139"/>
  <c r="H32" i="139"/>
  <c r="G32" i="139"/>
  <c r="F32" i="139"/>
  <c r="J31" i="139"/>
  <c r="I31" i="139"/>
  <c r="H31" i="139"/>
  <c r="G31" i="139"/>
  <c r="F31" i="139"/>
  <c r="J30" i="139"/>
  <c r="I30" i="139"/>
  <c r="H30" i="139"/>
  <c r="G30" i="139"/>
  <c r="F30" i="139"/>
  <c r="J29" i="139"/>
  <c r="I29" i="139"/>
  <c r="G29" i="139"/>
  <c r="H29" i="139" s="1"/>
  <c r="F29" i="139"/>
  <c r="J28" i="139"/>
  <c r="I28" i="139"/>
  <c r="H28" i="139"/>
  <c r="G28" i="139"/>
  <c r="F28" i="139"/>
  <c r="J27" i="139"/>
  <c r="I27" i="139"/>
  <c r="H27" i="139"/>
  <c r="G27" i="139"/>
  <c r="F27" i="139"/>
  <c r="J26" i="139"/>
  <c r="I26" i="139"/>
  <c r="H26" i="139"/>
  <c r="G26" i="139"/>
  <c r="F26" i="139"/>
  <c r="J25" i="139"/>
  <c r="I25" i="139"/>
  <c r="G25" i="139"/>
  <c r="H25" i="139" s="1"/>
  <c r="F25" i="139"/>
  <c r="J24" i="139"/>
  <c r="I24" i="139"/>
  <c r="H24" i="139"/>
  <c r="G24" i="139"/>
  <c r="F24" i="139"/>
  <c r="J23" i="139"/>
  <c r="I23" i="139"/>
  <c r="H23" i="139"/>
  <c r="G23" i="139"/>
  <c r="F23" i="139"/>
  <c r="J22" i="139"/>
  <c r="I22" i="139"/>
  <c r="H22" i="139"/>
  <c r="G22" i="139"/>
  <c r="F22" i="139"/>
  <c r="J21" i="139"/>
  <c r="I21" i="139"/>
  <c r="G21" i="139"/>
  <c r="H21" i="139" s="1"/>
  <c r="F21" i="139"/>
  <c r="J20" i="139"/>
  <c r="I20" i="139"/>
  <c r="H20" i="139"/>
  <c r="G20" i="139"/>
  <c r="F20" i="139"/>
  <c r="J19" i="139"/>
  <c r="I19" i="139"/>
  <c r="H19" i="139"/>
  <c r="G19" i="139"/>
  <c r="F19" i="139"/>
  <c r="J18" i="139"/>
  <c r="I18" i="139"/>
  <c r="H18" i="139"/>
  <c r="G18" i="139"/>
  <c r="F18" i="139"/>
  <c r="J17" i="139"/>
  <c r="I17" i="139"/>
  <c r="G17" i="139"/>
  <c r="H17" i="139" s="1"/>
  <c r="F17" i="139"/>
  <c r="J16" i="139"/>
  <c r="I16" i="139"/>
  <c r="H16" i="139"/>
  <c r="G16" i="139"/>
  <c r="F16" i="139"/>
  <c r="J15" i="139"/>
  <c r="I15" i="139"/>
  <c r="H15" i="139"/>
  <c r="G15" i="139"/>
  <c r="F15" i="139"/>
  <c r="J14" i="139"/>
  <c r="I14" i="139"/>
  <c r="H14" i="139"/>
  <c r="G14" i="139"/>
  <c r="F14" i="139"/>
  <c r="J13" i="139"/>
  <c r="I13" i="139"/>
  <c r="G13" i="139"/>
  <c r="H13" i="139" s="1"/>
  <c r="F13" i="139"/>
  <c r="J12" i="139"/>
  <c r="I12" i="139"/>
  <c r="H12" i="139"/>
  <c r="G12" i="139"/>
  <c r="F12" i="139"/>
  <c r="J11" i="139"/>
  <c r="I11" i="139"/>
  <c r="H11" i="139"/>
  <c r="G11" i="139"/>
  <c r="F11" i="139"/>
  <c r="J10" i="139"/>
  <c r="I10" i="139"/>
  <c r="H10" i="139"/>
  <c r="G10" i="139"/>
  <c r="F10" i="139"/>
  <c r="J9" i="139"/>
  <c r="I9" i="139"/>
  <c r="G9" i="139"/>
  <c r="H9" i="139" s="1"/>
  <c r="F9" i="139"/>
  <c r="J8" i="139"/>
  <c r="I8" i="139"/>
  <c r="H8" i="139"/>
  <c r="G8" i="139"/>
  <c r="F8" i="139"/>
  <c r="J7" i="139"/>
  <c r="I7" i="139"/>
  <c r="H7" i="139"/>
  <c r="G7" i="139"/>
  <c r="F7" i="139"/>
  <c r="J6" i="139"/>
  <c r="I6" i="139"/>
  <c r="H6" i="139"/>
  <c r="G6" i="139"/>
  <c r="F6" i="139"/>
  <c r="J36" i="140"/>
  <c r="I36" i="140"/>
  <c r="G36" i="140"/>
  <c r="H36" i="140" s="1"/>
  <c r="F36" i="140"/>
  <c r="J35" i="140"/>
  <c r="I35" i="140"/>
  <c r="H35" i="140"/>
  <c r="G35" i="140"/>
  <c r="F35" i="140"/>
  <c r="J34" i="140"/>
  <c r="I34" i="140"/>
  <c r="G34" i="140"/>
  <c r="H34" i="140" s="1"/>
  <c r="F34" i="140"/>
  <c r="J33" i="140"/>
  <c r="I33" i="140"/>
  <c r="H33" i="140"/>
  <c r="G33" i="140"/>
  <c r="F33" i="140"/>
  <c r="J32" i="140"/>
  <c r="I32" i="140"/>
  <c r="G32" i="140"/>
  <c r="H32" i="140" s="1"/>
  <c r="F32" i="140"/>
  <c r="J31" i="140"/>
  <c r="I31" i="140"/>
  <c r="H31" i="140"/>
  <c r="G31" i="140"/>
  <c r="F31" i="140"/>
  <c r="J30" i="140"/>
  <c r="I30" i="140"/>
  <c r="G30" i="140"/>
  <c r="H30" i="140" s="1"/>
  <c r="F30" i="140"/>
  <c r="J29" i="140"/>
  <c r="I29" i="140"/>
  <c r="H29" i="140"/>
  <c r="G29" i="140"/>
  <c r="F29" i="140"/>
  <c r="J28" i="140"/>
  <c r="I28" i="140"/>
  <c r="G28" i="140"/>
  <c r="H28" i="140" s="1"/>
  <c r="F28" i="140"/>
  <c r="J27" i="140"/>
  <c r="I27" i="140"/>
  <c r="H27" i="140"/>
  <c r="G27" i="140"/>
  <c r="F27" i="140"/>
  <c r="J26" i="140"/>
  <c r="I26" i="140"/>
  <c r="H26" i="140"/>
  <c r="G26" i="140"/>
  <c r="F26" i="140"/>
  <c r="J25" i="140"/>
  <c r="I25" i="140"/>
  <c r="H25" i="140"/>
  <c r="G25" i="140"/>
  <c r="F25" i="140"/>
  <c r="J24" i="140"/>
  <c r="I24" i="140"/>
  <c r="G24" i="140"/>
  <c r="H24" i="140" s="1"/>
  <c r="F24" i="140"/>
  <c r="J23" i="140"/>
  <c r="I23" i="140"/>
  <c r="H23" i="140"/>
  <c r="G23" i="140"/>
  <c r="F23" i="140"/>
  <c r="J22" i="140"/>
  <c r="I22" i="140"/>
  <c r="H22" i="140"/>
  <c r="G22" i="140"/>
  <c r="F22" i="140"/>
  <c r="J21" i="140"/>
  <c r="I21" i="140"/>
  <c r="H21" i="140"/>
  <c r="G21" i="140"/>
  <c r="F21" i="140"/>
  <c r="J20" i="140"/>
  <c r="I20" i="140"/>
  <c r="G20" i="140"/>
  <c r="H20" i="140" s="1"/>
  <c r="F20" i="140"/>
  <c r="J19" i="140"/>
  <c r="I19" i="140"/>
  <c r="H19" i="140"/>
  <c r="G19" i="140"/>
  <c r="F19" i="140"/>
  <c r="J18" i="140"/>
  <c r="I18" i="140"/>
  <c r="H18" i="140"/>
  <c r="G18" i="140"/>
  <c r="F18" i="140"/>
  <c r="J17" i="140"/>
  <c r="I17" i="140"/>
  <c r="H17" i="140"/>
  <c r="G17" i="140"/>
  <c r="F17" i="140"/>
  <c r="J16" i="140"/>
  <c r="I16" i="140"/>
  <c r="G16" i="140"/>
  <c r="H16" i="140" s="1"/>
  <c r="F16" i="140"/>
  <c r="J15" i="140"/>
  <c r="I15" i="140"/>
  <c r="H15" i="140"/>
  <c r="G15" i="140"/>
  <c r="F15" i="140"/>
  <c r="J14" i="140"/>
  <c r="I14" i="140"/>
  <c r="H14" i="140"/>
  <c r="G14" i="140"/>
  <c r="F14" i="140"/>
  <c r="J13" i="140"/>
  <c r="I13" i="140"/>
  <c r="H13" i="140"/>
  <c r="G13" i="140"/>
  <c r="F13" i="140"/>
  <c r="J12" i="140"/>
  <c r="I12" i="140"/>
  <c r="G12" i="140"/>
  <c r="H12" i="140" s="1"/>
  <c r="F12" i="140"/>
  <c r="J11" i="140"/>
  <c r="I11" i="140"/>
  <c r="H11" i="140"/>
  <c r="G11" i="140"/>
  <c r="F11" i="140"/>
  <c r="J10" i="140"/>
  <c r="I10" i="140"/>
  <c r="H10" i="140"/>
  <c r="G10" i="140"/>
  <c r="F10" i="140"/>
  <c r="J9" i="140"/>
  <c r="I9" i="140"/>
  <c r="H9" i="140"/>
  <c r="G9" i="140"/>
  <c r="F9" i="140"/>
  <c r="J8" i="140"/>
  <c r="I8" i="140"/>
  <c r="G8" i="140"/>
  <c r="H8" i="140" s="1"/>
  <c r="F8" i="140"/>
  <c r="J7" i="140"/>
  <c r="I7" i="140"/>
  <c r="H7" i="140"/>
  <c r="G7" i="140"/>
  <c r="F7" i="140"/>
  <c r="J6" i="140"/>
  <c r="I6" i="140"/>
  <c r="H6" i="140"/>
  <c r="G6" i="140"/>
  <c r="F6" i="140"/>
  <c r="J36" i="141"/>
  <c r="I36" i="141"/>
  <c r="H36" i="141"/>
  <c r="G36" i="141"/>
  <c r="F36" i="141"/>
  <c r="J35" i="141"/>
  <c r="I35" i="141"/>
  <c r="G35" i="141"/>
  <c r="H35" i="141" s="1"/>
  <c r="F35" i="141"/>
  <c r="J34" i="141"/>
  <c r="I34" i="141"/>
  <c r="H34" i="141"/>
  <c r="G34" i="141"/>
  <c r="F34" i="141"/>
  <c r="J33" i="141"/>
  <c r="I33" i="141"/>
  <c r="G33" i="141"/>
  <c r="H33" i="141" s="1"/>
  <c r="F33" i="141"/>
  <c r="J32" i="141"/>
  <c r="I32" i="141"/>
  <c r="H32" i="141"/>
  <c r="G32" i="141"/>
  <c r="F32" i="141"/>
  <c r="J31" i="141"/>
  <c r="I31" i="141"/>
  <c r="G31" i="141"/>
  <c r="H31" i="141" s="1"/>
  <c r="F31" i="141"/>
  <c r="J30" i="141"/>
  <c r="I30" i="141"/>
  <c r="H30" i="141"/>
  <c r="G30" i="141"/>
  <c r="F30" i="141"/>
  <c r="J29" i="141"/>
  <c r="I29" i="141"/>
  <c r="G29" i="141"/>
  <c r="H29" i="141" s="1"/>
  <c r="F29" i="141"/>
  <c r="J28" i="141"/>
  <c r="I28" i="141"/>
  <c r="H28" i="141"/>
  <c r="G28" i="141"/>
  <c r="F28" i="141"/>
  <c r="J27" i="141"/>
  <c r="I27" i="141"/>
  <c r="G27" i="141"/>
  <c r="H27" i="141" s="1"/>
  <c r="F27" i="141"/>
  <c r="J26" i="141"/>
  <c r="I26" i="141"/>
  <c r="H26" i="141"/>
  <c r="G26" i="141"/>
  <c r="F26" i="141"/>
  <c r="J25" i="141"/>
  <c r="I25" i="141"/>
  <c r="G25" i="141"/>
  <c r="H25" i="141" s="1"/>
  <c r="F25" i="141"/>
  <c r="J24" i="141"/>
  <c r="I24" i="141"/>
  <c r="H24" i="141"/>
  <c r="G24" i="141"/>
  <c r="F24" i="141"/>
  <c r="J23" i="141"/>
  <c r="I23" i="141"/>
  <c r="G23" i="141"/>
  <c r="H23" i="141" s="1"/>
  <c r="F23" i="141"/>
  <c r="J22" i="141"/>
  <c r="I22" i="141"/>
  <c r="H22" i="141"/>
  <c r="G22" i="141"/>
  <c r="F22" i="141"/>
  <c r="J21" i="141"/>
  <c r="I21" i="141"/>
  <c r="G21" i="141"/>
  <c r="H21" i="141" s="1"/>
  <c r="F21" i="141"/>
  <c r="J20" i="141"/>
  <c r="I20" i="141"/>
  <c r="H20" i="141"/>
  <c r="G20" i="141"/>
  <c r="F20" i="141"/>
  <c r="J19" i="141"/>
  <c r="I19" i="141"/>
  <c r="G19" i="141"/>
  <c r="H19" i="141" s="1"/>
  <c r="F19" i="141"/>
  <c r="J18" i="141"/>
  <c r="I18" i="141"/>
  <c r="H18" i="141"/>
  <c r="G18" i="141"/>
  <c r="F18" i="141"/>
  <c r="J17" i="141"/>
  <c r="I17" i="141"/>
  <c r="G17" i="141"/>
  <c r="H17" i="141" s="1"/>
  <c r="F17" i="141"/>
  <c r="J16" i="141"/>
  <c r="I16" i="141"/>
  <c r="H16" i="141"/>
  <c r="G16" i="141"/>
  <c r="F16" i="141"/>
  <c r="J15" i="141"/>
  <c r="I15" i="141"/>
  <c r="G15" i="141"/>
  <c r="H15" i="141" s="1"/>
  <c r="F15" i="141"/>
  <c r="J14" i="141"/>
  <c r="I14" i="141"/>
  <c r="H14" i="141"/>
  <c r="G14" i="141"/>
  <c r="F14" i="141"/>
  <c r="J13" i="141"/>
  <c r="I13" i="141"/>
  <c r="G13" i="141"/>
  <c r="H13" i="141" s="1"/>
  <c r="F13" i="141"/>
  <c r="J12" i="141"/>
  <c r="I12" i="141"/>
  <c r="H12" i="141"/>
  <c r="G12" i="141"/>
  <c r="F12" i="141"/>
  <c r="J11" i="141"/>
  <c r="I11" i="141"/>
  <c r="G11" i="141"/>
  <c r="H11" i="141" s="1"/>
  <c r="F11" i="141"/>
  <c r="J10" i="141"/>
  <c r="I10" i="141"/>
  <c r="H10" i="141"/>
  <c r="G10" i="141"/>
  <c r="F10" i="141"/>
  <c r="J9" i="141"/>
  <c r="I9" i="141"/>
  <c r="G9" i="141"/>
  <c r="H9" i="141" s="1"/>
  <c r="F9" i="141"/>
  <c r="J8" i="141"/>
  <c r="I8" i="141"/>
  <c r="H8" i="141"/>
  <c r="G8" i="141"/>
  <c r="F8" i="141"/>
  <c r="J7" i="141"/>
  <c r="I7" i="141"/>
  <c r="G7" i="141"/>
  <c r="H7" i="141" s="1"/>
  <c r="F7" i="141"/>
  <c r="J6" i="141"/>
  <c r="I6" i="141"/>
  <c r="H6" i="141"/>
  <c r="G6" i="141"/>
  <c r="F6" i="141"/>
  <c r="J36" i="142"/>
  <c r="I36" i="142"/>
  <c r="G36" i="142"/>
  <c r="H36" i="142" s="1"/>
  <c r="F36" i="142"/>
  <c r="J35" i="142"/>
  <c r="I35" i="142"/>
  <c r="H35" i="142"/>
  <c r="G35" i="142"/>
  <c r="F35" i="142"/>
  <c r="J34" i="142"/>
  <c r="I34" i="142"/>
  <c r="G34" i="142"/>
  <c r="H34" i="142" s="1"/>
  <c r="F34" i="142"/>
  <c r="J33" i="142"/>
  <c r="I33" i="142"/>
  <c r="H33" i="142"/>
  <c r="G33" i="142"/>
  <c r="F33" i="142"/>
  <c r="J32" i="142"/>
  <c r="I32" i="142"/>
  <c r="G32" i="142"/>
  <c r="H32" i="142" s="1"/>
  <c r="F32" i="142"/>
  <c r="J31" i="142"/>
  <c r="I31" i="142"/>
  <c r="H31" i="142"/>
  <c r="G31" i="142"/>
  <c r="F31" i="142"/>
  <c r="J30" i="142"/>
  <c r="I30" i="142"/>
  <c r="G30" i="142"/>
  <c r="H30" i="142" s="1"/>
  <c r="F30" i="142"/>
  <c r="J29" i="142"/>
  <c r="I29" i="142"/>
  <c r="H29" i="142"/>
  <c r="G29" i="142"/>
  <c r="F29" i="142"/>
  <c r="J28" i="142"/>
  <c r="I28" i="142"/>
  <c r="G28" i="142"/>
  <c r="H28" i="142" s="1"/>
  <c r="F28" i="142"/>
  <c r="J27" i="142"/>
  <c r="I27" i="142"/>
  <c r="H27" i="142"/>
  <c r="G27" i="142"/>
  <c r="F27" i="142"/>
  <c r="J26" i="142"/>
  <c r="I26" i="142"/>
  <c r="G26" i="142"/>
  <c r="H26" i="142" s="1"/>
  <c r="F26" i="142"/>
  <c r="J25" i="142"/>
  <c r="I25" i="142"/>
  <c r="H25" i="142"/>
  <c r="G25" i="142"/>
  <c r="F25" i="142"/>
  <c r="J24" i="142"/>
  <c r="I24" i="142"/>
  <c r="G24" i="142"/>
  <c r="H24" i="142" s="1"/>
  <c r="F24" i="142"/>
  <c r="J23" i="142"/>
  <c r="I23" i="142"/>
  <c r="H23" i="142"/>
  <c r="G23" i="142"/>
  <c r="F23" i="142"/>
  <c r="J22" i="142"/>
  <c r="I22" i="142"/>
  <c r="G22" i="142"/>
  <c r="H22" i="142" s="1"/>
  <c r="F22" i="142"/>
  <c r="J21" i="142"/>
  <c r="I21" i="142"/>
  <c r="H21" i="142"/>
  <c r="G21" i="142"/>
  <c r="F21" i="142"/>
  <c r="J20" i="142"/>
  <c r="I20" i="142"/>
  <c r="G20" i="142"/>
  <c r="H20" i="142" s="1"/>
  <c r="F20" i="142"/>
  <c r="J19" i="142"/>
  <c r="I19" i="142"/>
  <c r="H19" i="142"/>
  <c r="G19" i="142"/>
  <c r="F19" i="142"/>
  <c r="J18" i="142"/>
  <c r="I18" i="142"/>
  <c r="G18" i="142"/>
  <c r="H18" i="142" s="1"/>
  <c r="F18" i="142"/>
  <c r="J17" i="142"/>
  <c r="I17" i="142"/>
  <c r="H17" i="142"/>
  <c r="G17" i="142"/>
  <c r="F17" i="142"/>
  <c r="J16" i="142"/>
  <c r="I16" i="142"/>
  <c r="G16" i="142"/>
  <c r="H16" i="142" s="1"/>
  <c r="F16" i="142"/>
  <c r="J15" i="142"/>
  <c r="I15" i="142"/>
  <c r="H15" i="142"/>
  <c r="G15" i="142"/>
  <c r="F15" i="142"/>
  <c r="J14" i="142"/>
  <c r="I14" i="142"/>
  <c r="G14" i="142"/>
  <c r="H14" i="142" s="1"/>
  <c r="F14" i="142"/>
  <c r="J13" i="142"/>
  <c r="I13" i="142"/>
  <c r="H13" i="142"/>
  <c r="G13" i="142"/>
  <c r="F13" i="142"/>
  <c r="J12" i="142"/>
  <c r="I12" i="142"/>
  <c r="G12" i="142"/>
  <c r="H12" i="142" s="1"/>
  <c r="F12" i="142"/>
  <c r="J11" i="142"/>
  <c r="I11" i="142"/>
  <c r="H11" i="142"/>
  <c r="G11" i="142"/>
  <c r="F11" i="142"/>
  <c r="J10" i="142"/>
  <c r="I10" i="142"/>
  <c r="G10" i="142"/>
  <c r="H10" i="142" s="1"/>
  <c r="F10" i="142"/>
  <c r="J9" i="142"/>
  <c r="I9" i="142"/>
  <c r="H9" i="142"/>
  <c r="G9" i="142"/>
  <c r="F9" i="142"/>
  <c r="J8" i="142"/>
  <c r="I8" i="142"/>
  <c r="H8" i="142"/>
  <c r="G8" i="142"/>
  <c r="F8" i="142"/>
  <c r="J7" i="142"/>
  <c r="I7" i="142"/>
  <c r="G7" i="142"/>
  <c r="H7" i="142" s="1"/>
  <c r="F7" i="142"/>
  <c r="J6" i="142"/>
  <c r="I6" i="142"/>
  <c r="G6" i="142"/>
  <c r="E48" i="142" s="1"/>
  <c r="F6" i="142"/>
  <c r="J36" i="130"/>
  <c r="I36" i="130"/>
  <c r="H36" i="130"/>
  <c r="G36" i="130"/>
  <c r="F36" i="130"/>
  <c r="J35" i="130"/>
  <c r="I35" i="130"/>
  <c r="H35" i="130"/>
  <c r="G35" i="130"/>
  <c r="F35" i="130"/>
  <c r="J34" i="130"/>
  <c r="I34" i="130"/>
  <c r="G34" i="130"/>
  <c r="H34" i="130" s="1"/>
  <c r="F34" i="130"/>
  <c r="J33" i="130"/>
  <c r="I33" i="130"/>
  <c r="F33" i="130"/>
  <c r="J32" i="130"/>
  <c r="I32" i="130"/>
  <c r="F32" i="130"/>
  <c r="J31" i="130"/>
  <c r="I31" i="130"/>
  <c r="J30" i="130"/>
  <c r="I30" i="130"/>
  <c r="F30" i="130"/>
  <c r="J29" i="130"/>
  <c r="I29" i="130"/>
  <c r="G29" i="130"/>
  <c r="H29" i="130" s="1"/>
  <c r="F29" i="130"/>
  <c r="J28" i="130"/>
  <c r="I28" i="130"/>
  <c r="H28" i="130"/>
  <c r="G28" i="130"/>
  <c r="F28" i="130"/>
  <c r="J27" i="130"/>
  <c r="I27" i="130"/>
  <c r="J26" i="130"/>
  <c r="I26" i="130"/>
  <c r="F26" i="130"/>
  <c r="J25" i="130"/>
  <c r="I25" i="130"/>
  <c r="F25" i="130"/>
  <c r="J24" i="130"/>
  <c r="I24" i="130"/>
  <c r="F24" i="130"/>
  <c r="J23" i="130"/>
  <c r="I23" i="130"/>
  <c r="F23" i="130"/>
  <c r="J22" i="130"/>
  <c r="I22" i="130"/>
  <c r="G22" i="130"/>
  <c r="H22" i="130" s="1"/>
  <c r="F22" i="130"/>
  <c r="J21" i="130"/>
  <c r="I21" i="130"/>
  <c r="G21" i="130"/>
  <c r="H21" i="130" s="1"/>
  <c r="F21" i="130"/>
  <c r="J20" i="130"/>
  <c r="I20" i="130"/>
  <c r="F20" i="130"/>
  <c r="J19" i="130"/>
  <c r="I19" i="130"/>
  <c r="F19" i="130"/>
  <c r="J18" i="130"/>
  <c r="I18" i="130"/>
  <c r="F18" i="130"/>
  <c r="J17" i="130"/>
  <c r="I17" i="130"/>
  <c r="F17" i="130"/>
  <c r="J16" i="130"/>
  <c r="I16" i="130"/>
  <c r="F16" i="130"/>
  <c r="J15" i="130"/>
  <c r="I15" i="130"/>
  <c r="H15" i="130"/>
  <c r="G15" i="130"/>
  <c r="F15" i="130"/>
  <c r="J14" i="130"/>
  <c r="I14" i="130"/>
  <c r="G14" i="130"/>
  <c r="H14" i="130" s="1"/>
  <c r="F14" i="130"/>
  <c r="J13" i="130"/>
  <c r="I13" i="130"/>
  <c r="F13" i="130"/>
  <c r="J12" i="130"/>
  <c r="I12" i="130"/>
  <c r="F12" i="130"/>
  <c r="J11" i="130"/>
  <c r="I11" i="130"/>
  <c r="F11" i="130"/>
  <c r="J10" i="130"/>
  <c r="I10" i="130"/>
  <c r="F10" i="130"/>
  <c r="J9" i="130"/>
  <c r="I9" i="130"/>
  <c r="F9" i="130"/>
  <c r="J8" i="130"/>
  <c r="I8" i="130"/>
  <c r="H8" i="130"/>
  <c r="G8" i="130"/>
  <c r="F8" i="130"/>
  <c r="J7" i="130"/>
  <c r="I7" i="130"/>
  <c r="H7" i="130"/>
  <c r="G7" i="130"/>
  <c r="F7" i="130"/>
  <c r="J6" i="130"/>
  <c r="I6" i="130"/>
  <c r="F6" i="130"/>
  <c r="Q56" i="132"/>
  <c r="Q55" i="132"/>
  <c r="Q54" i="132"/>
  <c r="Q53" i="132"/>
  <c r="I53" i="132"/>
  <c r="Q52" i="132"/>
  <c r="Q51" i="132"/>
  <c r="H51" i="132"/>
  <c r="Q50" i="132"/>
  <c r="H50" i="132"/>
  <c r="Q49" i="132"/>
  <c r="H49" i="132"/>
  <c r="Q48" i="132"/>
  <c r="H48" i="132"/>
  <c r="Q47" i="132"/>
  <c r="H47" i="132"/>
  <c r="Q46" i="132"/>
  <c r="H46" i="132"/>
  <c r="Q45" i="132"/>
  <c r="H45" i="132"/>
  <c r="Q44" i="132"/>
  <c r="H44" i="132"/>
  <c r="H42" i="132" s="1"/>
  <c r="Q43" i="132"/>
  <c r="H43" i="132"/>
  <c r="H41" i="132" s="1"/>
  <c r="Q42" i="132"/>
  <c r="E42" i="132"/>
  <c r="Q41" i="132"/>
  <c r="Q40" i="132"/>
  <c r="Q39" i="132"/>
  <c r="H39" i="132"/>
  <c r="E39" i="132"/>
  <c r="Q56" i="133"/>
  <c r="Q55" i="133"/>
  <c r="Q54" i="133"/>
  <c r="Q53" i="133"/>
  <c r="I53" i="133"/>
  <c r="Q52" i="133"/>
  <c r="Q51" i="133"/>
  <c r="H51" i="133"/>
  <c r="Q50" i="133"/>
  <c r="H50" i="133"/>
  <c r="Q49" i="133"/>
  <c r="H49" i="133"/>
  <c r="Q48" i="133"/>
  <c r="H48" i="133"/>
  <c r="Q47" i="133"/>
  <c r="H47" i="133"/>
  <c r="Q46" i="133"/>
  <c r="H46" i="133"/>
  <c r="Q45" i="133"/>
  <c r="H45" i="133"/>
  <c r="Q44" i="133"/>
  <c r="H44" i="133"/>
  <c r="H42" i="133" s="1"/>
  <c r="Q43" i="133"/>
  <c r="H43" i="133"/>
  <c r="H41" i="133" s="1"/>
  <c r="Q42" i="133"/>
  <c r="E42" i="133"/>
  <c r="Q41" i="133"/>
  <c r="Q40" i="133"/>
  <c r="Q39" i="133"/>
  <c r="H39" i="133"/>
  <c r="E39" i="133"/>
  <c r="Q56" i="134"/>
  <c r="Q55" i="134"/>
  <c r="Q54" i="134"/>
  <c r="Q53" i="134"/>
  <c r="I53" i="134"/>
  <c r="Q52" i="134"/>
  <c r="Q51" i="134"/>
  <c r="H51" i="134"/>
  <c r="Q50" i="134"/>
  <c r="H50" i="134"/>
  <c r="Q49" i="134"/>
  <c r="H49" i="134"/>
  <c r="Q48" i="134"/>
  <c r="H48" i="134"/>
  <c r="E48" i="134"/>
  <c r="Q47" i="134"/>
  <c r="H47" i="134"/>
  <c r="Q46" i="134"/>
  <c r="H46" i="134"/>
  <c r="Q45" i="134"/>
  <c r="H45" i="134"/>
  <c r="Q44" i="134"/>
  <c r="H44" i="134"/>
  <c r="H42" i="134" s="1"/>
  <c r="Q43" i="134"/>
  <c r="H43" i="134"/>
  <c r="H41" i="134" s="1"/>
  <c r="Q42" i="134"/>
  <c r="Q41" i="134"/>
  <c r="Q40" i="134"/>
  <c r="H40" i="134"/>
  <c r="Q39" i="134"/>
  <c r="H39" i="134"/>
  <c r="E39" i="134"/>
  <c r="Q56" i="135"/>
  <c r="Q55" i="135"/>
  <c r="Q54" i="135"/>
  <c r="Q53" i="135"/>
  <c r="I53" i="135"/>
  <c r="Q52" i="135"/>
  <c r="Q51" i="135"/>
  <c r="H51" i="135"/>
  <c r="Q50" i="135"/>
  <c r="H50" i="135"/>
  <c r="Q49" i="135"/>
  <c r="H49" i="135"/>
  <c r="Q48" i="135"/>
  <c r="H48" i="135"/>
  <c r="Q47" i="135"/>
  <c r="H47" i="135"/>
  <c r="Q46" i="135"/>
  <c r="H46" i="135"/>
  <c r="Q45" i="135"/>
  <c r="H45" i="135"/>
  <c r="Q44" i="135"/>
  <c r="H44" i="135"/>
  <c r="H42" i="135" s="1"/>
  <c r="Q43" i="135"/>
  <c r="H43" i="135"/>
  <c r="H41" i="135" s="1"/>
  <c r="Q42" i="135"/>
  <c r="Q41" i="135"/>
  <c r="Q40" i="135"/>
  <c r="Q39" i="135"/>
  <c r="E39" i="135"/>
  <c r="Q56" i="136"/>
  <c r="Q55" i="136"/>
  <c r="Q54" i="136"/>
  <c r="Q53" i="136"/>
  <c r="I53" i="136"/>
  <c r="Q52" i="136"/>
  <c r="Q51" i="136"/>
  <c r="H51" i="136"/>
  <c r="Q50" i="136"/>
  <c r="H50" i="136"/>
  <c r="Q49" i="136"/>
  <c r="H49" i="136"/>
  <c r="Q48" i="136"/>
  <c r="H48" i="136"/>
  <c r="E48" i="136"/>
  <c r="Q47" i="136"/>
  <c r="H47" i="136"/>
  <c r="Q46" i="136"/>
  <c r="H46" i="136"/>
  <c r="Q45" i="136"/>
  <c r="H45" i="136"/>
  <c r="Q44" i="136"/>
  <c r="H44" i="136"/>
  <c r="H42" i="136" s="1"/>
  <c r="Q43" i="136"/>
  <c r="H43" i="136"/>
  <c r="H41" i="136" s="1"/>
  <c r="Q42" i="136"/>
  <c r="Q41" i="136"/>
  <c r="Q40" i="136"/>
  <c r="H40" i="136"/>
  <c r="Q39" i="136"/>
  <c r="H39" i="136"/>
  <c r="E39" i="136"/>
  <c r="Q56" i="137"/>
  <c r="Q55" i="137"/>
  <c r="Q54" i="137"/>
  <c r="Q53" i="137"/>
  <c r="I53" i="137"/>
  <c r="Q52" i="137"/>
  <c r="Q51" i="137"/>
  <c r="H51" i="137"/>
  <c r="Q50" i="137"/>
  <c r="H50" i="137"/>
  <c r="Q49" i="137"/>
  <c r="H49" i="137"/>
  <c r="Q48" i="137"/>
  <c r="H48" i="137"/>
  <c r="E48" i="137"/>
  <c r="Q47" i="137"/>
  <c r="H47" i="137"/>
  <c r="Q46" i="137"/>
  <c r="H46" i="137"/>
  <c r="Q45" i="137"/>
  <c r="H45" i="137"/>
  <c r="Q44" i="137"/>
  <c r="H44" i="137"/>
  <c r="H42" i="137" s="1"/>
  <c r="Q43" i="137"/>
  <c r="H43" i="137"/>
  <c r="H41" i="137" s="1"/>
  <c r="Q42" i="137"/>
  <c r="E42" i="137"/>
  <c r="Q41" i="137"/>
  <c r="Q40" i="137"/>
  <c r="H40" i="137"/>
  <c r="Q39" i="137"/>
  <c r="H39" i="137"/>
  <c r="E39" i="137"/>
  <c r="Q56" i="138"/>
  <c r="Q55" i="138"/>
  <c r="Q54" i="138"/>
  <c r="Q53" i="138"/>
  <c r="I53" i="138"/>
  <c r="Q52" i="138"/>
  <c r="Q51" i="138"/>
  <c r="H51" i="138"/>
  <c r="Q50" i="138"/>
  <c r="H50" i="138"/>
  <c r="Q49" i="138"/>
  <c r="H49" i="138"/>
  <c r="Q48" i="138"/>
  <c r="H48" i="138"/>
  <c r="Q47" i="138"/>
  <c r="H47" i="138"/>
  <c r="Q46" i="138"/>
  <c r="H46" i="138"/>
  <c r="Q45" i="138"/>
  <c r="H45" i="138"/>
  <c r="Q44" i="138"/>
  <c r="H44" i="138"/>
  <c r="H42" i="138" s="1"/>
  <c r="Q43" i="138"/>
  <c r="H43" i="138"/>
  <c r="H41" i="138" s="1"/>
  <c r="Q42" i="138"/>
  <c r="E42" i="138"/>
  <c r="Q41" i="138"/>
  <c r="Q40" i="138"/>
  <c r="Q39" i="138"/>
  <c r="H39" i="138"/>
  <c r="E39" i="138"/>
  <c r="Q56" i="139"/>
  <c r="Q55" i="139"/>
  <c r="Q54" i="139"/>
  <c r="Q53" i="139"/>
  <c r="I53" i="139"/>
  <c r="Q52" i="139"/>
  <c r="Q51" i="139"/>
  <c r="H51" i="139"/>
  <c r="Q50" i="139"/>
  <c r="H50" i="139"/>
  <c r="Q49" i="139"/>
  <c r="H49" i="139"/>
  <c r="Q48" i="139"/>
  <c r="H48" i="139"/>
  <c r="E48" i="139"/>
  <c r="Q47" i="139"/>
  <c r="H47" i="139"/>
  <c r="Q46" i="139"/>
  <c r="H46" i="139"/>
  <c r="Q45" i="139"/>
  <c r="H45" i="139"/>
  <c r="Q44" i="139"/>
  <c r="H44" i="139"/>
  <c r="H42" i="139" s="1"/>
  <c r="Q43" i="139"/>
  <c r="H43" i="139"/>
  <c r="H41" i="139" s="1"/>
  <c r="Q42" i="139"/>
  <c r="Q41" i="139"/>
  <c r="Q40" i="139"/>
  <c r="H40" i="139"/>
  <c r="Q39" i="139"/>
  <c r="H39" i="139"/>
  <c r="E39" i="139"/>
  <c r="Q56" i="140"/>
  <c r="Q55" i="140"/>
  <c r="Q54" i="140"/>
  <c r="Q53" i="140"/>
  <c r="I53" i="140"/>
  <c r="Q52" i="140"/>
  <c r="Q51" i="140"/>
  <c r="H51" i="140"/>
  <c r="Q50" i="140"/>
  <c r="H50" i="140"/>
  <c r="Q49" i="140"/>
  <c r="H49" i="140"/>
  <c r="Q48" i="140"/>
  <c r="H48" i="140"/>
  <c r="Q47" i="140"/>
  <c r="H47" i="140"/>
  <c r="Q46" i="140"/>
  <c r="H46" i="140"/>
  <c r="Q45" i="140"/>
  <c r="H45" i="140"/>
  <c r="Q44" i="140"/>
  <c r="H44" i="140"/>
  <c r="H42" i="140" s="1"/>
  <c r="Q43" i="140"/>
  <c r="H43" i="140"/>
  <c r="H41" i="140" s="1"/>
  <c r="Q42" i="140"/>
  <c r="E42" i="140"/>
  <c r="Q41" i="140"/>
  <c r="Q40" i="140"/>
  <c r="Q39" i="140"/>
  <c r="H39" i="140"/>
  <c r="E39" i="140"/>
  <c r="Q56" i="141"/>
  <c r="Q55" i="141"/>
  <c r="Q54" i="141"/>
  <c r="Q53" i="141"/>
  <c r="I53" i="141"/>
  <c r="Q52" i="141"/>
  <c r="Q51" i="141"/>
  <c r="H51" i="141"/>
  <c r="Q50" i="141"/>
  <c r="H50" i="141"/>
  <c r="Q49" i="141"/>
  <c r="H49" i="141"/>
  <c r="Q48" i="141"/>
  <c r="H48" i="141"/>
  <c r="Q47" i="141"/>
  <c r="H47" i="141"/>
  <c r="Q46" i="141"/>
  <c r="H46" i="141"/>
  <c r="Q45" i="141"/>
  <c r="H45" i="141"/>
  <c r="Q44" i="141"/>
  <c r="H44" i="141"/>
  <c r="H42" i="141" s="1"/>
  <c r="Q43" i="141"/>
  <c r="H43" i="141"/>
  <c r="H41" i="141" s="1"/>
  <c r="Q42" i="141"/>
  <c r="E42" i="141"/>
  <c r="Q41" i="141"/>
  <c r="Q40" i="141"/>
  <c r="Q39" i="141"/>
  <c r="H39" i="141"/>
  <c r="E39" i="141"/>
  <c r="Q56" i="142"/>
  <c r="Q55" i="142"/>
  <c r="Q54" i="142"/>
  <c r="Q53" i="142"/>
  <c r="I53" i="142"/>
  <c r="Q52" i="142"/>
  <c r="Q51" i="142"/>
  <c r="H51" i="142"/>
  <c r="Q50" i="142"/>
  <c r="H50" i="142"/>
  <c r="Q49" i="142"/>
  <c r="H49" i="142"/>
  <c r="Q48" i="142"/>
  <c r="H48" i="142"/>
  <c r="Q47" i="142"/>
  <c r="H47" i="142"/>
  <c r="Q46" i="142"/>
  <c r="H46" i="142"/>
  <c r="Q45" i="142"/>
  <c r="H45" i="142"/>
  <c r="Q44" i="142"/>
  <c r="H44" i="142"/>
  <c r="H42" i="142" s="1"/>
  <c r="Q43" i="142"/>
  <c r="H43" i="142"/>
  <c r="H41" i="142" s="1"/>
  <c r="Q42" i="142"/>
  <c r="Q41" i="142"/>
  <c r="Q40" i="142"/>
  <c r="Q39" i="142"/>
  <c r="H39" i="142"/>
  <c r="E40" i="142" s="1"/>
  <c r="E39" i="142"/>
  <c r="Q56" i="130"/>
  <c r="Q55" i="130"/>
  <c r="Q54" i="130"/>
  <c r="Q53" i="130"/>
  <c r="I53" i="130"/>
  <c r="Q52" i="130"/>
  <c r="Q51" i="130"/>
  <c r="H51" i="130"/>
  <c r="Q50" i="130"/>
  <c r="H50" i="130"/>
  <c r="Q49" i="130"/>
  <c r="H49" i="130"/>
  <c r="Q48" i="130"/>
  <c r="H48" i="130"/>
  <c r="Q47" i="130"/>
  <c r="H47" i="130"/>
  <c r="Q46" i="130"/>
  <c r="H46" i="130"/>
  <c r="Q45" i="130"/>
  <c r="H45" i="130"/>
  <c r="Q44" i="130"/>
  <c r="H44" i="130"/>
  <c r="H42" i="130" s="1"/>
  <c r="Q43" i="130"/>
  <c r="H43" i="130"/>
  <c r="H41" i="130" s="1"/>
  <c r="Q42" i="130"/>
  <c r="Q41" i="130"/>
  <c r="Q40" i="130"/>
  <c r="Q39" i="130"/>
  <c r="H39" i="130"/>
  <c r="E40" i="130" s="1"/>
  <c r="E39" i="130"/>
  <c r="H40" i="141" l="1"/>
  <c r="H40" i="133"/>
  <c r="H6" i="142"/>
  <c r="H40" i="140"/>
  <c r="H40" i="138"/>
  <c r="H40" i="132"/>
  <c r="H40" i="142"/>
  <c r="E48" i="141"/>
  <c r="E48" i="140"/>
  <c r="E42" i="139"/>
  <c r="E48" i="138"/>
  <c r="E42" i="136"/>
  <c r="E42" i="134"/>
  <c r="E48" i="133"/>
  <c r="E48" i="132"/>
  <c r="E43" i="141"/>
  <c r="E43" i="137"/>
  <c r="E43" i="136"/>
  <c r="E41" i="142"/>
  <c r="E40" i="141"/>
  <c r="E41" i="141"/>
  <c r="E40" i="137"/>
  <c r="E41" i="137"/>
  <c r="E40" i="133"/>
  <c r="E41" i="133"/>
  <c r="E43" i="132"/>
  <c r="E40" i="134"/>
  <c r="E41" i="134"/>
  <c r="E40" i="138"/>
  <c r="E41" i="138"/>
  <c r="E40" i="139"/>
  <c r="E41" i="139"/>
  <c r="E41" i="130"/>
  <c r="E40" i="140"/>
  <c r="E41" i="140"/>
  <c r="E40" i="136"/>
  <c r="E41" i="136"/>
  <c r="E40" i="132"/>
  <c r="E41" i="132"/>
  <c r="E42" i="142" l="1"/>
  <c r="E43" i="134"/>
  <c r="E43" i="140"/>
  <c r="E43" i="139"/>
  <c r="E43" i="138"/>
  <c r="E43" i="142"/>
  <c r="E43" i="133"/>
  <c r="B37" i="142" l="1"/>
  <c r="C37" i="142" s="1"/>
  <c r="U36" i="142"/>
  <c r="W36" i="142" s="1"/>
  <c r="T36" i="142"/>
  <c r="S36" i="142"/>
  <c r="L36" i="142"/>
  <c r="K36" i="142"/>
  <c r="M36" i="142"/>
  <c r="N36" i="142" s="1"/>
  <c r="B36" i="142"/>
  <c r="P36" i="142" s="1"/>
  <c r="O36" i="142" s="1"/>
  <c r="W35" i="142"/>
  <c r="U35" i="142"/>
  <c r="T35" i="142"/>
  <c r="S35" i="142"/>
  <c r="L35" i="142"/>
  <c r="K35" i="142"/>
  <c r="M35" i="142"/>
  <c r="N35" i="142" s="1"/>
  <c r="B35" i="142"/>
  <c r="P35" i="142" s="1"/>
  <c r="U34" i="142"/>
  <c r="W34" i="142" s="1"/>
  <c r="T34" i="142"/>
  <c r="S34" i="142"/>
  <c r="L34" i="142"/>
  <c r="K34" i="142"/>
  <c r="M34" i="142"/>
  <c r="N34" i="142" s="1"/>
  <c r="C34" i="142"/>
  <c r="B34" i="142"/>
  <c r="P34" i="142" s="1"/>
  <c r="O34" i="142" s="1"/>
  <c r="W33" i="142"/>
  <c r="U33" i="142"/>
  <c r="T33" i="142"/>
  <c r="S33" i="142"/>
  <c r="L33" i="142"/>
  <c r="K33" i="142"/>
  <c r="M33" i="142"/>
  <c r="N33" i="142" s="1"/>
  <c r="B33" i="142"/>
  <c r="P33" i="142" s="1"/>
  <c r="U32" i="142"/>
  <c r="W32" i="142" s="1"/>
  <c r="T32" i="142"/>
  <c r="S32" i="142"/>
  <c r="L32" i="142"/>
  <c r="K32" i="142"/>
  <c r="M32" i="142"/>
  <c r="N32" i="142" s="1"/>
  <c r="C32" i="142"/>
  <c r="B32" i="142"/>
  <c r="P32" i="142" s="1"/>
  <c r="O32" i="142" s="1"/>
  <c r="W31" i="142"/>
  <c r="U31" i="142"/>
  <c r="T31" i="142"/>
  <c r="S31" i="142"/>
  <c r="L31" i="142"/>
  <c r="K31" i="142"/>
  <c r="M31" i="142"/>
  <c r="N31" i="142" s="1"/>
  <c r="B31" i="142"/>
  <c r="P31" i="142" s="1"/>
  <c r="U30" i="142"/>
  <c r="W30" i="142" s="1"/>
  <c r="T30" i="142"/>
  <c r="S30" i="142"/>
  <c r="L30" i="142"/>
  <c r="K30" i="142"/>
  <c r="M30" i="142"/>
  <c r="N30" i="142" s="1"/>
  <c r="B30" i="142"/>
  <c r="P30" i="142" s="1"/>
  <c r="O30" i="142" s="1"/>
  <c r="W29" i="142"/>
  <c r="U29" i="142"/>
  <c r="T29" i="142"/>
  <c r="S29" i="142"/>
  <c r="L29" i="142"/>
  <c r="K29" i="142"/>
  <c r="M29" i="142"/>
  <c r="N29" i="142" s="1"/>
  <c r="B29" i="142"/>
  <c r="P29" i="142" s="1"/>
  <c r="U28" i="142"/>
  <c r="W28" i="142" s="1"/>
  <c r="T28" i="142"/>
  <c r="S28" i="142"/>
  <c r="L28" i="142"/>
  <c r="K28" i="142"/>
  <c r="M28" i="142"/>
  <c r="N28" i="142" s="1"/>
  <c r="B28" i="142"/>
  <c r="P28" i="142" s="1"/>
  <c r="O28" i="142" s="1"/>
  <c r="W27" i="142"/>
  <c r="U27" i="142"/>
  <c r="T27" i="142"/>
  <c r="S27" i="142"/>
  <c r="L27" i="142"/>
  <c r="K27" i="142"/>
  <c r="M27" i="142"/>
  <c r="N27" i="142" s="1"/>
  <c r="B27" i="142"/>
  <c r="P27" i="142" s="1"/>
  <c r="U26" i="142"/>
  <c r="W26" i="142" s="1"/>
  <c r="T26" i="142"/>
  <c r="S26" i="142"/>
  <c r="L26" i="142"/>
  <c r="K26" i="142"/>
  <c r="M26" i="142"/>
  <c r="N26" i="142" s="1"/>
  <c r="C26" i="142"/>
  <c r="B26" i="142"/>
  <c r="P26" i="142" s="1"/>
  <c r="O26" i="142" s="1"/>
  <c r="W25" i="142"/>
  <c r="U25" i="142"/>
  <c r="T25" i="142"/>
  <c r="S25" i="142"/>
  <c r="L25" i="142"/>
  <c r="K25" i="142"/>
  <c r="M25" i="142"/>
  <c r="N25" i="142" s="1"/>
  <c r="B25" i="142"/>
  <c r="P25" i="142" s="1"/>
  <c r="U24" i="142"/>
  <c r="W24" i="142" s="1"/>
  <c r="T24" i="142"/>
  <c r="S24" i="142"/>
  <c r="L24" i="142"/>
  <c r="K24" i="142"/>
  <c r="M24" i="142"/>
  <c r="N24" i="142" s="1"/>
  <c r="C24" i="142"/>
  <c r="B24" i="142"/>
  <c r="P24" i="142" s="1"/>
  <c r="O24" i="142" s="1"/>
  <c r="W23" i="142"/>
  <c r="U23" i="142"/>
  <c r="T23" i="142"/>
  <c r="S23" i="142"/>
  <c r="L23" i="142"/>
  <c r="K23" i="142"/>
  <c r="M23" i="142"/>
  <c r="N23" i="142" s="1"/>
  <c r="B23" i="142"/>
  <c r="P23" i="142" s="1"/>
  <c r="U22" i="142"/>
  <c r="W22" i="142" s="1"/>
  <c r="T22" i="142"/>
  <c r="S22" i="142"/>
  <c r="L22" i="142"/>
  <c r="K22" i="142"/>
  <c r="M22" i="142"/>
  <c r="N22" i="142" s="1"/>
  <c r="B22" i="142"/>
  <c r="P22" i="142" s="1"/>
  <c r="O22" i="142" s="1"/>
  <c r="W21" i="142"/>
  <c r="U21" i="142"/>
  <c r="T21" i="142"/>
  <c r="S21" i="142"/>
  <c r="L21" i="142"/>
  <c r="K21" i="142"/>
  <c r="M21" i="142"/>
  <c r="N21" i="142" s="1"/>
  <c r="B21" i="142"/>
  <c r="C21" i="142" s="1"/>
  <c r="U20" i="142"/>
  <c r="W20" i="142" s="1"/>
  <c r="T20" i="142"/>
  <c r="S20" i="142"/>
  <c r="L20" i="142"/>
  <c r="K20" i="142"/>
  <c r="M20" i="142"/>
  <c r="N20" i="142" s="1"/>
  <c r="B20" i="142"/>
  <c r="P20" i="142" s="1"/>
  <c r="O20" i="142" s="1"/>
  <c r="W19" i="142"/>
  <c r="U19" i="142"/>
  <c r="T19" i="142"/>
  <c r="S19" i="142"/>
  <c r="L19" i="142"/>
  <c r="K19" i="142"/>
  <c r="M19" i="142"/>
  <c r="N19" i="142" s="1"/>
  <c r="B19" i="142"/>
  <c r="P19" i="142" s="1"/>
  <c r="W18" i="142"/>
  <c r="U18" i="142"/>
  <c r="T18" i="142"/>
  <c r="S18" i="142"/>
  <c r="L18" i="142"/>
  <c r="K18" i="142"/>
  <c r="M18" i="142"/>
  <c r="N18" i="142" s="1"/>
  <c r="B18" i="142"/>
  <c r="P18" i="142" s="1"/>
  <c r="W17" i="142"/>
  <c r="U17" i="142"/>
  <c r="T17" i="142"/>
  <c r="S17" i="142"/>
  <c r="L17" i="142"/>
  <c r="K17" i="142"/>
  <c r="M17" i="142"/>
  <c r="N17" i="142" s="1"/>
  <c r="C17" i="142"/>
  <c r="B17" i="142"/>
  <c r="P17" i="142" s="1"/>
  <c r="O17" i="142" s="1"/>
  <c r="U16" i="142"/>
  <c r="W16" i="142" s="1"/>
  <c r="T16" i="142"/>
  <c r="S16" i="142"/>
  <c r="L16" i="142"/>
  <c r="K16" i="142"/>
  <c r="M16" i="142"/>
  <c r="N16" i="142" s="1"/>
  <c r="B16" i="142"/>
  <c r="P16" i="142" s="1"/>
  <c r="U15" i="142"/>
  <c r="W15" i="142" s="1"/>
  <c r="T15" i="142"/>
  <c r="S15" i="142"/>
  <c r="L15" i="142"/>
  <c r="K15" i="142"/>
  <c r="M15" i="142"/>
  <c r="N15" i="142" s="1"/>
  <c r="B15" i="142"/>
  <c r="C15" i="142" s="1"/>
  <c r="U14" i="142"/>
  <c r="W14" i="142" s="1"/>
  <c r="T14" i="142"/>
  <c r="S14" i="142"/>
  <c r="L14" i="142"/>
  <c r="K14" i="142"/>
  <c r="M14" i="142"/>
  <c r="N14" i="142" s="1"/>
  <c r="C14" i="142"/>
  <c r="B14" i="142"/>
  <c r="P14" i="142" s="1"/>
  <c r="O14" i="142" s="1"/>
  <c r="U13" i="142"/>
  <c r="W13" i="142" s="1"/>
  <c r="T13" i="142"/>
  <c r="S13" i="142"/>
  <c r="L13" i="142"/>
  <c r="K13" i="142"/>
  <c r="M13" i="142"/>
  <c r="N13" i="142" s="1"/>
  <c r="B13" i="142"/>
  <c r="P13" i="142" s="1"/>
  <c r="W12" i="142"/>
  <c r="U12" i="142"/>
  <c r="T12" i="142"/>
  <c r="S12" i="142"/>
  <c r="L12" i="142"/>
  <c r="K12" i="142"/>
  <c r="M12" i="142"/>
  <c r="N12" i="142" s="1"/>
  <c r="C12" i="142"/>
  <c r="B12" i="142"/>
  <c r="P12" i="142" s="1"/>
  <c r="O12" i="142" s="1"/>
  <c r="W11" i="142"/>
  <c r="U11" i="142"/>
  <c r="T11" i="142"/>
  <c r="S11" i="142"/>
  <c r="L11" i="142"/>
  <c r="K11" i="142"/>
  <c r="M11" i="142"/>
  <c r="N11" i="142" s="1"/>
  <c r="B11" i="142"/>
  <c r="P11" i="142" s="1"/>
  <c r="W10" i="142"/>
  <c r="U10" i="142"/>
  <c r="T10" i="142"/>
  <c r="S10" i="142"/>
  <c r="L10" i="142"/>
  <c r="K10" i="142"/>
  <c r="M10" i="142"/>
  <c r="N10" i="142" s="1"/>
  <c r="C10" i="142"/>
  <c r="B10" i="142"/>
  <c r="P10" i="142" s="1"/>
  <c r="W9" i="142"/>
  <c r="U9" i="142"/>
  <c r="T9" i="142"/>
  <c r="S9" i="142"/>
  <c r="L9" i="142"/>
  <c r="K9" i="142"/>
  <c r="M9" i="142"/>
  <c r="N9" i="142" s="1"/>
  <c r="C9" i="142"/>
  <c r="B9" i="142"/>
  <c r="P9" i="142" s="1"/>
  <c r="O9" i="142" s="1"/>
  <c r="U8" i="142"/>
  <c r="W8" i="142" s="1"/>
  <c r="T8" i="142"/>
  <c r="S8" i="142"/>
  <c r="L8" i="142"/>
  <c r="K8" i="142"/>
  <c r="M8" i="142"/>
  <c r="N8" i="142" s="1"/>
  <c r="C8" i="142"/>
  <c r="B8" i="142"/>
  <c r="P8" i="142" s="1"/>
  <c r="U7" i="142"/>
  <c r="W7" i="142" s="1"/>
  <c r="T7" i="142"/>
  <c r="S7" i="142"/>
  <c r="L7" i="142"/>
  <c r="K7" i="142"/>
  <c r="M7" i="142"/>
  <c r="N7" i="142" s="1"/>
  <c r="B7" i="142"/>
  <c r="C7" i="142" s="1"/>
  <c r="W6" i="142"/>
  <c r="U6" i="142"/>
  <c r="T6" i="142"/>
  <c r="S6" i="142"/>
  <c r="L6" i="142"/>
  <c r="K6" i="142"/>
  <c r="M6" i="142"/>
  <c r="I37" i="142"/>
  <c r="E61" i="142" s="1"/>
  <c r="H61" i="142" s="1"/>
  <c r="C6" i="142"/>
  <c r="B6" i="142"/>
  <c r="P6" i="142" s="1"/>
  <c r="B37" i="141"/>
  <c r="C37" i="141" s="1"/>
  <c r="U36" i="141"/>
  <c r="W36" i="141" s="1"/>
  <c r="T36" i="141"/>
  <c r="S36" i="141"/>
  <c r="L36" i="141"/>
  <c r="K36" i="141"/>
  <c r="M36" i="141"/>
  <c r="N36" i="141" s="1"/>
  <c r="B36" i="141"/>
  <c r="P36" i="141" s="1"/>
  <c r="O36" i="141" s="1"/>
  <c r="W35" i="141"/>
  <c r="U35" i="141"/>
  <c r="T35" i="141"/>
  <c r="S35" i="141"/>
  <c r="L35" i="141"/>
  <c r="K35" i="141"/>
  <c r="M35" i="141"/>
  <c r="N35" i="141" s="1"/>
  <c r="B35" i="141"/>
  <c r="P35" i="141" s="1"/>
  <c r="U34" i="141"/>
  <c r="W34" i="141" s="1"/>
  <c r="T34" i="141"/>
  <c r="S34" i="141"/>
  <c r="L34" i="141"/>
  <c r="K34" i="141"/>
  <c r="M34" i="141"/>
  <c r="N34" i="141" s="1"/>
  <c r="B34" i="141"/>
  <c r="P34" i="141" s="1"/>
  <c r="O34" i="141" s="1"/>
  <c r="W33" i="141"/>
  <c r="U33" i="141"/>
  <c r="T33" i="141"/>
  <c r="S33" i="141"/>
  <c r="L33" i="141"/>
  <c r="K33" i="141"/>
  <c r="M33" i="141"/>
  <c r="N33" i="141" s="1"/>
  <c r="B33" i="141"/>
  <c r="P33" i="141" s="1"/>
  <c r="U32" i="141"/>
  <c r="W32" i="141" s="1"/>
  <c r="T32" i="141"/>
  <c r="S32" i="141"/>
  <c r="L32" i="141"/>
  <c r="K32" i="141"/>
  <c r="M32" i="141"/>
  <c r="N32" i="141" s="1"/>
  <c r="B32" i="141"/>
  <c r="P32" i="141" s="1"/>
  <c r="O32" i="141" s="1"/>
  <c r="W31" i="141"/>
  <c r="U31" i="141"/>
  <c r="T31" i="141"/>
  <c r="S31" i="141"/>
  <c r="L31" i="141"/>
  <c r="K31" i="141"/>
  <c r="M31" i="141"/>
  <c r="N31" i="141" s="1"/>
  <c r="B31" i="141"/>
  <c r="P31" i="141" s="1"/>
  <c r="U30" i="141"/>
  <c r="W30" i="141" s="1"/>
  <c r="T30" i="141"/>
  <c r="S30" i="141"/>
  <c r="L30" i="141"/>
  <c r="K30" i="141"/>
  <c r="M30" i="141"/>
  <c r="N30" i="141" s="1"/>
  <c r="B30" i="141"/>
  <c r="P30" i="141" s="1"/>
  <c r="O30" i="141" s="1"/>
  <c r="W29" i="141"/>
  <c r="U29" i="141"/>
  <c r="T29" i="141"/>
  <c r="S29" i="141"/>
  <c r="L29" i="141"/>
  <c r="K29" i="141"/>
  <c r="M29" i="141"/>
  <c r="N29" i="141" s="1"/>
  <c r="C29" i="141"/>
  <c r="B29" i="141"/>
  <c r="P29" i="141" s="1"/>
  <c r="U28" i="141"/>
  <c r="W28" i="141" s="1"/>
  <c r="T28" i="141"/>
  <c r="S28" i="141"/>
  <c r="L28" i="141"/>
  <c r="K28" i="141"/>
  <c r="M28" i="141"/>
  <c r="N28" i="141" s="1"/>
  <c r="B28" i="141"/>
  <c r="P28" i="141" s="1"/>
  <c r="O28" i="141" s="1"/>
  <c r="W27" i="141"/>
  <c r="U27" i="141"/>
  <c r="T27" i="141"/>
  <c r="S27" i="141"/>
  <c r="L27" i="141"/>
  <c r="K27" i="141"/>
  <c r="M27" i="141"/>
  <c r="N27" i="141" s="1"/>
  <c r="B27" i="141"/>
  <c r="P27" i="141" s="1"/>
  <c r="U26" i="141"/>
  <c r="W26" i="141" s="1"/>
  <c r="T26" i="141"/>
  <c r="S26" i="141"/>
  <c r="L26" i="141"/>
  <c r="K26" i="141"/>
  <c r="M26" i="141"/>
  <c r="N26" i="141" s="1"/>
  <c r="B26" i="141"/>
  <c r="P26" i="141" s="1"/>
  <c r="O26" i="141" s="1"/>
  <c r="W25" i="141"/>
  <c r="U25" i="141"/>
  <c r="T25" i="141"/>
  <c r="S25" i="141"/>
  <c r="L25" i="141"/>
  <c r="K25" i="141"/>
  <c r="M25" i="141"/>
  <c r="N25" i="141" s="1"/>
  <c r="B25" i="141"/>
  <c r="P25" i="141" s="1"/>
  <c r="U24" i="141"/>
  <c r="W24" i="141" s="1"/>
  <c r="T24" i="141"/>
  <c r="S24" i="141"/>
  <c r="L24" i="141"/>
  <c r="K24" i="141"/>
  <c r="M24" i="141"/>
  <c r="N24" i="141" s="1"/>
  <c r="B24" i="141"/>
  <c r="P24" i="141" s="1"/>
  <c r="O24" i="141" s="1"/>
  <c r="W23" i="141"/>
  <c r="U23" i="141"/>
  <c r="T23" i="141"/>
  <c r="S23" i="141"/>
  <c r="L23" i="141"/>
  <c r="K23" i="141"/>
  <c r="M23" i="141"/>
  <c r="N23" i="141" s="1"/>
  <c r="B23" i="141"/>
  <c r="P23" i="141" s="1"/>
  <c r="U22" i="141"/>
  <c r="W22" i="141" s="1"/>
  <c r="T22" i="141"/>
  <c r="S22" i="141"/>
  <c r="L22" i="141"/>
  <c r="K22" i="141"/>
  <c r="M22" i="141"/>
  <c r="N22" i="141" s="1"/>
  <c r="B22" i="141"/>
  <c r="P22" i="141" s="1"/>
  <c r="O22" i="141" s="1"/>
  <c r="W21" i="141"/>
  <c r="U21" i="141"/>
  <c r="T21" i="141"/>
  <c r="S21" i="141"/>
  <c r="L21" i="141"/>
  <c r="K21" i="141"/>
  <c r="M21" i="141"/>
  <c r="N21" i="141" s="1"/>
  <c r="C21" i="141"/>
  <c r="B21" i="141"/>
  <c r="P21" i="141" s="1"/>
  <c r="U20" i="141"/>
  <c r="W20" i="141" s="1"/>
  <c r="T20" i="141"/>
  <c r="S20" i="141"/>
  <c r="L20" i="141"/>
  <c r="K20" i="141"/>
  <c r="M20" i="141"/>
  <c r="N20" i="141" s="1"/>
  <c r="B20" i="141"/>
  <c r="P20" i="141" s="1"/>
  <c r="O20" i="141" s="1"/>
  <c r="W19" i="141"/>
  <c r="U19" i="141"/>
  <c r="T19" i="141"/>
  <c r="S19" i="141"/>
  <c r="L19" i="141"/>
  <c r="K19" i="141"/>
  <c r="M19" i="141"/>
  <c r="N19" i="141" s="1"/>
  <c r="B19" i="141"/>
  <c r="C19" i="141" s="1"/>
  <c r="U18" i="141"/>
  <c r="W18" i="141" s="1"/>
  <c r="T18" i="141"/>
  <c r="S18" i="141"/>
  <c r="L18" i="141"/>
  <c r="K18" i="141"/>
  <c r="M18" i="141"/>
  <c r="N18" i="141" s="1"/>
  <c r="B18" i="141"/>
  <c r="P18" i="141" s="1"/>
  <c r="W17" i="141"/>
  <c r="U17" i="141"/>
  <c r="T17" i="141"/>
  <c r="S17" i="141"/>
  <c r="L17" i="141"/>
  <c r="K17" i="141"/>
  <c r="M17" i="141"/>
  <c r="N17" i="141" s="1"/>
  <c r="C17" i="141"/>
  <c r="B17" i="141"/>
  <c r="P17" i="141" s="1"/>
  <c r="U16" i="141"/>
  <c r="W16" i="141" s="1"/>
  <c r="T16" i="141"/>
  <c r="S16" i="141"/>
  <c r="L16" i="141"/>
  <c r="K16" i="141"/>
  <c r="M16" i="141"/>
  <c r="N16" i="141" s="1"/>
  <c r="C16" i="141"/>
  <c r="B16" i="141"/>
  <c r="P16" i="141" s="1"/>
  <c r="W15" i="141"/>
  <c r="U15" i="141"/>
  <c r="T15" i="141"/>
  <c r="S15" i="141"/>
  <c r="L15" i="141"/>
  <c r="K15" i="141"/>
  <c r="M15" i="141"/>
  <c r="N15" i="141" s="1"/>
  <c r="B15" i="141"/>
  <c r="P15" i="141" s="1"/>
  <c r="U14" i="141"/>
  <c r="W14" i="141" s="1"/>
  <c r="T14" i="141"/>
  <c r="S14" i="141"/>
  <c r="L14" i="141"/>
  <c r="K14" i="141"/>
  <c r="M14" i="141"/>
  <c r="N14" i="141" s="1"/>
  <c r="B14" i="141"/>
  <c r="P14" i="141" s="1"/>
  <c r="O14" i="141" s="1"/>
  <c r="U13" i="141"/>
  <c r="W13" i="141" s="1"/>
  <c r="T13" i="141"/>
  <c r="S13" i="141"/>
  <c r="L13" i="141"/>
  <c r="K13" i="141"/>
  <c r="M13" i="141"/>
  <c r="N13" i="141" s="1"/>
  <c r="B13" i="141"/>
  <c r="P13" i="141" s="1"/>
  <c r="W12" i="141"/>
  <c r="U12" i="141"/>
  <c r="T12" i="141"/>
  <c r="S12" i="141"/>
  <c r="L12" i="141"/>
  <c r="K12" i="141"/>
  <c r="M12" i="141"/>
  <c r="N12" i="141" s="1"/>
  <c r="B12" i="141"/>
  <c r="P12" i="141" s="1"/>
  <c r="O12" i="141" s="1"/>
  <c r="W11" i="141"/>
  <c r="U11" i="141"/>
  <c r="T11" i="141"/>
  <c r="S11" i="141"/>
  <c r="L11" i="141"/>
  <c r="K11" i="141"/>
  <c r="M11" i="141"/>
  <c r="N11" i="141" s="1"/>
  <c r="B11" i="141"/>
  <c r="P11" i="141" s="1"/>
  <c r="W10" i="141"/>
  <c r="U10" i="141"/>
  <c r="T10" i="141"/>
  <c r="S10" i="141"/>
  <c r="L10" i="141"/>
  <c r="K10" i="141"/>
  <c r="M10" i="141"/>
  <c r="N10" i="141" s="1"/>
  <c r="B10" i="141"/>
  <c r="P10" i="141" s="1"/>
  <c r="W9" i="141"/>
  <c r="U9" i="141"/>
  <c r="T9" i="141"/>
  <c r="S9" i="141"/>
  <c r="L9" i="141"/>
  <c r="K9" i="141"/>
  <c r="M9" i="141"/>
  <c r="N9" i="141" s="1"/>
  <c r="B9" i="141"/>
  <c r="P9" i="141" s="1"/>
  <c r="O9" i="141" s="1"/>
  <c r="U8" i="141"/>
  <c r="W8" i="141" s="1"/>
  <c r="T8" i="141"/>
  <c r="S8" i="141"/>
  <c r="L8" i="141"/>
  <c r="K8" i="141"/>
  <c r="M8" i="141"/>
  <c r="N8" i="141" s="1"/>
  <c r="B8" i="141"/>
  <c r="P8" i="141" s="1"/>
  <c r="U7" i="141"/>
  <c r="W7" i="141" s="1"/>
  <c r="T7" i="141"/>
  <c r="S7" i="141"/>
  <c r="L7" i="141"/>
  <c r="K7" i="141"/>
  <c r="M7" i="141"/>
  <c r="N7" i="141" s="1"/>
  <c r="B7" i="141"/>
  <c r="C7" i="141" s="1"/>
  <c r="W6" i="141"/>
  <c r="U6" i="141"/>
  <c r="T6" i="141"/>
  <c r="S6" i="141"/>
  <c r="L6" i="141"/>
  <c r="K6" i="141"/>
  <c r="M6" i="141"/>
  <c r="N6" i="141" s="1"/>
  <c r="I37" i="141"/>
  <c r="E61" i="141" s="1"/>
  <c r="H61" i="141" s="1"/>
  <c r="B6" i="141"/>
  <c r="P6" i="141" s="1"/>
  <c r="B37" i="140"/>
  <c r="C37" i="140" s="1"/>
  <c r="U36" i="140"/>
  <c r="W36" i="140" s="1"/>
  <c r="T36" i="140"/>
  <c r="S36" i="140"/>
  <c r="L36" i="140"/>
  <c r="K36" i="140"/>
  <c r="M36" i="140"/>
  <c r="N36" i="140" s="1"/>
  <c r="B36" i="140"/>
  <c r="C36" i="140" s="1"/>
  <c r="W35" i="140"/>
  <c r="U35" i="140"/>
  <c r="T35" i="140"/>
  <c r="S35" i="140"/>
  <c r="L35" i="140"/>
  <c r="K35" i="140"/>
  <c r="M35" i="140"/>
  <c r="N35" i="140" s="1"/>
  <c r="B35" i="140"/>
  <c r="P35" i="140" s="1"/>
  <c r="U34" i="140"/>
  <c r="W34" i="140" s="1"/>
  <c r="T34" i="140"/>
  <c r="S34" i="140"/>
  <c r="L34" i="140"/>
  <c r="K34" i="140"/>
  <c r="M34" i="140"/>
  <c r="N34" i="140" s="1"/>
  <c r="B34" i="140"/>
  <c r="C34" i="140" s="1"/>
  <c r="W33" i="140"/>
  <c r="U33" i="140"/>
  <c r="T33" i="140"/>
  <c r="S33" i="140"/>
  <c r="L33" i="140"/>
  <c r="K33" i="140"/>
  <c r="M33" i="140"/>
  <c r="N33" i="140" s="1"/>
  <c r="C33" i="140"/>
  <c r="B33" i="140"/>
  <c r="P33" i="140" s="1"/>
  <c r="U32" i="140"/>
  <c r="W32" i="140" s="1"/>
  <c r="T32" i="140"/>
  <c r="S32" i="140"/>
  <c r="L32" i="140"/>
  <c r="K32" i="140"/>
  <c r="M32" i="140"/>
  <c r="N32" i="140" s="1"/>
  <c r="B32" i="140"/>
  <c r="C32" i="140" s="1"/>
  <c r="W31" i="140"/>
  <c r="U31" i="140"/>
  <c r="T31" i="140"/>
  <c r="S31" i="140"/>
  <c r="L31" i="140"/>
  <c r="K31" i="140"/>
  <c r="M31" i="140"/>
  <c r="N31" i="140" s="1"/>
  <c r="B31" i="140"/>
  <c r="P31" i="140" s="1"/>
  <c r="U30" i="140"/>
  <c r="W30" i="140" s="1"/>
  <c r="T30" i="140"/>
  <c r="S30" i="140"/>
  <c r="L30" i="140"/>
  <c r="K30" i="140"/>
  <c r="M30" i="140"/>
  <c r="N30" i="140" s="1"/>
  <c r="B30" i="140"/>
  <c r="C30" i="140" s="1"/>
  <c r="W29" i="140"/>
  <c r="U29" i="140"/>
  <c r="T29" i="140"/>
  <c r="S29" i="140"/>
  <c r="L29" i="140"/>
  <c r="K29" i="140"/>
  <c r="M29" i="140"/>
  <c r="N29" i="140" s="1"/>
  <c r="B29" i="140"/>
  <c r="P29" i="140" s="1"/>
  <c r="U28" i="140"/>
  <c r="W28" i="140" s="1"/>
  <c r="T28" i="140"/>
  <c r="S28" i="140"/>
  <c r="L28" i="140"/>
  <c r="K28" i="140"/>
  <c r="M28" i="140"/>
  <c r="N28" i="140" s="1"/>
  <c r="B28" i="140"/>
  <c r="C28" i="140" s="1"/>
  <c r="W27" i="140"/>
  <c r="U27" i="140"/>
  <c r="T27" i="140"/>
  <c r="S27" i="140"/>
  <c r="L27" i="140"/>
  <c r="K27" i="140"/>
  <c r="M27" i="140"/>
  <c r="N27" i="140" s="1"/>
  <c r="B27" i="140"/>
  <c r="P27" i="140" s="1"/>
  <c r="U26" i="140"/>
  <c r="W26" i="140" s="1"/>
  <c r="T26" i="140"/>
  <c r="S26" i="140"/>
  <c r="L26" i="140"/>
  <c r="K26" i="140"/>
  <c r="M26" i="140"/>
  <c r="N26" i="140" s="1"/>
  <c r="B26" i="140"/>
  <c r="W25" i="140"/>
  <c r="U25" i="140"/>
  <c r="T25" i="140"/>
  <c r="S25" i="140"/>
  <c r="L25" i="140"/>
  <c r="K25" i="140"/>
  <c r="M25" i="140"/>
  <c r="N25" i="140" s="1"/>
  <c r="C25" i="140"/>
  <c r="B25" i="140"/>
  <c r="P25" i="140" s="1"/>
  <c r="U24" i="140"/>
  <c r="W24" i="140" s="1"/>
  <c r="T24" i="140"/>
  <c r="S24" i="140"/>
  <c r="L24" i="140"/>
  <c r="K24" i="140"/>
  <c r="M24" i="140"/>
  <c r="N24" i="140" s="1"/>
  <c r="B24" i="140"/>
  <c r="C24" i="140" s="1"/>
  <c r="W23" i="140"/>
  <c r="U23" i="140"/>
  <c r="T23" i="140"/>
  <c r="S23" i="140"/>
  <c r="L23" i="140"/>
  <c r="K23" i="140"/>
  <c r="M23" i="140"/>
  <c r="N23" i="140" s="1"/>
  <c r="B23" i="140"/>
  <c r="P23" i="140" s="1"/>
  <c r="U22" i="140"/>
  <c r="W22" i="140" s="1"/>
  <c r="T22" i="140"/>
  <c r="S22" i="140"/>
  <c r="L22" i="140"/>
  <c r="K22" i="140"/>
  <c r="M22" i="140"/>
  <c r="N22" i="140" s="1"/>
  <c r="B22" i="140"/>
  <c r="C22" i="140" s="1"/>
  <c r="W21" i="140"/>
  <c r="U21" i="140"/>
  <c r="T21" i="140"/>
  <c r="S21" i="140"/>
  <c r="L21" i="140"/>
  <c r="K21" i="140"/>
  <c r="M21" i="140"/>
  <c r="N21" i="140" s="1"/>
  <c r="B21" i="140"/>
  <c r="P21" i="140" s="1"/>
  <c r="U20" i="140"/>
  <c r="W20" i="140" s="1"/>
  <c r="T20" i="140"/>
  <c r="S20" i="140"/>
  <c r="L20" i="140"/>
  <c r="K20" i="140"/>
  <c r="M20" i="140"/>
  <c r="N20" i="140" s="1"/>
  <c r="B20" i="140"/>
  <c r="C20" i="140" s="1"/>
  <c r="W19" i="140"/>
  <c r="U19" i="140"/>
  <c r="T19" i="140"/>
  <c r="S19" i="140"/>
  <c r="L19" i="140"/>
  <c r="K19" i="140"/>
  <c r="M19" i="140"/>
  <c r="N19" i="140" s="1"/>
  <c r="B19" i="140"/>
  <c r="P19" i="140" s="1"/>
  <c r="U18" i="140"/>
  <c r="W18" i="140" s="1"/>
  <c r="T18" i="140"/>
  <c r="S18" i="140"/>
  <c r="L18" i="140"/>
  <c r="K18" i="140"/>
  <c r="M18" i="140"/>
  <c r="N18" i="140" s="1"/>
  <c r="B18" i="140"/>
  <c r="C18" i="140" s="1"/>
  <c r="W17" i="140"/>
  <c r="U17" i="140"/>
  <c r="T17" i="140"/>
  <c r="S17" i="140"/>
  <c r="L17" i="140"/>
  <c r="K17" i="140"/>
  <c r="M17" i="140"/>
  <c r="N17" i="140" s="1"/>
  <c r="C17" i="140"/>
  <c r="B17" i="140"/>
  <c r="P17" i="140" s="1"/>
  <c r="U16" i="140"/>
  <c r="W16" i="140" s="1"/>
  <c r="T16" i="140"/>
  <c r="S16" i="140"/>
  <c r="L16" i="140"/>
  <c r="K16" i="140"/>
  <c r="M16" i="140"/>
  <c r="N16" i="140" s="1"/>
  <c r="B16" i="140"/>
  <c r="C16" i="140" s="1"/>
  <c r="W15" i="140"/>
  <c r="U15" i="140"/>
  <c r="T15" i="140"/>
  <c r="S15" i="140"/>
  <c r="L15" i="140"/>
  <c r="K15" i="140"/>
  <c r="M15" i="140"/>
  <c r="N15" i="140" s="1"/>
  <c r="B15" i="140"/>
  <c r="P15" i="140" s="1"/>
  <c r="U14" i="140"/>
  <c r="W14" i="140" s="1"/>
  <c r="T14" i="140"/>
  <c r="S14" i="140"/>
  <c r="L14" i="140"/>
  <c r="K14" i="140"/>
  <c r="M14" i="140"/>
  <c r="N14" i="140" s="1"/>
  <c r="B14" i="140"/>
  <c r="C14" i="140" s="1"/>
  <c r="W13" i="140"/>
  <c r="U13" i="140"/>
  <c r="T13" i="140"/>
  <c r="S13" i="140"/>
  <c r="L13" i="140"/>
  <c r="K13" i="140"/>
  <c r="M13" i="140"/>
  <c r="N13" i="140" s="1"/>
  <c r="B13" i="140"/>
  <c r="P13" i="140" s="1"/>
  <c r="U12" i="140"/>
  <c r="W12" i="140" s="1"/>
  <c r="T12" i="140"/>
  <c r="S12" i="140"/>
  <c r="L12" i="140"/>
  <c r="K12" i="140"/>
  <c r="M12" i="140"/>
  <c r="N12" i="140" s="1"/>
  <c r="B12" i="140"/>
  <c r="C12" i="140" s="1"/>
  <c r="W11" i="140"/>
  <c r="U11" i="140"/>
  <c r="T11" i="140"/>
  <c r="S11" i="140"/>
  <c r="L11" i="140"/>
  <c r="K11" i="140"/>
  <c r="M11" i="140"/>
  <c r="N11" i="140" s="1"/>
  <c r="B11" i="140"/>
  <c r="P11" i="140" s="1"/>
  <c r="U10" i="140"/>
  <c r="W10" i="140" s="1"/>
  <c r="T10" i="140"/>
  <c r="S10" i="140"/>
  <c r="L10" i="140"/>
  <c r="K10" i="140"/>
  <c r="M10" i="140"/>
  <c r="N10" i="140" s="1"/>
  <c r="B10" i="140"/>
  <c r="C10" i="140" s="1"/>
  <c r="W9" i="140"/>
  <c r="U9" i="140"/>
  <c r="T9" i="140"/>
  <c r="S9" i="140"/>
  <c r="L9" i="140"/>
  <c r="K9" i="140"/>
  <c r="M9" i="140"/>
  <c r="N9" i="140" s="1"/>
  <c r="C9" i="140"/>
  <c r="B9" i="140"/>
  <c r="P9" i="140" s="1"/>
  <c r="U8" i="140"/>
  <c r="W8" i="140" s="1"/>
  <c r="T8" i="140"/>
  <c r="S8" i="140"/>
  <c r="L8" i="140"/>
  <c r="K8" i="140"/>
  <c r="M8" i="140"/>
  <c r="N8" i="140" s="1"/>
  <c r="B8" i="140"/>
  <c r="C8" i="140" s="1"/>
  <c r="W7" i="140"/>
  <c r="U7" i="140"/>
  <c r="T7" i="140"/>
  <c r="S7" i="140"/>
  <c r="L7" i="140"/>
  <c r="K7" i="140"/>
  <c r="M7" i="140"/>
  <c r="N7" i="140" s="1"/>
  <c r="I37" i="140"/>
  <c r="E61" i="140" s="1"/>
  <c r="H61" i="140" s="1"/>
  <c r="B7" i="140"/>
  <c r="P7" i="140" s="1"/>
  <c r="U6" i="140"/>
  <c r="W6" i="140" s="1"/>
  <c r="T6" i="140"/>
  <c r="S6" i="140"/>
  <c r="P6" i="140"/>
  <c r="L6" i="140"/>
  <c r="K6" i="140"/>
  <c r="M6" i="140"/>
  <c r="N6" i="140" s="1"/>
  <c r="B6" i="140"/>
  <c r="C6" i="140" s="1"/>
  <c r="C37" i="139"/>
  <c r="B37" i="139"/>
  <c r="U36" i="139"/>
  <c r="W36" i="139" s="1"/>
  <c r="T36" i="139"/>
  <c r="S36" i="139"/>
  <c r="L36" i="139"/>
  <c r="K36" i="139"/>
  <c r="M36" i="139"/>
  <c r="N36" i="139" s="1"/>
  <c r="B36" i="139"/>
  <c r="C36" i="139" s="1"/>
  <c r="W35" i="139"/>
  <c r="U35" i="139"/>
  <c r="T35" i="139"/>
  <c r="S35" i="139"/>
  <c r="L35" i="139"/>
  <c r="K35" i="139"/>
  <c r="M35" i="139"/>
  <c r="N35" i="139" s="1"/>
  <c r="B35" i="139"/>
  <c r="P35" i="139" s="1"/>
  <c r="U34" i="139"/>
  <c r="W34" i="139" s="1"/>
  <c r="T34" i="139"/>
  <c r="S34" i="139"/>
  <c r="L34" i="139"/>
  <c r="K34" i="139"/>
  <c r="M34" i="139"/>
  <c r="N34" i="139" s="1"/>
  <c r="B34" i="139"/>
  <c r="C34" i="139" s="1"/>
  <c r="W33" i="139"/>
  <c r="U33" i="139"/>
  <c r="T33" i="139"/>
  <c r="S33" i="139"/>
  <c r="L33" i="139"/>
  <c r="K33" i="139"/>
  <c r="M33" i="139"/>
  <c r="N33" i="139" s="1"/>
  <c r="C33" i="139"/>
  <c r="B33" i="139"/>
  <c r="P33" i="139" s="1"/>
  <c r="U32" i="139"/>
  <c r="W32" i="139" s="1"/>
  <c r="T32" i="139"/>
  <c r="S32" i="139"/>
  <c r="L32" i="139"/>
  <c r="K32" i="139"/>
  <c r="M32" i="139"/>
  <c r="N32" i="139" s="1"/>
  <c r="B32" i="139"/>
  <c r="C32" i="139" s="1"/>
  <c r="W31" i="139"/>
  <c r="U31" i="139"/>
  <c r="T31" i="139"/>
  <c r="S31" i="139"/>
  <c r="L31" i="139"/>
  <c r="K31" i="139"/>
  <c r="M31" i="139"/>
  <c r="N31" i="139" s="1"/>
  <c r="B31" i="139"/>
  <c r="P31" i="139" s="1"/>
  <c r="U30" i="139"/>
  <c r="W30" i="139" s="1"/>
  <c r="T30" i="139"/>
  <c r="S30" i="139"/>
  <c r="L30" i="139"/>
  <c r="K30" i="139"/>
  <c r="M30" i="139"/>
  <c r="N30" i="139" s="1"/>
  <c r="B30" i="139"/>
  <c r="C30" i="139" s="1"/>
  <c r="W29" i="139"/>
  <c r="U29" i="139"/>
  <c r="T29" i="139"/>
  <c r="S29" i="139"/>
  <c r="L29" i="139"/>
  <c r="K29" i="139"/>
  <c r="M29" i="139"/>
  <c r="N29" i="139" s="1"/>
  <c r="B29" i="139"/>
  <c r="P29" i="139" s="1"/>
  <c r="U28" i="139"/>
  <c r="W28" i="139" s="1"/>
  <c r="T28" i="139"/>
  <c r="S28" i="139"/>
  <c r="L28" i="139"/>
  <c r="K28" i="139"/>
  <c r="M28" i="139"/>
  <c r="N28" i="139" s="1"/>
  <c r="B28" i="139"/>
  <c r="C28" i="139" s="1"/>
  <c r="W27" i="139"/>
  <c r="U27" i="139"/>
  <c r="T27" i="139"/>
  <c r="S27" i="139"/>
  <c r="L27" i="139"/>
  <c r="K27" i="139"/>
  <c r="M27" i="139"/>
  <c r="N27" i="139" s="1"/>
  <c r="B27" i="139"/>
  <c r="P27" i="139" s="1"/>
  <c r="U26" i="139"/>
  <c r="W26" i="139" s="1"/>
  <c r="T26" i="139"/>
  <c r="S26" i="139"/>
  <c r="L26" i="139"/>
  <c r="K26" i="139"/>
  <c r="M26" i="139"/>
  <c r="N26" i="139" s="1"/>
  <c r="B26" i="139"/>
  <c r="C26" i="139" s="1"/>
  <c r="W25" i="139"/>
  <c r="U25" i="139"/>
  <c r="T25" i="139"/>
  <c r="S25" i="139"/>
  <c r="L25" i="139"/>
  <c r="K25" i="139"/>
  <c r="M25" i="139"/>
  <c r="N25" i="139" s="1"/>
  <c r="B25" i="139"/>
  <c r="P25" i="139" s="1"/>
  <c r="U24" i="139"/>
  <c r="W24" i="139" s="1"/>
  <c r="T24" i="139"/>
  <c r="S24" i="139"/>
  <c r="L24" i="139"/>
  <c r="K24" i="139"/>
  <c r="M24" i="139"/>
  <c r="N24" i="139" s="1"/>
  <c r="B24" i="139"/>
  <c r="C24" i="139" s="1"/>
  <c r="W23" i="139"/>
  <c r="U23" i="139"/>
  <c r="T23" i="139"/>
  <c r="S23" i="139"/>
  <c r="L23" i="139"/>
  <c r="K23" i="139"/>
  <c r="M23" i="139"/>
  <c r="N23" i="139" s="1"/>
  <c r="B23" i="139"/>
  <c r="P23" i="139" s="1"/>
  <c r="U22" i="139"/>
  <c r="W22" i="139" s="1"/>
  <c r="T22" i="139"/>
  <c r="S22" i="139"/>
  <c r="L22" i="139"/>
  <c r="K22" i="139"/>
  <c r="M22" i="139"/>
  <c r="N22" i="139" s="1"/>
  <c r="B22" i="139"/>
  <c r="C22" i="139" s="1"/>
  <c r="W21" i="139"/>
  <c r="U21" i="139"/>
  <c r="T21" i="139"/>
  <c r="S21" i="139"/>
  <c r="L21" i="139"/>
  <c r="K21" i="139"/>
  <c r="M21" i="139"/>
  <c r="N21" i="139" s="1"/>
  <c r="C21" i="139"/>
  <c r="B21" i="139"/>
  <c r="P21" i="139" s="1"/>
  <c r="U20" i="139"/>
  <c r="W20" i="139" s="1"/>
  <c r="T20" i="139"/>
  <c r="S20" i="139"/>
  <c r="L20" i="139"/>
  <c r="K20" i="139"/>
  <c r="M20" i="139"/>
  <c r="N20" i="139" s="1"/>
  <c r="B20" i="139"/>
  <c r="C20" i="139" s="1"/>
  <c r="W19" i="139"/>
  <c r="U19" i="139"/>
  <c r="T19" i="139"/>
  <c r="S19" i="139"/>
  <c r="L19" i="139"/>
  <c r="K19" i="139"/>
  <c r="M19" i="139"/>
  <c r="N19" i="139" s="1"/>
  <c r="B19" i="139"/>
  <c r="P19" i="139" s="1"/>
  <c r="U18" i="139"/>
  <c r="W18" i="139" s="1"/>
  <c r="T18" i="139"/>
  <c r="S18" i="139"/>
  <c r="L18" i="139"/>
  <c r="K18" i="139"/>
  <c r="M18" i="139"/>
  <c r="N18" i="139" s="1"/>
  <c r="B18" i="139"/>
  <c r="C18" i="139" s="1"/>
  <c r="W17" i="139"/>
  <c r="U17" i="139"/>
  <c r="T17" i="139"/>
  <c r="S17" i="139"/>
  <c r="L17" i="139"/>
  <c r="K17" i="139"/>
  <c r="M17" i="139"/>
  <c r="N17" i="139" s="1"/>
  <c r="C17" i="139"/>
  <c r="B17" i="139"/>
  <c r="P17" i="139" s="1"/>
  <c r="U16" i="139"/>
  <c r="W16" i="139" s="1"/>
  <c r="T16" i="139"/>
  <c r="S16" i="139"/>
  <c r="L16" i="139"/>
  <c r="K16" i="139"/>
  <c r="M16" i="139"/>
  <c r="N16" i="139" s="1"/>
  <c r="B16" i="139"/>
  <c r="C16" i="139" s="1"/>
  <c r="W15" i="139"/>
  <c r="U15" i="139"/>
  <c r="T15" i="139"/>
  <c r="S15" i="139"/>
  <c r="L15" i="139"/>
  <c r="K15" i="139"/>
  <c r="M15" i="139"/>
  <c r="N15" i="139" s="1"/>
  <c r="B15" i="139"/>
  <c r="C15" i="139" s="1"/>
  <c r="U14" i="139"/>
  <c r="W14" i="139" s="1"/>
  <c r="T14" i="139"/>
  <c r="S14" i="139"/>
  <c r="L14" i="139"/>
  <c r="K14" i="139"/>
  <c r="M14" i="139"/>
  <c r="N14" i="139" s="1"/>
  <c r="B14" i="139"/>
  <c r="C14" i="139" s="1"/>
  <c r="W13" i="139"/>
  <c r="U13" i="139"/>
  <c r="T13" i="139"/>
  <c r="S13" i="139"/>
  <c r="L13" i="139"/>
  <c r="K13" i="139"/>
  <c r="M13" i="139"/>
  <c r="N13" i="139" s="1"/>
  <c r="B13" i="139"/>
  <c r="P13" i="139" s="1"/>
  <c r="U12" i="139"/>
  <c r="W12" i="139" s="1"/>
  <c r="T12" i="139"/>
  <c r="S12" i="139"/>
  <c r="L12" i="139"/>
  <c r="K12" i="139"/>
  <c r="M12" i="139"/>
  <c r="N12" i="139" s="1"/>
  <c r="B12" i="139"/>
  <c r="C12" i="139" s="1"/>
  <c r="W11" i="139"/>
  <c r="U11" i="139"/>
  <c r="T11" i="139"/>
  <c r="S11" i="139"/>
  <c r="L11" i="139"/>
  <c r="K11" i="139"/>
  <c r="M11" i="139"/>
  <c r="N11" i="139" s="1"/>
  <c r="B11" i="139"/>
  <c r="P11" i="139" s="1"/>
  <c r="U10" i="139"/>
  <c r="W10" i="139" s="1"/>
  <c r="T10" i="139"/>
  <c r="S10" i="139"/>
  <c r="L10" i="139"/>
  <c r="K10" i="139"/>
  <c r="M10" i="139"/>
  <c r="N10" i="139" s="1"/>
  <c r="B10" i="139"/>
  <c r="W9" i="139"/>
  <c r="U9" i="139"/>
  <c r="T9" i="139"/>
  <c r="S9" i="139"/>
  <c r="L9" i="139"/>
  <c r="K9" i="139"/>
  <c r="M9" i="139"/>
  <c r="N9" i="139" s="1"/>
  <c r="B9" i="139"/>
  <c r="U8" i="139"/>
  <c r="W8" i="139" s="1"/>
  <c r="T8" i="139"/>
  <c r="S8" i="139"/>
  <c r="L8" i="139"/>
  <c r="K8" i="139"/>
  <c r="M8" i="139"/>
  <c r="N8" i="139" s="1"/>
  <c r="B8" i="139"/>
  <c r="W7" i="139"/>
  <c r="U7" i="139"/>
  <c r="T7" i="139"/>
  <c r="S7" i="139"/>
  <c r="L7" i="139"/>
  <c r="K7" i="139"/>
  <c r="M7" i="139"/>
  <c r="N7" i="139" s="1"/>
  <c r="I37" i="139"/>
  <c r="E61" i="139" s="1"/>
  <c r="H61" i="139" s="1"/>
  <c r="C7" i="139"/>
  <c r="B7" i="139"/>
  <c r="P7" i="139" s="1"/>
  <c r="U6" i="139"/>
  <c r="W6" i="139" s="1"/>
  <c r="T6" i="139"/>
  <c r="S6" i="139"/>
  <c r="L6" i="139"/>
  <c r="K6" i="139"/>
  <c r="B6" i="139"/>
  <c r="C6" i="139" s="1"/>
  <c r="B37" i="138"/>
  <c r="C37" i="138" s="1"/>
  <c r="U36" i="138"/>
  <c r="W36" i="138" s="1"/>
  <c r="T36" i="138"/>
  <c r="S36" i="138"/>
  <c r="L36" i="138"/>
  <c r="K36" i="138"/>
  <c r="M36" i="138"/>
  <c r="N36" i="138" s="1"/>
  <c r="B36" i="138"/>
  <c r="C36" i="138" s="1"/>
  <c r="W35" i="138"/>
  <c r="U35" i="138"/>
  <c r="T35" i="138"/>
  <c r="S35" i="138"/>
  <c r="L35" i="138"/>
  <c r="K35" i="138"/>
  <c r="M35" i="138"/>
  <c r="N35" i="138" s="1"/>
  <c r="C35" i="138"/>
  <c r="B35" i="138"/>
  <c r="P35" i="138" s="1"/>
  <c r="U34" i="138"/>
  <c r="W34" i="138" s="1"/>
  <c r="T34" i="138"/>
  <c r="S34" i="138"/>
  <c r="L34" i="138"/>
  <c r="K34" i="138"/>
  <c r="M34" i="138"/>
  <c r="N34" i="138" s="1"/>
  <c r="B34" i="138"/>
  <c r="C34" i="138" s="1"/>
  <c r="W33" i="138"/>
  <c r="U33" i="138"/>
  <c r="T33" i="138"/>
  <c r="S33" i="138"/>
  <c r="L33" i="138"/>
  <c r="K33" i="138"/>
  <c r="M33" i="138"/>
  <c r="N33" i="138" s="1"/>
  <c r="C33" i="138"/>
  <c r="B33" i="138"/>
  <c r="P33" i="138" s="1"/>
  <c r="U32" i="138"/>
  <c r="W32" i="138" s="1"/>
  <c r="T32" i="138"/>
  <c r="S32" i="138"/>
  <c r="L32" i="138"/>
  <c r="K32" i="138"/>
  <c r="M32" i="138"/>
  <c r="N32" i="138" s="1"/>
  <c r="B32" i="138"/>
  <c r="C32" i="138" s="1"/>
  <c r="W31" i="138"/>
  <c r="U31" i="138"/>
  <c r="T31" i="138"/>
  <c r="S31" i="138"/>
  <c r="L31" i="138"/>
  <c r="K31" i="138"/>
  <c r="M31" i="138"/>
  <c r="N31" i="138" s="1"/>
  <c r="C31" i="138"/>
  <c r="B31" i="138"/>
  <c r="P31" i="138" s="1"/>
  <c r="U30" i="138"/>
  <c r="W30" i="138" s="1"/>
  <c r="T30" i="138"/>
  <c r="S30" i="138"/>
  <c r="L30" i="138"/>
  <c r="K30" i="138"/>
  <c r="M30" i="138"/>
  <c r="N30" i="138" s="1"/>
  <c r="B30" i="138"/>
  <c r="C30" i="138" s="1"/>
  <c r="W29" i="138"/>
  <c r="U29" i="138"/>
  <c r="T29" i="138"/>
  <c r="S29" i="138"/>
  <c r="L29" i="138"/>
  <c r="K29" i="138"/>
  <c r="M29" i="138"/>
  <c r="N29" i="138" s="1"/>
  <c r="B29" i="138"/>
  <c r="P29" i="138" s="1"/>
  <c r="U28" i="138"/>
  <c r="W28" i="138" s="1"/>
  <c r="T28" i="138"/>
  <c r="S28" i="138"/>
  <c r="L28" i="138"/>
  <c r="K28" i="138"/>
  <c r="M28" i="138"/>
  <c r="N28" i="138" s="1"/>
  <c r="B28" i="138"/>
  <c r="C28" i="138" s="1"/>
  <c r="W27" i="138"/>
  <c r="U27" i="138"/>
  <c r="T27" i="138"/>
  <c r="S27" i="138"/>
  <c r="L27" i="138"/>
  <c r="K27" i="138"/>
  <c r="M27" i="138"/>
  <c r="N27" i="138" s="1"/>
  <c r="C27" i="138"/>
  <c r="B27" i="138"/>
  <c r="P27" i="138" s="1"/>
  <c r="U26" i="138"/>
  <c r="W26" i="138" s="1"/>
  <c r="T26" i="138"/>
  <c r="S26" i="138"/>
  <c r="L26" i="138"/>
  <c r="K26" i="138"/>
  <c r="M26" i="138"/>
  <c r="N26" i="138" s="1"/>
  <c r="B26" i="138"/>
  <c r="C26" i="138" s="1"/>
  <c r="W25" i="138"/>
  <c r="U25" i="138"/>
  <c r="T25" i="138"/>
  <c r="S25" i="138"/>
  <c r="L25" i="138"/>
  <c r="K25" i="138"/>
  <c r="M25" i="138"/>
  <c r="N25" i="138" s="1"/>
  <c r="C25" i="138"/>
  <c r="B25" i="138"/>
  <c r="P25" i="138" s="1"/>
  <c r="U24" i="138"/>
  <c r="W24" i="138" s="1"/>
  <c r="T24" i="138"/>
  <c r="S24" i="138"/>
  <c r="L24" i="138"/>
  <c r="K24" i="138"/>
  <c r="M24" i="138"/>
  <c r="N24" i="138" s="1"/>
  <c r="B24" i="138"/>
  <c r="C24" i="138" s="1"/>
  <c r="W23" i="138"/>
  <c r="U23" i="138"/>
  <c r="T23" i="138"/>
  <c r="S23" i="138"/>
  <c r="L23" i="138"/>
  <c r="K23" i="138"/>
  <c r="M23" i="138"/>
  <c r="N23" i="138" s="1"/>
  <c r="B23" i="138"/>
  <c r="P23" i="138" s="1"/>
  <c r="U22" i="138"/>
  <c r="W22" i="138" s="1"/>
  <c r="T22" i="138"/>
  <c r="S22" i="138"/>
  <c r="L22" i="138"/>
  <c r="K22" i="138"/>
  <c r="M22" i="138"/>
  <c r="N22" i="138" s="1"/>
  <c r="B22" i="138"/>
  <c r="C22" i="138" s="1"/>
  <c r="W21" i="138"/>
  <c r="U21" i="138"/>
  <c r="T21" i="138"/>
  <c r="S21" i="138"/>
  <c r="L21" i="138"/>
  <c r="K21" i="138"/>
  <c r="M21" i="138"/>
  <c r="N21" i="138" s="1"/>
  <c r="B21" i="138"/>
  <c r="C21" i="138" s="1"/>
  <c r="U20" i="138"/>
  <c r="W20" i="138" s="1"/>
  <c r="T20" i="138"/>
  <c r="S20" i="138"/>
  <c r="L20" i="138"/>
  <c r="K20" i="138"/>
  <c r="M20" i="138"/>
  <c r="N20" i="138" s="1"/>
  <c r="B20" i="138"/>
  <c r="C20" i="138" s="1"/>
  <c r="W19" i="138"/>
  <c r="U19" i="138"/>
  <c r="T19" i="138"/>
  <c r="S19" i="138"/>
  <c r="L19" i="138"/>
  <c r="K19" i="138"/>
  <c r="M19" i="138"/>
  <c r="N19" i="138" s="1"/>
  <c r="B19" i="138"/>
  <c r="U18" i="138"/>
  <c r="W18" i="138" s="1"/>
  <c r="T18" i="138"/>
  <c r="S18" i="138"/>
  <c r="L18" i="138"/>
  <c r="K18" i="138"/>
  <c r="M18" i="138"/>
  <c r="N18" i="138" s="1"/>
  <c r="B18" i="138"/>
  <c r="C18" i="138" s="1"/>
  <c r="W17" i="138"/>
  <c r="U17" i="138"/>
  <c r="T17" i="138"/>
  <c r="S17" i="138"/>
  <c r="L17" i="138"/>
  <c r="K17" i="138"/>
  <c r="M17" i="138"/>
  <c r="N17" i="138" s="1"/>
  <c r="C17" i="138"/>
  <c r="B17" i="138"/>
  <c r="P17" i="138" s="1"/>
  <c r="U16" i="138"/>
  <c r="W16" i="138" s="1"/>
  <c r="T16" i="138"/>
  <c r="S16" i="138"/>
  <c r="L16" i="138"/>
  <c r="K16" i="138"/>
  <c r="M16" i="138"/>
  <c r="N16" i="138" s="1"/>
  <c r="B16" i="138"/>
  <c r="C16" i="138" s="1"/>
  <c r="W15" i="138"/>
  <c r="U15" i="138"/>
  <c r="T15" i="138"/>
  <c r="S15" i="138"/>
  <c r="L15" i="138"/>
  <c r="K15" i="138"/>
  <c r="M15" i="138"/>
  <c r="N15" i="138" s="1"/>
  <c r="B15" i="138"/>
  <c r="P15" i="138" s="1"/>
  <c r="U14" i="138"/>
  <c r="W14" i="138" s="1"/>
  <c r="T14" i="138"/>
  <c r="S14" i="138"/>
  <c r="L14" i="138"/>
  <c r="K14" i="138"/>
  <c r="M14" i="138"/>
  <c r="N14" i="138" s="1"/>
  <c r="B14" i="138"/>
  <c r="C14" i="138" s="1"/>
  <c r="W13" i="138"/>
  <c r="U13" i="138"/>
  <c r="T13" i="138"/>
  <c r="S13" i="138"/>
  <c r="L13" i="138"/>
  <c r="K13" i="138"/>
  <c r="M13" i="138"/>
  <c r="N13" i="138" s="1"/>
  <c r="B13" i="138"/>
  <c r="P13" i="138" s="1"/>
  <c r="U12" i="138"/>
  <c r="W12" i="138" s="1"/>
  <c r="T12" i="138"/>
  <c r="S12" i="138"/>
  <c r="L12" i="138"/>
  <c r="K12" i="138"/>
  <c r="M12" i="138"/>
  <c r="N12" i="138" s="1"/>
  <c r="B12" i="138"/>
  <c r="C12" i="138" s="1"/>
  <c r="W11" i="138"/>
  <c r="U11" i="138"/>
  <c r="T11" i="138"/>
  <c r="S11" i="138"/>
  <c r="L11" i="138"/>
  <c r="K11" i="138"/>
  <c r="M11" i="138"/>
  <c r="N11" i="138" s="1"/>
  <c r="I37" i="138"/>
  <c r="E61" i="138" s="1"/>
  <c r="H61" i="138" s="1"/>
  <c r="B11" i="138"/>
  <c r="P11" i="138" s="1"/>
  <c r="U10" i="138"/>
  <c r="W10" i="138" s="1"/>
  <c r="T10" i="138"/>
  <c r="S10" i="138"/>
  <c r="L10" i="138"/>
  <c r="K10" i="138"/>
  <c r="M10" i="138"/>
  <c r="N10" i="138" s="1"/>
  <c r="B10" i="138"/>
  <c r="C10" i="138" s="1"/>
  <c r="W9" i="138"/>
  <c r="U9" i="138"/>
  <c r="T9" i="138"/>
  <c r="S9" i="138"/>
  <c r="L9" i="138"/>
  <c r="K9" i="138"/>
  <c r="M9" i="138"/>
  <c r="N9" i="138" s="1"/>
  <c r="B9" i="138"/>
  <c r="P9" i="138" s="1"/>
  <c r="U8" i="138"/>
  <c r="W8" i="138" s="1"/>
  <c r="T8" i="138"/>
  <c r="S8" i="138"/>
  <c r="L8" i="138"/>
  <c r="K8" i="138"/>
  <c r="M8" i="138"/>
  <c r="N8" i="138" s="1"/>
  <c r="B8" i="138"/>
  <c r="W7" i="138"/>
  <c r="U7" i="138"/>
  <c r="T7" i="138"/>
  <c r="S7" i="138"/>
  <c r="L7" i="138"/>
  <c r="K7" i="138"/>
  <c r="M7" i="138"/>
  <c r="N7" i="138" s="1"/>
  <c r="B7" i="138"/>
  <c r="U6" i="138"/>
  <c r="W6" i="138" s="1"/>
  <c r="T6" i="138"/>
  <c r="S6" i="138"/>
  <c r="L6" i="138"/>
  <c r="K6" i="138"/>
  <c r="B6" i="138"/>
  <c r="C6" i="138" s="1"/>
  <c r="B37" i="137"/>
  <c r="C37" i="137" s="1"/>
  <c r="U36" i="137"/>
  <c r="W36" i="137" s="1"/>
  <c r="T36" i="137"/>
  <c r="S36" i="137"/>
  <c r="L36" i="137"/>
  <c r="K36" i="137"/>
  <c r="M36" i="137"/>
  <c r="N36" i="137" s="1"/>
  <c r="B36" i="137"/>
  <c r="C36" i="137" s="1"/>
  <c r="W35" i="137"/>
  <c r="U35" i="137"/>
  <c r="T35" i="137"/>
  <c r="S35" i="137"/>
  <c r="L35" i="137"/>
  <c r="K35" i="137"/>
  <c r="M35" i="137"/>
  <c r="N35" i="137" s="1"/>
  <c r="C35" i="137"/>
  <c r="B35" i="137"/>
  <c r="P35" i="137" s="1"/>
  <c r="U34" i="137"/>
  <c r="W34" i="137" s="1"/>
  <c r="T34" i="137"/>
  <c r="S34" i="137"/>
  <c r="L34" i="137"/>
  <c r="K34" i="137"/>
  <c r="M34" i="137"/>
  <c r="N34" i="137" s="1"/>
  <c r="B34" i="137"/>
  <c r="C34" i="137" s="1"/>
  <c r="W33" i="137"/>
  <c r="U33" i="137"/>
  <c r="T33" i="137"/>
  <c r="S33" i="137"/>
  <c r="L33" i="137"/>
  <c r="K33" i="137"/>
  <c r="M33" i="137"/>
  <c r="N33" i="137" s="1"/>
  <c r="B33" i="137"/>
  <c r="P33" i="137" s="1"/>
  <c r="U32" i="137"/>
  <c r="W32" i="137" s="1"/>
  <c r="T32" i="137"/>
  <c r="S32" i="137"/>
  <c r="L32" i="137"/>
  <c r="K32" i="137"/>
  <c r="M32" i="137"/>
  <c r="N32" i="137" s="1"/>
  <c r="B32" i="137"/>
  <c r="C32" i="137" s="1"/>
  <c r="W31" i="137"/>
  <c r="U31" i="137"/>
  <c r="T31" i="137"/>
  <c r="S31" i="137"/>
  <c r="L31" i="137"/>
  <c r="K31" i="137"/>
  <c r="M31" i="137"/>
  <c r="N31" i="137" s="1"/>
  <c r="C31" i="137"/>
  <c r="B31" i="137"/>
  <c r="P31" i="137" s="1"/>
  <c r="U30" i="137"/>
  <c r="W30" i="137" s="1"/>
  <c r="T30" i="137"/>
  <c r="S30" i="137"/>
  <c r="L30" i="137"/>
  <c r="K30" i="137"/>
  <c r="M30" i="137"/>
  <c r="N30" i="137" s="1"/>
  <c r="B30" i="137"/>
  <c r="C30" i="137" s="1"/>
  <c r="W29" i="137"/>
  <c r="U29" i="137"/>
  <c r="T29" i="137"/>
  <c r="S29" i="137"/>
  <c r="L29" i="137"/>
  <c r="K29" i="137"/>
  <c r="M29" i="137"/>
  <c r="N29" i="137" s="1"/>
  <c r="B29" i="137"/>
  <c r="P29" i="137" s="1"/>
  <c r="U28" i="137"/>
  <c r="W28" i="137" s="1"/>
  <c r="T28" i="137"/>
  <c r="S28" i="137"/>
  <c r="L28" i="137"/>
  <c r="K28" i="137"/>
  <c r="M28" i="137"/>
  <c r="N28" i="137" s="1"/>
  <c r="B28" i="137"/>
  <c r="C28" i="137" s="1"/>
  <c r="W27" i="137"/>
  <c r="U27" i="137"/>
  <c r="T27" i="137"/>
  <c r="S27" i="137"/>
  <c r="L27" i="137"/>
  <c r="K27" i="137"/>
  <c r="M27" i="137"/>
  <c r="N27" i="137" s="1"/>
  <c r="C27" i="137"/>
  <c r="B27" i="137"/>
  <c r="P27" i="137" s="1"/>
  <c r="U26" i="137"/>
  <c r="W26" i="137" s="1"/>
  <c r="T26" i="137"/>
  <c r="S26" i="137"/>
  <c r="L26" i="137"/>
  <c r="K26" i="137"/>
  <c r="M26" i="137"/>
  <c r="N26" i="137" s="1"/>
  <c r="B26" i="137"/>
  <c r="C26" i="137" s="1"/>
  <c r="W25" i="137"/>
  <c r="U25" i="137"/>
  <c r="T25" i="137"/>
  <c r="S25" i="137"/>
  <c r="L25" i="137"/>
  <c r="K25" i="137"/>
  <c r="M25" i="137"/>
  <c r="N25" i="137" s="1"/>
  <c r="B25" i="137"/>
  <c r="P25" i="137" s="1"/>
  <c r="U24" i="137"/>
  <c r="W24" i="137" s="1"/>
  <c r="T24" i="137"/>
  <c r="S24" i="137"/>
  <c r="L24" i="137"/>
  <c r="K24" i="137"/>
  <c r="M24" i="137"/>
  <c r="N24" i="137" s="1"/>
  <c r="B24" i="137"/>
  <c r="C24" i="137" s="1"/>
  <c r="W23" i="137"/>
  <c r="U23" i="137"/>
  <c r="T23" i="137"/>
  <c r="S23" i="137"/>
  <c r="L23" i="137"/>
  <c r="K23" i="137"/>
  <c r="M23" i="137"/>
  <c r="N23" i="137" s="1"/>
  <c r="C23" i="137"/>
  <c r="B23" i="137"/>
  <c r="P23" i="137" s="1"/>
  <c r="U22" i="137"/>
  <c r="W22" i="137" s="1"/>
  <c r="T22" i="137"/>
  <c r="S22" i="137"/>
  <c r="L22" i="137"/>
  <c r="K22" i="137"/>
  <c r="M22" i="137"/>
  <c r="N22" i="137" s="1"/>
  <c r="B22" i="137"/>
  <c r="C22" i="137" s="1"/>
  <c r="W21" i="137"/>
  <c r="U21" i="137"/>
  <c r="T21" i="137"/>
  <c r="S21" i="137"/>
  <c r="L21" i="137"/>
  <c r="K21" i="137"/>
  <c r="M21" i="137"/>
  <c r="N21" i="137" s="1"/>
  <c r="B21" i="137"/>
  <c r="P21" i="137" s="1"/>
  <c r="U20" i="137"/>
  <c r="W20" i="137" s="1"/>
  <c r="T20" i="137"/>
  <c r="S20" i="137"/>
  <c r="L20" i="137"/>
  <c r="K20" i="137"/>
  <c r="M20" i="137"/>
  <c r="N20" i="137" s="1"/>
  <c r="B20" i="137"/>
  <c r="C20" i="137" s="1"/>
  <c r="W19" i="137"/>
  <c r="U19" i="137"/>
  <c r="T19" i="137"/>
  <c r="S19" i="137"/>
  <c r="L19" i="137"/>
  <c r="K19" i="137"/>
  <c r="M19" i="137"/>
  <c r="N19" i="137" s="1"/>
  <c r="C19" i="137"/>
  <c r="B19" i="137"/>
  <c r="P19" i="137" s="1"/>
  <c r="U18" i="137"/>
  <c r="W18" i="137" s="1"/>
  <c r="T18" i="137"/>
  <c r="S18" i="137"/>
  <c r="L18" i="137"/>
  <c r="K18" i="137"/>
  <c r="M18" i="137"/>
  <c r="N18" i="137" s="1"/>
  <c r="B18" i="137"/>
  <c r="C18" i="137" s="1"/>
  <c r="W17" i="137"/>
  <c r="U17" i="137"/>
  <c r="T17" i="137"/>
  <c r="S17" i="137"/>
  <c r="L17" i="137"/>
  <c r="K17" i="137"/>
  <c r="M17" i="137"/>
  <c r="N17" i="137" s="1"/>
  <c r="B17" i="137"/>
  <c r="P17" i="137" s="1"/>
  <c r="U16" i="137"/>
  <c r="W16" i="137" s="1"/>
  <c r="T16" i="137"/>
  <c r="S16" i="137"/>
  <c r="L16" i="137"/>
  <c r="K16" i="137"/>
  <c r="M16" i="137"/>
  <c r="N16" i="137" s="1"/>
  <c r="B16" i="137"/>
  <c r="C16" i="137" s="1"/>
  <c r="W15" i="137"/>
  <c r="U15" i="137"/>
  <c r="T15" i="137"/>
  <c r="S15" i="137"/>
  <c r="L15" i="137"/>
  <c r="K15" i="137"/>
  <c r="M15" i="137"/>
  <c r="N15" i="137" s="1"/>
  <c r="C15" i="137"/>
  <c r="B15" i="137"/>
  <c r="P15" i="137" s="1"/>
  <c r="U14" i="137"/>
  <c r="W14" i="137" s="1"/>
  <c r="T14" i="137"/>
  <c r="S14" i="137"/>
  <c r="L14" i="137"/>
  <c r="K14" i="137"/>
  <c r="M14" i="137"/>
  <c r="N14" i="137" s="1"/>
  <c r="B14" i="137"/>
  <c r="C14" i="137" s="1"/>
  <c r="W13" i="137"/>
  <c r="U13" i="137"/>
  <c r="T13" i="137"/>
  <c r="S13" i="137"/>
  <c r="L13" i="137"/>
  <c r="K13" i="137"/>
  <c r="M13" i="137"/>
  <c r="N13" i="137" s="1"/>
  <c r="B13" i="137"/>
  <c r="P13" i="137" s="1"/>
  <c r="U12" i="137"/>
  <c r="W12" i="137" s="1"/>
  <c r="T12" i="137"/>
  <c r="S12" i="137"/>
  <c r="L12" i="137"/>
  <c r="K12" i="137"/>
  <c r="M12" i="137"/>
  <c r="N12" i="137" s="1"/>
  <c r="B12" i="137"/>
  <c r="C12" i="137" s="1"/>
  <c r="W11" i="137"/>
  <c r="U11" i="137"/>
  <c r="T11" i="137"/>
  <c r="S11" i="137"/>
  <c r="L11" i="137"/>
  <c r="K11" i="137"/>
  <c r="M11" i="137"/>
  <c r="N11" i="137" s="1"/>
  <c r="C11" i="137"/>
  <c r="B11" i="137"/>
  <c r="P11" i="137" s="1"/>
  <c r="U10" i="137"/>
  <c r="W10" i="137" s="1"/>
  <c r="T10" i="137"/>
  <c r="S10" i="137"/>
  <c r="L10" i="137"/>
  <c r="K10" i="137"/>
  <c r="M10" i="137"/>
  <c r="N10" i="137" s="1"/>
  <c r="B10" i="137"/>
  <c r="C10" i="137" s="1"/>
  <c r="W9" i="137"/>
  <c r="U9" i="137"/>
  <c r="T9" i="137"/>
  <c r="S9" i="137"/>
  <c r="L9" i="137"/>
  <c r="K9" i="137"/>
  <c r="M9" i="137"/>
  <c r="N9" i="137" s="1"/>
  <c r="B9" i="137"/>
  <c r="P9" i="137" s="1"/>
  <c r="U8" i="137"/>
  <c r="W8" i="137" s="1"/>
  <c r="T8" i="137"/>
  <c r="S8" i="137"/>
  <c r="L8" i="137"/>
  <c r="K8" i="137"/>
  <c r="M8" i="137"/>
  <c r="N8" i="137" s="1"/>
  <c r="B8" i="137"/>
  <c r="C8" i="137" s="1"/>
  <c r="W7" i="137"/>
  <c r="U7" i="137"/>
  <c r="T7" i="137"/>
  <c r="S7" i="137"/>
  <c r="L7" i="137"/>
  <c r="K7" i="137"/>
  <c r="M7" i="137"/>
  <c r="N7" i="137" s="1"/>
  <c r="C7" i="137"/>
  <c r="B7" i="137"/>
  <c r="P7" i="137" s="1"/>
  <c r="U6" i="137"/>
  <c r="W6" i="137" s="1"/>
  <c r="T6" i="137"/>
  <c r="S6" i="137"/>
  <c r="L6" i="137"/>
  <c r="K6" i="137"/>
  <c r="M6" i="137"/>
  <c r="B6" i="137"/>
  <c r="C6" i="137" s="1"/>
  <c r="B37" i="136"/>
  <c r="C37" i="136" s="1"/>
  <c r="U36" i="136"/>
  <c r="W36" i="136" s="1"/>
  <c r="T36" i="136"/>
  <c r="S36" i="136"/>
  <c r="L36" i="136"/>
  <c r="K36" i="136"/>
  <c r="M36" i="136"/>
  <c r="N36" i="136" s="1"/>
  <c r="B36" i="136"/>
  <c r="P36" i="136" s="1"/>
  <c r="O36" i="136" s="1"/>
  <c r="W35" i="136"/>
  <c r="U35" i="136"/>
  <c r="T35" i="136"/>
  <c r="S35" i="136"/>
  <c r="L35" i="136"/>
  <c r="K35" i="136"/>
  <c r="M35" i="136"/>
  <c r="N35" i="136" s="1"/>
  <c r="B35" i="136"/>
  <c r="P35" i="136" s="1"/>
  <c r="U34" i="136"/>
  <c r="W34" i="136" s="1"/>
  <c r="T34" i="136"/>
  <c r="S34" i="136"/>
  <c r="L34" i="136"/>
  <c r="K34" i="136"/>
  <c r="M34" i="136"/>
  <c r="N34" i="136" s="1"/>
  <c r="C34" i="136"/>
  <c r="B34" i="136"/>
  <c r="P34" i="136" s="1"/>
  <c r="O34" i="136" s="1"/>
  <c r="W33" i="136"/>
  <c r="U33" i="136"/>
  <c r="T33" i="136"/>
  <c r="S33" i="136"/>
  <c r="L33" i="136"/>
  <c r="K33" i="136"/>
  <c r="M33" i="136"/>
  <c r="N33" i="136" s="1"/>
  <c r="B33" i="136"/>
  <c r="P33" i="136" s="1"/>
  <c r="U32" i="136"/>
  <c r="W32" i="136" s="1"/>
  <c r="T32" i="136"/>
  <c r="S32" i="136"/>
  <c r="L32" i="136"/>
  <c r="K32" i="136"/>
  <c r="M32" i="136"/>
  <c r="N32" i="136" s="1"/>
  <c r="B32" i="136"/>
  <c r="P32" i="136" s="1"/>
  <c r="O32" i="136" s="1"/>
  <c r="W31" i="136"/>
  <c r="U31" i="136"/>
  <c r="T31" i="136"/>
  <c r="S31" i="136"/>
  <c r="L31" i="136"/>
  <c r="K31" i="136"/>
  <c r="M31" i="136"/>
  <c r="N31" i="136" s="1"/>
  <c r="C31" i="136"/>
  <c r="B31" i="136"/>
  <c r="P31" i="136" s="1"/>
  <c r="U30" i="136"/>
  <c r="W30" i="136" s="1"/>
  <c r="T30" i="136"/>
  <c r="S30" i="136"/>
  <c r="L30" i="136"/>
  <c r="K30" i="136"/>
  <c r="M30" i="136"/>
  <c r="N30" i="136" s="1"/>
  <c r="B30" i="136"/>
  <c r="P30" i="136" s="1"/>
  <c r="O30" i="136" s="1"/>
  <c r="W29" i="136"/>
  <c r="U29" i="136"/>
  <c r="T29" i="136"/>
  <c r="S29" i="136"/>
  <c r="L29" i="136"/>
  <c r="K29" i="136"/>
  <c r="M29" i="136"/>
  <c r="N29" i="136" s="1"/>
  <c r="C29" i="136"/>
  <c r="B29" i="136"/>
  <c r="P29" i="136" s="1"/>
  <c r="U28" i="136"/>
  <c r="W28" i="136" s="1"/>
  <c r="T28" i="136"/>
  <c r="S28" i="136"/>
  <c r="L28" i="136"/>
  <c r="K28" i="136"/>
  <c r="M28" i="136"/>
  <c r="N28" i="136" s="1"/>
  <c r="B28" i="136"/>
  <c r="P28" i="136" s="1"/>
  <c r="O28" i="136" s="1"/>
  <c r="W27" i="136"/>
  <c r="U27" i="136"/>
  <c r="T27" i="136"/>
  <c r="S27" i="136"/>
  <c r="L27" i="136"/>
  <c r="K27" i="136"/>
  <c r="M27" i="136"/>
  <c r="N27" i="136" s="1"/>
  <c r="B27" i="136"/>
  <c r="P27" i="136" s="1"/>
  <c r="U26" i="136"/>
  <c r="W26" i="136" s="1"/>
  <c r="T26" i="136"/>
  <c r="S26" i="136"/>
  <c r="L26" i="136"/>
  <c r="K26" i="136"/>
  <c r="M26" i="136"/>
  <c r="N26" i="136" s="1"/>
  <c r="C26" i="136"/>
  <c r="B26" i="136"/>
  <c r="P26" i="136" s="1"/>
  <c r="O26" i="136" s="1"/>
  <c r="W25" i="136"/>
  <c r="U25" i="136"/>
  <c r="T25" i="136"/>
  <c r="S25" i="136"/>
  <c r="L25" i="136"/>
  <c r="K25" i="136"/>
  <c r="M25" i="136"/>
  <c r="N25" i="136" s="1"/>
  <c r="B25" i="136"/>
  <c r="P25" i="136" s="1"/>
  <c r="U24" i="136"/>
  <c r="W24" i="136" s="1"/>
  <c r="T24" i="136"/>
  <c r="S24" i="136"/>
  <c r="L24" i="136"/>
  <c r="K24" i="136"/>
  <c r="M24" i="136"/>
  <c r="N24" i="136" s="1"/>
  <c r="B24" i="136"/>
  <c r="P24" i="136" s="1"/>
  <c r="O24" i="136" s="1"/>
  <c r="W23" i="136"/>
  <c r="U23" i="136"/>
  <c r="T23" i="136"/>
  <c r="S23" i="136"/>
  <c r="L23" i="136"/>
  <c r="K23" i="136"/>
  <c r="M23" i="136"/>
  <c r="N23" i="136" s="1"/>
  <c r="C23" i="136"/>
  <c r="B23" i="136"/>
  <c r="P23" i="136" s="1"/>
  <c r="U22" i="136"/>
  <c r="W22" i="136" s="1"/>
  <c r="T22" i="136"/>
  <c r="S22" i="136"/>
  <c r="L22" i="136"/>
  <c r="K22" i="136"/>
  <c r="M22" i="136"/>
  <c r="N22" i="136" s="1"/>
  <c r="B22" i="136"/>
  <c r="P22" i="136" s="1"/>
  <c r="O22" i="136" s="1"/>
  <c r="W21" i="136"/>
  <c r="U21" i="136"/>
  <c r="T21" i="136"/>
  <c r="S21" i="136"/>
  <c r="L21" i="136"/>
  <c r="K21" i="136"/>
  <c r="M21" i="136"/>
  <c r="N21" i="136" s="1"/>
  <c r="C21" i="136"/>
  <c r="B21" i="136"/>
  <c r="P21" i="136" s="1"/>
  <c r="U20" i="136"/>
  <c r="W20" i="136" s="1"/>
  <c r="T20" i="136"/>
  <c r="S20" i="136"/>
  <c r="L20" i="136"/>
  <c r="K20" i="136"/>
  <c r="M20" i="136"/>
  <c r="N20" i="136" s="1"/>
  <c r="B20" i="136"/>
  <c r="P20" i="136" s="1"/>
  <c r="O20" i="136" s="1"/>
  <c r="W19" i="136"/>
  <c r="U19" i="136"/>
  <c r="T19" i="136"/>
  <c r="S19" i="136"/>
  <c r="L19" i="136"/>
  <c r="K19" i="136"/>
  <c r="M19" i="136"/>
  <c r="N19" i="136" s="1"/>
  <c r="B19" i="136"/>
  <c r="P19" i="136" s="1"/>
  <c r="U18" i="136"/>
  <c r="W18" i="136" s="1"/>
  <c r="T18" i="136"/>
  <c r="S18" i="136"/>
  <c r="L18" i="136"/>
  <c r="K18" i="136"/>
  <c r="M18" i="136"/>
  <c r="N18" i="136" s="1"/>
  <c r="C18" i="136"/>
  <c r="B18" i="136"/>
  <c r="P18" i="136" s="1"/>
  <c r="O18" i="136" s="1"/>
  <c r="V18" i="136" s="1"/>
  <c r="W17" i="136"/>
  <c r="U17" i="136"/>
  <c r="T17" i="136"/>
  <c r="S17" i="136"/>
  <c r="L17" i="136"/>
  <c r="K17" i="136"/>
  <c r="M17" i="136"/>
  <c r="N17" i="136" s="1"/>
  <c r="B17" i="136"/>
  <c r="P17" i="136" s="1"/>
  <c r="U16" i="136"/>
  <c r="W16" i="136" s="1"/>
  <c r="T16" i="136"/>
  <c r="S16" i="136"/>
  <c r="L16" i="136"/>
  <c r="K16" i="136"/>
  <c r="M16" i="136"/>
  <c r="N16" i="136" s="1"/>
  <c r="B16" i="136"/>
  <c r="P16" i="136" s="1"/>
  <c r="W15" i="136"/>
  <c r="U15" i="136"/>
  <c r="T15" i="136"/>
  <c r="S15" i="136"/>
  <c r="L15" i="136"/>
  <c r="K15" i="136"/>
  <c r="M15" i="136"/>
  <c r="N15" i="136" s="1"/>
  <c r="B15" i="136"/>
  <c r="C15" i="136" s="1"/>
  <c r="U14" i="136"/>
  <c r="W14" i="136" s="1"/>
  <c r="T14" i="136"/>
  <c r="S14" i="136"/>
  <c r="L14" i="136"/>
  <c r="K14" i="136"/>
  <c r="M14" i="136"/>
  <c r="N14" i="136" s="1"/>
  <c r="B14" i="136"/>
  <c r="P14" i="136" s="1"/>
  <c r="U13" i="136"/>
  <c r="W13" i="136" s="1"/>
  <c r="T13" i="136"/>
  <c r="S13" i="136"/>
  <c r="L13" i="136"/>
  <c r="K13" i="136"/>
  <c r="M13" i="136"/>
  <c r="N13" i="136" s="1"/>
  <c r="B13" i="136"/>
  <c r="U12" i="136"/>
  <c r="W12" i="136" s="1"/>
  <c r="T12" i="136"/>
  <c r="S12" i="136"/>
  <c r="L12" i="136"/>
  <c r="K12" i="136"/>
  <c r="M12" i="136"/>
  <c r="N12" i="136" s="1"/>
  <c r="B12" i="136"/>
  <c r="P12" i="136" s="1"/>
  <c r="O12" i="136" s="1"/>
  <c r="U11" i="136"/>
  <c r="W11" i="136" s="1"/>
  <c r="T11" i="136"/>
  <c r="S11" i="136"/>
  <c r="L11" i="136"/>
  <c r="K11" i="136"/>
  <c r="M11" i="136"/>
  <c r="N11" i="136" s="1"/>
  <c r="B11" i="136"/>
  <c r="P11" i="136" s="1"/>
  <c r="W10" i="136"/>
  <c r="U10" i="136"/>
  <c r="T10" i="136"/>
  <c r="S10" i="136"/>
  <c r="L10" i="136"/>
  <c r="K10" i="136"/>
  <c r="M10" i="136"/>
  <c r="N10" i="136" s="1"/>
  <c r="B10" i="136"/>
  <c r="P10" i="136" s="1"/>
  <c r="O10" i="136" s="1"/>
  <c r="W9" i="136"/>
  <c r="U9" i="136"/>
  <c r="T9" i="136"/>
  <c r="S9" i="136"/>
  <c r="L9" i="136"/>
  <c r="K9" i="136"/>
  <c r="M9" i="136"/>
  <c r="N9" i="136" s="1"/>
  <c r="B9" i="136"/>
  <c r="P9" i="136" s="1"/>
  <c r="W8" i="136"/>
  <c r="U8" i="136"/>
  <c r="T8" i="136"/>
  <c r="S8" i="136"/>
  <c r="L8" i="136"/>
  <c r="K8" i="136"/>
  <c r="M8" i="136"/>
  <c r="N8" i="136" s="1"/>
  <c r="B8" i="136"/>
  <c r="P8" i="136" s="1"/>
  <c r="W7" i="136"/>
  <c r="U7" i="136"/>
  <c r="T7" i="136"/>
  <c r="S7" i="136"/>
  <c r="L7" i="136"/>
  <c r="K7" i="136"/>
  <c r="M7" i="136"/>
  <c r="N7" i="136" s="1"/>
  <c r="B7" i="136"/>
  <c r="P7" i="136" s="1"/>
  <c r="U6" i="136"/>
  <c r="W6" i="136" s="1"/>
  <c r="T6" i="136"/>
  <c r="S6" i="136"/>
  <c r="L6" i="136"/>
  <c r="K6" i="136"/>
  <c r="I37" i="136"/>
  <c r="E61" i="136" s="1"/>
  <c r="H61" i="136" s="1"/>
  <c r="C6" i="136"/>
  <c r="B6" i="136"/>
  <c r="P6" i="136" s="1"/>
  <c r="O6" i="136" s="1"/>
  <c r="C37" i="135"/>
  <c r="B37" i="135"/>
  <c r="U36" i="135"/>
  <c r="W36" i="135" s="1"/>
  <c r="T36" i="135"/>
  <c r="S36" i="135"/>
  <c r="L36" i="135"/>
  <c r="K36" i="135"/>
  <c r="M36" i="135"/>
  <c r="N36" i="135" s="1"/>
  <c r="G36" i="135" s="1"/>
  <c r="H36" i="135" s="1"/>
  <c r="B36" i="135"/>
  <c r="P36" i="135" s="1"/>
  <c r="O36" i="135" s="1"/>
  <c r="U35" i="135"/>
  <c r="W35" i="135" s="1"/>
  <c r="T35" i="135"/>
  <c r="S35" i="135"/>
  <c r="L35" i="135"/>
  <c r="K35" i="135"/>
  <c r="M35" i="135"/>
  <c r="N35" i="135" s="1"/>
  <c r="G35" i="135" s="1"/>
  <c r="H35" i="135" s="1"/>
  <c r="B35" i="135"/>
  <c r="P35" i="135" s="1"/>
  <c r="U34" i="135"/>
  <c r="W34" i="135" s="1"/>
  <c r="T34" i="135"/>
  <c r="S34" i="135"/>
  <c r="L34" i="135"/>
  <c r="K34" i="135"/>
  <c r="M34" i="135"/>
  <c r="N34" i="135" s="1"/>
  <c r="G34" i="135" s="1"/>
  <c r="H34" i="135" s="1"/>
  <c r="B34" i="135"/>
  <c r="P34" i="135" s="1"/>
  <c r="O34" i="135" s="1"/>
  <c r="W33" i="135"/>
  <c r="U33" i="135"/>
  <c r="T33" i="135"/>
  <c r="S33" i="135"/>
  <c r="L33" i="135"/>
  <c r="K33" i="135"/>
  <c r="M33" i="135"/>
  <c r="N33" i="135" s="1"/>
  <c r="B33" i="135"/>
  <c r="P33" i="135" s="1"/>
  <c r="U32" i="135"/>
  <c r="W32" i="135" s="1"/>
  <c r="T32" i="135"/>
  <c r="S32" i="135"/>
  <c r="L32" i="135"/>
  <c r="K32" i="135"/>
  <c r="M32" i="135"/>
  <c r="N32" i="135" s="1"/>
  <c r="C32" i="135"/>
  <c r="B32" i="135"/>
  <c r="P32" i="135" s="1"/>
  <c r="O32" i="135" s="1"/>
  <c r="U31" i="135"/>
  <c r="W31" i="135" s="1"/>
  <c r="T31" i="135"/>
  <c r="S31" i="135"/>
  <c r="L31" i="135"/>
  <c r="K31" i="135"/>
  <c r="M31" i="135"/>
  <c r="N31" i="135" s="1"/>
  <c r="G31" i="135" s="1"/>
  <c r="H31" i="135" s="1"/>
  <c r="B31" i="135"/>
  <c r="P31" i="135" s="1"/>
  <c r="U30" i="135"/>
  <c r="W30" i="135" s="1"/>
  <c r="T30" i="135"/>
  <c r="S30" i="135"/>
  <c r="L30" i="135"/>
  <c r="K30" i="135"/>
  <c r="M30" i="135"/>
  <c r="N30" i="135" s="1"/>
  <c r="G30" i="135" s="1"/>
  <c r="H30" i="135" s="1"/>
  <c r="B30" i="135"/>
  <c r="P30" i="135" s="1"/>
  <c r="O30" i="135" s="1"/>
  <c r="U29" i="135"/>
  <c r="W29" i="135" s="1"/>
  <c r="T29" i="135"/>
  <c r="S29" i="135"/>
  <c r="L29" i="135"/>
  <c r="K29" i="135"/>
  <c r="M29" i="135"/>
  <c r="N29" i="135" s="1"/>
  <c r="G29" i="135" s="1"/>
  <c r="H29" i="135" s="1"/>
  <c r="C29" i="135"/>
  <c r="B29" i="135"/>
  <c r="P29" i="135" s="1"/>
  <c r="U28" i="135"/>
  <c r="W28" i="135" s="1"/>
  <c r="T28" i="135"/>
  <c r="S28" i="135"/>
  <c r="L28" i="135"/>
  <c r="K28" i="135"/>
  <c r="M28" i="135"/>
  <c r="N28" i="135" s="1"/>
  <c r="G28" i="135" s="1"/>
  <c r="H28" i="135" s="1"/>
  <c r="B28" i="135"/>
  <c r="P28" i="135" s="1"/>
  <c r="O28" i="135" s="1"/>
  <c r="W27" i="135"/>
  <c r="U27" i="135"/>
  <c r="T27" i="135"/>
  <c r="S27" i="135"/>
  <c r="L27" i="135"/>
  <c r="K27" i="135"/>
  <c r="M27" i="135"/>
  <c r="N27" i="135" s="1"/>
  <c r="G27" i="135" s="1"/>
  <c r="H27" i="135" s="1"/>
  <c r="B27" i="135"/>
  <c r="P27" i="135" s="1"/>
  <c r="U26" i="135"/>
  <c r="W26" i="135" s="1"/>
  <c r="T26" i="135"/>
  <c r="S26" i="135"/>
  <c r="L26" i="135"/>
  <c r="K26" i="135"/>
  <c r="M26" i="135"/>
  <c r="N26" i="135" s="1"/>
  <c r="B26" i="135"/>
  <c r="P26" i="135" s="1"/>
  <c r="O26" i="135" s="1"/>
  <c r="W25" i="135"/>
  <c r="U25" i="135"/>
  <c r="T25" i="135"/>
  <c r="S25" i="135"/>
  <c r="L25" i="135"/>
  <c r="K25" i="135"/>
  <c r="M25" i="135"/>
  <c r="N25" i="135" s="1"/>
  <c r="B25" i="135"/>
  <c r="P25" i="135" s="1"/>
  <c r="U24" i="135"/>
  <c r="W24" i="135" s="1"/>
  <c r="T24" i="135"/>
  <c r="S24" i="135"/>
  <c r="L24" i="135"/>
  <c r="K24" i="135"/>
  <c r="M24" i="135"/>
  <c r="N24" i="135" s="1"/>
  <c r="G24" i="135" s="1"/>
  <c r="H24" i="135" s="1"/>
  <c r="C24" i="135"/>
  <c r="B24" i="135"/>
  <c r="P24" i="135" s="1"/>
  <c r="O24" i="135" s="1"/>
  <c r="F24" i="135" s="1"/>
  <c r="U23" i="135"/>
  <c r="W23" i="135" s="1"/>
  <c r="T23" i="135"/>
  <c r="S23" i="135"/>
  <c r="L23" i="135"/>
  <c r="K23" i="135"/>
  <c r="M23" i="135"/>
  <c r="N23" i="135" s="1"/>
  <c r="G23" i="135" s="1"/>
  <c r="H23" i="135" s="1"/>
  <c r="B23" i="135"/>
  <c r="P23" i="135" s="1"/>
  <c r="U22" i="135"/>
  <c r="W22" i="135" s="1"/>
  <c r="T22" i="135"/>
  <c r="S22" i="135"/>
  <c r="L22" i="135"/>
  <c r="K22" i="135"/>
  <c r="M22" i="135"/>
  <c r="N22" i="135" s="1"/>
  <c r="G22" i="135" s="1"/>
  <c r="H22" i="135" s="1"/>
  <c r="B22" i="135"/>
  <c r="P22" i="135" s="1"/>
  <c r="O22" i="135" s="1"/>
  <c r="U21" i="135"/>
  <c r="W21" i="135" s="1"/>
  <c r="T21" i="135"/>
  <c r="S21" i="135"/>
  <c r="L21" i="135"/>
  <c r="K21" i="135"/>
  <c r="M21" i="135"/>
  <c r="N21" i="135" s="1"/>
  <c r="G21" i="135" s="1"/>
  <c r="H21" i="135" s="1"/>
  <c r="C21" i="135"/>
  <c r="B21" i="135"/>
  <c r="P21" i="135" s="1"/>
  <c r="U20" i="135"/>
  <c r="W20" i="135" s="1"/>
  <c r="T20" i="135"/>
  <c r="S20" i="135"/>
  <c r="L20" i="135"/>
  <c r="K20" i="135"/>
  <c r="M20" i="135"/>
  <c r="N20" i="135" s="1"/>
  <c r="G20" i="135" s="1"/>
  <c r="H20" i="135" s="1"/>
  <c r="B20" i="135"/>
  <c r="P20" i="135" s="1"/>
  <c r="O20" i="135" s="1"/>
  <c r="W19" i="135"/>
  <c r="U19" i="135"/>
  <c r="T19" i="135"/>
  <c r="S19" i="135"/>
  <c r="L19" i="135"/>
  <c r="K19" i="135"/>
  <c r="M19" i="135"/>
  <c r="N19" i="135" s="1"/>
  <c r="B19" i="135"/>
  <c r="P19" i="135" s="1"/>
  <c r="U18" i="135"/>
  <c r="W18" i="135" s="1"/>
  <c r="T18" i="135"/>
  <c r="S18" i="135"/>
  <c r="L18" i="135"/>
  <c r="K18" i="135"/>
  <c r="M18" i="135"/>
  <c r="N18" i="135" s="1"/>
  <c r="B18" i="135"/>
  <c r="P18" i="135" s="1"/>
  <c r="O18" i="135" s="1"/>
  <c r="U17" i="135"/>
  <c r="W17" i="135" s="1"/>
  <c r="T17" i="135"/>
  <c r="S17" i="135"/>
  <c r="L17" i="135"/>
  <c r="K17" i="135"/>
  <c r="M17" i="135"/>
  <c r="N17" i="135" s="1"/>
  <c r="G17" i="135" s="1"/>
  <c r="H17" i="135" s="1"/>
  <c r="B17" i="135"/>
  <c r="C17" i="135" s="1"/>
  <c r="U16" i="135"/>
  <c r="W16" i="135" s="1"/>
  <c r="T16" i="135"/>
  <c r="S16" i="135"/>
  <c r="L16" i="135"/>
  <c r="K16" i="135"/>
  <c r="M16" i="135"/>
  <c r="N16" i="135" s="1"/>
  <c r="B16" i="135"/>
  <c r="P16" i="135" s="1"/>
  <c r="O16" i="135" s="1"/>
  <c r="U15" i="135"/>
  <c r="W15" i="135" s="1"/>
  <c r="T15" i="135"/>
  <c r="S15" i="135"/>
  <c r="L15" i="135"/>
  <c r="K15" i="135"/>
  <c r="M15" i="135"/>
  <c r="N15" i="135" s="1"/>
  <c r="G15" i="135" s="1"/>
  <c r="H15" i="135" s="1"/>
  <c r="B15" i="135"/>
  <c r="P15" i="135" s="1"/>
  <c r="O15" i="135" s="1"/>
  <c r="W14" i="135"/>
  <c r="U14" i="135"/>
  <c r="T14" i="135"/>
  <c r="S14" i="135"/>
  <c r="L14" i="135"/>
  <c r="K14" i="135"/>
  <c r="M14" i="135"/>
  <c r="N14" i="135" s="1"/>
  <c r="G14" i="135" s="1"/>
  <c r="H14" i="135" s="1"/>
  <c r="B14" i="135"/>
  <c r="P14" i="135" s="1"/>
  <c r="O14" i="135" s="1"/>
  <c r="U13" i="135"/>
  <c r="W13" i="135" s="1"/>
  <c r="T13" i="135"/>
  <c r="S13" i="135"/>
  <c r="L13" i="135"/>
  <c r="K13" i="135"/>
  <c r="M13" i="135"/>
  <c r="N13" i="135" s="1"/>
  <c r="G13" i="135" s="1"/>
  <c r="H13" i="135" s="1"/>
  <c r="B13" i="135"/>
  <c r="P13" i="135" s="1"/>
  <c r="W12" i="135"/>
  <c r="U12" i="135"/>
  <c r="T12" i="135"/>
  <c r="S12" i="135"/>
  <c r="L12" i="135"/>
  <c r="K12" i="135"/>
  <c r="M12" i="135"/>
  <c r="N12" i="135" s="1"/>
  <c r="B12" i="135"/>
  <c r="P12" i="135" s="1"/>
  <c r="W11" i="135"/>
  <c r="U11" i="135"/>
  <c r="T11" i="135"/>
  <c r="S11" i="135"/>
  <c r="L11" i="135"/>
  <c r="K11" i="135"/>
  <c r="M11" i="135"/>
  <c r="N11" i="135" s="1"/>
  <c r="B11" i="135"/>
  <c r="P11" i="135" s="1"/>
  <c r="O11" i="135" s="1"/>
  <c r="U10" i="135"/>
  <c r="W10" i="135" s="1"/>
  <c r="T10" i="135"/>
  <c r="S10" i="135"/>
  <c r="L10" i="135"/>
  <c r="K10" i="135"/>
  <c r="M10" i="135"/>
  <c r="N10" i="135" s="1"/>
  <c r="G10" i="135" s="1"/>
  <c r="H10" i="135" s="1"/>
  <c r="B10" i="135"/>
  <c r="P10" i="135" s="1"/>
  <c r="U9" i="135"/>
  <c r="W9" i="135" s="1"/>
  <c r="T9" i="135"/>
  <c r="S9" i="135"/>
  <c r="L9" i="135"/>
  <c r="K9" i="135"/>
  <c r="M9" i="135"/>
  <c r="N9" i="135" s="1"/>
  <c r="G9" i="135" s="1"/>
  <c r="H9" i="135" s="1"/>
  <c r="B9" i="135"/>
  <c r="P9" i="135" s="1"/>
  <c r="O9" i="135" s="1"/>
  <c r="U8" i="135"/>
  <c r="T8" i="135"/>
  <c r="S8" i="135"/>
  <c r="L8" i="135"/>
  <c r="K8" i="135"/>
  <c r="M8" i="135"/>
  <c r="N8" i="135" s="1"/>
  <c r="G8" i="135" s="1"/>
  <c r="H8" i="135" s="1"/>
  <c r="B8" i="135"/>
  <c r="P8" i="135" s="1"/>
  <c r="U7" i="135"/>
  <c r="T7" i="135"/>
  <c r="S7" i="135"/>
  <c r="L7" i="135"/>
  <c r="K7" i="135"/>
  <c r="M7" i="135"/>
  <c r="N7" i="135" s="1"/>
  <c r="G7" i="135" s="1"/>
  <c r="H7" i="135" s="1"/>
  <c r="B7" i="135"/>
  <c r="P7" i="135" s="1"/>
  <c r="O7" i="135" s="1"/>
  <c r="U6" i="135"/>
  <c r="T6" i="135"/>
  <c r="S6" i="135"/>
  <c r="L6" i="135"/>
  <c r="K6" i="135"/>
  <c r="M6" i="135"/>
  <c r="I37" i="135"/>
  <c r="E61" i="135" s="1"/>
  <c r="H61" i="135" s="1"/>
  <c r="C6" i="135"/>
  <c r="B6" i="135"/>
  <c r="P6" i="135" s="1"/>
  <c r="C37" i="134"/>
  <c r="B37" i="134"/>
  <c r="U36" i="134"/>
  <c r="W36" i="134" s="1"/>
  <c r="T36" i="134"/>
  <c r="S36" i="134"/>
  <c r="L36" i="134"/>
  <c r="K36" i="134"/>
  <c r="M36" i="134"/>
  <c r="N36" i="134" s="1"/>
  <c r="B36" i="134"/>
  <c r="C36" i="134" s="1"/>
  <c r="W35" i="134"/>
  <c r="U35" i="134"/>
  <c r="T35" i="134"/>
  <c r="S35" i="134"/>
  <c r="L35" i="134"/>
  <c r="K35" i="134"/>
  <c r="M35" i="134"/>
  <c r="N35" i="134" s="1"/>
  <c r="B35" i="134"/>
  <c r="P35" i="134" s="1"/>
  <c r="U34" i="134"/>
  <c r="W34" i="134" s="1"/>
  <c r="T34" i="134"/>
  <c r="S34" i="134"/>
  <c r="L34" i="134"/>
  <c r="K34" i="134"/>
  <c r="M34" i="134"/>
  <c r="N34" i="134" s="1"/>
  <c r="B34" i="134"/>
  <c r="C34" i="134" s="1"/>
  <c r="W33" i="134"/>
  <c r="U33" i="134"/>
  <c r="T33" i="134"/>
  <c r="S33" i="134"/>
  <c r="L33" i="134"/>
  <c r="K33" i="134"/>
  <c r="M33" i="134"/>
  <c r="N33" i="134" s="1"/>
  <c r="C33" i="134"/>
  <c r="B33" i="134"/>
  <c r="P33" i="134" s="1"/>
  <c r="U32" i="134"/>
  <c r="W32" i="134" s="1"/>
  <c r="T32" i="134"/>
  <c r="S32" i="134"/>
  <c r="L32" i="134"/>
  <c r="K32" i="134"/>
  <c r="M32" i="134"/>
  <c r="N32" i="134" s="1"/>
  <c r="B32" i="134"/>
  <c r="C32" i="134" s="1"/>
  <c r="W31" i="134"/>
  <c r="U31" i="134"/>
  <c r="T31" i="134"/>
  <c r="S31" i="134"/>
  <c r="L31" i="134"/>
  <c r="K31" i="134"/>
  <c r="M31" i="134"/>
  <c r="N31" i="134" s="1"/>
  <c r="B31" i="134"/>
  <c r="P31" i="134" s="1"/>
  <c r="U30" i="134"/>
  <c r="W30" i="134" s="1"/>
  <c r="T30" i="134"/>
  <c r="S30" i="134"/>
  <c r="L30" i="134"/>
  <c r="K30" i="134"/>
  <c r="M30" i="134"/>
  <c r="N30" i="134" s="1"/>
  <c r="B30" i="134"/>
  <c r="C30" i="134" s="1"/>
  <c r="W29" i="134"/>
  <c r="U29" i="134"/>
  <c r="T29" i="134"/>
  <c r="S29" i="134"/>
  <c r="L29" i="134"/>
  <c r="K29" i="134"/>
  <c r="M29" i="134"/>
  <c r="N29" i="134" s="1"/>
  <c r="B29" i="134"/>
  <c r="P29" i="134" s="1"/>
  <c r="U28" i="134"/>
  <c r="W28" i="134" s="1"/>
  <c r="T28" i="134"/>
  <c r="S28" i="134"/>
  <c r="L28" i="134"/>
  <c r="K28" i="134"/>
  <c r="M28" i="134"/>
  <c r="N28" i="134" s="1"/>
  <c r="B28" i="134"/>
  <c r="C28" i="134" s="1"/>
  <c r="W27" i="134"/>
  <c r="U27" i="134"/>
  <c r="T27" i="134"/>
  <c r="S27" i="134"/>
  <c r="L27" i="134"/>
  <c r="K27" i="134"/>
  <c r="M27" i="134"/>
  <c r="N27" i="134" s="1"/>
  <c r="B27" i="134"/>
  <c r="P27" i="134" s="1"/>
  <c r="U26" i="134"/>
  <c r="W26" i="134" s="1"/>
  <c r="T26" i="134"/>
  <c r="S26" i="134"/>
  <c r="L26" i="134"/>
  <c r="K26" i="134"/>
  <c r="M26" i="134"/>
  <c r="N26" i="134" s="1"/>
  <c r="B26" i="134"/>
  <c r="C26" i="134" s="1"/>
  <c r="W25" i="134"/>
  <c r="U25" i="134"/>
  <c r="T25" i="134"/>
  <c r="S25" i="134"/>
  <c r="L25" i="134"/>
  <c r="K25" i="134"/>
  <c r="M25" i="134"/>
  <c r="N25" i="134" s="1"/>
  <c r="C25" i="134"/>
  <c r="B25" i="134"/>
  <c r="P25" i="134" s="1"/>
  <c r="U24" i="134"/>
  <c r="W24" i="134" s="1"/>
  <c r="T24" i="134"/>
  <c r="S24" i="134"/>
  <c r="L24" i="134"/>
  <c r="K24" i="134"/>
  <c r="M24" i="134"/>
  <c r="N24" i="134" s="1"/>
  <c r="B24" i="134"/>
  <c r="C24" i="134" s="1"/>
  <c r="W23" i="134"/>
  <c r="U23" i="134"/>
  <c r="T23" i="134"/>
  <c r="S23" i="134"/>
  <c r="L23" i="134"/>
  <c r="K23" i="134"/>
  <c r="M23" i="134"/>
  <c r="N23" i="134" s="1"/>
  <c r="B23" i="134"/>
  <c r="P23" i="134" s="1"/>
  <c r="U22" i="134"/>
  <c r="W22" i="134" s="1"/>
  <c r="T22" i="134"/>
  <c r="S22" i="134"/>
  <c r="L22" i="134"/>
  <c r="K22" i="134"/>
  <c r="M22" i="134"/>
  <c r="N22" i="134" s="1"/>
  <c r="B22" i="134"/>
  <c r="C22" i="134" s="1"/>
  <c r="W21" i="134"/>
  <c r="U21" i="134"/>
  <c r="T21" i="134"/>
  <c r="S21" i="134"/>
  <c r="L21" i="134"/>
  <c r="K21" i="134"/>
  <c r="M21" i="134"/>
  <c r="N21" i="134" s="1"/>
  <c r="B21" i="134"/>
  <c r="P21" i="134" s="1"/>
  <c r="U20" i="134"/>
  <c r="W20" i="134" s="1"/>
  <c r="T20" i="134"/>
  <c r="S20" i="134"/>
  <c r="L20" i="134"/>
  <c r="K20" i="134"/>
  <c r="M20" i="134"/>
  <c r="N20" i="134" s="1"/>
  <c r="B20" i="134"/>
  <c r="C20" i="134" s="1"/>
  <c r="W19" i="134"/>
  <c r="U19" i="134"/>
  <c r="T19" i="134"/>
  <c r="S19" i="134"/>
  <c r="L19" i="134"/>
  <c r="K19" i="134"/>
  <c r="M19" i="134"/>
  <c r="N19" i="134" s="1"/>
  <c r="B19" i="134"/>
  <c r="P19" i="134" s="1"/>
  <c r="U18" i="134"/>
  <c r="W18" i="134" s="1"/>
  <c r="T18" i="134"/>
  <c r="S18" i="134"/>
  <c r="L18" i="134"/>
  <c r="K18" i="134"/>
  <c r="M18" i="134"/>
  <c r="N18" i="134" s="1"/>
  <c r="B18" i="134"/>
  <c r="C18" i="134" s="1"/>
  <c r="W17" i="134"/>
  <c r="U17" i="134"/>
  <c r="T17" i="134"/>
  <c r="S17" i="134"/>
  <c r="L17" i="134"/>
  <c r="K17" i="134"/>
  <c r="M17" i="134"/>
  <c r="N17" i="134" s="1"/>
  <c r="C17" i="134"/>
  <c r="B17" i="134"/>
  <c r="P17" i="134" s="1"/>
  <c r="U16" i="134"/>
  <c r="W16" i="134" s="1"/>
  <c r="T16" i="134"/>
  <c r="S16" i="134"/>
  <c r="L16" i="134"/>
  <c r="K16" i="134"/>
  <c r="M16" i="134"/>
  <c r="N16" i="134" s="1"/>
  <c r="B16" i="134"/>
  <c r="C16" i="134" s="1"/>
  <c r="W15" i="134"/>
  <c r="U15" i="134"/>
  <c r="T15" i="134"/>
  <c r="S15" i="134"/>
  <c r="L15" i="134"/>
  <c r="K15" i="134"/>
  <c r="M15" i="134"/>
  <c r="N15" i="134" s="1"/>
  <c r="B15" i="134"/>
  <c r="C15" i="134" s="1"/>
  <c r="U14" i="134"/>
  <c r="W14" i="134" s="1"/>
  <c r="T14" i="134"/>
  <c r="S14" i="134"/>
  <c r="L14" i="134"/>
  <c r="K14" i="134"/>
  <c r="M14" i="134"/>
  <c r="N14" i="134" s="1"/>
  <c r="B14" i="134"/>
  <c r="C14" i="134" s="1"/>
  <c r="W13" i="134"/>
  <c r="U13" i="134"/>
  <c r="T13" i="134"/>
  <c r="S13" i="134"/>
  <c r="L13" i="134"/>
  <c r="K13" i="134"/>
  <c r="M13" i="134"/>
  <c r="N13" i="134" s="1"/>
  <c r="B13" i="134"/>
  <c r="P13" i="134" s="1"/>
  <c r="U12" i="134"/>
  <c r="W12" i="134" s="1"/>
  <c r="T12" i="134"/>
  <c r="S12" i="134"/>
  <c r="L12" i="134"/>
  <c r="K12" i="134"/>
  <c r="M12" i="134"/>
  <c r="N12" i="134" s="1"/>
  <c r="B12" i="134"/>
  <c r="C12" i="134" s="1"/>
  <c r="W11" i="134"/>
  <c r="U11" i="134"/>
  <c r="T11" i="134"/>
  <c r="S11" i="134"/>
  <c r="L11" i="134"/>
  <c r="K11" i="134"/>
  <c r="M11" i="134"/>
  <c r="N11" i="134" s="1"/>
  <c r="B11" i="134"/>
  <c r="U10" i="134"/>
  <c r="W10" i="134" s="1"/>
  <c r="T10" i="134"/>
  <c r="S10" i="134"/>
  <c r="L10" i="134"/>
  <c r="K10" i="134"/>
  <c r="M10" i="134"/>
  <c r="N10" i="134" s="1"/>
  <c r="B10" i="134"/>
  <c r="C10" i="134" s="1"/>
  <c r="W9" i="134"/>
  <c r="U9" i="134"/>
  <c r="T9" i="134"/>
  <c r="S9" i="134"/>
  <c r="L9" i="134"/>
  <c r="K9" i="134"/>
  <c r="M9" i="134"/>
  <c r="N9" i="134" s="1"/>
  <c r="B9" i="134"/>
  <c r="U8" i="134"/>
  <c r="W8" i="134" s="1"/>
  <c r="T8" i="134"/>
  <c r="S8" i="134"/>
  <c r="L8" i="134"/>
  <c r="K8" i="134"/>
  <c r="M8" i="134"/>
  <c r="N8" i="134" s="1"/>
  <c r="B8" i="134"/>
  <c r="C8" i="134" s="1"/>
  <c r="W7" i="134"/>
  <c r="U7" i="134"/>
  <c r="T7" i="134"/>
  <c r="S7" i="134"/>
  <c r="L7" i="134"/>
  <c r="K7" i="134"/>
  <c r="M7" i="134"/>
  <c r="N7" i="134" s="1"/>
  <c r="I37" i="134"/>
  <c r="E61" i="134" s="1"/>
  <c r="H61" i="134" s="1"/>
  <c r="B7" i="134"/>
  <c r="P7" i="134" s="1"/>
  <c r="U6" i="134"/>
  <c r="W6" i="134" s="1"/>
  <c r="T6" i="134"/>
  <c r="S6" i="134"/>
  <c r="L6" i="134"/>
  <c r="K6" i="134"/>
  <c r="B6" i="134"/>
  <c r="C6" i="134" s="1"/>
  <c r="B37" i="133"/>
  <c r="C37" i="133" s="1"/>
  <c r="U36" i="133"/>
  <c r="W36" i="133" s="1"/>
  <c r="T36" i="133"/>
  <c r="S36" i="133"/>
  <c r="L36" i="133"/>
  <c r="K36" i="133"/>
  <c r="M36" i="133"/>
  <c r="N36" i="133" s="1"/>
  <c r="B36" i="133"/>
  <c r="C36" i="133" s="1"/>
  <c r="W35" i="133"/>
  <c r="U35" i="133"/>
  <c r="T35" i="133"/>
  <c r="S35" i="133"/>
  <c r="L35" i="133"/>
  <c r="K35" i="133"/>
  <c r="M35" i="133"/>
  <c r="N35" i="133" s="1"/>
  <c r="B35" i="133"/>
  <c r="U34" i="133"/>
  <c r="W34" i="133" s="1"/>
  <c r="T34" i="133"/>
  <c r="S34" i="133"/>
  <c r="L34" i="133"/>
  <c r="K34" i="133"/>
  <c r="M34" i="133"/>
  <c r="N34" i="133" s="1"/>
  <c r="B34" i="133"/>
  <c r="C34" i="133" s="1"/>
  <c r="W33" i="133"/>
  <c r="U33" i="133"/>
  <c r="T33" i="133"/>
  <c r="S33" i="133"/>
  <c r="L33" i="133"/>
  <c r="K33" i="133"/>
  <c r="M33" i="133"/>
  <c r="N33" i="133" s="1"/>
  <c r="B33" i="133"/>
  <c r="U32" i="133"/>
  <c r="W32" i="133" s="1"/>
  <c r="T32" i="133"/>
  <c r="S32" i="133"/>
  <c r="L32" i="133"/>
  <c r="K32" i="133"/>
  <c r="M32" i="133"/>
  <c r="N32" i="133" s="1"/>
  <c r="B32" i="133"/>
  <c r="C32" i="133" s="1"/>
  <c r="W31" i="133"/>
  <c r="U31" i="133"/>
  <c r="T31" i="133"/>
  <c r="S31" i="133"/>
  <c r="P31" i="133"/>
  <c r="L31" i="133"/>
  <c r="K31" i="133"/>
  <c r="M31" i="133"/>
  <c r="N31" i="133" s="1"/>
  <c r="B31" i="133"/>
  <c r="U30" i="133"/>
  <c r="W30" i="133" s="1"/>
  <c r="T30" i="133"/>
  <c r="S30" i="133"/>
  <c r="L30" i="133"/>
  <c r="K30" i="133"/>
  <c r="M30" i="133"/>
  <c r="N30" i="133" s="1"/>
  <c r="B30" i="133"/>
  <c r="C30" i="133" s="1"/>
  <c r="W29" i="133"/>
  <c r="U29" i="133"/>
  <c r="T29" i="133"/>
  <c r="S29" i="133"/>
  <c r="L29" i="133"/>
  <c r="K29" i="133"/>
  <c r="M29" i="133"/>
  <c r="N29" i="133" s="1"/>
  <c r="B29" i="133"/>
  <c r="U28" i="133"/>
  <c r="W28" i="133" s="1"/>
  <c r="T28" i="133"/>
  <c r="S28" i="133"/>
  <c r="L28" i="133"/>
  <c r="K28" i="133"/>
  <c r="M28" i="133"/>
  <c r="N28" i="133" s="1"/>
  <c r="B28" i="133"/>
  <c r="C28" i="133" s="1"/>
  <c r="W27" i="133"/>
  <c r="U27" i="133"/>
  <c r="T27" i="133"/>
  <c r="S27" i="133"/>
  <c r="P27" i="133"/>
  <c r="L27" i="133"/>
  <c r="K27" i="133"/>
  <c r="M27" i="133"/>
  <c r="N27" i="133" s="1"/>
  <c r="B27" i="133"/>
  <c r="U26" i="133"/>
  <c r="W26" i="133" s="1"/>
  <c r="T26" i="133"/>
  <c r="S26" i="133"/>
  <c r="L26" i="133"/>
  <c r="K26" i="133"/>
  <c r="M26" i="133"/>
  <c r="N26" i="133" s="1"/>
  <c r="B26" i="133"/>
  <c r="C26" i="133" s="1"/>
  <c r="W25" i="133"/>
  <c r="U25" i="133"/>
  <c r="T25" i="133"/>
  <c r="S25" i="133"/>
  <c r="L25" i="133"/>
  <c r="K25" i="133"/>
  <c r="M25" i="133"/>
  <c r="N25" i="133" s="1"/>
  <c r="B25" i="133"/>
  <c r="P25" i="133" s="1"/>
  <c r="U24" i="133"/>
  <c r="W24" i="133" s="1"/>
  <c r="T24" i="133"/>
  <c r="S24" i="133"/>
  <c r="L24" i="133"/>
  <c r="K24" i="133"/>
  <c r="M24" i="133"/>
  <c r="N24" i="133" s="1"/>
  <c r="B24" i="133"/>
  <c r="C24" i="133" s="1"/>
  <c r="W23" i="133"/>
  <c r="U23" i="133"/>
  <c r="T23" i="133"/>
  <c r="S23" i="133"/>
  <c r="L23" i="133"/>
  <c r="K23" i="133"/>
  <c r="M23" i="133"/>
  <c r="N23" i="133" s="1"/>
  <c r="B23" i="133"/>
  <c r="P23" i="133" s="1"/>
  <c r="U22" i="133"/>
  <c r="W22" i="133" s="1"/>
  <c r="T22" i="133"/>
  <c r="S22" i="133"/>
  <c r="L22" i="133"/>
  <c r="K22" i="133"/>
  <c r="M22" i="133"/>
  <c r="N22" i="133" s="1"/>
  <c r="B22" i="133"/>
  <c r="C22" i="133" s="1"/>
  <c r="W21" i="133"/>
  <c r="U21" i="133"/>
  <c r="T21" i="133"/>
  <c r="S21" i="133"/>
  <c r="L21" i="133"/>
  <c r="K21" i="133"/>
  <c r="M21" i="133"/>
  <c r="N21" i="133" s="1"/>
  <c r="B21" i="133"/>
  <c r="U20" i="133"/>
  <c r="W20" i="133" s="1"/>
  <c r="T20" i="133"/>
  <c r="S20" i="133"/>
  <c r="L20" i="133"/>
  <c r="K20" i="133"/>
  <c r="M20" i="133"/>
  <c r="N20" i="133" s="1"/>
  <c r="B20" i="133"/>
  <c r="C20" i="133" s="1"/>
  <c r="W19" i="133"/>
  <c r="U19" i="133"/>
  <c r="T19" i="133"/>
  <c r="S19" i="133"/>
  <c r="L19" i="133"/>
  <c r="K19" i="133"/>
  <c r="M19" i="133"/>
  <c r="N19" i="133" s="1"/>
  <c r="B19" i="133"/>
  <c r="P19" i="133" s="1"/>
  <c r="U18" i="133"/>
  <c r="W18" i="133" s="1"/>
  <c r="T18" i="133"/>
  <c r="S18" i="133"/>
  <c r="L18" i="133"/>
  <c r="K18" i="133"/>
  <c r="M18" i="133"/>
  <c r="N18" i="133" s="1"/>
  <c r="B18" i="133"/>
  <c r="C18" i="133" s="1"/>
  <c r="W17" i="133"/>
  <c r="U17" i="133"/>
  <c r="T17" i="133"/>
  <c r="S17" i="133"/>
  <c r="L17" i="133"/>
  <c r="K17" i="133"/>
  <c r="M17" i="133"/>
  <c r="N17" i="133" s="1"/>
  <c r="B17" i="133"/>
  <c r="P17" i="133" s="1"/>
  <c r="U16" i="133"/>
  <c r="W16" i="133" s="1"/>
  <c r="T16" i="133"/>
  <c r="S16" i="133"/>
  <c r="L16" i="133"/>
  <c r="K16" i="133"/>
  <c r="M16" i="133"/>
  <c r="N16" i="133" s="1"/>
  <c r="B16" i="133"/>
  <c r="C16" i="133" s="1"/>
  <c r="W15" i="133"/>
  <c r="U15" i="133"/>
  <c r="T15" i="133"/>
  <c r="S15" i="133"/>
  <c r="L15" i="133"/>
  <c r="K15" i="133"/>
  <c r="M15" i="133"/>
  <c r="N15" i="133" s="1"/>
  <c r="B15" i="133"/>
  <c r="P15" i="133" s="1"/>
  <c r="U14" i="133"/>
  <c r="W14" i="133" s="1"/>
  <c r="T14" i="133"/>
  <c r="S14" i="133"/>
  <c r="L14" i="133"/>
  <c r="K14" i="133"/>
  <c r="M14" i="133"/>
  <c r="N14" i="133" s="1"/>
  <c r="B14" i="133"/>
  <c r="C14" i="133" s="1"/>
  <c r="W13" i="133"/>
  <c r="U13" i="133"/>
  <c r="T13" i="133"/>
  <c r="S13" i="133"/>
  <c r="L13" i="133"/>
  <c r="K13" i="133"/>
  <c r="M13" i="133"/>
  <c r="N13" i="133" s="1"/>
  <c r="B13" i="133"/>
  <c r="U12" i="133"/>
  <c r="W12" i="133" s="1"/>
  <c r="T12" i="133"/>
  <c r="S12" i="133"/>
  <c r="L12" i="133"/>
  <c r="K12" i="133"/>
  <c r="M12" i="133"/>
  <c r="N12" i="133" s="1"/>
  <c r="B12" i="133"/>
  <c r="C12" i="133" s="1"/>
  <c r="W11" i="133"/>
  <c r="U11" i="133"/>
  <c r="T11" i="133"/>
  <c r="S11" i="133"/>
  <c r="L11" i="133"/>
  <c r="K11" i="133"/>
  <c r="M11" i="133"/>
  <c r="N11" i="133" s="1"/>
  <c r="B11" i="133"/>
  <c r="P11" i="133" s="1"/>
  <c r="U10" i="133"/>
  <c r="W10" i="133" s="1"/>
  <c r="T10" i="133"/>
  <c r="S10" i="133"/>
  <c r="L10" i="133"/>
  <c r="K10" i="133"/>
  <c r="M10" i="133"/>
  <c r="N10" i="133" s="1"/>
  <c r="B10" i="133"/>
  <c r="C10" i="133" s="1"/>
  <c r="W9" i="133"/>
  <c r="U9" i="133"/>
  <c r="T9" i="133"/>
  <c r="S9" i="133"/>
  <c r="L9" i="133"/>
  <c r="K9" i="133"/>
  <c r="M9" i="133"/>
  <c r="N9" i="133" s="1"/>
  <c r="B9" i="133"/>
  <c r="P9" i="133" s="1"/>
  <c r="U8" i="133"/>
  <c r="W8" i="133" s="1"/>
  <c r="T8" i="133"/>
  <c r="S8" i="133"/>
  <c r="L8" i="133"/>
  <c r="K8" i="133"/>
  <c r="M8" i="133"/>
  <c r="N8" i="133" s="1"/>
  <c r="B8" i="133"/>
  <c r="C8" i="133" s="1"/>
  <c r="W7" i="133"/>
  <c r="U7" i="133"/>
  <c r="T7" i="133"/>
  <c r="S7" i="133"/>
  <c r="L7" i="133"/>
  <c r="K7" i="133"/>
  <c r="M7" i="133"/>
  <c r="N7" i="133" s="1"/>
  <c r="B7" i="133"/>
  <c r="P7" i="133" s="1"/>
  <c r="U6" i="133"/>
  <c r="W6" i="133" s="1"/>
  <c r="T6" i="133"/>
  <c r="S6" i="133"/>
  <c r="L6" i="133"/>
  <c r="K6" i="133"/>
  <c r="I37" i="133"/>
  <c r="E61" i="133" s="1"/>
  <c r="H61" i="133" s="1"/>
  <c r="B6" i="133"/>
  <c r="C6" i="133" s="1"/>
  <c r="C37" i="132"/>
  <c r="B37" i="132"/>
  <c r="U36" i="132"/>
  <c r="W36" i="132" s="1"/>
  <c r="T36" i="132"/>
  <c r="S36" i="132"/>
  <c r="L36" i="132"/>
  <c r="K36" i="132"/>
  <c r="M36" i="132"/>
  <c r="N36" i="132" s="1"/>
  <c r="B36" i="132"/>
  <c r="C36" i="132" s="1"/>
  <c r="W35" i="132"/>
  <c r="U35" i="132"/>
  <c r="T35" i="132"/>
  <c r="S35" i="132"/>
  <c r="L35" i="132"/>
  <c r="K35" i="132"/>
  <c r="M35" i="132"/>
  <c r="N35" i="132" s="1"/>
  <c r="B35" i="132"/>
  <c r="P35" i="132" s="1"/>
  <c r="U34" i="132"/>
  <c r="W34" i="132" s="1"/>
  <c r="T34" i="132"/>
  <c r="S34" i="132"/>
  <c r="L34" i="132"/>
  <c r="K34" i="132"/>
  <c r="M34" i="132"/>
  <c r="N34" i="132" s="1"/>
  <c r="B34" i="132"/>
  <c r="C34" i="132" s="1"/>
  <c r="W33" i="132"/>
  <c r="U33" i="132"/>
  <c r="T33" i="132"/>
  <c r="S33" i="132"/>
  <c r="L33" i="132"/>
  <c r="K33" i="132"/>
  <c r="M33" i="132"/>
  <c r="N33" i="132" s="1"/>
  <c r="B33" i="132"/>
  <c r="P33" i="132" s="1"/>
  <c r="U32" i="132"/>
  <c r="W32" i="132" s="1"/>
  <c r="T32" i="132"/>
  <c r="S32" i="132"/>
  <c r="L32" i="132"/>
  <c r="K32" i="132"/>
  <c r="M32" i="132"/>
  <c r="N32" i="132" s="1"/>
  <c r="B32" i="132"/>
  <c r="C32" i="132" s="1"/>
  <c r="W31" i="132"/>
  <c r="U31" i="132"/>
  <c r="T31" i="132"/>
  <c r="S31" i="132"/>
  <c r="L31" i="132"/>
  <c r="K31" i="132"/>
  <c r="M31" i="132"/>
  <c r="N31" i="132" s="1"/>
  <c r="B31" i="132"/>
  <c r="P31" i="132" s="1"/>
  <c r="U30" i="132"/>
  <c r="W30" i="132" s="1"/>
  <c r="T30" i="132"/>
  <c r="S30" i="132"/>
  <c r="L30" i="132"/>
  <c r="K30" i="132"/>
  <c r="M30" i="132"/>
  <c r="N30" i="132" s="1"/>
  <c r="B30" i="132"/>
  <c r="C30" i="132" s="1"/>
  <c r="W29" i="132"/>
  <c r="U29" i="132"/>
  <c r="T29" i="132"/>
  <c r="S29" i="132"/>
  <c r="L29" i="132"/>
  <c r="K29" i="132"/>
  <c r="M29" i="132"/>
  <c r="N29" i="132" s="1"/>
  <c r="B29" i="132"/>
  <c r="P29" i="132" s="1"/>
  <c r="U28" i="132"/>
  <c r="W28" i="132" s="1"/>
  <c r="T28" i="132"/>
  <c r="S28" i="132"/>
  <c r="L28" i="132"/>
  <c r="K28" i="132"/>
  <c r="M28" i="132"/>
  <c r="N28" i="132" s="1"/>
  <c r="B28" i="132"/>
  <c r="C28" i="132" s="1"/>
  <c r="W27" i="132"/>
  <c r="U27" i="132"/>
  <c r="T27" i="132"/>
  <c r="S27" i="132"/>
  <c r="L27" i="132"/>
  <c r="K27" i="132"/>
  <c r="M27" i="132"/>
  <c r="N27" i="132" s="1"/>
  <c r="B27" i="132"/>
  <c r="P27" i="132" s="1"/>
  <c r="U26" i="132"/>
  <c r="W26" i="132" s="1"/>
  <c r="T26" i="132"/>
  <c r="S26" i="132"/>
  <c r="L26" i="132"/>
  <c r="K26" i="132"/>
  <c r="M26" i="132"/>
  <c r="N26" i="132" s="1"/>
  <c r="B26" i="132"/>
  <c r="C26" i="132" s="1"/>
  <c r="W25" i="132"/>
  <c r="U25" i="132"/>
  <c r="T25" i="132"/>
  <c r="S25" i="132"/>
  <c r="L25" i="132"/>
  <c r="K25" i="132"/>
  <c r="M25" i="132"/>
  <c r="N25" i="132" s="1"/>
  <c r="C25" i="132"/>
  <c r="B25" i="132"/>
  <c r="P25" i="132" s="1"/>
  <c r="U24" i="132"/>
  <c r="W24" i="132" s="1"/>
  <c r="T24" i="132"/>
  <c r="S24" i="132"/>
  <c r="L24" i="132"/>
  <c r="K24" i="132"/>
  <c r="M24" i="132"/>
  <c r="N24" i="132" s="1"/>
  <c r="B24" i="132"/>
  <c r="C24" i="132" s="1"/>
  <c r="W23" i="132"/>
  <c r="U23" i="132"/>
  <c r="T23" i="132"/>
  <c r="S23" i="132"/>
  <c r="L23" i="132"/>
  <c r="K23" i="132"/>
  <c r="M23" i="132"/>
  <c r="N23" i="132" s="1"/>
  <c r="B23" i="132"/>
  <c r="P23" i="132" s="1"/>
  <c r="U22" i="132"/>
  <c r="W22" i="132" s="1"/>
  <c r="T22" i="132"/>
  <c r="S22" i="132"/>
  <c r="L22" i="132"/>
  <c r="K22" i="132"/>
  <c r="M22" i="132"/>
  <c r="N22" i="132" s="1"/>
  <c r="B22" i="132"/>
  <c r="C22" i="132" s="1"/>
  <c r="W21" i="132"/>
  <c r="U21" i="132"/>
  <c r="T21" i="132"/>
  <c r="S21" i="132"/>
  <c r="L21" i="132"/>
  <c r="K21" i="132"/>
  <c r="M21" i="132"/>
  <c r="N21" i="132" s="1"/>
  <c r="B21" i="132"/>
  <c r="P21" i="132" s="1"/>
  <c r="U20" i="132"/>
  <c r="W20" i="132" s="1"/>
  <c r="T20" i="132"/>
  <c r="S20" i="132"/>
  <c r="L20" i="132"/>
  <c r="K20" i="132"/>
  <c r="M20" i="132"/>
  <c r="N20" i="132" s="1"/>
  <c r="B20" i="132"/>
  <c r="C20" i="132" s="1"/>
  <c r="W19" i="132"/>
  <c r="U19" i="132"/>
  <c r="T19" i="132"/>
  <c r="S19" i="132"/>
  <c r="L19" i="132"/>
  <c r="K19" i="132"/>
  <c r="M19" i="132"/>
  <c r="N19" i="132" s="1"/>
  <c r="B19" i="132"/>
  <c r="C19" i="132" s="1"/>
  <c r="U18" i="132"/>
  <c r="W18" i="132" s="1"/>
  <c r="T18" i="132"/>
  <c r="S18" i="132"/>
  <c r="L18" i="132"/>
  <c r="K18" i="132"/>
  <c r="M18" i="132"/>
  <c r="N18" i="132" s="1"/>
  <c r="B18" i="132"/>
  <c r="C18" i="132" s="1"/>
  <c r="W17" i="132"/>
  <c r="U17" i="132"/>
  <c r="T17" i="132"/>
  <c r="S17" i="132"/>
  <c r="L17" i="132"/>
  <c r="K17" i="132"/>
  <c r="M17" i="132"/>
  <c r="N17" i="132" s="1"/>
  <c r="B17" i="132"/>
  <c r="U16" i="132"/>
  <c r="W16" i="132" s="1"/>
  <c r="T16" i="132"/>
  <c r="S16" i="132"/>
  <c r="L16" i="132"/>
  <c r="K16" i="132"/>
  <c r="M16" i="132"/>
  <c r="N16" i="132" s="1"/>
  <c r="B16" i="132"/>
  <c r="P16" i="132" s="1"/>
  <c r="U15" i="132"/>
  <c r="W15" i="132" s="1"/>
  <c r="T15" i="132"/>
  <c r="S15" i="132"/>
  <c r="P15" i="132"/>
  <c r="O15" i="132" s="1"/>
  <c r="L15" i="132"/>
  <c r="K15" i="132"/>
  <c r="M15" i="132"/>
  <c r="N15" i="132" s="1"/>
  <c r="C15" i="132"/>
  <c r="B15" i="132"/>
  <c r="W14" i="132"/>
  <c r="U14" i="132"/>
  <c r="T14" i="132"/>
  <c r="S14" i="132"/>
  <c r="L14" i="132"/>
  <c r="K14" i="132"/>
  <c r="M14" i="132"/>
  <c r="N14" i="132" s="1"/>
  <c r="B14" i="132"/>
  <c r="P14" i="132" s="1"/>
  <c r="O14" i="132" s="1"/>
  <c r="U13" i="132"/>
  <c r="W13" i="132" s="1"/>
  <c r="T13" i="132"/>
  <c r="S13" i="132"/>
  <c r="L13" i="132"/>
  <c r="K13" i="132"/>
  <c r="M13" i="132"/>
  <c r="N13" i="132" s="1"/>
  <c r="B13" i="132"/>
  <c r="U12" i="132"/>
  <c r="W12" i="132" s="1"/>
  <c r="T12" i="132"/>
  <c r="S12" i="132"/>
  <c r="L12" i="132"/>
  <c r="K12" i="132"/>
  <c r="M12" i="132"/>
  <c r="N12" i="132" s="1"/>
  <c r="C12" i="132"/>
  <c r="B12" i="132"/>
  <c r="P12" i="132" s="1"/>
  <c r="O12" i="132" s="1"/>
  <c r="W11" i="132"/>
  <c r="U11" i="132"/>
  <c r="T11" i="132"/>
  <c r="S11" i="132"/>
  <c r="L11" i="132"/>
  <c r="K11" i="132"/>
  <c r="M11" i="132"/>
  <c r="N11" i="132" s="1"/>
  <c r="B11" i="132"/>
  <c r="P11" i="132" s="1"/>
  <c r="O11" i="132" s="1"/>
  <c r="W10" i="132"/>
  <c r="U10" i="132"/>
  <c r="T10" i="132"/>
  <c r="S10" i="132"/>
  <c r="L10" i="132"/>
  <c r="K10" i="132"/>
  <c r="M10" i="132"/>
  <c r="N10" i="132" s="1"/>
  <c r="B10" i="132"/>
  <c r="P10" i="132" s="1"/>
  <c r="O10" i="132" s="1"/>
  <c r="W9" i="132"/>
  <c r="U9" i="132"/>
  <c r="T9" i="132"/>
  <c r="S9" i="132"/>
  <c r="L9" i="132"/>
  <c r="K9" i="132"/>
  <c r="M9" i="132"/>
  <c r="N9" i="132" s="1"/>
  <c r="B9" i="132"/>
  <c r="P9" i="132" s="1"/>
  <c r="U8" i="132"/>
  <c r="W8" i="132" s="1"/>
  <c r="T8" i="132"/>
  <c r="S8" i="132"/>
  <c r="L8" i="132"/>
  <c r="K8" i="132"/>
  <c r="M8" i="132"/>
  <c r="N8" i="132" s="1"/>
  <c r="C8" i="132"/>
  <c r="B8" i="132"/>
  <c r="P8" i="132" s="1"/>
  <c r="W7" i="132"/>
  <c r="U7" i="132"/>
  <c r="T7" i="132"/>
  <c r="S7" i="132"/>
  <c r="L7" i="132"/>
  <c r="K7" i="132"/>
  <c r="M7" i="132"/>
  <c r="N7" i="132" s="1"/>
  <c r="B7" i="132"/>
  <c r="P7" i="132" s="1"/>
  <c r="O7" i="132" s="1"/>
  <c r="U6" i="132"/>
  <c r="W6" i="132" s="1"/>
  <c r="T6" i="132"/>
  <c r="S6" i="132"/>
  <c r="L6" i="132"/>
  <c r="K6" i="132"/>
  <c r="M6" i="132"/>
  <c r="N6" i="132" s="1"/>
  <c r="I37" i="132"/>
  <c r="E61" i="132" s="1"/>
  <c r="H61" i="132" s="1"/>
  <c r="B6" i="132"/>
  <c r="P6" i="132" s="1"/>
  <c r="O6" i="132" s="1"/>
  <c r="W8" i="135" l="1"/>
  <c r="W7" i="135"/>
  <c r="W6" i="135"/>
  <c r="K37" i="134"/>
  <c r="L37" i="138"/>
  <c r="E59" i="138" s="1"/>
  <c r="H59" i="138" s="1"/>
  <c r="P15" i="142"/>
  <c r="O15" i="142" s="1"/>
  <c r="C16" i="142"/>
  <c r="C23" i="142"/>
  <c r="C29" i="142"/>
  <c r="C31" i="142"/>
  <c r="C18" i="142"/>
  <c r="C14" i="141"/>
  <c r="C18" i="141"/>
  <c r="C23" i="141"/>
  <c r="C24" i="141"/>
  <c r="C27" i="141"/>
  <c r="C30" i="141"/>
  <c r="C34" i="141"/>
  <c r="C10" i="141"/>
  <c r="C22" i="141"/>
  <c r="C26" i="141"/>
  <c r="C31" i="141"/>
  <c r="C32" i="141"/>
  <c r="C35" i="141"/>
  <c r="C21" i="140"/>
  <c r="C13" i="140"/>
  <c r="C29" i="140"/>
  <c r="C25" i="139"/>
  <c r="C29" i="139"/>
  <c r="P21" i="138"/>
  <c r="O21" i="138" s="1"/>
  <c r="C15" i="138"/>
  <c r="C29" i="138"/>
  <c r="C9" i="137"/>
  <c r="C17" i="137"/>
  <c r="C25" i="137"/>
  <c r="C33" i="137"/>
  <c r="C13" i="137"/>
  <c r="C21" i="137"/>
  <c r="C29" i="137"/>
  <c r="C8" i="136"/>
  <c r="C16" i="136"/>
  <c r="C24" i="136"/>
  <c r="C32" i="136"/>
  <c r="C10" i="136"/>
  <c r="M37" i="135"/>
  <c r="C11" i="135"/>
  <c r="C12" i="135"/>
  <c r="C20" i="135"/>
  <c r="C25" i="135"/>
  <c r="C28" i="135"/>
  <c r="C33" i="135"/>
  <c r="C36" i="135"/>
  <c r="P15" i="134"/>
  <c r="C21" i="134"/>
  <c r="C29" i="134"/>
  <c r="K37" i="133"/>
  <c r="C14" i="132"/>
  <c r="C29" i="132"/>
  <c r="C33" i="132"/>
  <c r="C6" i="132"/>
  <c r="C16" i="132"/>
  <c r="C21" i="132"/>
  <c r="O8" i="142"/>
  <c r="C20" i="142"/>
  <c r="C22" i="142"/>
  <c r="C27" i="142"/>
  <c r="C30" i="142"/>
  <c r="C35" i="142"/>
  <c r="O10" i="142"/>
  <c r="O16" i="142"/>
  <c r="C25" i="142"/>
  <c r="C28" i="142"/>
  <c r="C33" i="142"/>
  <c r="C36" i="142"/>
  <c r="O18" i="142"/>
  <c r="C8" i="141"/>
  <c r="C9" i="141"/>
  <c r="O10" i="141"/>
  <c r="C15" i="141"/>
  <c r="O16" i="141"/>
  <c r="C20" i="141"/>
  <c r="C25" i="141"/>
  <c r="C28" i="141"/>
  <c r="C33" i="141"/>
  <c r="C36" i="141"/>
  <c r="O8" i="141"/>
  <c r="C6" i="141"/>
  <c r="C12" i="141"/>
  <c r="O18" i="141"/>
  <c r="V20" i="142"/>
  <c r="V30" i="142"/>
  <c r="V9" i="142"/>
  <c r="V28" i="142"/>
  <c r="V36" i="142"/>
  <c r="V14" i="142"/>
  <c r="V17" i="142"/>
  <c r="V26" i="142"/>
  <c r="V34" i="142"/>
  <c r="V22" i="142"/>
  <c r="M37" i="142"/>
  <c r="W37" i="142"/>
  <c r="V12" i="142"/>
  <c r="V24" i="142"/>
  <c r="V32" i="142"/>
  <c r="P7" i="142"/>
  <c r="O7" i="142" s="1"/>
  <c r="C13" i="142"/>
  <c r="O13" i="142"/>
  <c r="G37" i="142"/>
  <c r="K37" i="142"/>
  <c r="O6" i="142"/>
  <c r="C11" i="142"/>
  <c r="O11" i="142"/>
  <c r="C19" i="142"/>
  <c r="O19" i="142"/>
  <c r="P21" i="142"/>
  <c r="O21" i="142" s="1"/>
  <c r="W38" i="142"/>
  <c r="J37" i="142"/>
  <c r="N6" i="142"/>
  <c r="N37" i="142" s="1"/>
  <c r="H37" i="142"/>
  <c r="L37" i="142"/>
  <c r="E59" i="142" s="1"/>
  <c r="H59" i="142" s="1"/>
  <c r="O23" i="142"/>
  <c r="O25" i="142"/>
  <c r="O27" i="142"/>
  <c r="O29" i="142"/>
  <c r="O31" i="142"/>
  <c r="O33" i="142"/>
  <c r="O35" i="142"/>
  <c r="V28" i="141"/>
  <c r="V14" i="141"/>
  <c r="V26" i="141"/>
  <c r="N37" i="141"/>
  <c r="V12" i="141"/>
  <c r="V24" i="141"/>
  <c r="V32" i="141"/>
  <c r="V22" i="141"/>
  <c r="V30" i="141"/>
  <c r="V9" i="141"/>
  <c r="V20" i="141"/>
  <c r="V36" i="141"/>
  <c r="V34" i="141"/>
  <c r="W38" i="141"/>
  <c r="P7" i="141"/>
  <c r="O7" i="141" s="1"/>
  <c r="C13" i="141"/>
  <c r="O13" i="141"/>
  <c r="G37" i="141"/>
  <c r="K37" i="141"/>
  <c r="O6" i="141"/>
  <c r="C11" i="141"/>
  <c r="O11" i="141"/>
  <c r="M37" i="141"/>
  <c r="J37" i="141"/>
  <c r="H37" i="141"/>
  <c r="L37" i="141"/>
  <c r="E59" i="141" s="1"/>
  <c r="H59" i="141" s="1"/>
  <c r="O15" i="141"/>
  <c r="O17" i="141"/>
  <c r="P19" i="141"/>
  <c r="O19" i="141" s="1"/>
  <c r="W37" i="141"/>
  <c r="O21" i="141"/>
  <c r="O23" i="141"/>
  <c r="O25" i="141"/>
  <c r="O27" i="141"/>
  <c r="O29" i="141"/>
  <c r="O31" i="141"/>
  <c r="O33" i="141"/>
  <c r="O35" i="141"/>
  <c r="C7" i="140"/>
  <c r="C11" i="140"/>
  <c r="C15" i="140"/>
  <c r="C19" i="140"/>
  <c r="C23" i="140"/>
  <c r="C27" i="140"/>
  <c r="C31" i="140"/>
  <c r="C35" i="140"/>
  <c r="K37" i="140"/>
  <c r="L37" i="140"/>
  <c r="E59" i="140" s="1"/>
  <c r="H59" i="140" s="1"/>
  <c r="W37" i="140"/>
  <c r="H37" i="140"/>
  <c r="M37" i="140"/>
  <c r="O6" i="140"/>
  <c r="W38" i="140"/>
  <c r="G37" i="140"/>
  <c r="N37" i="140"/>
  <c r="P8" i="140"/>
  <c r="O8" i="140" s="1"/>
  <c r="P10" i="140"/>
  <c r="O10" i="140" s="1"/>
  <c r="P12" i="140"/>
  <c r="O12" i="140" s="1"/>
  <c r="P14" i="140"/>
  <c r="O14" i="140" s="1"/>
  <c r="P16" i="140"/>
  <c r="O16" i="140" s="1"/>
  <c r="P18" i="140"/>
  <c r="O18" i="140" s="1"/>
  <c r="P20" i="140"/>
  <c r="O20" i="140" s="1"/>
  <c r="P22" i="140"/>
  <c r="O22" i="140" s="1"/>
  <c r="P24" i="140"/>
  <c r="O24" i="140" s="1"/>
  <c r="C26" i="140"/>
  <c r="P26" i="140"/>
  <c r="O26" i="140" s="1"/>
  <c r="P30" i="140"/>
  <c r="O30" i="140" s="1"/>
  <c r="P32" i="140"/>
  <c r="O32" i="140" s="1"/>
  <c r="P34" i="140"/>
  <c r="O34" i="140" s="1"/>
  <c r="P36" i="140"/>
  <c r="O36" i="140" s="1"/>
  <c r="J37" i="140"/>
  <c r="P28" i="140"/>
  <c r="O28" i="140" s="1"/>
  <c r="O7" i="140"/>
  <c r="O9" i="140"/>
  <c r="O11" i="140"/>
  <c r="O13" i="140"/>
  <c r="O15" i="140"/>
  <c r="O17" i="140"/>
  <c r="O19" i="140"/>
  <c r="O21" i="140"/>
  <c r="O23" i="140"/>
  <c r="O25" i="140"/>
  <c r="O27" i="140"/>
  <c r="O29" i="140"/>
  <c r="O31" i="140"/>
  <c r="O33" i="140"/>
  <c r="O35" i="140"/>
  <c r="L37" i="139"/>
  <c r="E59" i="139" s="1"/>
  <c r="H59" i="139" s="1"/>
  <c r="C11" i="139"/>
  <c r="C13" i="139"/>
  <c r="C19" i="139"/>
  <c r="C23" i="139"/>
  <c r="C27" i="139"/>
  <c r="C31" i="139"/>
  <c r="C35" i="139"/>
  <c r="C8" i="139"/>
  <c r="P8" i="139"/>
  <c r="O8" i="139" s="1"/>
  <c r="M6" i="139"/>
  <c r="J37" i="139"/>
  <c r="W38" i="139"/>
  <c r="C9" i="139"/>
  <c r="P9" i="139"/>
  <c r="O9" i="139" s="1"/>
  <c r="P15" i="139"/>
  <c r="O15" i="139" s="1"/>
  <c r="G37" i="139"/>
  <c r="K37" i="139"/>
  <c r="P6" i="139"/>
  <c r="O6" i="139" s="1"/>
  <c r="O13" i="139"/>
  <c r="W37" i="139"/>
  <c r="H37" i="139"/>
  <c r="O7" i="139"/>
  <c r="C10" i="139"/>
  <c r="P10" i="139"/>
  <c r="O10" i="139" s="1"/>
  <c r="O11" i="139"/>
  <c r="P12" i="139"/>
  <c r="O12" i="139" s="1"/>
  <c r="P14" i="139"/>
  <c r="O14" i="139" s="1"/>
  <c r="P16" i="139"/>
  <c r="O16" i="139" s="1"/>
  <c r="P18" i="139"/>
  <c r="O18" i="139" s="1"/>
  <c r="P20" i="139"/>
  <c r="O20" i="139" s="1"/>
  <c r="P22" i="139"/>
  <c r="O22" i="139" s="1"/>
  <c r="P24" i="139"/>
  <c r="O24" i="139" s="1"/>
  <c r="P26" i="139"/>
  <c r="O26" i="139" s="1"/>
  <c r="P28" i="139"/>
  <c r="O28" i="139" s="1"/>
  <c r="P30" i="139"/>
  <c r="O30" i="139" s="1"/>
  <c r="P32" i="139"/>
  <c r="O32" i="139" s="1"/>
  <c r="P34" i="139"/>
  <c r="O34" i="139" s="1"/>
  <c r="P36" i="139"/>
  <c r="O36" i="139" s="1"/>
  <c r="O17" i="139"/>
  <c r="O19" i="139"/>
  <c r="O21" i="139"/>
  <c r="O23" i="139"/>
  <c r="O25" i="139"/>
  <c r="O27" i="139"/>
  <c r="O29" i="139"/>
  <c r="O31" i="139"/>
  <c r="O33" i="139"/>
  <c r="O35" i="139"/>
  <c r="P6" i="138"/>
  <c r="O6" i="138" s="1"/>
  <c r="C23" i="138"/>
  <c r="C9" i="138"/>
  <c r="C13" i="138"/>
  <c r="V6" i="138"/>
  <c r="H37" i="138"/>
  <c r="C7" i="138"/>
  <c r="C8" i="138"/>
  <c r="P8" i="138"/>
  <c r="O8" i="138" s="1"/>
  <c r="O9" i="138"/>
  <c r="C11" i="138"/>
  <c r="O17" i="138"/>
  <c r="C19" i="138"/>
  <c r="P19" i="138"/>
  <c r="O19" i="138" s="1"/>
  <c r="O11" i="138"/>
  <c r="M6" i="138"/>
  <c r="J37" i="138"/>
  <c r="W38" i="138"/>
  <c r="O15" i="138"/>
  <c r="O23" i="138"/>
  <c r="W37" i="138"/>
  <c r="G37" i="138"/>
  <c r="K37" i="138"/>
  <c r="P7" i="138"/>
  <c r="O7" i="138" s="1"/>
  <c r="O13" i="138"/>
  <c r="P10" i="138"/>
  <c r="O10" i="138" s="1"/>
  <c r="P12" i="138"/>
  <c r="O12" i="138" s="1"/>
  <c r="P14" i="138"/>
  <c r="O14" i="138" s="1"/>
  <c r="P16" i="138"/>
  <c r="O16" i="138" s="1"/>
  <c r="P18" i="138"/>
  <c r="O18" i="138" s="1"/>
  <c r="P20" i="138"/>
  <c r="O20" i="138" s="1"/>
  <c r="P22" i="138"/>
  <c r="O22" i="138" s="1"/>
  <c r="P24" i="138"/>
  <c r="O24" i="138" s="1"/>
  <c r="P26" i="138"/>
  <c r="O26" i="138" s="1"/>
  <c r="P28" i="138"/>
  <c r="O28" i="138" s="1"/>
  <c r="P30" i="138"/>
  <c r="O30" i="138" s="1"/>
  <c r="P32" i="138"/>
  <c r="O32" i="138" s="1"/>
  <c r="P34" i="138"/>
  <c r="O34" i="138" s="1"/>
  <c r="P36" i="138"/>
  <c r="O36" i="138" s="1"/>
  <c r="O25" i="138"/>
  <c r="O27" i="138"/>
  <c r="O29" i="138"/>
  <c r="O31" i="138"/>
  <c r="O33" i="138"/>
  <c r="O35" i="138"/>
  <c r="K37" i="137"/>
  <c r="L37" i="137"/>
  <c r="E59" i="137" s="1"/>
  <c r="H59" i="137" s="1"/>
  <c r="I37" i="137"/>
  <c r="E61" i="137" s="1"/>
  <c r="H61" i="137" s="1"/>
  <c r="N6" i="137"/>
  <c r="N37" i="137" s="1"/>
  <c r="M37" i="137"/>
  <c r="G37" i="137"/>
  <c r="W37" i="137"/>
  <c r="W38" i="137"/>
  <c r="P10" i="137"/>
  <c r="O10" i="137" s="1"/>
  <c r="P12" i="137"/>
  <c r="O12" i="137" s="1"/>
  <c r="P14" i="137"/>
  <c r="O14" i="137" s="1"/>
  <c r="P16" i="137"/>
  <c r="O16" i="137" s="1"/>
  <c r="P18" i="137"/>
  <c r="O18" i="137" s="1"/>
  <c r="P20" i="137"/>
  <c r="O20" i="137" s="1"/>
  <c r="P22" i="137"/>
  <c r="O22" i="137" s="1"/>
  <c r="P24" i="137"/>
  <c r="O24" i="137" s="1"/>
  <c r="P26" i="137"/>
  <c r="O26" i="137" s="1"/>
  <c r="P28" i="137"/>
  <c r="O28" i="137" s="1"/>
  <c r="P30" i="137"/>
  <c r="O30" i="137" s="1"/>
  <c r="P32" i="137"/>
  <c r="O32" i="137" s="1"/>
  <c r="P34" i="137"/>
  <c r="O34" i="137" s="1"/>
  <c r="P36" i="137"/>
  <c r="O36" i="137" s="1"/>
  <c r="J37" i="137"/>
  <c r="P6" i="137"/>
  <c r="O6" i="137" s="1"/>
  <c r="P8" i="137"/>
  <c r="O8" i="137" s="1"/>
  <c r="O7" i="137"/>
  <c r="O9" i="137"/>
  <c r="O11" i="137"/>
  <c r="O13" i="137"/>
  <c r="O15" i="137"/>
  <c r="O17" i="137"/>
  <c r="O19" i="137"/>
  <c r="O21" i="137"/>
  <c r="O23" i="137"/>
  <c r="O25" i="137"/>
  <c r="O27" i="137"/>
  <c r="O29" i="137"/>
  <c r="O31" i="137"/>
  <c r="O33" i="137"/>
  <c r="O35" i="137"/>
  <c r="O8" i="136"/>
  <c r="C13" i="136"/>
  <c r="P13" i="136"/>
  <c r="O13" i="136" s="1"/>
  <c r="O14" i="136"/>
  <c r="P15" i="136"/>
  <c r="O15" i="136" s="1"/>
  <c r="V15" i="136" s="1"/>
  <c r="C22" i="136"/>
  <c r="C27" i="136"/>
  <c r="C30" i="136"/>
  <c r="C35" i="136"/>
  <c r="C12" i="136"/>
  <c r="C14" i="136"/>
  <c r="O16" i="136"/>
  <c r="C20" i="136"/>
  <c r="C25" i="136"/>
  <c r="C28" i="136"/>
  <c r="C33" i="136"/>
  <c r="C36" i="136"/>
  <c r="J37" i="136"/>
  <c r="W38" i="136"/>
  <c r="W37" i="136"/>
  <c r="V22" i="136"/>
  <c r="V30" i="136"/>
  <c r="V12" i="136"/>
  <c r="V20" i="136"/>
  <c r="V28" i="136"/>
  <c r="V36" i="136"/>
  <c r="V26" i="136"/>
  <c r="V34" i="136"/>
  <c r="V10" i="136"/>
  <c r="V6" i="136"/>
  <c r="V24" i="136"/>
  <c r="V32" i="136"/>
  <c r="G37" i="136"/>
  <c r="K37" i="136"/>
  <c r="C7" i="136"/>
  <c r="C11" i="136"/>
  <c r="O11" i="136"/>
  <c r="C17" i="136"/>
  <c r="C19" i="136"/>
  <c r="L37" i="136"/>
  <c r="E59" i="136" s="1"/>
  <c r="H59" i="136" s="1"/>
  <c r="C9" i="136"/>
  <c r="O9" i="136"/>
  <c r="M6" i="136"/>
  <c r="O7" i="136"/>
  <c r="O17" i="136"/>
  <c r="O19" i="136"/>
  <c r="O21" i="136"/>
  <c r="O23" i="136"/>
  <c r="O25" i="136"/>
  <c r="O27" i="136"/>
  <c r="O29" i="136"/>
  <c r="O31" i="136"/>
  <c r="O33" i="136"/>
  <c r="O35" i="136"/>
  <c r="C7" i="135"/>
  <c r="C9" i="135"/>
  <c r="C10" i="135"/>
  <c r="C14" i="135"/>
  <c r="C15" i="135"/>
  <c r="C16" i="135"/>
  <c r="C19" i="135"/>
  <c r="C22" i="135"/>
  <c r="C27" i="135"/>
  <c r="C30" i="135"/>
  <c r="C35" i="135"/>
  <c r="O10" i="135"/>
  <c r="P17" i="135"/>
  <c r="O17" i="135" s="1"/>
  <c r="L37" i="135"/>
  <c r="E59" i="135" s="1"/>
  <c r="H59" i="135" s="1"/>
  <c r="C8" i="135"/>
  <c r="O12" i="135"/>
  <c r="C18" i="135"/>
  <c r="C23" i="135"/>
  <c r="C26" i="135"/>
  <c r="C31" i="135"/>
  <c r="C34" i="135"/>
  <c r="V24" i="135"/>
  <c r="V32" i="135"/>
  <c r="V7" i="135"/>
  <c r="V9" i="135"/>
  <c r="V14" i="135"/>
  <c r="V16" i="135"/>
  <c r="V22" i="135"/>
  <c r="V30" i="135"/>
  <c r="V20" i="135"/>
  <c r="V28" i="135"/>
  <c r="V36" i="135"/>
  <c r="V15" i="135"/>
  <c r="V11" i="135"/>
  <c r="V18" i="135"/>
  <c r="V26" i="135"/>
  <c r="V34" i="135"/>
  <c r="W38" i="135"/>
  <c r="J37" i="135"/>
  <c r="N6" i="135"/>
  <c r="O8" i="135"/>
  <c r="C13" i="135"/>
  <c r="O13" i="135"/>
  <c r="K37" i="135"/>
  <c r="O6" i="135"/>
  <c r="W37" i="135"/>
  <c r="O19" i="135"/>
  <c r="O21" i="135"/>
  <c r="O23" i="135"/>
  <c r="O25" i="135"/>
  <c r="O27" i="135"/>
  <c r="O29" i="135"/>
  <c r="O31" i="135"/>
  <c r="O33" i="135"/>
  <c r="O35" i="135"/>
  <c r="C19" i="134"/>
  <c r="C23" i="134"/>
  <c r="C27" i="134"/>
  <c r="C31" i="134"/>
  <c r="C35" i="134"/>
  <c r="C7" i="134"/>
  <c r="W37" i="134"/>
  <c r="L37" i="134"/>
  <c r="E59" i="134" s="1"/>
  <c r="H59" i="134" s="1"/>
  <c r="C13" i="134"/>
  <c r="W38" i="134"/>
  <c r="C11" i="134"/>
  <c r="P11" i="134"/>
  <c r="O11" i="134" s="1"/>
  <c r="O13" i="134"/>
  <c r="G37" i="134"/>
  <c r="M6" i="134"/>
  <c r="J37" i="134"/>
  <c r="O7" i="134"/>
  <c r="C9" i="134"/>
  <c r="P9" i="134"/>
  <c r="O9" i="134" s="1"/>
  <c r="O15" i="134"/>
  <c r="P8" i="134"/>
  <c r="O8" i="134" s="1"/>
  <c r="P10" i="134"/>
  <c r="O10" i="134" s="1"/>
  <c r="P12" i="134"/>
  <c r="O12" i="134" s="1"/>
  <c r="P14" i="134"/>
  <c r="O14" i="134" s="1"/>
  <c r="P16" i="134"/>
  <c r="O16" i="134" s="1"/>
  <c r="P18" i="134"/>
  <c r="O18" i="134" s="1"/>
  <c r="P20" i="134"/>
  <c r="O20" i="134" s="1"/>
  <c r="P22" i="134"/>
  <c r="O22" i="134" s="1"/>
  <c r="P24" i="134"/>
  <c r="O24" i="134" s="1"/>
  <c r="P26" i="134"/>
  <c r="O26" i="134" s="1"/>
  <c r="P28" i="134"/>
  <c r="O28" i="134" s="1"/>
  <c r="P30" i="134"/>
  <c r="O30" i="134" s="1"/>
  <c r="P32" i="134"/>
  <c r="O32" i="134" s="1"/>
  <c r="P34" i="134"/>
  <c r="O34" i="134" s="1"/>
  <c r="P36" i="134"/>
  <c r="O36" i="134" s="1"/>
  <c r="P6" i="134"/>
  <c r="O6" i="134" s="1"/>
  <c r="O17" i="134"/>
  <c r="O19" i="134"/>
  <c r="O21" i="134"/>
  <c r="O23" i="134"/>
  <c r="O25" i="134"/>
  <c r="O27" i="134"/>
  <c r="O29" i="134"/>
  <c r="O31" i="134"/>
  <c r="O33" i="134"/>
  <c r="O35" i="134"/>
  <c r="W38" i="133"/>
  <c r="W37" i="133"/>
  <c r="C13" i="133"/>
  <c r="C21" i="133"/>
  <c r="C29" i="133"/>
  <c r="O7" i="133"/>
  <c r="C7" i="133"/>
  <c r="O15" i="133"/>
  <c r="C15" i="133"/>
  <c r="O23" i="133"/>
  <c r="C23" i="133"/>
  <c r="O31" i="133"/>
  <c r="C31" i="133"/>
  <c r="C33" i="133"/>
  <c r="P33" i="133"/>
  <c r="O33" i="133" s="1"/>
  <c r="M6" i="133"/>
  <c r="J37" i="133"/>
  <c r="O9" i="133"/>
  <c r="C9" i="133"/>
  <c r="O17" i="133"/>
  <c r="C17" i="133"/>
  <c r="O25" i="133"/>
  <c r="C25" i="133"/>
  <c r="L37" i="133"/>
  <c r="E59" i="133" s="1"/>
  <c r="H59" i="133" s="1"/>
  <c r="O11" i="133"/>
  <c r="C11" i="133"/>
  <c r="P13" i="133"/>
  <c r="O13" i="133" s="1"/>
  <c r="O19" i="133"/>
  <c r="C19" i="133"/>
  <c r="P21" i="133"/>
  <c r="O21" i="133" s="1"/>
  <c r="O27" i="133"/>
  <c r="C27" i="133"/>
  <c r="P29" i="133"/>
  <c r="O29" i="133" s="1"/>
  <c r="P35" i="133"/>
  <c r="O35" i="133" s="1"/>
  <c r="C35" i="133"/>
  <c r="P6" i="133"/>
  <c r="O6" i="133" s="1"/>
  <c r="P8" i="133"/>
  <c r="O8" i="133" s="1"/>
  <c r="P10" i="133"/>
  <c r="O10" i="133" s="1"/>
  <c r="P12" i="133"/>
  <c r="O12" i="133" s="1"/>
  <c r="P14" i="133"/>
  <c r="O14" i="133" s="1"/>
  <c r="P16" i="133"/>
  <c r="O16" i="133" s="1"/>
  <c r="P18" i="133"/>
  <c r="O18" i="133" s="1"/>
  <c r="P20" i="133"/>
  <c r="O20" i="133" s="1"/>
  <c r="P22" i="133"/>
  <c r="O22" i="133" s="1"/>
  <c r="P24" i="133"/>
  <c r="O24" i="133" s="1"/>
  <c r="P26" i="133"/>
  <c r="O26" i="133" s="1"/>
  <c r="P28" i="133"/>
  <c r="O28" i="133" s="1"/>
  <c r="P30" i="133"/>
  <c r="O30" i="133" s="1"/>
  <c r="P32" i="133"/>
  <c r="O32" i="133" s="1"/>
  <c r="P34" i="133"/>
  <c r="O34" i="133" s="1"/>
  <c r="P36" i="133"/>
  <c r="O36" i="133" s="1"/>
  <c r="G37" i="133"/>
  <c r="O8" i="132"/>
  <c r="C10" i="132"/>
  <c r="C11" i="132"/>
  <c r="C23" i="132"/>
  <c r="C27" i="132"/>
  <c r="C31" i="132"/>
  <c r="C35" i="132"/>
  <c r="C7" i="132"/>
  <c r="K37" i="132"/>
  <c r="O16" i="132"/>
  <c r="H37" i="132"/>
  <c r="N37" i="132"/>
  <c r="V12" i="132"/>
  <c r="V14" i="132"/>
  <c r="V11" i="132"/>
  <c r="V7" i="132"/>
  <c r="W38" i="132"/>
  <c r="W37" i="132"/>
  <c r="V10" i="132"/>
  <c r="V6" i="132"/>
  <c r="P13" i="132"/>
  <c r="O13" i="132" s="1"/>
  <c r="L37" i="132"/>
  <c r="E59" i="132" s="1"/>
  <c r="H59" i="132" s="1"/>
  <c r="C9" i="132"/>
  <c r="O9" i="132"/>
  <c r="C17" i="132"/>
  <c r="P17" i="132"/>
  <c r="O17" i="132" s="1"/>
  <c r="M37" i="132"/>
  <c r="G37" i="132"/>
  <c r="J37" i="132"/>
  <c r="C13" i="132"/>
  <c r="V15" i="132"/>
  <c r="P19" i="132"/>
  <c r="O19" i="132" s="1"/>
  <c r="P18" i="132"/>
  <c r="O18" i="132" s="1"/>
  <c r="P20" i="132"/>
  <c r="O20" i="132" s="1"/>
  <c r="P22" i="132"/>
  <c r="O22" i="132" s="1"/>
  <c r="P24" i="132"/>
  <c r="O24" i="132" s="1"/>
  <c r="P26" i="132"/>
  <c r="O26" i="132" s="1"/>
  <c r="P28" i="132"/>
  <c r="O28" i="132" s="1"/>
  <c r="P30" i="132"/>
  <c r="O30" i="132" s="1"/>
  <c r="P32" i="132"/>
  <c r="O32" i="132" s="1"/>
  <c r="P34" i="132"/>
  <c r="O34" i="132" s="1"/>
  <c r="P36" i="132"/>
  <c r="O36" i="132" s="1"/>
  <c r="O21" i="132"/>
  <c r="O23" i="132"/>
  <c r="O25" i="132"/>
  <c r="O27" i="132"/>
  <c r="O29" i="132"/>
  <c r="O31" i="132"/>
  <c r="O33" i="132"/>
  <c r="O35" i="132"/>
  <c r="S7" i="130"/>
  <c r="S8" i="130"/>
  <c r="S9" i="130"/>
  <c r="S10" i="130"/>
  <c r="S11" i="130"/>
  <c r="S12" i="130"/>
  <c r="S13" i="130"/>
  <c r="S14" i="130"/>
  <c r="S15" i="130"/>
  <c r="S16" i="130"/>
  <c r="S17" i="130"/>
  <c r="S18" i="130"/>
  <c r="S19" i="130"/>
  <c r="S20" i="130"/>
  <c r="S21" i="130"/>
  <c r="S22" i="130"/>
  <c r="S23" i="130"/>
  <c r="S24" i="130"/>
  <c r="S25" i="130"/>
  <c r="S26" i="130"/>
  <c r="S27" i="130"/>
  <c r="S28" i="130"/>
  <c r="S29" i="130"/>
  <c r="S30" i="130"/>
  <c r="S31" i="130"/>
  <c r="S32" i="130"/>
  <c r="S33" i="130"/>
  <c r="S34" i="130"/>
  <c r="S35" i="130"/>
  <c r="S36" i="130"/>
  <c r="S6" i="130"/>
  <c r="H39" i="135" l="1"/>
  <c r="F17" i="135"/>
  <c r="N37" i="135"/>
  <c r="G6" i="135"/>
  <c r="E45" i="132"/>
  <c r="E58" i="132"/>
  <c r="H58" i="132" s="1"/>
  <c r="E44" i="132"/>
  <c r="E46" i="132" s="1"/>
  <c r="E54" i="132" s="1"/>
  <c r="E58" i="136"/>
  <c r="H58" i="136" s="1"/>
  <c r="E44" i="136"/>
  <c r="E46" i="136" s="1"/>
  <c r="E54" i="136" s="1"/>
  <c r="E45" i="136"/>
  <c r="E45" i="138"/>
  <c r="E58" i="138"/>
  <c r="H58" i="138" s="1"/>
  <c r="E44" i="138"/>
  <c r="E46" i="138" s="1"/>
  <c r="E54" i="138" s="1"/>
  <c r="E45" i="140"/>
  <c r="E58" i="140"/>
  <c r="H58" i="140" s="1"/>
  <c r="E44" i="140"/>
  <c r="E46" i="140" s="1"/>
  <c r="E54" i="140" s="1"/>
  <c r="E45" i="141"/>
  <c r="E44" i="141"/>
  <c r="E46" i="141" s="1"/>
  <c r="E54" i="141" s="1"/>
  <c r="E58" i="141"/>
  <c r="H58" i="141" s="1"/>
  <c r="E44" i="137"/>
  <c r="E46" i="137" s="1"/>
  <c r="E54" i="137" s="1"/>
  <c r="E45" i="137"/>
  <c r="E58" i="137"/>
  <c r="H58" i="137" s="1"/>
  <c r="E58" i="142"/>
  <c r="H58" i="142" s="1"/>
  <c r="E45" i="142"/>
  <c r="E44" i="142"/>
  <c r="E46" i="142" s="1"/>
  <c r="E54" i="142" s="1"/>
  <c r="E45" i="135"/>
  <c r="E58" i="135"/>
  <c r="H58" i="135" s="1"/>
  <c r="E58" i="139"/>
  <c r="H58" i="139" s="1"/>
  <c r="E44" i="139"/>
  <c r="E46" i="139" s="1"/>
  <c r="E54" i="139" s="1"/>
  <c r="E45" i="139"/>
  <c r="E45" i="133"/>
  <c r="E44" i="133"/>
  <c r="E46" i="133" s="1"/>
  <c r="E54" i="133" s="1"/>
  <c r="E58" i="133"/>
  <c r="H58" i="133" s="1"/>
  <c r="E58" i="134"/>
  <c r="H58" i="134" s="1"/>
  <c r="E44" i="134"/>
  <c r="E46" i="134" s="1"/>
  <c r="E54" i="134" s="1"/>
  <c r="E45" i="134"/>
  <c r="V17" i="135"/>
  <c r="V15" i="142"/>
  <c r="H37" i="133"/>
  <c r="V16" i="142"/>
  <c r="V10" i="142"/>
  <c r="V18" i="142"/>
  <c r="V8" i="142"/>
  <c r="V8" i="141"/>
  <c r="V10" i="141"/>
  <c r="V18" i="141"/>
  <c r="V16" i="141"/>
  <c r="V21" i="142"/>
  <c r="V33" i="142"/>
  <c r="V25" i="142"/>
  <c r="V13" i="142"/>
  <c r="V31" i="142"/>
  <c r="V23" i="142"/>
  <c r="V11" i="142"/>
  <c r="V35" i="142"/>
  <c r="V27" i="142"/>
  <c r="V19" i="142"/>
  <c r="O37" i="142"/>
  <c r="V37" i="142" s="1"/>
  <c r="V6" i="142"/>
  <c r="V29" i="142"/>
  <c r="V7" i="142"/>
  <c r="V19" i="141"/>
  <c r="V31" i="141"/>
  <c r="V23" i="141"/>
  <c r="V27" i="141"/>
  <c r="V15" i="141"/>
  <c r="O37" i="141"/>
  <c r="V37" i="141" s="1"/>
  <c r="V6" i="141"/>
  <c r="V11" i="141"/>
  <c r="V29" i="141"/>
  <c r="V21" i="141"/>
  <c r="V17" i="141"/>
  <c r="V7" i="141"/>
  <c r="V35" i="141"/>
  <c r="V33" i="141"/>
  <c r="V25" i="141"/>
  <c r="V13" i="141"/>
  <c r="V12" i="140"/>
  <c r="V16" i="140"/>
  <c r="V8" i="140"/>
  <c r="V25" i="140"/>
  <c r="V9" i="140"/>
  <c r="V26" i="140"/>
  <c r="V14" i="140"/>
  <c r="V31" i="140"/>
  <c r="V23" i="140"/>
  <c r="V15" i="140"/>
  <c r="V7" i="140"/>
  <c r="V34" i="140"/>
  <c r="V18" i="140"/>
  <c r="O37" i="140"/>
  <c r="V37" i="140" s="1"/>
  <c r="V6" i="140"/>
  <c r="V33" i="140"/>
  <c r="V17" i="140"/>
  <c r="V20" i="140"/>
  <c r="V29" i="140"/>
  <c r="V21" i="140"/>
  <c r="V13" i="140"/>
  <c r="V32" i="140"/>
  <c r="V10" i="140"/>
  <c r="V36" i="140"/>
  <c r="V28" i="140"/>
  <c r="V24" i="140"/>
  <c r="V35" i="140"/>
  <c r="V27" i="140"/>
  <c r="V19" i="140"/>
  <c r="V11" i="140"/>
  <c r="V30" i="140"/>
  <c r="V22" i="140"/>
  <c r="V36" i="139"/>
  <c r="V15" i="139"/>
  <c r="V10" i="139"/>
  <c r="V9" i="139"/>
  <c r="O37" i="139"/>
  <c r="V37" i="139" s="1"/>
  <c r="V6" i="139"/>
  <c r="V34" i="139"/>
  <c r="N6" i="139"/>
  <c r="N37" i="139" s="1"/>
  <c r="M37" i="139"/>
  <c r="V35" i="139"/>
  <c r="V27" i="139"/>
  <c r="V19" i="139"/>
  <c r="V32" i="139"/>
  <c r="V24" i="139"/>
  <c r="V16" i="139"/>
  <c r="V18" i="139"/>
  <c r="V33" i="139"/>
  <c r="V25" i="139"/>
  <c r="V17" i="139"/>
  <c r="V30" i="139"/>
  <c r="V22" i="139"/>
  <c r="V14" i="139"/>
  <c r="V29" i="139"/>
  <c r="V21" i="139"/>
  <c r="V26" i="139"/>
  <c r="V11" i="139"/>
  <c r="V7" i="139"/>
  <c r="V31" i="139"/>
  <c r="V23" i="139"/>
  <c r="V28" i="139"/>
  <c r="V20" i="139"/>
  <c r="V12" i="139"/>
  <c r="V8" i="139"/>
  <c r="V13" i="139"/>
  <c r="V7" i="138"/>
  <c r="O37" i="138"/>
  <c r="V37" i="138" s="1"/>
  <c r="V34" i="138"/>
  <c r="V10" i="138"/>
  <c r="V35" i="138"/>
  <c r="V27" i="138"/>
  <c r="V32" i="138"/>
  <c r="V24" i="138"/>
  <c r="V16" i="138"/>
  <c r="V21" i="138"/>
  <c r="V23" i="138"/>
  <c r="M37" i="138"/>
  <c r="N6" i="138"/>
  <c r="N37" i="138" s="1"/>
  <c r="V17" i="138"/>
  <c r="V29" i="138"/>
  <c r="V26" i="138"/>
  <c r="V18" i="138"/>
  <c r="V8" i="138"/>
  <c r="V19" i="138"/>
  <c r="V33" i="138"/>
  <c r="V25" i="138"/>
  <c r="V30" i="138"/>
  <c r="V22" i="138"/>
  <c r="V14" i="138"/>
  <c r="V13" i="138"/>
  <c r="V15" i="138"/>
  <c r="V11" i="138"/>
  <c r="V31" i="138"/>
  <c r="V36" i="138"/>
  <c r="V28" i="138"/>
  <c r="V20" i="138"/>
  <c r="V12" i="138"/>
  <c r="V9" i="138"/>
  <c r="V36" i="137"/>
  <c r="V17" i="137"/>
  <c r="V9" i="137"/>
  <c r="V24" i="137"/>
  <c r="V30" i="137"/>
  <c r="V33" i="137"/>
  <c r="V16" i="137"/>
  <c r="V23" i="137"/>
  <c r="V7" i="137"/>
  <c r="V14" i="137"/>
  <c r="V29" i="137"/>
  <c r="V21" i="137"/>
  <c r="V13" i="137"/>
  <c r="V20" i="137"/>
  <c r="V12" i="137"/>
  <c r="H37" i="137"/>
  <c r="V25" i="137"/>
  <c r="V32" i="137"/>
  <c r="V31" i="137"/>
  <c r="V15" i="137"/>
  <c r="V22" i="137"/>
  <c r="V8" i="137"/>
  <c r="V28" i="137"/>
  <c r="V35" i="137"/>
  <c r="V27" i="137"/>
  <c r="V19" i="137"/>
  <c r="V11" i="137"/>
  <c r="O37" i="137"/>
  <c r="V37" i="137" s="1"/>
  <c r="V6" i="137"/>
  <c r="V34" i="137"/>
  <c r="V26" i="137"/>
  <c r="V18" i="137"/>
  <c r="V10" i="137"/>
  <c r="V13" i="136"/>
  <c r="V8" i="136"/>
  <c r="O37" i="136"/>
  <c r="V37" i="136" s="1"/>
  <c r="V16" i="136"/>
  <c r="V14" i="136"/>
  <c r="V25" i="136"/>
  <c r="V31" i="136"/>
  <c r="V7" i="136"/>
  <c r="V29" i="136"/>
  <c r="V21" i="136"/>
  <c r="M37" i="136"/>
  <c r="N6" i="136"/>
  <c r="N37" i="136" s="1"/>
  <c r="H37" i="136"/>
  <c r="V33" i="136"/>
  <c r="V17" i="136"/>
  <c r="V23" i="136"/>
  <c r="V35" i="136"/>
  <c r="V27" i="136"/>
  <c r="V19" i="136"/>
  <c r="V9" i="136"/>
  <c r="V11" i="136"/>
  <c r="V12" i="135"/>
  <c r="V10" i="135"/>
  <c r="V25" i="135"/>
  <c r="V13" i="135"/>
  <c r="V33" i="135"/>
  <c r="V31" i="135"/>
  <c r="V23" i="135"/>
  <c r="V29" i="135"/>
  <c r="V21" i="135"/>
  <c r="V8" i="135"/>
  <c r="V35" i="135"/>
  <c r="V27" i="135"/>
  <c r="V19" i="135"/>
  <c r="O37" i="135"/>
  <c r="V37" i="135" s="1"/>
  <c r="V6" i="135"/>
  <c r="V36" i="134"/>
  <c r="V9" i="134"/>
  <c r="V11" i="134"/>
  <c r="V35" i="134"/>
  <c r="V27" i="134"/>
  <c r="V19" i="134"/>
  <c r="V34" i="134"/>
  <c r="V26" i="134"/>
  <c r="V18" i="134"/>
  <c r="V10" i="134"/>
  <c r="M37" i="134"/>
  <c r="N6" i="134"/>
  <c r="N37" i="134" s="1"/>
  <c r="V33" i="134"/>
  <c r="V25" i="134"/>
  <c r="V17" i="134"/>
  <c r="V32" i="134"/>
  <c r="V24" i="134"/>
  <c r="V16" i="134"/>
  <c r="V8" i="134"/>
  <c r="V13" i="134"/>
  <c r="V31" i="134"/>
  <c r="V23" i="134"/>
  <c r="O37" i="134"/>
  <c r="V37" i="134" s="1"/>
  <c r="V6" i="134"/>
  <c r="V30" i="134"/>
  <c r="V22" i="134"/>
  <c r="V14" i="134"/>
  <c r="V7" i="134"/>
  <c r="H37" i="134"/>
  <c r="V29" i="134"/>
  <c r="V21" i="134"/>
  <c r="V28" i="134"/>
  <c r="V20" i="134"/>
  <c r="V12" i="134"/>
  <c r="V15" i="134"/>
  <c r="V32" i="133"/>
  <c r="V24" i="133"/>
  <c r="V16" i="133"/>
  <c r="V8" i="133"/>
  <c r="V29" i="133"/>
  <c r="V30" i="133"/>
  <c r="V22" i="133"/>
  <c r="V14" i="133"/>
  <c r="O37" i="133"/>
  <c r="V37" i="133" s="1"/>
  <c r="V6" i="133"/>
  <c r="V28" i="133"/>
  <c r="V20" i="133"/>
  <c r="V12" i="133"/>
  <c r="V13" i="133"/>
  <c r="V34" i="133"/>
  <c r="V26" i="133"/>
  <c r="V18" i="133"/>
  <c r="V10" i="133"/>
  <c r="V35" i="133"/>
  <c r="V21" i="133"/>
  <c r="V33" i="133"/>
  <c r="V31" i="133"/>
  <c r="V15" i="133"/>
  <c r="V36" i="133"/>
  <c r="V27" i="133"/>
  <c r="M37" i="133"/>
  <c r="N6" i="133"/>
  <c r="N37" i="133" s="1"/>
  <c r="V11" i="133"/>
  <c r="V25" i="133"/>
  <c r="V9" i="133"/>
  <c r="V17" i="133"/>
  <c r="V19" i="133"/>
  <c r="V23" i="133"/>
  <c r="V7" i="133"/>
  <c r="V36" i="132"/>
  <c r="V16" i="132"/>
  <c r="V8" i="132"/>
  <c r="V19" i="132"/>
  <c r="V30" i="132"/>
  <c r="V27" i="132"/>
  <c r="V28" i="132"/>
  <c r="V20" i="132"/>
  <c r="V9" i="132"/>
  <c r="V29" i="132"/>
  <c r="V22" i="132"/>
  <c r="V17" i="132"/>
  <c r="V13" i="132"/>
  <c r="V33" i="132"/>
  <c r="V26" i="132"/>
  <c r="V18" i="132"/>
  <c r="V21" i="132"/>
  <c r="V35" i="132"/>
  <c r="V25" i="132"/>
  <c r="V34" i="132"/>
  <c r="V31" i="132"/>
  <c r="V23" i="132"/>
  <c r="V32" i="132"/>
  <c r="V24" i="132"/>
  <c r="O37" i="132"/>
  <c r="V37" i="132" s="1"/>
  <c r="E40" i="135" l="1"/>
  <c r="E41" i="135"/>
  <c r="H6" i="135"/>
  <c r="E48" i="135"/>
  <c r="H40" i="135"/>
  <c r="G37" i="135"/>
  <c r="I54" i="137"/>
  <c r="H54" i="137"/>
  <c r="I54" i="140"/>
  <c r="H54" i="140"/>
  <c r="E56" i="139"/>
  <c r="H56" i="139" s="1"/>
  <c r="E47" i="139"/>
  <c r="E55" i="139" s="1"/>
  <c r="E56" i="138"/>
  <c r="H56" i="138" s="1"/>
  <c r="E47" i="138"/>
  <c r="E55" i="138" s="1"/>
  <c r="H54" i="132"/>
  <c r="I54" i="132"/>
  <c r="H54" i="139"/>
  <c r="I54" i="139"/>
  <c r="E56" i="135"/>
  <c r="H56" i="135" s="1"/>
  <c r="E47" i="135"/>
  <c r="E55" i="135" s="1"/>
  <c r="I54" i="141"/>
  <c r="H54" i="141"/>
  <c r="E56" i="140"/>
  <c r="H56" i="140" s="1"/>
  <c r="E47" i="140"/>
  <c r="E55" i="140" s="1"/>
  <c r="E56" i="136"/>
  <c r="H56" i="136" s="1"/>
  <c r="E47" i="136"/>
  <c r="E55" i="136" s="1"/>
  <c r="H54" i="134"/>
  <c r="I54" i="134"/>
  <c r="E56" i="133"/>
  <c r="H56" i="133" s="1"/>
  <c r="E47" i="133"/>
  <c r="E55" i="133" s="1"/>
  <c r="E56" i="142"/>
  <c r="H56" i="142" s="1"/>
  <c r="E47" i="142"/>
  <c r="E55" i="142" s="1"/>
  <c r="E56" i="134"/>
  <c r="H56" i="134" s="1"/>
  <c r="E47" i="134"/>
  <c r="E55" i="134" s="1"/>
  <c r="I54" i="133"/>
  <c r="H54" i="133"/>
  <c r="I54" i="142"/>
  <c r="H54" i="142"/>
  <c r="E56" i="137"/>
  <c r="H56" i="137" s="1"/>
  <c r="E47" i="137"/>
  <c r="E55" i="137" s="1"/>
  <c r="E56" i="141"/>
  <c r="H56" i="141" s="1"/>
  <c r="E47" i="141"/>
  <c r="E55" i="141" s="1"/>
  <c r="H54" i="138"/>
  <c r="I54" i="138"/>
  <c r="I54" i="136"/>
  <c r="H54" i="136"/>
  <c r="E56" i="132"/>
  <c r="H56" i="132" s="1"/>
  <c r="E47" i="132"/>
  <c r="E55" i="132" s="1"/>
  <c r="F37" i="142"/>
  <c r="F37" i="141"/>
  <c r="F37" i="140"/>
  <c r="F37" i="139"/>
  <c r="F37" i="138"/>
  <c r="F37" i="137"/>
  <c r="F37" i="136"/>
  <c r="F37" i="135"/>
  <c r="F37" i="134"/>
  <c r="F37" i="133"/>
  <c r="F37" i="132"/>
  <c r="E42" i="135" l="1"/>
  <c r="E43" i="135" s="1"/>
  <c r="H37" i="135"/>
  <c r="E44" i="135"/>
  <c r="E46" i="135" s="1"/>
  <c r="E54" i="135" s="1"/>
  <c r="H55" i="134"/>
  <c r="I55" i="134"/>
  <c r="I55" i="136"/>
  <c r="H55" i="136"/>
  <c r="H55" i="132"/>
  <c r="I55" i="132"/>
  <c r="I55" i="137"/>
  <c r="H55" i="137"/>
  <c r="I55" i="142"/>
  <c r="H55" i="142"/>
  <c r="I55" i="140"/>
  <c r="H55" i="140"/>
  <c r="H55" i="135"/>
  <c r="I55" i="135"/>
  <c r="I55" i="139"/>
  <c r="H55" i="139"/>
  <c r="I55" i="141"/>
  <c r="H55" i="141"/>
  <c r="I55" i="138"/>
  <c r="H55" i="138"/>
  <c r="I55" i="133"/>
  <c r="H55" i="133"/>
  <c r="L36" i="130"/>
  <c r="K36" i="130"/>
  <c r="L35" i="130"/>
  <c r="K35" i="130"/>
  <c r="L34" i="130"/>
  <c r="K34" i="130"/>
  <c r="L33" i="130"/>
  <c r="K33" i="130"/>
  <c r="L32" i="130"/>
  <c r="K32" i="130"/>
  <c r="L31" i="130"/>
  <c r="K31" i="130"/>
  <c r="L30" i="130"/>
  <c r="K30" i="130"/>
  <c r="L29" i="130"/>
  <c r="K29" i="130"/>
  <c r="L28" i="130"/>
  <c r="K28" i="130"/>
  <c r="L27" i="130"/>
  <c r="K27" i="130"/>
  <c r="L26" i="130"/>
  <c r="K26" i="130"/>
  <c r="L25" i="130"/>
  <c r="K25" i="130"/>
  <c r="L24" i="130"/>
  <c r="K24" i="130"/>
  <c r="L23" i="130"/>
  <c r="K23" i="130"/>
  <c r="L22" i="130"/>
  <c r="K22" i="130"/>
  <c r="L21" i="130"/>
  <c r="K21" i="130"/>
  <c r="L20" i="130"/>
  <c r="K20" i="130"/>
  <c r="L19" i="130"/>
  <c r="K19" i="130"/>
  <c r="L18" i="130"/>
  <c r="K18" i="130"/>
  <c r="L17" i="130"/>
  <c r="K17" i="130"/>
  <c r="L16" i="130"/>
  <c r="K16" i="130"/>
  <c r="L15" i="130"/>
  <c r="K15" i="130"/>
  <c r="L14" i="130"/>
  <c r="K14" i="130"/>
  <c r="L13" i="130"/>
  <c r="K13" i="130"/>
  <c r="L12" i="130"/>
  <c r="K12" i="130"/>
  <c r="L11" i="130"/>
  <c r="K11" i="130"/>
  <c r="L10" i="130"/>
  <c r="K10" i="130"/>
  <c r="L9" i="130"/>
  <c r="K9" i="130"/>
  <c r="L8" i="130"/>
  <c r="K8" i="130"/>
  <c r="L7" i="130"/>
  <c r="K7" i="130"/>
  <c r="L6" i="130"/>
  <c r="K6" i="130"/>
  <c r="I54" i="135" l="1"/>
  <c r="H54" i="135"/>
  <c r="I37" i="130"/>
  <c r="E61" i="130" s="1"/>
  <c r="H61" i="130" s="1"/>
  <c r="B37" i="130"/>
  <c r="C37" i="130" s="1"/>
  <c r="M36" i="130"/>
  <c r="N36" i="130" s="1"/>
  <c r="M32" i="130"/>
  <c r="N32" i="130" s="1"/>
  <c r="G32" i="130" s="1"/>
  <c r="H32" i="130" s="1"/>
  <c r="M31" i="130"/>
  <c r="N31" i="130" s="1"/>
  <c r="G31" i="130" s="1"/>
  <c r="H31" i="130" s="1"/>
  <c r="M30" i="130"/>
  <c r="N30" i="130" s="1"/>
  <c r="G30" i="130" s="1"/>
  <c r="H30" i="130" s="1"/>
  <c r="M27" i="130"/>
  <c r="M25" i="130"/>
  <c r="N25" i="130" s="1"/>
  <c r="G25" i="130" s="1"/>
  <c r="H25" i="130" s="1"/>
  <c r="M24" i="130"/>
  <c r="N24" i="130" s="1"/>
  <c r="G24" i="130" s="1"/>
  <c r="H24" i="130" s="1"/>
  <c r="M21" i="130"/>
  <c r="N21" i="130" s="1"/>
  <c r="M20" i="130"/>
  <c r="N20" i="130" s="1"/>
  <c r="G20" i="130" s="1"/>
  <c r="H20" i="130" s="1"/>
  <c r="M19" i="130"/>
  <c r="N19" i="130" s="1"/>
  <c r="G19" i="130" s="1"/>
  <c r="H19" i="130" s="1"/>
  <c r="M18" i="130"/>
  <c r="N18" i="130" s="1"/>
  <c r="G18" i="130" s="1"/>
  <c r="H18" i="130" s="1"/>
  <c r="M17" i="130"/>
  <c r="N17" i="130" s="1"/>
  <c r="G17" i="130" s="1"/>
  <c r="H17" i="130" s="1"/>
  <c r="M15" i="130"/>
  <c r="N15" i="130" s="1"/>
  <c r="M13" i="130"/>
  <c r="N13" i="130" s="1"/>
  <c r="G13" i="130" s="1"/>
  <c r="H13" i="130" s="1"/>
  <c r="M12" i="130"/>
  <c r="N12" i="130" s="1"/>
  <c r="G12" i="130" s="1"/>
  <c r="H12" i="130" s="1"/>
  <c r="M11" i="130"/>
  <c r="N11" i="130" s="1"/>
  <c r="G11" i="130" s="1"/>
  <c r="H11" i="130" s="1"/>
  <c r="M9" i="130"/>
  <c r="N9" i="130" s="1"/>
  <c r="G9" i="130" s="1"/>
  <c r="H9" i="130" s="1"/>
  <c r="M6" i="130"/>
  <c r="N6" i="130" s="1"/>
  <c r="G6" i="130" s="1"/>
  <c r="N27" i="130" l="1"/>
  <c r="G27" i="130" s="1"/>
  <c r="H27" i="130" s="1"/>
  <c r="H6" i="130"/>
  <c r="M10" i="130"/>
  <c r="N10" i="130" s="1"/>
  <c r="G10" i="130" s="1"/>
  <c r="H10" i="130" s="1"/>
  <c r="M14" i="130"/>
  <c r="N14" i="130" s="1"/>
  <c r="M7" i="130"/>
  <c r="N7" i="130" s="1"/>
  <c r="M23" i="130"/>
  <c r="N23" i="130" s="1"/>
  <c r="G23" i="130" s="1"/>
  <c r="H23" i="130" s="1"/>
  <c r="L37" i="130" l="1"/>
  <c r="E59" i="130" s="1"/>
  <c r="H59" i="130" s="1"/>
  <c r="K37" i="130" l="1"/>
  <c r="U36" i="130"/>
  <c r="T36" i="130"/>
  <c r="U35" i="130"/>
  <c r="T35" i="130"/>
  <c r="U34" i="130"/>
  <c r="T34" i="130"/>
  <c r="U33" i="130"/>
  <c r="T33" i="130"/>
  <c r="U32" i="130"/>
  <c r="T32" i="130"/>
  <c r="U31" i="130"/>
  <c r="T31" i="130"/>
  <c r="U30" i="130"/>
  <c r="T30" i="130"/>
  <c r="U29" i="130"/>
  <c r="T29" i="130"/>
  <c r="U28" i="130"/>
  <c r="T28" i="130"/>
  <c r="U27" i="130"/>
  <c r="T27" i="130"/>
  <c r="U26" i="130"/>
  <c r="T26" i="130"/>
  <c r="U25" i="130"/>
  <c r="W25" i="130" s="1"/>
  <c r="T25" i="130"/>
  <c r="U24" i="130"/>
  <c r="T24" i="130"/>
  <c r="U23" i="130"/>
  <c r="T23" i="130"/>
  <c r="U22" i="130"/>
  <c r="T22" i="130"/>
  <c r="U21" i="130"/>
  <c r="W21" i="130" s="1"/>
  <c r="T21" i="130"/>
  <c r="U20" i="130"/>
  <c r="T20" i="130"/>
  <c r="U19" i="130"/>
  <c r="T19" i="130"/>
  <c r="U18" i="130"/>
  <c r="W18" i="130" s="1"/>
  <c r="T18" i="130"/>
  <c r="U17" i="130"/>
  <c r="T17" i="130"/>
  <c r="U16" i="130"/>
  <c r="T16" i="130"/>
  <c r="U15" i="130"/>
  <c r="T15" i="130"/>
  <c r="U14" i="130"/>
  <c r="T14" i="130"/>
  <c r="U13" i="130"/>
  <c r="T13" i="130"/>
  <c r="U12" i="130"/>
  <c r="T12" i="130"/>
  <c r="U11" i="130"/>
  <c r="T11" i="130"/>
  <c r="U10" i="130"/>
  <c r="W10" i="130" s="1"/>
  <c r="T10" i="130"/>
  <c r="U9" i="130"/>
  <c r="T9" i="130"/>
  <c r="U8" i="130"/>
  <c r="T8" i="130"/>
  <c r="U7" i="130"/>
  <c r="T7" i="130"/>
  <c r="U6" i="130"/>
  <c r="T6" i="130"/>
  <c r="E58" i="130" l="1"/>
  <c r="H58" i="130" s="1"/>
  <c r="W19" i="130"/>
  <c r="W23" i="130"/>
  <c r="W20" i="130"/>
  <c r="W22" i="130"/>
  <c r="W31" i="130"/>
  <c r="W16" i="130"/>
  <c r="W24" i="130"/>
  <c r="W7" i="130"/>
  <c r="W11" i="130"/>
  <c r="W17" i="130"/>
  <c r="W15" i="130"/>
  <c r="B35" i="130"/>
  <c r="B14" i="130"/>
  <c r="B9" i="130"/>
  <c r="B32" i="130"/>
  <c r="B33" i="130"/>
  <c r="B25" i="130"/>
  <c r="B18" i="130"/>
  <c r="B10" i="130"/>
  <c r="B19" i="130"/>
  <c r="B11" i="130"/>
  <c r="B30" i="130"/>
  <c r="B27" i="130"/>
  <c r="B16" i="130"/>
  <c r="B23" i="130"/>
  <c r="B13" i="130"/>
  <c r="B36" i="130"/>
  <c r="B26" i="130"/>
  <c r="B31" i="130"/>
  <c r="B22" i="130"/>
  <c r="B12" i="130"/>
  <c r="B17" i="130"/>
  <c r="B7" i="130"/>
  <c r="B6" i="130"/>
  <c r="B8" i="130"/>
  <c r="B29" i="130"/>
  <c r="B34" i="130"/>
  <c r="B15" i="130"/>
  <c r="B20" i="130"/>
  <c r="B21" i="130"/>
  <c r="B24" i="130"/>
  <c r="B28" i="130"/>
  <c r="P36" i="130" l="1"/>
  <c r="C36" i="130"/>
  <c r="P27" i="130"/>
  <c r="O27" i="130" s="1"/>
  <c r="C27" i="130"/>
  <c r="P10" i="130"/>
  <c r="C10" i="130"/>
  <c r="P28" i="130"/>
  <c r="O28" i="130" s="1"/>
  <c r="C28" i="130"/>
  <c r="P15" i="130"/>
  <c r="C15" i="130"/>
  <c r="P6" i="130"/>
  <c r="O6" i="130" s="1"/>
  <c r="C6" i="130"/>
  <c r="P22" i="130"/>
  <c r="C22" i="130"/>
  <c r="P13" i="130"/>
  <c r="O13" i="130" s="1"/>
  <c r="C13" i="130"/>
  <c r="P30" i="130"/>
  <c r="C30" i="130"/>
  <c r="P18" i="130"/>
  <c r="O18" i="130" s="1"/>
  <c r="C18" i="130"/>
  <c r="P32" i="130"/>
  <c r="O32" i="130" s="1"/>
  <c r="C32" i="130"/>
  <c r="P24" i="130"/>
  <c r="O24" i="130" s="1"/>
  <c r="C24" i="130"/>
  <c r="P7" i="130"/>
  <c r="O7" i="130" s="1"/>
  <c r="C7" i="130"/>
  <c r="P23" i="130"/>
  <c r="O23" i="130" s="1"/>
  <c r="C23" i="130"/>
  <c r="P11" i="130"/>
  <c r="O11" i="130" s="1"/>
  <c r="C11" i="130"/>
  <c r="P25" i="130"/>
  <c r="O25" i="130" s="1"/>
  <c r="C25" i="130"/>
  <c r="P9" i="130"/>
  <c r="O9" i="130" s="1"/>
  <c r="C9" i="130"/>
  <c r="P20" i="130"/>
  <c r="O20" i="130" s="1"/>
  <c r="C20" i="130"/>
  <c r="P8" i="130"/>
  <c r="O8" i="130" s="1"/>
  <c r="C8" i="130"/>
  <c r="P12" i="130"/>
  <c r="O12" i="130" s="1"/>
  <c r="C12" i="130"/>
  <c r="P34" i="130"/>
  <c r="O34" i="130" s="1"/>
  <c r="C34" i="130"/>
  <c r="P31" i="130"/>
  <c r="O31" i="130" s="1"/>
  <c r="C31" i="130"/>
  <c r="P21" i="130"/>
  <c r="O21" i="130" s="1"/>
  <c r="C21" i="130"/>
  <c r="P29" i="130"/>
  <c r="O29" i="130" s="1"/>
  <c r="C29" i="130"/>
  <c r="P17" i="130"/>
  <c r="O17" i="130" s="1"/>
  <c r="C17" i="130"/>
  <c r="P26" i="130"/>
  <c r="O26" i="130" s="1"/>
  <c r="C26" i="130"/>
  <c r="P16" i="130"/>
  <c r="O16" i="130" s="1"/>
  <c r="C16" i="130"/>
  <c r="P19" i="130"/>
  <c r="O19" i="130" s="1"/>
  <c r="C19" i="130"/>
  <c r="P33" i="130"/>
  <c r="O33" i="130" s="1"/>
  <c r="C33" i="130"/>
  <c r="P14" i="130"/>
  <c r="O14" i="130" s="1"/>
  <c r="C14" i="130"/>
  <c r="P35" i="130"/>
  <c r="O35" i="130" s="1"/>
  <c r="C35" i="130"/>
  <c r="O15" i="130"/>
  <c r="O10" i="130"/>
  <c r="O22" i="130"/>
  <c r="O30" i="130"/>
  <c r="O36" i="130"/>
  <c r="M26" i="130" l="1"/>
  <c r="N26" i="130" s="1"/>
  <c r="G26" i="130" s="1"/>
  <c r="H26" i="130" s="1"/>
  <c r="M28" i="130"/>
  <c r="N28" i="130" s="1"/>
  <c r="M29" i="130"/>
  <c r="N29" i="130" s="1"/>
  <c r="M35" i="130"/>
  <c r="N35" i="130" s="1"/>
  <c r="M34" i="130"/>
  <c r="N34" i="130" s="1"/>
  <c r="M33" i="130"/>
  <c r="N33" i="130" s="1"/>
  <c r="G33" i="130" s="1"/>
  <c r="H33" i="130" s="1"/>
  <c r="M8" i="130"/>
  <c r="M16" i="130"/>
  <c r="N16" i="130" s="1"/>
  <c r="G16" i="130" s="1"/>
  <c r="M22" i="130"/>
  <c r="N22" i="130" s="1"/>
  <c r="O37" i="130"/>
  <c r="V37" i="130" s="1"/>
  <c r="V32" i="130"/>
  <c r="W32" i="130" s="1"/>
  <c r="V33" i="130"/>
  <c r="W33" i="130" s="1"/>
  <c r="V30" i="130"/>
  <c r="W30" i="130" s="1"/>
  <c r="V20" i="130"/>
  <c r="V21" i="130"/>
  <c r="V8" i="130"/>
  <c r="W8" i="130" s="1"/>
  <c r="V19" i="130"/>
  <c r="V18" i="130"/>
  <c r="V6" i="130"/>
  <c r="W6" i="130" s="1"/>
  <c r="V29" i="130"/>
  <c r="W29" i="130" s="1"/>
  <c r="V22" i="130"/>
  <c r="V27" i="130"/>
  <c r="W27" i="130" s="1"/>
  <c r="V35" i="130"/>
  <c r="W35" i="130" s="1"/>
  <c r="V14" i="130"/>
  <c r="W14" i="130" s="1"/>
  <c r="V10" i="130"/>
  <c r="V25" i="130"/>
  <c r="V31" i="130"/>
  <c r="V26" i="130"/>
  <c r="W26" i="130" s="1"/>
  <c r="V11" i="130"/>
  <c r="V7" i="130"/>
  <c r="V17" i="130"/>
  <c r="V28" i="130"/>
  <c r="W28" i="130" s="1"/>
  <c r="V34" i="130"/>
  <c r="W34" i="130" s="1"/>
  <c r="V15" i="130"/>
  <c r="V12" i="130"/>
  <c r="W12" i="130" s="1"/>
  <c r="V23" i="130"/>
  <c r="V16" i="130"/>
  <c r="V9" i="130"/>
  <c r="W9" i="130" s="1"/>
  <c r="V24" i="130"/>
  <c r="V13" i="130"/>
  <c r="W13" i="130" s="1"/>
  <c r="V36" i="130"/>
  <c r="W36" i="130" s="1"/>
  <c r="H16" i="130" l="1"/>
  <c r="H40" i="130"/>
  <c r="E48" i="130"/>
  <c r="E45" i="130"/>
  <c r="J37" i="130"/>
  <c r="F37" i="130"/>
  <c r="N8" i="130"/>
  <c r="M37" i="130"/>
  <c r="W38" i="130"/>
  <c r="W37" i="130"/>
  <c r="E56" i="130" l="1"/>
  <c r="H56" i="130" s="1"/>
  <c r="E47" i="130"/>
  <c r="E55" i="130" s="1"/>
  <c r="E42" i="130"/>
  <c r="E43" i="130" s="1"/>
  <c r="E44" i="130"/>
  <c r="E46" i="130" s="1"/>
  <c r="E54" i="130" s="1"/>
  <c r="N37" i="130"/>
  <c r="I55" i="130" l="1"/>
  <c r="H55" i="130"/>
  <c r="I54" i="130"/>
  <c r="H54" i="130"/>
  <c r="H37" i="130"/>
  <c r="G37" i="130"/>
</calcChain>
</file>

<file path=xl/comments1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2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3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4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5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6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7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8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9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10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11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comments12.xml><?xml version="1.0" encoding="utf-8"?>
<comments xmlns="http://schemas.openxmlformats.org/spreadsheetml/2006/main">
  <authors>
    <author>hayashima</author>
    <author>iketanima</author>
  </authors>
  <commentList>
    <comment ref="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社員番号</t>
        </r>
      </text>
    </comment>
    <comment ref="E56" authorId="1" shapeId="0">
      <text>
        <r>
          <rPr>
            <b/>
            <sz val="12"/>
            <color indexed="10"/>
            <rFont val="ＭＳ Ｐゴシック"/>
            <family val="3"/>
            <charset val="128"/>
          </rPr>
          <t>60時間オーバ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
（残業割増対象時間-法定労働時間＞60h超過分）</t>
        </r>
      </text>
    </comment>
    <comment ref="E61" authorId="1" shapeId="0">
      <text>
        <r>
          <rPr>
            <b/>
            <sz val="14"/>
            <color indexed="10"/>
            <rFont val="ＭＳ Ｐゴシック"/>
            <family val="3"/>
            <charset val="128"/>
          </rPr>
          <t>※22時以降</t>
        </r>
      </text>
    </comment>
  </commentList>
</comments>
</file>

<file path=xl/sharedStrings.xml><?xml version="1.0" encoding="utf-8"?>
<sst xmlns="http://schemas.openxmlformats.org/spreadsheetml/2006/main" count="1619" uniqueCount="171">
  <si>
    <t>出</t>
    <rPh sb="0" eb="1">
      <t>デ</t>
    </rPh>
    <phoneticPr fontId="1"/>
  </si>
  <si>
    <t>退</t>
    <rPh sb="0" eb="1">
      <t>シリゾ</t>
    </rPh>
    <phoneticPr fontId="1"/>
  </si>
  <si>
    <t>控除時間</t>
    <rPh sb="0" eb="2">
      <t>コウジョ</t>
    </rPh>
    <rPh sb="2" eb="4">
      <t>ジカン</t>
    </rPh>
    <phoneticPr fontId="1"/>
  </si>
  <si>
    <t>出勤日</t>
    <rPh sb="0" eb="2">
      <t>シュッキン</t>
    </rPh>
    <rPh sb="2" eb="3">
      <t>ビ</t>
    </rPh>
    <phoneticPr fontId="1"/>
  </si>
  <si>
    <t>勤務時間</t>
    <rPh sb="0" eb="2">
      <t>キンム</t>
    </rPh>
    <rPh sb="2" eb="4">
      <t>ジカン</t>
    </rPh>
    <phoneticPr fontId="1"/>
  </si>
  <si>
    <t>出張</t>
    <rPh sb="0" eb="2">
      <t>シュッチョウ</t>
    </rPh>
    <phoneticPr fontId="1"/>
  </si>
  <si>
    <t>年月</t>
    <rPh sb="0" eb="1">
      <t>ネン</t>
    </rPh>
    <rPh sb="1" eb="2">
      <t>ツキ</t>
    </rPh>
    <phoneticPr fontId="1"/>
  </si>
  <si>
    <t>日</t>
    <rPh sb="0" eb="1">
      <t>ヒ</t>
    </rPh>
    <phoneticPr fontId="1"/>
  </si>
  <si>
    <t>曜日</t>
    <rPh sb="0" eb="2">
      <t>ヨウビ</t>
    </rPh>
    <phoneticPr fontId="1"/>
  </si>
  <si>
    <t>実働時間</t>
    <rPh sb="0" eb="2">
      <t>ジツドウ</t>
    </rPh>
    <rPh sb="2" eb="4">
      <t>ジカン</t>
    </rPh>
    <phoneticPr fontId="1"/>
  </si>
  <si>
    <t>通常</t>
  </si>
  <si>
    <t>所定勤務時間</t>
    <rPh sb="0" eb="2">
      <t>ショテイ</t>
    </rPh>
    <rPh sb="2" eb="4">
      <t>キンム</t>
    </rPh>
    <rPh sb="4" eb="6">
      <t>ジカン</t>
    </rPh>
    <phoneticPr fontId="1"/>
  </si>
  <si>
    <t>勤務時間過不足</t>
    <rPh sb="0" eb="2">
      <t>キンム</t>
    </rPh>
    <rPh sb="2" eb="4">
      <t>ジカン</t>
    </rPh>
    <rPh sb="4" eb="7">
      <t>カブソク</t>
    </rPh>
    <phoneticPr fontId="1"/>
  </si>
  <si>
    <t>有給休暇</t>
    <rPh sb="0" eb="2">
      <t>ユウキュウ</t>
    </rPh>
    <rPh sb="2" eb="4">
      <t>キュウカ</t>
    </rPh>
    <phoneticPr fontId="1"/>
  </si>
  <si>
    <t>所定出勤日数</t>
    <rPh sb="0" eb="2">
      <t>ショテイ</t>
    </rPh>
    <rPh sb="2" eb="4">
      <t>シュッキン</t>
    </rPh>
    <rPh sb="4" eb="5">
      <t>ビ</t>
    </rPh>
    <rPh sb="5" eb="6">
      <t>スウ</t>
    </rPh>
    <phoneticPr fontId="1"/>
  </si>
  <si>
    <t>実働日数</t>
    <rPh sb="0" eb="2">
      <t>ジツドウ</t>
    </rPh>
    <rPh sb="2" eb="3">
      <t>ヒ</t>
    </rPh>
    <rPh sb="3" eb="4">
      <t>スウ</t>
    </rPh>
    <phoneticPr fontId="1"/>
  </si>
  <si>
    <t>日付</t>
    <rPh sb="0" eb="2">
      <t>ヒヅケ</t>
    </rPh>
    <phoneticPr fontId="1"/>
  </si>
  <si>
    <t>振休</t>
    <rPh sb="0" eb="1">
      <t>フ</t>
    </rPh>
    <rPh sb="1" eb="2">
      <t>キュウ</t>
    </rPh>
    <phoneticPr fontId="1"/>
  </si>
  <si>
    <t>出(勤務先)</t>
    <rPh sb="0" eb="1">
      <t>デ</t>
    </rPh>
    <rPh sb="2" eb="5">
      <t>キンムサキ</t>
    </rPh>
    <phoneticPr fontId="1"/>
  </si>
  <si>
    <t>退(勤務先)</t>
    <rPh sb="0" eb="1">
      <t>シリゾ</t>
    </rPh>
    <phoneticPr fontId="1"/>
  </si>
  <si>
    <t>■残業時間詳細</t>
    <rPh sb="1" eb="3">
      <t>ザンギョウ</t>
    </rPh>
    <rPh sb="3" eb="5">
      <t>ジカン</t>
    </rPh>
    <rPh sb="5" eb="7">
      <t>ショウサイ</t>
    </rPh>
    <phoneticPr fontId="1"/>
  </si>
  <si>
    <t>項目</t>
    <rPh sb="0" eb="2">
      <t>コウモク</t>
    </rPh>
    <phoneticPr fontId="1"/>
  </si>
  <si>
    <t>時間</t>
    <rPh sb="0" eb="2">
      <t>ジカン</t>
    </rPh>
    <phoneticPr fontId="1"/>
  </si>
  <si>
    <t>割増金額</t>
    <rPh sb="0" eb="1">
      <t>ワ</t>
    </rPh>
    <rPh sb="1" eb="2">
      <t>マ</t>
    </rPh>
    <rPh sb="2" eb="3">
      <t>キン</t>
    </rPh>
    <rPh sb="3" eb="4">
      <t>ガク</t>
    </rPh>
    <phoneticPr fontId="1"/>
  </si>
  <si>
    <t>残業割増時間</t>
    <rPh sb="0" eb="2">
      <t>ザンギョウ</t>
    </rPh>
    <rPh sb="2" eb="4">
      <t>ワリマシ</t>
    </rPh>
    <rPh sb="4" eb="6">
      <t>ジカン</t>
    </rPh>
    <phoneticPr fontId="1"/>
  </si>
  <si>
    <t>深夜残業時間</t>
    <rPh sb="0" eb="2">
      <t>シンヤ</t>
    </rPh>
    <rPh sb="2" eb="4">
      <t>ザンギョウ</t>
    </rPh>
    <rPh sb="4" eb="6">
      <t>ジカン</t>
    </rPh>
    <phoneticPr fontId="1"/>
  </si>
  <si>
    <t>深夜時間</t>
    <rPh sb="0" eb="2">
      <t>シンヤ</t>
    </rPh>
    <rPh sb="2" eb="4">
      <t>ジカン</t>
    </rPh>
    <phoneticPr fontId="1"/>
  </si>
  <si>
    <t>休憩(夜)</t>
    <rPh sb="0" eb="2">
      <t>キュウケイ</t>
    </rPh>
    <rPh sb="3" eb="4">
      <t>ヨル</t>
    </rPh>
    <phoneticPr fontId="1"/>
  </si>
  <si>
    <t>代休</t>
    <rPh sb="0" eb="2">
      <t>ダイキュウ</t>
    </rPh>
    <phoneticPr fontId="1"/>
  </si>
  <si>
    <t>法休出</t>
    <rPh sb="0" eb="1">
      <t>ホウ</t>
    </rPh>
    <phoneticPr fontId="1"/>
  </si>
  <si>
    <t>法休出→代</t>
    <rPh sb="0" eb="1">
      <t>ホウ</t>
    </rPh>
    <rPh sb="1" eb="3">
      <t>キュウシュツ</t>
    </rPh>
    <rPh sb="4" eb="5">
      <t>ダイ</t>
    </rPh>
    <phoneticPr fontId="1"/>
  </si>
  <si>
    <t>所休出</t>
    <rPh sb="0" eb="1">
      <t>ショ</t>
    </rPh>
    <phoneticPr fontId="1"/>
  </si>
  <si>
    <t>所休出→代</t>
    <rPh sb="1" eb="3">
      <t>キュウシュツ</t>
    </rPh>
    <rPh sb="4" eb="5">
      <t>ダイ</t>
    </rPh>
    <phoneticPr fontId="1"/>
  </si>
  <si>
    <t>勤務時間に加算。時間単価*0.35上乗せ</t>
    <rPh sb="0" eb="2">
      <t>キンム</t>
    </rPh>
    <rPh sb="2" eb="4">
      <t>ジカン</t>
    </rPh>
    <rPh sb="5" eb="7">
      <t>カサン</t>
    </rPh>
    <rPh sb="8" eb="12">
      <t>ジカンタンカ</t>
    </rPh>
    <rPh sb="17" eb="19">
      <t>ウワノ</t>
    </rPh>
    <phoneticPr fontId="1"/>
  </si>
  <si>
    <t>勤務時間に加算。</t>
    <rPh sb="0" eb="2">
      <t>キンム</t>
    </rPh>
    <rPh sb="2" eb="4">
      <t>ジカン</t>
    </rPh>
    <rPh sb="5" eb="7">
      <t>カサン</t>
    </rPh>
    <phoneticPr fontId="1"/>
  </si>
  <si>
    <t>祝日、休日</t>
    <rPh sb="0" eb="2">
      <t>シュクジツ</t>
    </rPh>
    <rPh sb="3" eb="5">
      <t>キュウジツ</t>
    </rPh>
    <phoneticPr fontId="1"/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</si>
  <si>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</si>
  <si>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</si>
  <si>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</si>
  <si>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</si>
  <si>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</si>
  <si>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</si>
  <si>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</si>
  <si>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</si>
  <si>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敬老の日</t>
  </si>
  <si>
    <t>秋分の日</t>
  </si>
  <si>
    <t>文化の日</t>
  </si>
  <si>
    <t>勤労感謝の日</t>
  </si>
  <si>
    <t>冬期休暇</t>
    <rPh sb="0" eb="2">
      <t>トウキ</t>
    </rPh>
    <rPh sb="2" eb="4">
      <t>キュウカ</t>
    </rPh>
    <phoneticPr fontId="1"/>
  </si>
  <si>
    <t>休日区分</t>
    <rPh sb="0" eb="2">
      <t>キュウジツ</t>
    </rPh>
    <rPh sb="2" eb="4">
      <t>クブン</t>
    </rPh>
    <phoneticPr fontId="1"/>
  </si>
  <si>
    <t>勤怠区分</t>
    <rPh sb="0" eb="2">
      <t>キンタイ</t>
    </rPh>
    <rPh sb="2" eb="4">
      <t>クブン</t>
    </rPh>
    <phoneticPr fontId="1"/>
  </si>
  <si>
    <t>法定休出</t>
    <rPh sb="0" eb="2">
      <t>ホウテイ</t>
    </rPh>
    <rPh sb="2" eb="3">
      <t>キュウ</t>
    </rPh>
    <rPh sb="3" eb="4">
      <t>デ</t>
    </rPh>
    <phoneticPr fontId="1"/>
  </si>
  <si>
    <t>法定休出→代</t>
    <rPh sb="0" eb="2">
      <t>ホウテイ</t>
    </rPh>
    <rPh sb="2" eb="3">
      <t>キュウ</t>
    </rPh>
    <rPh sb="3" eb="4">
      <t>デ</t>
    </rPh>
    <rPh sb="5" eb="6">
      <t>ダイ</t>
    </rPh>
    <phoneticPr fontId="1"/>
  </si>
  <si>
    <t>所定休出</t>
    <rPh sb="0" eb="2">
      <t>ショテイ</t>
    </rPh>
    <rPh sb="2" eb="3">
      <t>キュウ</t>
    </rPh>
    <rPh sb="3" eb="4">
      <t>デ</t>
    </rPh>
    <phoneticPr fontId="1"/>
  </si>
  <si>
    <t>所定休出→代</t>
    <rPh sb="0" eb="2">
      <t>ショテイ</t>
    </rPh>
    <rPh sb="2" eb="3">
      <t>キュウ</t>
    </rPh>
    <rPh sb="3" eb="4">
      <t>デ</t>
    </rPh>
    <phoneticPr fontId="1"/>
  </si>
  <si>
    <t>法休日</t>
    <rPh sb="0" eb="1">
      <t>ホウ</t>
    </rPh>
    <phoneticPr fontId="1"/>
  </si>
  <si>
    <t>所休日</t>
    <rPh sb="0" eb="1">
      <t>ショ</t>
    </rPh>
    <phoneticPr fontId="1"/>
  </si>
  <si>
    <t>日曜日。</t>
    <rPh sb="0" eb="3">
      <t>ニチヨウビ</t>
    </rPh>
    <phoneticPr fontId="1"/>
  </si>
  <si>
    <t>残業計算対象時間</t>
    <rPh sb="0" eb="2">
      <t>ザンギョウ</t>
    </rPh>
    <rPh sb="2" eb="4">
      <t>ケイサン</t>
    </rPh>
    <rPh sb="4" eb="6">
      <t>タイショウ</t>
    </rPh>
    <rPh sb="6" eb="8">
      <t>ジカン</t>
    </rPh>
    <phoneticPr fontId="1"/>
  </si>
  <si>
    <t>法定労働時間</t>
    <rPh sb="0" eb="2">
      <t>ホウテイ</t>
    </rPh>
    <rPh sb="2" eb="4">
      <t>ロウドウ</t>
    </rPh>
    <rPh sb="4" eb="6">
      <t>ジカン</t>
    </rPh>
    <phoneticPr fontId="1"/>
  </si>
  <si>
    <t>公休</t>
    <rPh sb="0" eb="2">
      <t>コウキュウ</t>
    </rPh>
    <phoneticPr fontId="1"/>
  </si>
  <si>
    <t>夏期休暇など有休以外に会社から支給される休暇。</t>
    <rPh sb="0" eb="2">
      <t>カキ</t>
    </rPh>
    <rPh sb="2" eb="4">
      <t>キュウカ</t>
    </rPh>
    <rPh sb="6" eb="8">
      <t>ユウキュウ</t>
    </rPh>
    <rPh sb="8" eb="10">
      <t>イガイ</t>
    </rPh>
    <rPh sb="11" eb="13">
      <t>カイシャ</t>
    </rPh>
    <rPh sb="15" eb="17">
      <t>シキュウ</t>
    </rPh>
    <rPh sb="20" eb="22">
      <t>キュウカ</t>
    </rPh>
    <phoneticPr fontId="1"/>
  </si>
  <si>
    <t>土曜日や祝日。</t>
    <rPh sb="0" eb="2">
      <t>ドヨウ</t>
    </rPh>
    <rPh sb="2" eb="3">
      <t>ヒ</t>
    </rPh>
    <phoneticPr fontId="1"/>
  </si>
  <si>
    <t>振り替え休日　※振り替える場合は、出勤日は土日を問わず「所休出」と設定する。</t>
    <rPh sb="0" eb="1">
      <t>フ</t>
    </rPh>
    <rPh sb="2" eb="3">
      <t>カ</t>
    </rPh>
    <rPh sb="4" eb="6">
      <t>キュウジツ</t>
    </rPh>
    <rPh sb="8" eb="9">
      <t>フ</t>
    </rPh>
    <rPh sb="10" eb="11">
      <t>カ</t>
    </rPh>
    <rPh sb="13" eb="15">
      <t>バアイ</t>
    </rPh>
    <rPh sb="17" eb="19">
      <t>シュッキン</t>
    </rPh>
    <rPh sb="19" eb="20">
      <t>ビ</t>
    </rPh>
    <rPh sb="21" eb="23">
      <t>ドニチ</t>
    </rPh>
    <rPh sb="24" eb="25">
      <t>ト</t>
    </rPh>
    <rPh sb="28" eb="29">
      <t>ショ</t>
    </rPh>
    <rPh sb="29" eb="31">
      <t>キュウシュツ</t>
    </rPh>
    <rPh sb="33" eb="35">
      <t>セッテイ</t>
    </rPh>
    <phoneticPr fontId="1"/>
  </si>
  <si>
    <t>法定休日勤務時間135</t>
    <rPh sb="0" eb="2">
      <t>ホウテイ</t>
    </rPh>
    <rPh sb="2" eb="4">
      <t>キュウジツ</t>
    </rPh>
    <rPh sb="4" eb="6">
      <t>キンム</t>
    </rPh>
    <rPh sb="6" eb="8">
      <t>ジカン</t>
    </rPh>
    <phoneticPr fontId="1"/>
  </si>
  <si>
    <t>法定休日勤務時間35</t>
    <rPh sb="0" eb="2">
      <t>ホウテイ</t>
    </rPh>
    <rPh sb="2" eb="4">
      <t>キュウジツ</t>
    </rPh>
    <rPh sb="4" eb="6">
      <t>キンム</t>
    </rPh>
    <rPh sb="6" eb="8">
      <t>ジカン</t>
    </rPh>
    <phoneticPr fontId="1"/>
  </si>
  <si>
    <t>（＋単価×1.35）</t>
    <phoneticPr fontId="1"/>
  </si>
  <si>
    <t>残業時間100</t>
    <rPh sb="0" eb="2">
      <t>ザンギョウ</t>
    </rPh>
    <rPh sb="2" eb="4">
      <t>ジカン</t>
    </rPh>
    <phoneticPr fontId="1"/>
  </si>
  <si>
    <t>（＋単価×1.00）</t>
    <rPh sb="2" eb="4">
      <t>タンカ</t>
    </rPh>
    <phoneticPr fontId="1"/>
  </si>
  <si>
    <t>残業割増対象時間</t>
    <rPh sb="0" eb="2">
      <t>ザンギョウ</t>
    </rPh>
    <rPh sb="2" eb="4">
      <t>ワリマシ</t>
    </rPh>
    <rPh sb="4" eb="6">
      <t>タイショウ</t>
    </rPh>
    <rPh sb="6" eb="8">
      <t>ジカン</t>
    </rPh>
    <phoneticPr fontId="1"/>
  </si>
  <si>
    <t>残業時間25</t>
    <rPh sb="0" eb="2">
      <t>ザンギョウ</t>
    </rPh>
    <rPh sb="2" eb="4">
      <t>ジカン</t>
    </rPh>
    <phoneticPr fontId="1"/>
  </si>
  <si>
    <t>（＋単価×0.25）</t>
    <rPh sb="2" eb="4">
      <t>タンカ</t>
    </rPh>
    <phoneticPr fontId="1"/>
  </si>
  <si>
    <t>残業時間１00</t>
    <rPh sb="0" eb="2">
      <t>ザンギョウ</t>
    </rPh>
    <rPh sb="2" eb="4">
      <t>ジカン</t>
    </rPh>
    <phoneticPr fontId="1"/>
  </si>
  <si>
    <t>欠勤</t>
    <rPh sb="0" eb="2">
      <t>ケッキン</t>
    </rPh>
    <phoneticPr fontId="1"/>
  </si>
  <si>
    <t>有休の日数を超えて休む場合、または上長の承認なく無断で休んだ場合。</t>
    <phoneticPr fontId="1"/>
  </si>
  <si>
    <t>山の日</t>
    <rPh sb="0" eb="1">
      <t>ヤマ</t>
    </rPh>
    <rPh sb="2" eb="3">
      <t>ヒ</t>
    </rPh>
    <phoneticPr fontId="1"/>
  </si>
  <si>
    <t>勤務時間(有休等含)</t>
    <rPh sb="0" eb="2">
      <t>キンム</t>
    </rPh>
    <rPh sb="2" eb="4">
      <t>ジカン</t>
    </rPh>
    <rPh sb="5" eb="7">
      <t>ユウキュウ</t>
    </rPh>
    <rPh sb="7" eb="8">
      <t>ナド</t>
    </rPh>
    <rPh sb="8" eb="9">
      <t>フク</t>
    </rPh>
    <phoneticPr fontId="1"/>
  </si>
  <si>
    <t>実働時間(法定含)</t>
    <rPh sb="0" eb="2">
      <t>ジツドウ</t>
    </rPh>
    <rPh sb="2" eb="4">
      <t>ジカン</t>
    </rPh>
    <rPh sb="5" eb="7">
      <t>ホウテイ</t>
    </rPh>
    <rPh sb="7" eb="8">
      <t>フク</t>
    </rPh>
    <phoneticPr fontId="1"/>
  </si>
  <si>
    <t>所定労働時間(8h)を勤務時間に加算。</t>
  </si>
  <si>
    <t>所定労働時間/2(4h)を勤務時間に加算。</t>
  </si>
  <si>
    <t>実働時間
(夜休憩控除前)</t>
    <rPh sb="0" eb="2">
      <t>ジツドウ</t>
    </rPh>
    <rPh sb="2" eb="4">
      <t>ジカン</t>
    </rPh>
    <rPh sb="6" eb="7">
      <t>ヨル</t>
    </rPh>
    <rPh sb="7" eb="9">
      <t>キュウケイ</t>
    </rPh>
    <rPh sb="9" eb="11">
      <t>コウジョ</t>
    </rPh>
    <rPh sb="11" eb="12">
      <t>マエ</t>
    </rPh>
    <phoneticPr fontId="1"/>
  </si>
  <si>
    <t>法休勤務時間
(135%)</t>
    <rPh sb="0" eb="1">
      <t>ホウ</t>
    </rPh>
    <rPh sb="1" eb="2">
      <t>キュウ</t>
    </rPh>
    <rPh sb="2" eb="4">
      <t>キンム</t>
    </rPh>
    <rPh sb="4" eb="6">
      <t>ジカン</t>
    </rPh>
    <phoneticPr fontId="1"/>
  </si>
  <si>
    <t>法休勤務時間
(35%)</t>
    <rPh sb="0" eb="1">
      <t>ホウ</t>
    </rPh>
    <rPh sb="1" eb="2">
      <t>キュウ</t>
    </rPh>
    <rPh sb="2" eb="4">
      <t>キンム</t>
    </rPh>
    <rPh sb="4" eb="6">
      <t>ジカン</t>
    </rPh>
    <phoneticPr fontId="1"/>
  </si>
  <si>
    <t>控除時間
(夜)</t>
    <phoneticPr fontId="1"/>
  </si>
  <si>
    <t>天皇誕生日</t>
    <rPh sb="0" eb="2">
      <t>テンノウ</t>
    </rPh>
    <rPh sb="2" eb="5">
      <t>タンジョウビ</t>
    </rPh>
    <phoneticPr fontId="1"/>
  </si>
  <si>
    <t>所休出張→代</t>
    <rPh sb="2" eb="4">
      <t>シュッチョウ</t>
    </rPh>
    <phoneticPr fontId="1"/>
  </si>
  <si>
    <t>法休出張→代</t>
    <rPh sb="0" eb="1">
      <t>ホウ</t>
    </rPh>
    <rPh sb="1" eb="2">
      <t>キュウ</t>
    </rPh>
    <rPh sb="2" eb="4">
      <t>シュッチョウ</t>
    </rPh>
    <rPh sb="5" eb="6">
      <t>ダイ</t>
    </rPh>
    <phoneticPr fontId="1"/>
  </si>
  <si>
    <t>所休出張</t>
    <phoneticPr fontId="1"/>
  </si>
  <si>
    <t>出張8時間を勤務時間に加算。時間単価*0.35上乗せ</t>
    <rPh sb="0" eb="2">
      <t>シュッチョウ</t>
    </rPh>
    <rPh sb="3" eb="5">
      <t>ジカン</t>
    </rPh>
    <rPh sb="6" eb="8">
      <t>キンム</t>
    </rPh>
    <rPh sb="8" eb="10">
      <t>ジカン</t>
    </rPh>
    <rPh sb="11" eb="13">
      <t>カサン</t>
    </rPh>
    <rPh sb="14" eb="18">
      <t>ジカンタンカ</t>
    </rPh>
    <rPh sb="23" eb="25">
      <t>ウワノ</t>
    </rPh>
    <phoneticPr fontId="1"/>
  </si>
  <si>
    <t>代休取得あり。5時間を引いた時間を勤務時間に加算。時間単価*0.35上乗せ</t>
    <rPh sb="0" eb="2">
      <t>ダイキュウ</t>
    </rPh>
    <rPh sb="2" eb="4">
      <t>シュトク</t>
    </rPh>
    <rPh sb="8" eb="10">
      <t>ジカン</t>
    </rPh>
    <rPh sb="11" eb="12">
      <t>ヒ</t>
    </rPh>
    <rPh sb="14" eb="16">
      <t>ジカン</t>
    </rPh>
    <phoneticPr fontId="1"/>
  </si>
  <si>
    <t>代休取得あり。5時間を引いた時間を勤務時間に加算。</t>
    <rPh sb="8" eb="10">
      <t>ジカン</t>
    </rPh>
    <rPh sb="11" eb="12">
      <t>ヒ</t>
    </rPh>
    <rPh sb="14" eb="16">
      <t>ジカン</t>
    </rPh>
    <rPh sb="17" eb="19">
      <t>キンム</t>
    </rPh>
    <rPh sb="19" eb="21">
      <t>ジカン</t>
    </rPh>
    <rPh sb="22" eb="24">
      <t>カサン</t>
    </rPh>
    <phoneticPr fontId="1"/>
  </si>
  <si>
    <t>5時間を勤務時間に加算。</t>
    <phoneticPr fontId="1"/>
  </si>
  <si>
    <t>代休取得あり。3時間を勤務時間に加算。時間単価*0.35上乗せ</t>
    <rPh sb="0" eb="2">
      <t>ダイキュウ</t>
    </rPh>
    <rPh sb="2" eb="4">
      <t>シュトク</t>
    </rPh>
    <rPh sb="8" eb="10">
      <t>ジカン</t>
    </rPh>
    <phoneticPr fontId="1"/>
  </si>
  <si>
    <t>代休取得あり。3時間を勤務時間に加算。</t>
    <rPh sb="0" eb="2">
      <t>ダイキュウ</t>
    </rPh>
    <rPh sb="2" eb="4">
      <t>シュトク</t>
    </rPh>
    <rPh sb="8" eb="10">
      <t>ジカン</t>
    </rPh>
    <phoneticPr fontId="1"/>
  </si>
  <si>
    <t>出張8時間を勤務時間に加算。</t>
    <phoneticPr fontId="1"/>
  </si>
  <si>
    <t>法休出張</t>
    <phoneticPr fontId="1"/>
  </si>
  <si>
    <t>キャパ-&gt;所属部署</t>
    <rPh sb="5" eb="7">
      <t>ショゾク</t>
    </rPh>
    <rPh sb="7" eb="9">
      <t>ブショ</t>
    </rPh>
    <phoneticPr fontId="1"/>
  </si>
  <si>
    <t>NNN</t>
    <phoneticPr fontId="1"/>
  </si>
  <si>
    <t>氏名</t>
    <rPh sb="0" eb="2">
      <t>シメイ</t>
    </rPh>
    <phoneticPr fontId="1"/>
  </si>
  <si>
    <t>備考</t>
    <rPh sb="0" eb="2">
      <t>ビコウ</t>
    </rPh>
    <phoneticPr fontId="1"/>
  </si>
  <si>
    <t>代休に振替えられる勤務時間</t>
    <rPh sb="0" eb="2">
      <t>ダイキュウ</t>
    </rPh>
    <rPh sb="3" eb="5">
      <t>フリカ</t>
    </rPh>
    <rPh sb="9" eb="11">
      <t>キンム</t>
    </rPh>
    <rPh sb="11" eb="13">
      <t>ジカン</t>
    </rPh>
    <phoneticPr fontId="1"/>
  </si>
  <si>
    <t>スポーツの日</t>
    <phoneticPr fontId="1"/>
  </si>
  <si>
    <t>元日</t>
    <phoneticPr fontId="1"/>
  </si>
  <si>
    <t>業務報告書(V2.2)</t>
    <phoneticPr fontId="1"/>
  </si>
  <si>
    <t>残業基準時間</t>
    <phoneticPr fontId="1"/>
  </si>
  <si>
    <t>残業基準時間</t>
    <phoneticPr fontId="1"/>
  </si>
  <si>
    <t>有休</t>
    <phoneticPr fontId="1"/>
  </si>
  <si>
    <t>有休</t>
    <phoneticPr fontId="1"/>
  </si>
  <si>
    <t>所定労働時間(8h)を勤務時間に加算。</t>
    <phoneticPr fontId="1"/>
  </si>
  <si>
    <t>半休</t>
    <phoneticPr fontId="1"/>
  </si>
  <si>
    <t>特別休暇</t>
    <rPh sb="0" eb="2">
      <t>トクベツ</t>
    </rPh>
    <rPh sb="2" eb="4">
      <t>キュウカ</t>
    </rPh>
    <phoneticPr fontId="1"/>
  </si>
  <si>
    <t>出張</t>
    <phoneticPr fontId="1"/>
  </si>
  <si>
    <t>出張</t>
    <phoneticPr fontId="1"/>
  </si>
  <si>
    <t>法休出張</t>
    <phoneticPr fontId="1"/>
  </si>
  <si>
    <t>所休出張</t>
    <phoneticPr fontId="1"/>
  </si>
  <si>
    <t>出張8時間を勤務時間に加算。</t>
    <phoneticPr fontId="1"/>
  </si>
  <si>
    <t>5時間を勤務時間に加算。</t>
    <phoneticPr fontId="1"/>
  </si>
  <si>
    <t>振休</t>
    <phoneticPr fontId="1"/>
  </si>
  <si>
    <t>振休</t>
    <phoneticPr fontId="1"/>
  </si>
  <si>
    <t>有休の日数を超えて休む場合、または上長の承認なく無断で休んだ場合。</t>
    <phoneticPr fontId="1"/>
  </si>
  <si>
    <t>（＋単価×0.25）</t>
    <phoneticPr fontId="1"/>
  </si>
  <si>
    <t>（＋単価×0.25）</t>
    <phoneticPr fontId="1"/>
  </si>
  <si>
    <t>永年勤続表彰により支給された休暇。所定労働時間(8h)を勤務時間に加算。</t>
    <rPh sb="0" eb="6">
      <t>エイネンキンゾクヒョウショウ</t>
    </rPh>
    <rPh sb="9" eb="11">
      <t>シキュウ</t>
    </rPh>
    <rPh sb="14" eb="16">
      <t>キュウカ</t>
    </rPh>
    <phoneticPr fontId="1"/>
  </si>
  <si>
    <t>（＋単価×0.35）</t>
    <phoneticPr fontId="1"/>
  </si>
  <si>
    <t>半休</t>
    <phoneticPr fontId="1"/>
  </si>
  <si>
    <t>法休出張</t>
    <phoneticPr fontId="1"/>
  </si>
  <si>
    <t>所休出張</t>
    <phoneticPr fontId="1"/>
  </si>
  <si>
    <t>出張8時間を勤務時間に加算。</t>
    <phoneticPr fontId="1"/>
  </si>
  <si>
    <t>振休</t>
    <phoneticPr fontId="1"/>
  </si>
  <si>
    <t>有休の日数を超えて休む場合、または上長の承認なく無断で休んだ場合。</t>
    <phoneticPr fontId="1"/>
  </si>
  <si>
    <t>（＋単価×0.25）</t>
    <phoneticPr fontId="1"/>
  </si>
  <si>
    <t>（＋単価×1.35）</t>
    <phoneticPr fontId="1"/>
  </si>
  <si>
    <t>（＋単価×0.35）</t>
    <phoneticPr fontId="1"/>
  </si>
  <si>
    <t>所定労働時間(8h)を勤務時間に加算。</t>
    <phoneticPr fontId="1"/>
  </si>
  <si>
    <t>半休</t>
    <phoneticPr fontId="1"/>
  </si>
  <si>
    <t>5時間を勤務時間に加算。</t>
    <phoneticPr fontId="1"/>
  </si>
  <si>
    <t>振休</t>
    <phoneticPr fontId="1"/>
  </si>
  <si>
    <t>残業基準時間</t>
    <phoneticPr fontId="1"/>
  </si>
  <si>
    <t>有休</t>
    <phoneticPr fontId="1"/>
  </si>
  <si>
    <t>半休</t>
    <phoneticPr fontId="1"/>
  </si>
  <si>
    <t>有休の日数を超えて休む場合、または上長の承認なく無断で休んだ場合。</t>
    <phoneticPr fontId="1"/>
  </si>
  <si>
    <t>（＋単価×0.25）</t>
    <phoneticPr fontId="1"/>
  </si>
  <si>
    <t>（＋単価×1.35）</t>
    <phoneticPr fontId="1"/>
  </si>
  <si>
    <t>（＋単価×0.35）</t>
    <phoneticPr fontId="1"/>
  </si>
  <si>
    <t>法休出張</t>
    <phoneticPr fontId="1"/>
  </si>
  <si>
    <t>振休</t>
    <phoneticPr fontId="1"/>
  </si>
  <si>
    <t>有休の日数を超えて休む場合、または上長の承認なく無断で休んだ場合。</t>
    <phoneticPr fontId="1"/>
  </si>
  <si>
    <t>（＋単価×1.35）</t>
    <phoneticPr fontId="1"/>
  </si>
  <si>
    <t>（＋単価×0.25）</t>
    <phoneticPr fontId="1"/>
  </si>
  <si>
    <t>出張</t>
    <phoneticPr fontId="1"/>
  </si>
  <si>
    <t>所休出張</t>
    <phoneticPr fontId="1"/>
  </si>
  <si>
    <t>5時間を勤務時間に加算。</t>
    <phoneticPr fontId="1"/>
  </si>
  <si>
    <t>有休の日数を超えて休む場合、または上長の承認なく無断で休んだ場合。</t>
    <phoneticPr fontId="1"/>
  </si>
  <si>
    <t>（＋単価×0.25）</t>
    <phoneticPr fontId="1"/>
  </si>
  <si>
    <t>（＋単価×1.35）</t>
    <phoneticPr fontId="1"/>
  </si>
  <si>
    <t>（＋単価×0.35）</t>
    <phoneticPr fontId="1"/>
  </si>
  <si>
    <t>（＋単価×0.25）</t>
    <phoneticPr fontId="1"/>
  </si>
  <si>
    <t>残業基準時間</t>
    <phoneticPr fontId="1"/>
  </si>
  <si>
    <t>所定労働時間(8h)を勤務時間に加算。</t>
    <phoneticPr fontId="1"/>
  </si>
  <si>
    <t>5時間を勤務時間に加算。</t>
    <phoneticPr fontId="1"/>
  </si>
  <si>
    <t>振休</t>
    <phoneticPr fontId="1"/>
  </si>
  <si>
    <t>（＋単価×1.35）</t>
    <phoneticPr fontId="1"/>
  </si>
  <si>
    <t>（＋単価×0.25）</t>
    <phoneticPr fontId="1"/>
  </si>
  <si>
    <t>5時間を勤務時間に加算。</t>
    <phoneticPr fontId="1"/>
  </si>
  <si>
    <t>有休の日数を超えて休む場合、または上長の承認なく無断で休んだ場合。</t>
    <phoneticPr fontId="1"/>
  </si>
  <si>
    <t>（＋単価×1.35）</t>
    <phoneticPr fontId="1"/>
  </si>
  <si>
    <t>残業基準時間</t>
    <phoneticPr fontId="1"/>
  </si>
  <si>
    <t>5時間を勤務時間に加算。</t>
    <phoneticPr fontId="1"/>
  </si>
  <si>
    <t>振休</t>
    <phoneticPr fontId="1"/>
  </si>
  <si>
    <t>（＋単価×0.35）</t>
    <phoneticPr fontId="1"/>
  </si>
  <si>
    <t>有休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</si>
</sst>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d&quot;日&quot;"/>
    <numFmt numFmtId="177" formatCode="0.0&quot;h&quot;"/>
    <numFmt numFmtId="178" formatCode="0.0_);[Red]\(0.0\)"/>
    <numFmt numFmtId="179" formatCode="0.00_);[Red]\(0.00\)"/>
    <numFmt numFmtId="180" formatCode="[h]:mm"/>
    <numFmt numFmtId="181" formatCode="&quot;（&quot;yyyy&quot;年&quot;m&quot;月分）&quot;"/>
    <numFmt numFmtId="182" formatCode="[hh]:mm"/>
    <numFmt numFmtId="183" formatCode="0.0_ "/>
    <numFmt numFmtId="184" formatCode="yyyy/mm/dd"/>
    <numFmt numFmtId="185" formatCode="0_ 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10"/>
      <color indexed="12"/>
      <name val="ＭＳ ゴシック"/>
      <family val="3"/>
      <charset val="128"/>
    </font>
    <font>
      <sz val="10"/>
      <color indexed="22"/>
      <name val="ＭＳ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2"/>
      <color indexed="10"/>
      <name val="ＭＳ Ｐゴシック"/>
      <family val="3"/>
      <charset val="128"/>
    </font>
    <font>
      <b/>
      <sz val="12"/>
      <color indexed="81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sz val="10"/>
      <color theme="3" tint="0.59999389629810485"/>
      <name val="ＭＳ ゴシック"/>
      <family val="3"/>
      <charset val="128"/>
    </font>
    <font>
      <sz val="10"/>
      <color theme="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3" fillId="0" borderId="3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176" fontId="3" fillId="0" borderId="12" xfId="0" applyNumberFormat="1" applyFont="1" applyBorder="1" applyAlignment="1">
      <alignment horizontal="right"/>
    </xf>
    <xf numFmtId="20" fontId="3" fillId="4" borderId="12" xfId="0" applyNumberFormat="1" applyFont="1" applyFill="1" applyBorder="1" applyAlignment="1">
      <alignment horizontal="center"/>
    </xf>
    <xf numFmtId="182" fontId="9" fillId="4" borderId="11" xfId="0" applyNumberFormat="1" applyFont="1" applyFill="1" applyBorder="1" applyAlignment="1">
      <alignment horizontal="center"/>
    </xf>
    <xf numFmtId="182" fontId="9" fillId="4" borderId="12" xfId="0" applyNumberFormat="1" applyFont="1" applyFill="1" applyBorder="1" applyAlignment="1">
      <alignment horizontal="center"/>
    </xf>
    <xf numFmtId="180" fontId="3" fillId="3" borderId="13" xfId="0" applyNumberFormat="1" applyFont="1" applyFill="1" applyBorder="1"/>
    <xf numFmtId="56" fontId="3" fillId="0" borderId="2" xfId="0" applyNumberFormat="1" applyFont="1" applyBorder="1"/>
    <xf numFmtId="176" fontId="3" fillId="0" borderId="3" xfId="0" applyNumberFormat="1" applyFont="1" applyBorder="1" applyAlignment="1">
      <alignment horizontal="right"/>
    </xf>
    <xf numFmtId="182" fontId="9" fillId="4" borderId="2" xfId="0" applyNumberFormat="1" applyFont="1" applyFill="1" applyBorder="1" applyAlignment="1">
      <alignment horizontal="center"/>
    </xf>
    <xf numFmtId="182" fontId="9" fillId="4" borderId="3" xfId="0" applyNumberFormat="1" applyFont="1" applyFill="1" applyBorder="1" applyAlignment="1">
      <alignment horizontal="center"/>
    </xf>
    <xf numFmtId="180" fontId="3" fillId="3" borderId="4" xfId="0" applyNumberFormat="1" applyFont="1" applyFill="1" applyBorder="1"/>
    <xf numFmtId="56" fontId="3" fillId="0" borderId="5" xfId="0" applyNumberFormat="1" applyFont="1" applyBorder="1"/>
    <xf numFmtId="176" fontId="3" fillId="0" borderId="6" xfId="0" applyNumberFormat="1" applyFont="1" applyBorder="1" applyAlignment="1">
      <alignment horizontal="right"/>
    </xf>
    <xf numFmtId="20" fontId="3" fillId="4" borderId="6" xfId="0" applyNumberFormat="1" applyFont="1" applyFill="1" applyBorder="1" applyAlignment="1">
      <alignment horizontal="center"/>
    </xf>
    <xf numFmtId="182" fontId="9" fillId="4" borderId="5" xfId="0" applyNumberFormat="1" applyFont="1" applyFill="1" applyBorder="1" applyAlignment="1">
      <alignment horizontal="center"/>
    </xf>
    <xf numFmtId="182" fontId="9" fillId="4" borderId="6" xfId="0" applyNumberFormat="1" applyFont="1" applyFill="1" applyBorder="1" applyAlignment="1">
      <alignment horizontal="center"/>
    </xf>
    <xf numFmtId="180" fontId="3" fillId="3" borderId="7" xfId="0" applyNumberFormat="1" applyFont="1" applyFill="1" applyBorder="1"/>
    <xf numFmtId="56" fontId="3" fillId="4" borderId="0" xfId="0" applyNumberFormat="1" applyFont="1" applyFill="1" applyAlignment="1">
      <alignment horizontal="center"/>
    </xf>
    <xf numFmtId="0" fontId="3" fillId="4" borderId="0" xfId="0" applyNumberFormat="1" applyFont="1" applyFill="1" applyAlignment="1">
      <alignment horizontal="center"/>
    </xf>
    <xf numFmtId="0" fontId="3" fillId="4" borderId="19" xfId="0" applyFont="1" applyFill="1" applyBorder="1"/>
    <xf numFmtId="182" fontId="3" fillId="5" borderId="17" xfId="0" applyNumberFormat="1" applyFont="1" applyFill="1" applyBorder="1"/>
    <xf numFmtId="56" fontId="3" fillId="0" borderId="0" xfId="0" applyNumberFormat="1" applyFont="1" applyAlignment="1">
      <alignment horizontal="center"/>
    </xf>
    <xf numFmtId="185" fontId="3" fillId="0" borderId="0" xfId="0" applyNumberFormat="1" applyFont="1"/>
    <xf numFmtId="0" fontId="3" fillId="0" borderId="0" xfId="0" applyFont="1" applyBorder="1"/>
    <xf numFmtId="182" fontId="3" fillId="0" borderId="0" xfId="0" applyNumberFormat="1" applyFont="1" applyBorder="1"/>
    <xf numFmtId="180" fontId="3" fillId="0" borderId="0" xfId="0" applyNumberFormat="1" applyFont="1"/>
    <xf numFmtId="177" fontId="3" fillId="0" borderId="10" xfId="0" applyNumberFormat="1" applyFont="1" applyBorder="1"/>
    <xf numFmtId="0" fontId="10" fillId="0" borderId="0" xfId="0" applyFont="1"/>
    <xf numFmtId="182" fontId="3" fillId="0" borderId="4" xfId="0" applyNumberFormat="1" applyFont="1" applyBorder="1"/>
    <xf numFmtId="183" fontId="3" fillId="0" borderId="0" xfId="0" applyNumberFormat="1" applyFont="1" applyBorder="1"/>
    <xf numFmtId="182" fontId="3" fillId="0" borderId="7" xfId="0" applyNumberFormat="1" applyFont="1" applyBorder="1"/>
    <xf numFmtId="0" fontId="8" fillId="0" borderId="0" xfId="0" applyFont="1"/>
    <xf numFmtId="179" fontId="3" fillId="0" borderId="3" xfId="0" applyNumberFormat="1" applyFont="1" applyBorder="1"/>
    <xf numFmtId="0" fontId="7" fillId="0" borderId="0" xfId="0" applyFont="1"/>
    <xf numFmtId="179" fontId="3" fillId="0" borderId="6" xfId="0" applyNumberFormat="1" applyFont="1" applyBorder="1"/>
    <xf numFmtId="22" fontId="3" fillId="0" borderId="0" xfId="0" applyNumberFormat="1" applyFont="1"/>
    <xf numFmtId="185" fontId="3" fillId="0" borderId="4" xfId="0" applyNumberFormat="1" applyFont="1" applyBorder="1"/>
    <xf numFmtId="185" fontId="3" fillId="0" borderId="16" xfId="0" applyNumberFormat="1" applyFont="1" applyBorder="1"/>
    <xf numFmtId="185" fontId="3" fillId="0" borderId="7" xfId="0" applyNumberFormat="1" applyFont="1" applyBorder="1"/>
    <xf numFmtId="183" fontId="3" fillId="0" borderId="4" xfId="0" applyNumberFormat="1" applyFont="1" applyBorder="1" applyAlignment="1"/>
    <xf numFmtId="183" fontId="3" fillId="0" borderId="4" xfId="0" applyNumberFormat="1" applyFont="1" applyBorder="1"/>
    <xf numFmtId="0" fontId="3" fillId="6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18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81" fontId="3" fillId="0" borderId="0" xfId="0" applyNumberFormat="1" applyFont="1" applyAlignment="1"/>
    <xf numFmtId="0" fontId="3" fillId="0" borderId="0" xfId="0" applyFont="1" applyAlignment="1"/>
    <xf numFmtId="181" fontId="3" fillId="0" borderId="0" xfId="0" applyNumberFormat="1" applyFont="1" applyBorder="1" applyAlignment="1"/>
    <xf numFmtId="0" fontId="3" fillId="0" borderId="0" xfId="0" applyFont="1" applyBorder="1" applyAlignment="1"/>
    <xf numFmtId="0" fontId="3" fillId="0" borderId="21" xfId="0" applyFont="1" applyBorder="1" applyAlignment="1"/>
    <xf numFmtId="55" fontId="3" fillId="8" borderId="11" xfId="0" applyNumberFormat="1" applyFont="1" applyFill="1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right"/>
    </xf>
    <xf numFmtId="180" fontId="3" fillId="0" borderId="12" xfId="0" applyNumberFormat="1" applyFont="1" applyFill="1" applyBorder="1"/>
    <xf numFmtId="180" fontId="3" fillId="0" borderId="6" xfId="0" applyNumberFormat="1" applyFont="1" applyFill="1" applyBorder="1"/>
    <xf numFmtId="0" fontId="2" fillId="0" borderId="1" xfId="0" applyFont="1" applyFill="1" applyBorder="1" applyAlignment="1">
      <alignment horizontal="center" vertical="center" wrapText="1"/>
    </xf>
    <xf numFmtId="180" fontId="3" fillId="2" borderId="12" xfId="0" applyNumberFormat="1" applyFont="1" applyFill="1" applyBorder="1" applyAlignment="1">
      <alignment horizontal="center"/>
    </xf>
    <xf numFmtId="180" fontId="3" fillId="2" borderId="6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180" fontId="3" fillId="0" borderId="3" xfId="0" applyNumberFormat="1" applyFont="1" applyFill="1" applyBorder="1"/>
    <xf numFmtId="180" fontId="3" fillId="0" borderId="3" xfId="0" applyNumberFormat="1" applyFont="1" applyFill="1" applyBorder="1" applyAlignment="1">
      <alignment horizontal="center"/>
    </xf>
    <xf numFmtId="180" fontId="3" fillId="0" borderId="6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/>
    </xf>
    <xf numFmtId="20" fontId="3" fillId="0" borderId="12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12" fillId="0" borderId="22" xfId="0" applyFont="1" applyFill="1" applyBorder="1"/>
    <xf numFmtId="0" fontId="12" fillId="0" borderId="23" xfId="0" applyFont="1" applyFill="1" applyBorder="1"/>
    <xf numFmtId="0" fontId="3" fillId="0" borderId="3" xfId="0" applyNumberFormat="1" applyFont="1" applyFill="1" applyBorder="1" applyAlignment="1">
      <alignment horizontal="center"/>
    </xf>
    <xf numFmtId="20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20" fontId="3" fillId="0" borderId="6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12" fillId="0" borderId="24" xfId="0" applyFont="1" applyFill="1" applyBorder="1"/>
    <xf numFmtId="178" fontId="3" fillId="0" borderId="0" xfId="0" applyNumberFormat="1" applyFont="1" applyFill="1" applyAlignment="1">
      <alignment horizontal="center"/>
    </xf>
    <xf numFmtId="180" fontId="3" fillId="0" borderId="0" xfId="0" applyNumberFormat="1" applyFont="1" applyFill="1"/>
    <xf numFmtId="180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Fill="1" applyBorder="1"/>
    <xf numFmtId="182" fontId="16" fillId="0" borderId="0" xfId="0" applyNumberFormat="1" applyFont="1"/>
    <xf numFmtId="184" fontId="3" fillId="0" borderId="4" xfId="0" applyNumberFormat="1" applyFont="1" applyFill="1" applyBorder="1" applyAlignment="1">
      <alignment horizontal="center" vertical="center"/>
    </xf>
    <xf numFmtId="0" fontId="17" fillId="0" borderId="0" xfId="0" applyFont="1"/>
    <xf numFmtId="0" fontId="17" fillId="0" borderId="0" xfId="0" applyFont="1" applyBorder="1" applyAlignment="1"/>
    <xf numFmtId="0" fontId="2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80" fontId="12" fillId="0" borderId="10" xfId="0" applyNumberFormat="1" applyFont="1" applyFill="1" applyBorder="1"/>
    <xf numFmtId="180" fontId="12" fillId="0" borderId="13" xfId="0" applyNumberFormat="1" applyFont="1" applyFill="1" applyBorder="1"/>
    <xf numFmtId="180" fontId="12" fillId="0" borderId="25" xfId="0" applyNumberFormat="1" applyFont="1" applyFill="1" applyBorder="1"/>
    <xf numFmtId="55" fontId="3" fillId="8" borderId="11" xfId="0" applyNumberFormat="1" applyFont="1" applyFill="1" applyBorder="1" applyAlignment="1">
      <alignment shrinkToFit="1"/>
    </xf>
    <xf numFmtId="0" fontId="4" fillId="4" borderId="18" xfId="0" applyFont="1" applyFill="1" applyBorder="1" applyAlignment="1">
      <alignment horizontal="center"/>
    </xf>
    <xf numFmtId="183" fontId="3" fillId="0" borderId="10" xfId="0" applyNumberFormat="1" applyFont="1" applyBorder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0" borderId="3" xfId="0" applyFont="1" applyBorder="1" applyAlignment="1"/>
    <xf numFmtId="0" fontId="6" fillId="0" borderId="4" xfId="0" applyFont="1" applyBorder="1" applyAlignment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0" borderId="6" xfId="0" applyFont="1" applyBorder="1" applyAlignment="1"/>
    <xf numFmtId="0" fontId="6" fillId="0" borderId="7" xfId="0" applyFont="1" applyBorder="1" applyAlignment="1"/>
    <xf numFmtId="0" fontId="4" fillId="7" borderId="26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56" fontId="4" fillId="5" borderId="2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56" fontId="4" fillId="3" borderId="5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56" fontId="4" fillId="3" borderId="2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標準" xfId="0" builtinId="0"/>
  </cellStyles>
  <dxfs count="468"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b/>
        <i val="0"/>
        <strike val="0"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33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color rgb="FFFF0000"/>
      </font>
    </dxf>
    <dxf>
      <font>
        <color rgb="FF009900"/>
      </font>
    </dxf>
    <dxf>
      <font>
        <color rgb="FF0000FF"/>
      </font>
    </dxf>
    <dxf>
      <fill>
        <patternFill>
          <bgColor rgb="FFFFFF99"/>
        </patternFill>
      </fill>
    </dxf>
    <dxf>
      <font>
        <condense val="0"/>
        <extend val="0"/>
        <color indexed="12"/>
      </font>
    </dxf>
    <dxf>
      <fill>
        <patternFill>
          <bgColor rgb="FFFFFF9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ill>
        <patternFill>
          <bgColor indexed="22"/>
        </patternFill>
      </fill>
    </dxf>
  </dxfs>
  <tableStyles count="0" defaultTableStyle="TableStyleMedium9" defaultPivotStyle="PivotStyleLight16"/>
  <colors>
    <mruColors>
      <color rgb="FFFF3399"/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>
    <pageSetUpPr fitToPage="1"/>
  </sheetPr>
  <dimension ref="A1:W64"/>
  <sheetViews>
    <sheetView showGridLines="0" topLeftCell="A25" zoomScale="80" zoomScaleNormal="80" workbookViewId="0">
      <selection activeCell="E33" sqref="E33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70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60">
        <v>44652</v>
      </c>
      <c r="B6" s="6">
        <f>$A$6+0</f>
        <v>44652</v>
      </c>
      <c r="C6" s="2" t="str">
        <f>IF(ISNUMBER(MATCH(B6,祝日リスト!$B$2:$B$33,0)),"(" &amp; TEXT(B6,"aaa") &amp; ")",TEXT(B6,"aaa"))</f>
        <v>金</v>
      </c>
      <c r="D6" s="68">
        <v>0.4145833333333333</v>
      </c>
      <c r="E6" s="68">
        <v>0.79513888888888884</v>
      </c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>
        <f>IF(AND($D6&lt;&gt;"",$E6&lt;&gt;""),IF($F6&lt;&gt;"",$E6-$D6-$F6-$N6,$E6-$D6-$N6),"")</f>
        <v>0.33333333333333331</v>
      </c>
      <c r="H6" s="65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>0.33333333333333331</v>
      </c>
      <c r="I6" s="65">
        <f>IF(ISBLANK(E6),"",IF(E6&gt;TIME(22,0,0),E6-TIME(22,0,0),0))</f>
        <v>0</v>
      </c>
      <c r="J6" s="65">
        <f>IF(Q6="半休",E6-D6,IF(OR(Q6="有休",Q6="代休",Q6="特別休",Q6="出張",Q6="法休出張",Q6="法休出張→代",Q6="所休出張",Q6="所休出張→代"),0,IF(E6&gt;0,E6-D6-F6,"")))</f>
        <v>0.33888888888888885</v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>○</v>
      </c>
      <c r="N6" s="78">
        <f>IF(M6="○",IF(J6&gt;=TIME(8,15,0),TIME(0,15,0),J6-TIME(8,0,0)),0)</f>
        <v>5.5555555555555358E-3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T36" si="2">D6</f>
        <v>0.4145833333333333</v>
      </c>
      <c r="U6" s="9">
        <f t="shared" ref="U6:U36" si="3">E6</f>
        <v>0.79513888888888884</v>
      </c>
      <c r="V6" s="7">
        <f t="shared" ref="V6:V36" si="4">IF(OR(O6="○",Q6="法休出",Q6="法休出→代",Q6="所休出",Q6="所休出→代"),TIME(1,0,0),"")</f>
        <v>4.1666666666666664E-2</v>
      </c>
      <c r="W6" s="10">
        <f>IF(U6&gt;0,U6-T6-V6,"")</f>
        <v>0.33888888888888885</v>
      </c>
    </row>
    <row r="7" spans="1:23">
      <c r="A7" s="11"/>
      <c r="B7" s="12">
        <f>$A$6+1</f>
        <v>44653</v>
      </c>
      <c r="C7" s="2" t="str">
        <f>IF(ISNUMBER(MATCH(B7,祝日リスト!$B$2:$B$33,0)),"(" &amp; TEXT(B7,"aaa") &amp; ")",TEXT(B7,"aaa"))</f>
        <v>土</v>
      </c>
      <c r="D7" s="68"/>
      <c r="E7" s="68"/>
      <c r="F7" s="73" t="str">
        <f t="shared" ref="F7:F36" si="5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/>
      </c>
      <c r="G7" s="65" t="str">
        <f t="shared" ref="G7:G36" si="6">IF(AND($D7&lt;&gt;"",$E7&lt;&gt;""),IF($F7&lt;&gt;"",$E7-$D7-$F7-$N7,$E7-$D7-$N7),"")</f>
        <v/>
      </c>
      <c r="H7" s="65" t="str">
        <f t="shared" ref="H7:H36" si="7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8">IF(ISBLANK(E7),"",IF(E7&gt;TIME(22,0,0),E7-TIME(22,0,0),0))</f>
        <v/>
      </c>
      <c r="J7" s="65" t="str">
        <f t="shared" ref="J7:J36" si="9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10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1">IF(Q7="法休出張→代",TIME(8,0,0),IF(Q7="法休出→代",IF(G7&gt;=TIME(8,0,0),TIME(8,0,0),IF(G7&gt;=TIME(5,0,0),G7,TIME(0,0,0))),""))</f>
        <v/>
      </c>
      <c r="M7" s="77" t="str">
        <f t="shared" ref="M7:M36" si="12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/>
      </c>
      <c r="P7" s="79" t="str">
        <f>IF(TEXT(B7,"aaa")="日","法休日",IF(OR(TEXT(B7,"aaa")="土",ISNUMBER(MATCH(B7,祝日リスト!$B$2:$B$30,0))),"所休日",""))</f>
        <v>所休日</v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3"/>
        <v>0</v>
      </c>
      <c r="V7" s="7" t="str">
        <f t="shared" si="4"/>
        <v/>
      </c>
      <c r="W7" s="15" t="str">
        <f t="shared" ref="W7:W36" si="13">IF(U7&gt;0,U7-T7-V7,"")</f>
        <v/>
      </c>
    </row>
    <row r="8" spans="1:23">
      <c r="A8" s="11"/>
      <c r="B8" s="12">
        <f>$A$6+2</f>
        <v>44654</v>
      </c>
      <c r="C8" s="2" t="str">
        <f>IF(ISNUMBER(MATCH(B8,祝日リスト!$B$2:$B$33,0)),"(" &amp; TEXT(B8,"aaa") &amp; ")",TEXT(B8,"aaa"))</f>
        <v>日</v>
      </c>
      <c r="D8" s="68"/>
      <c r="E8" s="68"/>
      <c r="F8" s="73" t="str">
        <f t="shared" si="5"/>
        <v/>
      </c>
      <c r="G8" s="65" t="str">
        <f t="shared" si="6"/>
        <v/>
      </c>
      <c r="H8" s="65" t="str">
        <f t="shared" si="7"/>
        <v/>
      </c>
      <c r="I8" s="65" t="str">
        <f t="shared" si="8"/>
        <v/>
      </c>
      <c r="J8" s="65" t="str">
        <f t="shared" si="9"/>
        <v/>
      </c>
      <c r="K8" s="65" t="str">
        <f t="shared" si="10"/>
        <v/>
      </c>
      <c r="L8" s="65" t="str">
        <f t="shared" si="11"/>
        <v/>
      </c>
      <c r="M8" s="77" t="str">
        <f t="shared" si="12"/>
        <v/>
      </c>
      <c r="N8" s="78">
        <f t="shared" ref="N8:N36" si="14">IF(M8="○",IF(J8&gt;=TIME(8,15,0),TIME(0,15,0),J8-TIME(8,0,0)),0)</f>
        <v>0</v>
      </c>
      <c r="O8" s="79" t="str">
        <f t="shared" si="0"/>
        <v/>
      </c>
      <c r="P8" s="79" t="str">
        <f>IF(TEXT(B8,"aaa")="日","法休日",IF(OR(TEXT(B8,"aaa")="土",ISNUMBER(MATCH(B8,祝日リスト!$B$2:$B$30,0))),"所休日",""))</f>
        <v>法休日</v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3"/>
        <v>0</v>
      </c>
      <c r="V8" s="7" t="str">
        <f t="shared" si="4"/>
        <v/>
      </c>
      <c r="W8" s="15" t="str">
        <f t="shared" si="13"/>
        <v/>
      </c>
    </row>
    <row r="9" spans="1:23">
      <c r="A9" s="11"/>
      <c r="B9" s="12">
        <f>$A$6+3</f>
        <v>44655</v>
      </c>
      <c r="C9" s="2" t="str">
        <f>IF(ISNUMBER(MATCH(B9,祝日リスト!$B$2:$B$33,0)),"(" &amp; TEXT(B9,"aaa") &amp; ")",TEXT(B9,"aaa"))</f>
        <v>月</v>
      </c>
      <c r="D9" s="68">
        <v>0.3840277777777778</v>
      </c>
      <c r="E9" s="68">
        <v>0.74652777777777779</v>
      </c>
      <c r="F9" s="73">
        <f t="shared" si="5"/>
        <v>4.1666666666666664E-2</v>
      </c>
      <c r="G9" s="65">
        <f t="shared" si="6"/>
        <v>0.3208333333333333</v>
      </c>
      <c r="H9" s="65">
        <f t="shared" si="7"/>
        <v>0.3208333333333333</v>
      </c>
      <c r="I9" s="65">
        <f t="shared" si="8"/>
        <v>0</v>
      </c>
      <c r="J9" s="65">
        <f t="shared" si="9"/>
        <v>0.3208333333333333</v>
      </c>
      <c r="K9" s="65" t="str">
        <f t="shared" si="10"/>
        <v/>
      </c>
      <c r="L9" s="65" t="str">
        <f t="shared" si="11"/>
        <v/>
      </c>
      <c r="M9" s="77" t="str">
        <f t="shared" si="12"/>
        <v/>
      </c>
      <c r="N9" s="78">
        <f t="shared" si="14"/>
        <v>0</v>
      </c>
      <c r="O9" s="79" t="str">
        <f t="shared" si="0"/>
        <v>○</v>
      </c>
      <c r="P9" s="79" t="str">
        <f>IF(TEXT(B9,"aaa")="日","法休日",IF(OR(TEXT(B9,"aaa")="土",ISNUMBER(MATCH(B9,祝日リスト!$B$2:$B$30,0))),"所休日",""))</f>
        <v/>
      </c>
      <c r="Q9" s="80" t="s">
        <v>10</v>
      </c>
      <c r="R9" s="82"/>
      <c r="S9" s="104" t="str">
        <f t="shared" si="1"/>
        <v/>
      </c>
      <c r="T9" s="13">
        <f t="shared" si="2"/>
        <v>0.3840277777777778</v>
      </c>
      <c r="U9" s="14">
        <f t="shared" si="3"/>
        <v>0.74652777777777779</v>
      </c>
      <c r="V9" s="7">
        <f t="shared" si="4"/>
        <v>4.1666666666666664E-2</v>
      </c>
      <c r="W9" s="15">
        <f t="shared" si="13"/>
        <v>0.3208333333333333</v>
      </c>
    </row>
    <row r="10" spans="1:23">
      <c r="A10" s="11"/>
      <c r="B10" s="12">
        <f>$A$6+4</f>
        <v>44656</v>
      </c>
      <c r="C10" s="2" t="str">
        <f>IF(ISNUMBER(MATCH(B10,祝日リスト!$B$2:$B$33,0)),"(" &amp; TEXT(B10,"aaa") &amp; ")",TEXT(B10,"aaa"))</f>
        <v>火</v>
      </c>
      <c r="D10" s="68">
        <v>0.3743055555555555</v>
      </c>
      <c r="E10" s="68">
        <v>0.77430555555555547</v>
      </c>
      <c r="F10" s="73">
        <f t="shared" si="5"/>
        <v>4.1666666666666664E-2</v>
      </c>
      <c r="G10" s="65">
        <f t="shared" si="6"/>
        <v>0.3479166666666666</v>
      </c>
      <c r="H10" s="65">
        <f t="shared" si="7"/>
        <v>0.3479166666666666</v>
      </c>
      <c r="I10" s="65">
        <f t="shared" si="8"/>
        <v>0</v>
      </c>
      <c r="J10" s="65">
        <f t="shared" si="9"/>
        <v>0.35833333333333328</v>
      </c>
      <c r="K10" s="65" t="str">
        <f t="shared" si="10"/>
        <v/>
      </c>
      <c r="L10" s="65" t="str">
        <f t="shared" si="11"/>
        <v/>
      </c>
      <c r="M10" s="77" t="str">
        <f t="shared" si="12"/>
        <v>○</v>
      </c>
      <c r="N10" s="78">
        <f t="shared" si="14"/>
        <v>1.0416666666666666E-2</v>
      </c>
      <c r="O10" s="79" t="str">
        <f t="shared" si="0"/>
        <v>○</v>
      </c>
      <c r="P10" s="79" t="str">
        <f>IF(TEXT(B10,"aaa")="日","法休日",IF(OR(TEXT(B10,"aaa")="土",ISNUMBER(MATCH(B10,祝日リスト!$B$2:$B$30,0))),"所休日",""))</f>
        <v/>
      </c>
      <c r="Q10" s="80" t="s">
        <v>10</v>
      </c>
      <c r="R10" s="82"/>
      <c r="S10" s="104" t="str">
        <f t="shared" si="1"/>
        <v/>
      </c>
      <c r="T10" s="13">
        <f t="shared" si="2"/>
        <v>0.3743055555555555</v>
      </c>
      <c r="U10" s="14">
        <f t="shared" si="3"/>
        <v>0.77430555555555547</v>
      </c>
      <c r="V10" s="7">
        <f t="shared" si="4"/>
        <v>4.1666666666666664E-2</v>
      </c>
      <c r="W10" s="15">
        <f t="shared" si="13"/>
        <v>0.35833333333333328</v>
      </c>
    </row>
    <row r="11" spans="1:23">
      <c r="A11" s="11"/>
      <c r="B11" s="12">
        <f>$A$6+5</f>
        <v>44657</v>
      </c>
      <c r="C11" s="2" t="str">
        <f>IF(ISNUMBER(MATCH(B11,祝日リスト!$B$2:$B$33,0)),"(" &amp; TEXT(B11,"aaa") &amp; ")",TEXT(B11,"aaa"))</f>
        <v>水</v>
      </c>
      <c r="D11" s="68">
        <v>0.33333333333333331</v>
      </c>
      <c r="E11" s="68">
        <v>0.76527777777777783</v>
      </c>
      <c r="F11" s="73">
        <f t="shared" si="5"/>
        <v>4.1666666666666664E-2</v>
      </c>
      <c r="G11" s="65">
        <f t="shared" si="6"/>
        <v>0.37986111111111115</v>
      </c>
      <c r="H11" s="65">
        <f t="shared" si="7"/>
        <v>0.37986111111111115</v>
      </c>
      <c r="I11" s="65">
        <f t="shared" si="8"/>
        <v>0</v>
      </c>
      <c r="J11" s="65">
        <f t="shared" si="9"/>
        <v>0.39027777777777783</v>
      </c>
      <c r="K11" s="65" t="str">
        <f t="shared" si="10"/>
        <v/>
      </c>
      <c r="L11" s="65" t="str">
        <f t="shared" si="11"/>
        <v/>
      </c>
      <c r="M11" s="77" t="str">
        <f t="shared" si="12"/>
        <v>○</v>
      </c>
      <c r="N11" s="78">
        <f t="shared" si="14"/>
        <v>1.0416666666666666E-2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0.33333333333333331</v>
      </c>
      <c r="U11" s="14">
        <f t="shared" si="3"/>
        <v>0.76527777777777783</v>
      </c>
      <c r="V11" s="7">
        <f t="shared" si="4"/>
        <v>4.1666666666666664E-2</v>
      </c>
      <c r="W11" s="15">
        <f t="shared" si="13"/>
        <v>0.39027777777777783</v>
      </c>
    </row>
    <row r="12" spans="1:23">
      <c r="A12" s="11"/>
      <c r="B12" s="12">
        <f>$A$6+6</f>
        <v>44658</v>
      </c>
      <c r="C12" s="2" t="str">
        <f>IF(ISNUMBER(MATCH(B12,祝日リスト!$B$2:$B$33,0)),"(" &amp; TEXT(B12,"aaa") &amp; ")",TEXT(B12,"aaa"))</f>
        <v>木</v>
      </c>
      <c r="D12" s="68">
        <v>0.39444444444444443</v>
      </c>
      <c r="E12" s="68">
        <v>0.77083333333333337</v>
      </c>
      <c r="F12" s="73">
        <f t="shared" si="5"/>
        <v>4.1666666666666664E-2</v>
      </c>
      <c r="G12" s="65">
        <f t="shared" si="6"/>
        <v>0.33333333333333331</v>
      </c>
      <c r="H12" s="65">
        <f t="shared" si="7"/>
        <v>0.33333333333333331</v>
      </c>
      <c r="I12" s="65">
        <f t="shared" si="8"/>
        <v>0</v>
      </c>
      <c r="J12" s="65">
        <f t="shared" si="9"/>
        <v>0.33472222222222225</v>
      </c>
      <c r="K12" s="65" t="str">
        <f t="shared" si="10"/>
        <v/>
      </c>
      <c r="L12" s="65" t="str">
        <f t="shared" si="11"/>
        <v/>
      </c>
      <c r="M12" s="77" t="str">
        <f t="shared" si="12"/>
        <v>○</v>
      </c>
      <c r="N12" s="78">
        <f t="shared" si="14"/>
        <v>1.3888888888889395E-3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0.39444444444444443</v>
      </c>
      <c r="U12" s="14">
        <f t="shared" si="3"/>
        <v>0.77083333333333337</v>
      </c>
      <c r="V12" s="7">
        <f t="shared" si="4"/>
        <v>4.1666666666666664E-2</v>
      </c>
      <c r="W12" s="15">
        <f t="shared" si="13"/>
        <v>0.33472222222222225</v>
      </c>
    </row>
    <row r="13" spans="1:23">
      <c r="A13" s="11"/>
      <c r="B13" s="12">
        <f>$A$6+7</f>
        <v>44659</v>
      </c>
      <c r="C13" s="2" t="str">
        <f>IF(ISNUMBER(MATCH(B13,祝日リスト!$B$2:$B$33,0)),"(" &amp; TEXT(B13,"aaa") &amp; ")",TEXT(B13,"aaa"))</f>
        <v>金</v>
      </c>
      <c r="D13" s="68">
        <v>0.41597222222222219</v>
      </c>
      <c r="E13" s="68">
        <v>0.75208333333333333</v>
      </c>
      <c r="F13" s="73">
        <f t="shared" si="5"/>
        <v>4.1666666666666664E-2</v>
      </c>
      <c r="G13" s="65">
        <f t="shared" si="6"/>
        <v>0.29444444444444445</v>
      </c>
      <c r="H13" s="65">
        <f t="shared" si="7"/>
        <v>0.29444444444444445</v>
      </c>
      <c r="I13" s="65">
        <f t="shared" si="8"/>
        <v>0</v>
      </c>
      <c r="J13" s="65">
        <f t="shared" si="9"/>
        <v>0.29444444444444445</v>
      </c>
      <c r="K13" s="65" t="str">
        <f t="shared" si="10"/>
        <v/>
      </c>
      <c r="L13" s="65" t="str">
        <f t="shared" si="11"/>
        <v/>
      </c>
      <c r="M13" s="77" t="str">
        <f t="shared" si="12"/>
        <v/>
      </c>
      <c r="N13" s="78">
        <f t="shared" si="14"/>
        <v>0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0.41597222222222219</v>
      </c>
      <c r="U13" s="14">
        <f t="shared" si="3"/>
        <v>0.75208333333333333</v>
      </c>
      <c r="V13" s="7">
        <f t="shared" si="4"/>
        <v>4.1666666666666664E-2</v>
      </c>
      <c r="W13" s="15">
        <f t="shared" si="13"/>
        <v>0.29444444444444445</v>
      </c>
    </row>
    <row r="14" spans="1:23">
      <c r="A14" s="11"/>
      <c r="B14" s="12">
        <f>$A$6+8</f>
        <v>44660</v>
      </c>
      <c r="C14" s="2" t="str">
        <f>IF(ISNUMBER(MATCH(B14,祝日リスト!$B$2:$B$33,0)),"(" &amp; TEXT(B14,"aaa") &amp; ")",TEXT(B14,"aaa"))</f>
        <v>土</v>
      </c>
      <c r="D14" s="68"/>
      <c r="E14" s="68"/>
      <c r="F14" s="73" t="str">
        <f t="shared" si="5"/>
        <v/>
      </c>
      <c r="G14" s="65" t="str">
        <f t="shared" si="6"/>
        <v/>
      </c>
      <c r="H14" s="65" t="str">
        <f t="shared" si="7"/>
        <v/>
      </c>
      <c r="I14" s="65" t="str">
        <f t="shared" si="8"/>
        <v/>
      </c>
      <c r="J14" s="65" t="str">
        <f t="shared" si="9"/>
        <v/>
      </c>
      <c r="K14" s="65" t="str">
        <f t="shared" si="10"/>
        <v/>
      </c>
      <c r="L14" s="65" t="str">
        <f t="shared" si="11"/>
        <v/>
      </c>
      <c r="M14" s="77" t="str">
        <f t="shared" si="12"/>
        <v/>
      </c>
      <c r="N14" s="78">
        <f t="shared" si="14"/>
        <v>0</v>
      </c>
      <c r="O14" s="79" t="str">
        <f t="shared" si="0"/>
        <v/>
      </c>
      <c r="P14" s="79" t="str">
        <f>IF(TEXT(B14,"aaa")="日","法休日",IF(OR(TEXT(B14,"aaa")="土",ISNUMBER(MATCH(B14,祝日リスト!$B$2:$B$30,0))),"所休日",""))</f>
        <v>所休日</v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3"/>
        <v>0</v>
      </c>
      <c r="V14" s="7" t="str">
        <f t="shared" si="4"/>
        <v/>
      </c>
      <c r="W14" s="15" t="str">
        <f t="shared" si="13"/>
        <v/>
      </c>
    </row>
    <row r="15" spans="1:23">
      <c r="A15" s="11"/>
      <c r="B15" s="12">
        <f>$A$6+9</f>
        <v>44661</v>
      </c>
      <c r="C15" s="2" t="str">
        <f>IF(ISNUMBER(MATCH(B15,祝日リスト!$B$2:$B$33,0)),"(" &amp; TEXT(B15,"aaa") &amp; ")",TEXT(B15,"aaa"))</f>
        <v>日</v>
      </c>
      <c r="D15" s="68"/>
      <c r="E15" s="68"/>
      <c r="F15" s="73" t="str">
        <f t="shared" si="5"/>
        <v/>
      </c>
      <c r="G15" s="65" t="str">
        <f t="shared" si="6"/>
        <v/>
      </c>
      <c r="H15" s="65" t="str">
        <f t="shared" si="7"/>
        <v/>
      </c>
      <c r="I15" s="65" t="str">
        <f t="shared" si="8"/>
        <v/>
      </c>
      <c r="J15" s="65" t="str">
        <f t="shared" si="9"/>
        <v/>
      </c>
      <c r="K15" s="65" t="str">
        <f t="shared" si="10"/>
        <v/>
      </c>
      <c r="L15" s="65" t="str">
        <f t="shared" si="11"/>
        <v/>
      </c>
      <c r="M15" s="77" t="str">
        <f t="shared" si="12"/>
        <v/>
      </c>
      <c r="N15" s="78">
        <f t="shared" si="14"/>
        <v>0</v>
      </c>
      <c r="O15" s="79" t="str">
        <f t="shared" si="0"/>
        <v/>
      </c>
      <c r="P15" s="79" t="str">
        <f>IF(TEXT(B15,"aaa")="日","法休日",IF(OR(TEXT(B15,"aaa")="土",ISNUMBER(MATCH(B15,祝日リスト!$B$2:$B$30,0))),"所休日",""))</f>
        <v>法休日</v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3"/>
        <v>0</v>
      </c>
      <c r="V15" s="7" t="str">
        <f t="shared" si="4"/>
        <v/>
      </c>
      <c r="W15" s="15" t="str">
        <f t="shared" si="13"/>
        <v/>
      </c>
    </row>
    <row r="16" spans="1:23">
      <c r="A16" s="11"/>
      <c r="B16" s="12">
        <f>$A$6+10</f>
        <v>44662</v>
      </c>
      <c r="C16" s="2" t="str">
        <f>IF(ISNUMBER(MATCH(B16,祝日リスト!$B$2:$B$33,0)),"(" &amp; TEXT(B16,"aaa") &amp; ")",TEXT(B16,"aaa"))</f>
        <v>月</v>
      </c>
      <c r="D16" s="68">
        <v>0.39444444444444443</v>
      </c>
      <c r="E16" s="68">
        <v>0.78263888888888899</v>
      </c>
      <c r="F16" s="73">
        <f t="shared" si="5"/>
        <v>4.1666666666666664E-2</v>
      </c>
      <c r="G16" s="65">
        <f t="shared" si="6"/>
        <v>0.33611111111111119</v>
      </c>
      <c r="H16" s="65">
        <f t="shared" si="7"/>
        <v>0.33611111111111119</v>
      </c>
      <c r="I16" s="65">
        <f t="shared" si="8"/>
        <v>0</v>
      </c>
      <c r="J16" s="65">
        <f t="shared" si="9"/>
        <v>0.34652777777777788</v>
      </c>
      <c r="K16" s="65" t="str">
        <f t="shared" si="10"/>
        <v/>
      </c>
      <c r="L16" s="65" t="str">
        <f t="shared" si="11"/>
        <v/>
      </c>
      <c r="M16" s="77" t="str">
        <f t="shared" si="12"/>
        <v>○</v>
      </c>
      <c r="N16" s="78">
        <f t="shared" si="14"/>
        <v>1.0416666666666666E-2</v>
      </c>
      <c r="O16" s="79" t="str">
        <f t="shared" si="0"/>
        <v>○</v>
      </c>
      <c r="P16" s="79" t="str">
        <f>IF(TEXT(B16,"aaa")="日","法休日",IF(OR(TEXT(B16,"aaa")="土",ISNUMBER(MATCH(B16,祝日リスト!$B$2:$B$30,0))),"所休日",""))</f>
        <v/>
      </c>
      <c r="Q16" s="80" t="s">
        <v>10</v>
      </c>
      <c r="R16" s="82"/>
      <c r="S16" s="104" t="str">
        <f t="shared" si="1"/>
        <v/>
      </c>
      <c r="T16" s="13">
        <f t="shared" si="2"/>
        <v>0.39444444444444443</v>
      </c>
      <c r="U16" s="14">
        <f t="shared" si="3"/>
        <v>0.78263888888888899</v>
      </c>
      <c r="V16" s="7">
        <f t="shared" si="4"/>
        <v>4.1666666666666664E-2</v>
      </c>
      <c r="W16" s="15">
        <f t="shared" si="13"/>
        <v>0.34652777777777788</v>
      </c>
    </row>
    <row r="17" spans="1:23">
      <c r="A17" s="11"/>
      <c r="B17" s="12">
        <f>$A$6+11</f>
        <v>44663</v>
      </c>
      <c r="C17" s="2" t="str">
        <f>IF(ISNUMBER(MATCH(B17,祝日リスト!$B$2:$B$33,0)),"(" &amp; TEXT(B17,"aaa") &amp; ")",TEXT(B17,"aaa"))</f>
        <v>火</v>
      </c>
      <c r="D17" s="68">
        <v>0.3666666666666667</v>
      </c>
      <c r="E17" s="68">
        <v>0.74652777777777779</v>
      </c>
      <c r="F17" s="73">
        <f t="shared" si="5"/>
        <v>4.1666666666666664E-2</v>
      </c>
      <c r="G17" s="65">
        <f t="shared" si="6"/>
        <v>0.33333333333333331</v>
      </c>
      <c r="H17" s="65">
        <f t="shared" si="7"/>
        <v>0.33333333333333331</v>
      </c>
      <c r="I17" s="65">
        <f t="shared" si="8"/>
        <v>0</v>
      </c>
      <c r="J17" s="65">
        <f t="shared" si="9"/>
        <v>0.33819444444444441</v>
      </c>
      <c r="K17" s="65" t="str">
        <f t="shared" si="10"/>
        <v/>
      </c>
      <c r="L17" s="65" t="str">
        <f t="shared" si="11"/>
        <v/>
      </c>
      <c r="M17" s="77" t="str">
        <f t="shared" si="12"/>
        <v>○</v>
      </c>
      <c r="N17" s="78">
        <f t="shared" si="14"/>
        <v>4.8611111111110938E-3</v>
      </c>
      <c r="O17" s="79" t="str">
        <f t="shared" si="0"/>
        <v>○</v>
      </c>
      <c r="P17" s="79" t="str">
        <f>IF(TEXT(B17,"aaa")="日","法休日",IF(OR(TEXT(B17,"aaa")="土",ISNUMBER(MATCH(B17,祝日リスト!$B$2:$B$30,0))),"所休日",""))</f>
        <v/>
      </c>
      <c r="Q17" s="80" t="s">
        <v>10</v>
      </c>
      <c r="R17" s="82"/>
      <c r="S17" s="104" t="str">
        <f t="shared" si="1"/>
        <v/>
      </c>
      <c r="T17" s="13">
        <f t="shared" si="2"/>
        <v>0.3666666666666667</v>
      </c>
      <c r="U17" s="14">
        <f t="shared" si="3"/>
        <v>0.74652777777777779</v>
      </c>
      <c r="V17" s="7">
        <f t="shared" si="4"/>
        <v>4.1666666666666664E-2</v>
      </c>
      <c r="W17" s="15">
        <f t="shared" si="13"/>
        <v>0.33819444444444441</v>
      </c>
    </row>
    <row r="18" spans="1:23">
      <c r="A18" s="11"/>
      <c r="B18" s="12">
        <f>$A$6+12</f>
        <v>44664</v>
      </c>
      <c r="C18" s="2" t="str">
        <f>IF(ISNUMBER(MATCH(B18,祝日リスト!$B$2:$B$33,0)),"(" &amp; TEXT(B18,"aaa") &amp; ")",TEXT(B18,"aaa"))</f>
        <v>水</v>
      </c>
      <c r="D18" s="68">
        <v>0.3743055555555555</v>
      </c>
      <c r="E18" s="68">
        <v>0.7583333333333333</v>
      </c>
      <c r="F18" s="73">
        <f t="shared" si="5"/>
        <v>4.1666666666666664E-2</v>
      </c>
      <c r="G18" s="65">
        <f t="shared" si="6"/>
        <v>0.33333333333333331</v>
      </c>
      <c r="H18" s="65">
        <f t="shared" si="7"/>
        <v>0.33333333333333331</v>
      </c>
      <c r="I18" s="65">
        <f t="shared" si="8"/>
        <v>0</v>
      </c>
      <c r="J18" s="65">
        <f t="shared" si="9"/>
        <v>0.34236111111111112</v>
      </c>
      <c r="K18" s="65" t="str">
        <f t="shared" si="10"/>
        <v/>
      </c>
      <c r="L18" s="65" t="str">
        <f t="shared" si="11"/>
        <v/>
      </c>
      <c r="M18" s="77" t="str">
        <f t="shared" si="12"/>
        <v>○</v>
      </c>
      <c r="N18" s="78">
        <f t="shared" si="14"/>
        <v>9.0277777777778012E-3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0.3743055555555555</v>
      </c>
      <c r="U18" s="14">
        <f t="shared" si="3"/>
        <v>0.7583333333333333</v>
      </c>
      <c r="V18" s="7">
        <f t="shared" si="4"/>
        <v>4.1666666666666664E-2</v>
      </c>
      <c r="W18" s="15">
        <f t="shared" si="13"/>
        <v>0.34236111111111112</v>
      </c>
    </row>
    <row r="19" spans="1:23">
      <c r="A19" s="11"/>
      <c r="B19" s="12">
        <f>$A$6+13</f>
        <v>44665</v>
      </c>
      <c r="C19" s="2" t="str">
        <f>IF(ISNUMBER(MATCH(B19,祝日リスト!$B$2:$B$33,0)),"(" &amp; TEXT(B19,"aaa") &amp; ")",TEXT(B19,"aaa"))</f>
        <v>木</v>
      </c>
      <c r="D19" s="68">
        <v>0.41250000000000003</v>
      </c>
      <c r="E19" s="68">
        <v>0.75486111111111109</v>
      </c>
      <c r="F19" s="73">
        <f t="shared" si="5"/>
        <v>4.1666666666666664E-2</v>
      </c>
      <c r="G19" s="65">
        <f t="shared" si="6"/>
        <v>0.30069444444444438</v>
      </c>
      <c r="H19" s="65">
        <f t="shared" si="7"/>
        <v>0.30069444444444438</v>
      </c>
      <c r="I19" s="65">
        <f t="shared" si="8"/>
        <v>0</v>
      </c>
      <c r="J19" s="65">
        <f t="shared" si="9"/>
        <v>0.30069444444444438</v>
      </c>
      <c r="K19" s="65" t="str">
        <f t="shared" si="10"/>
        <v/>
      </c>
      <c r="L19" s="65" t="str">
        <f t="shared" si="11"/>
        <v/>
      </c>
      <c r="M19" s="77" t="str">
        <f t="shared" si="12"/>
        <v/>
      </c>
      <c r="N19" s="78">
        <f t="shared" si="14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0.41250000000000003</v>
      </c>
      <c r="U19" s="14">
        <f t="shared" si="3"/>
        <v>0.75486111111111109</v>
      </c>
      <c r="V19" s="7">
        <f t="shared" si="4"/>
        <v>4.1666666666666664E-2</v>
      </c>
      <c r="W19" s="15">
        <f t="shared" si="13"/>
        <v>0.30069444444444438</v>
      </c>
    </row>
    <row r="20" spans="1:23">
      <c r="A20" s="11"/>
      <c r="B20" s="12">
        <f>$A$6+14</f>
        <v>44666</v>
      </c>
      <c r="C20" s="2" t="str">
        <f>IF(ISNUMBER(MATCH(B20,祝日リスト!$B$2:$B$33,0)),"(" &amp; TEXT(B20,"aaa") &amp; ")",TEXT(B20,"aaa"))</f>
        <v>金</v>
      </c>
      <c r="D20" s="68">
        <v>0.37083333333333335</v>
      </c>
      <c r="E20" s="68">
        <v>0.75416666666666676</v>
      </c>
      <c r="F20" s="73">
        <f t="shared" si="5"/>
        <v>4.1666666666666664E-2</v>
      </c>
      <c r="G20" s="65">
        <f t="shared" si="6"/>
        <v>0.33333333333333331</v>
      </c>
      <c r="H20" s="65">
        <f t="shared" si="7"/>
        <v>0.33333333333333331</v>
      </c>
      <c r="I20" s="65">
        <f t="shared" si="8"/>
        <v>0</v>
      </c>
      <c r="J20" s="65">
        <f t="shared" si="9"/>
        <v>0.34166666666666673</v>
      </c>
      <c r="K20" s="65" t="str">
        <f t="shared" si="10"/>
        <v/>
      </c>
      <c r="L20" s="65" t="str">
        <f t="shared" si="11"/>
        <v/>
      </c>
      <c r="M20" s="77" t="str">
        <f t="shared" si="12"/>
        <v>○</v>
      </c>
      <c r="N20" s="78">
        <f t="shared" si="14"/>
        <v>8.3333333333334147E-3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0.37083333333333335</v>
      </c>
      <c r="U20" s="14">
        <f t="shared" si="3"/>
        <v>0.75416666666666676</v>
      </c>
      <c r="V20" s="7">
        <f t="shared" si="4"/>
        <v>4.1666666666666664E-2</v>
      </c>
      <c r="W20" s="15">
        <f t="shared" si="13"/>
        <v>0.34166666666666673</v>
      </c>
    </row>
    <row r="21" spans="1:23">
      <c r="A21" s="11"/>
      <c r="B21" s="12">
        <f>$A$6+15</f>
        <v>44667</v>
      </c>
      <c r="C21" s="2" t="str">
        <f>IF(ISNUMBER(MATCH(B21,祝日リスト!$B$2:$B$33,0)),"(" &amp; TEXT(B21,"aaa") &amp; ")",TEXT(B21,"aaa"))</f>
        <v>土</v>
      </c>
      <c r="D21" s="68"/>
      <c r="E21" s="68"/>
      <c r="F21" s="73" t="str">
        <f t="shared" si="5"/>
        <v/>
      </c>
      <c r="G21" s="65" t="str">
        <f t="shared" si="6"/>
        <v/>
      </c>
      <c r="H21" s="65" t="str">
        <f t="shared" si="7"/>
        <v/>
      </c>
      <c r="I21" s="65" t="str">
        <f t="shared" si="8"/>
        <v/>
      </c>
      <c r="J21" s="65" t="str">
        <f t="shared" si="9"/>
        <v/>
      </c>
      <c r="K21" s="65" t="str">
        <f t="shared" si="10"/>
        <v/>
      </c>
      <c r="L21" s="65" t="str">
        <f t="shared" si="11"/>
        <v/>
      </c>
      <c r="M21" s="77" t="str">
        <f t="shared" si="12"/>
        <v/>
      </c>
      <c r="N21" s="78">
        <f t="shared" si="14"/>
        <v>0</v>
      </c>
      <c r="O21" s="79" t="str">
        <f t="shared" si="0"/>
        <v/>
      </c>
      <c r="P21" s="79" t="str">
        <f>IF(TEXT(B21,"aaa")="日","法休日",IF(OR(TEXT(B21,"aaa")="土",ISNUMBER(MATCH(B21,祝日リスト!$B$2:$B$30,0))),"所休日",""))</f>
        <v>所休日</v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3"/>
        <v>0</v>
      </c>
      <c r="V21" s="7" t="str">
        <f t="shared" si="4"/>
        <v/>
      </c>
      <c r="W21" s="15" t="str">
        <f t="shared" si="13"/>
        <v/>
      </c>
    </row>
    <row r="22" spans="1:23">
      <c r="A22" s="11"/>
      <c r="B22" s="12">
        <f>$A$6+16</f>
        <v>44668</v>
      </c>
      <c r="C22" s="2" t="str">
        <f>IF(ISNUMBER(MATCH(B22,祝日リスト!$B$2:$B$33,0)),"(" &amp; TEXT(B22,"aaa") &amp; ")",TEXT(B22,"aaa"))</f>
        <v>日</v>
      </c>
      <c r="D22" s="68"/>
      <c r="E22" s="68"/>
      <c r="F22" s="73" t="str">
        <f t="shared" si="5"/>
        <v/>
      </c>
      <c r="G22" s="65" t="str">
        <f t="shared" si="6"/>
        <v/>
      </c>
      <c r="H22" s="65" t="str">
        <f t="shared" si="7"/>
        <v/>
      </c>
      <c r="I22" s="65" t="str">
        <f t="shared" si="8"/>
        <v/>
      </c>
      <c r="J22" s="65" t="str">
        <f t="shared" si="9"/>
        <v/>
      </c>
      <c r="K22" s="65" t="str">
        <f t="shared" si="10"/>
        <v/>
      </c>
      <c r="L22" s="65" t="str">
        <f t="shared" si="11"/>
        <v/>
      </c>
      <c r="M22" s="77" t="str">
        <f t="shared" si="12"/>
        <v/>
      </c>
      <c r="N22" s="78">
        <f t="shared" si="14"/>
        <v>0</v>
      </c>
      <c r="O22" s="79" t="str">
        <f t="shared" si="0"/>
        <v/>
      </c>
      <c r="P22" s="79" t="str">
        <f>IF(TEXT(B22,"aaa")="日","法休日",IF(OR(TEXT(B22,"aaa")="土",ISNUMBER(MATCH(B22,祝日リスト!$B$2:$B$30,0))),"所休日",""))</f>
        <v>法休日</v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3"/>
        <v>0</v>
      </c>
      <c r="V22" s="7" t="str">
        <f t="shared" si="4"/>
        <v/>
      </c>
      <c r="W22" s="15" t="str">
        <f t="shared" si="13"/>
        <v/>
      </c>
    </row>
    <row r="23" spans="1:23">
      <c r="A23" s="11"/>
      <c r="B23" s="12">
        <f>$A$6+17</f>
        <v>44669</v>
      </c>
      <c r="C23" s="2" t="str">
        <f>IF(ISNUMBER(MATCH(B23,祝日リスト!$B$2:$B$33,0)),"(" &amp; TEXT(B23,"aaa") &amp; ")",TEXT(B23,"aaa"))</f>
        <v>月</v>
      </c>
      <c r="D23" s="68">
        <v>0.37361111111111112</v>
      </c>
      <c r="E23" s="68">
        <v>0.76527777777777783</v>
      </c>
      <c r="F23" s="73">
        <f t="shared" si="5"/>
        <v>4.1666666666666664E-2</v>
      </c>
      <c r="G23" s="65">
        <f t="shared" si="6"/>
        <v>0.33958333333333335</v>
      </c>
      <c r="H23" s="65">
        <f t="shared" si="7"/>
        <v>0.33958333333333335</v>
      </c>
      <c r="I23" s="65">
        <f t="shared" si="8"/>
        <v>0</v>
      </c>
      <c r="J23" s="65">
        <f t="shared" si="9"/>
        <v>0.35000000000000003</v>
      </c>
      <c r="K23" s="65" t="str">
        <f t="shared" si="10"/>
        <v/>
      </c>
      <c r="L23" s="65" t="str">
        <f t="shared" si="11"/>
        <v/>
      </c>
      <c r="M23" s="77" t="str">
        <f t="shared" si="12"/>
        <v>○</v>
      </c>
      <c r="N23" s="78">
        <f t="shared" si="14"/>
        <v>1.0416666666666666E-2</v>
      </c>
      <c r="O23" s="79" t="str">
        <f t="shared" si="0"/>
        <v>○</v>
      </c>
      <c r="P23" s="79" t="str">
        <f>IF(TEXT(B23,"aaa")="日","法休日",IF(OR(TEXT(B23,"aaa")="土",ISNUMBER(MATCH(B23,祝日リスト!$B$2:$B$30,0))),"所休日",""))</f>
        <v/>
      </c>
      <c r="Q23" s="80" t="s">
        <v>10</v>
      </c>
      <c r="R23" s="82"/>
      <c r="S23" s="104" t="str">
        <f t="shared" si="1"/>
        <v/>
      </c>
      <c r="T23" s="13">
        <f t="shared" si="2"/>
        <v>0.37361111111111112</v>
      </c>
      <c r="U23" s="14">
        <f t="shared" si="3"/>
        <v>0.76527777777777783</v>
      </c>
      <c r="V23" s="7">
        <f t="shared" si="4"/>
        <v>4.1666666666666664E-2</v>
      </c>
      <c r="W23" s="15">
        <f t="shared" si="13"/>
        <v>0.35000000000000003</v>
      </c>
    </row>
    <row r="24" spans="1:23">
      <c r="A24" s="11"/>
      <c r="B24" s="12">
        <f>$A$6+18</f>
        <v>44670</v>
      </c>
      <c r="C24" s="2" t="str">
        <f>IF(ISNUMBER(MATCH(B24,祝日リスト!$B$2:$B$33,0)),"(" &amp; TEXT(B24,"aaa") &amp; ")",TEXT(B24,"aaa"))</f>
        <v>火</v>
      </c>
      <c r="D24" s="68">
        <v>0.4152777777777778</v>
      </c>
      <c r="E24" s="68">
        <v>0.82916666666666661</v>
      </c>
      <c r="F24" s="73">
        <f t="shared" si="5"/>
        <v>4.1666666666666664E-2</v>
      </c>
      <c r="G24" s="65">
        <f t="shared" si="6"/>
        <v>0.36180555555555544</v>
      </c>
      <c r="H24" s="65">
        <f t="shared" si="7"/>
        <v>0.36180555555555544</v>
      </c>
      <c r="I24" s="65">
        <f t="shared" si="8"/>
        <v>0</v>
      </c>
      <c r="J24" s="65">
        <f t="shared" si="9"/>
        <v>0.37222222222222212</v>
      </c>
      <c r="K24" s="65" t="str">
        <f t="shared" si="10"/>
        <v/>
      </c>
      <c r="L24" s="65" t="str">
        <f t="shared" si="11"/>
        <v/>
      </c>
      <c r="M24" s="77" t="str">
        <f t="shared" si="12"/>
        <v>○</v>
      </c>
      <c r="N24" s="78">
        <f t="shared" si="14"/>
        <v>1.0416666666666666E-2</v>
      </c>
      <c r="O24" s="79" t="str">
        <f t="shared" si="0"/>
        <v>○</v>
      </c>
      <c r="P24" s="79" t="str">
        <f>IF(TEXT(B24,"aaa")="日","法休日",IF(OR(TEXT(B24,"aaa")="土",ISNUMBER(MATCH(B24,祝日リスト!$B$2:$B$30,0))),"所休日",""))</f>
        <v/>
      </c>
      <c r="Q24" s="80" t="s">
        <v>10</v>
      </c>
      <c r="R24" s="82"/>
      <c r="S24" s="104" t="str">
        <f t="shared" si="1"/>
        <v/>
      </c>
      <c r="T24" s="13">
        <f t="shared" si="2"/>
        <v>0.4152777777777778</v>
      </c>
      <c r="U24" s="14">
        <f t="shared" si="3"/>
        <v>0.82916666666666661</v>
      </c>
      <c r="V24" s="7">
        <f t="shared" si="4"/>
        <v>4.1666666666666664E-2</v>
      </c>
      <c r="W24" s="15">
        <f t="shared" si="13"/>
        <v>0.37222222222222212</v>
      </c>
    </row>
    <row r="25" spans="1:23">
      <c r="A25" s="11"/>
      <c r="B25" s="12">
        <f>$A$6+19</f>
        <v>44671</v>
      </c>
      <c r="C25" s="2" t="str">
        <f>IF(ISNUMBER(MATCH(B25,祝日リスト!$B$2:$B$33,0)),"(" &amp; TEXT(B25,"aaa") &amp; ")",TEXT(B25,"aaa"))</f>
        <v>水</v>
      </c>
      <c r="D25" s="68">
        <v>0.3659722222222222</v>
      </c>
      <c r="E25" s="68">
        <v>0.7416666666666667</v>
      </c>
      <c r="F25" s="73">
        <f t="shared" si="5"/>
        <v>4.1666666666666664E-2</v>
      </c>
      <c r="G25" s="65">
        <f t="shared" si="6"/>
        <v>0.33333333333333331</v>
      </c>
      <c r="H25" s="65">
        <f t="shared" si="7"/>
        <v>0.33333333333333331</v>
      </c>
      <c r="I25" s="65">
        <f t="shared" si="8"/>
        <v>0</v>
      </c>
      <c r="J25" s="65">
        <f t="shared" si="9"/>
        <v>0.33402777777777781</v>
      </c>
      <c r="K25" s="65" t="str">
        <f t="shared" si="10"/>
        <v/>
      </c>
      <c r="L25" s="65" t="str">
        <f t="shared" si="11"/>
        <v/>
      </c>
      <c r="M25" s="77" t="str">
        <f t="shared" si="12"/>
        <v>○</v>
      </c>
      <c r="N25" s="78">
        <f t="shared" si="14"/>
        <v>6.9444444444449749E-4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0.3659722222222222</v>
      </c>
      <c r="U25" s="14">
        <f t="shared" si="3"/>
        <v>0.7416666666666667</v>
      </c>
      <c r="V25" s="7">
        <f t="shared" si="4"/>
        <v>4.1666666666666664E-2</v>
      </c>
      <c r="W25" s="15">
        <f t="shared" si="13"/>
        <v>0.33402777777777781</v>
      </c>
    </row>
    <row r="26" spans="1:23">
      <c r="A26" s="11"/>
      <c r="B26" s="12">
        <f>$A$6+20</f>
        <v>44672</v>
      </c>
      <c r="C26" s="2" t="str">
        <f>IF(ISNUMBER(MATCH(B26,祝日リスト!$B$2:$B$33,0)),"(" &amp; TEXT(B26,"aaa") &amp; ")",TEXT(B26,"aaa"))</f>
        <v>木</v>
      </c>
      <c r="D26" s="68">
        <v>0.43263888888888885</v>
      </c>
      <c r="E26" s="68">
        <v>0.80833333333333324</v>
      </c>
      <c r="F26" s="73">
        <f t="shared" si="5"/>
        <v>4.1666666666666664E-2</v>
      </c>
      <c r="G26" s="65">
        <f t="shared" si="6"/>
        <v>0.33333333333333331</v>
      </c>
      <c r="H26" s="65">
        <f t="shared" si="7"/>
        <v>0.33333333333333331</v>
      </c>
      <c r="I26" s="65">
        <f t="shared" si="8"/>
        <v>0</v>
      </c>
      <c r="J26" s="65">
        <f t="shared" si="9"/>
        <v>0.3340277777777777</v>
      </c>
      <c r="K26" s="65" t="str">
        <f t="shared" si="10"/>
        <v/>
      </c>
      <c r="L26" s="65" t="str">
        <f t="shared" si="11"/>
        <v/>
      </c>
      <c r="M26" s="77" t="str">
        <f t="shared" si="12"/>
        <v>○</v>
      </c>
      <c r="N26" s="78">
        <f t="shared" si="14"/>
        <v>6.9444444444438647E-4</v>
      </c>
      <c r="O26" s="79" t="str">
        <f t="shared" si="0"/>
        <v>○</v>
      </c>
      <c r="P26" s="79" t="str">
        <f>IF(TEXT(B26,"aaa")="日","法休日",IF(OR(TEXT(B26,"aaa")="土",ISNUMBER(MATCH(B26,祝日リスト!$B$2:$B$30,0))),"所休日",""))</f>
        <v/>
      </c>
      <c r="Q26" s="80" t="s">
        <v>10</v>
      </c>
      <c r="R26" s="82"/>
      <c r="S26" s="104" t="str">
        <f t="shared" si="1"/>
        <v/>
      </c>
      <c r="T26" s="13">
        <f t="shared" si="2"/>
        <v>0.43263888888888885</v>
      </c>
      <c r="U26" s="14">
        <f t="shared" si="3"/>
        <v>0.80833333333333324</v>
      </c>
      <c r="V26" s="7">
        <f t="shared" si="4"/>
        <v>4.1666666666666664E-2</v>
      </c>
      <c r="W26" s="15">
        <f t="shared" si="13"/>
        <v>0.3340277777777777</v>
      </c>
    </row>
    <row r="27" spans="1:23">
      <c r="A27" s="11"/>
      <c r="B27" s="12">
        <f>$A$6+21</f>
        <v>44673</v>
      </c>
      <c r="C27" s="2" t="str">
        <f>IF(ISNUMBER(MATCH(B27,祝日リスト!$B$2:$B$33,0)),"(" &amp; TEXT(B27,"aaa") &amp; ")",TEXT(B27,"aaa"))</f>
        <v>金</v>
      </c>
      <c r="D27" s="68">
        <v>0.38055555555555554</v>
      </c>
      <c r="E27" s="68">
        <v>0.79722222222222217</v>
      </c>
      <c r="F27" s="73">
        <v>7.7083333333333337E-2</v>
      </c>
      <c r="G27" s="65">
        <f t="shared" si="6"/>
        <v>0.33333333333333331</v>
      </c>
      <c r="H27" s="65">
        <f t="shared" si="7"/>
        <v>0.33333333333333331</v>
      </c>
      <c r="I27" s="65">
        <f t="shared" si="8"/>
        <v>0</v>
      </c>
      <c r="J27" s="65">
        <f t="shared" si="9"/>
        <v>0.33958333333333329</v>
      </c>
      <c r="K27" s="65" t="str">
        <f t="shared" si="10"/>
        <v/>
      </c>
      <c r="L27" s="65" t="str">
        <f t="shared" si="11"/>
        <v/>
      </c>
      <c r="M27" s="77" t="str">
        <f t="shared" si="12"/>
        <v>○</v>
      </c>
      <c r="N27" s="78">
        <f>IF(M27="○",IF(J27&gt;=TIME(8,15,0),TIME(0,15,0),J27-TIME(8,0,0)),0)</f>
        <v>6.2499999999999778E-3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0.38055555555555554</v>
      </c>
      <c r="U27" s="14">
        <f t="shared" si="3"/>
        <v>0.79722222222222217</v>
      </c>
      <c r="V27" s="7">
        <f t="shared" si="4"/>
        <v>4.1666666666666664E-2</v>
      </c>
      <c r="W27" s="15">
        <f t="shared" si="13"/>
        <v>0.37499999999999994</v>
      </c>
    </row>
    <row r="28" spans="1:23">
      <c r="A28" s="11"/>
      <c r="B28" s="12">
        <f>$A$6+22</f>
        <v>44674</v>
      </c>
      <c r="C28" s="2" t="str">
        <f>IF(ISNUMBER(MATCH(B28,祝日リスト!$B$2:$B$33,0)),"(" &amp; TEXT(B28,"aaa") &amp; ")",TEXT(B28,"aaa"))</f>
        <v>土</v>
      </c>
      <c r="D28" s="68"/>
      <c r="E28" s="68"/>
      <c r="F28" s="73" t="str">
        <f t="shared" si="5"/>
        <v/>
      </c>
      <c r="G28" s="65" t="str">
        <f t="shared" si="6"/>
        <v/>
      </c>
      <c r="H28" s="65" t="str">
        <f t="shared" si="7"/>
        <v/>
      </c>
      <c r="I28" s="65" t="str">
        <f t="shared" si="8"/>
        <v/>
      </c>
      <c r="J28" s="65" t="str">
        <f t="shared" si="9"/>
        <v/>
      </c>
      <c r="K28" s="65" t="str">
        <f t="shared" si="10"/>
        <v/>
      </c>
      <c r="L28" s="65" t="str">
        <f t="shared" si="11"/>
        <v/>
      </c>
      <c r="M28" s="77" t="str">
        <f t="shared" si="12"/>
        <v/>
      </c>
      <c r="N28" s="78">
        <f t="shared" si="14"/>
        <v>0</v>
      </c>
      <c r="O28" s="79" t="str">
        <f t="shared" si="0"/>
        <v/>
      </c>
      <c r="P28" s="79" t="str">
        <f>IF(TEXT(B28,"aaa")="日","法休日",IF(OR(TEXT(B28,"aaa")="土",ISNUMBER(MATCH(B28,祝日リスト!$B$2:$B$30,0))),"所休日",""))</f>
        <v>所休日</v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3"/>
        <v>0</v>
      </c>
      <c r="V28" s="7" t="str">
        <f t="shared" si="4"/>
        <v/>
      </c>
      <c r="W28" s="15" t="str">
        <f t="shared" si="13"/>
        <v/>
      </c>
    </row>
    <row r="29" spans="1:23">
      <c r="A29" s="11"/>
      <c r="B29" s="12">
        <f>$A$6+23</f>
        <v>44675</v>
      </c>
      <c r="C29" s="2" t="str">
        <f>IF(ISNUMBER(MATCH(B29,祝日リスト!$B$2:$B$33,0)),"(" &amp; TEXT(B29,"aaa") &amp; ")",TEXT(B29,"aaa"))</f>
        <v>日</v>
      </c>
      <c r="D29" s="68"/>
      <c r="E29" s="68"/>
      <c r="F29" s="73" t="str">
        <f t="shared" si="5"/>
        <v/>
      </c>
      <c r="G29" s="65" t="str">
        <f t="shared" si="6"/>
        <v/>
      </c>
      <c r="H29" s="65" t="str">
        <f t="shared" si="7"/>
        <v/>
      </c>
      <c r="I29" s="65" t="str">
        <f t="shared" si="8"/>
        <v/>
      </c>
      <c r="J29" s="65" t="str">
        <f t="shared" si="9"/>
        <v/>
      </c>
      <c r="K29" s="65" t="str">
        <f t="shared" si="10"/>
        <v/>
      </c>
      <c r="L29" s="65" t="str">
        <f t="shared" si="11"/>
        <v/>
      </c>
      <c r="M29" s="77" t="str">
        <f t="shared" si="12"/>
        <v/>
      </c>
      <c r="N29" s="78">
        <f t="shared" si="14"/>
        <v>0</v>
      </c>
      <c r="O29" s="79" t="str">
        <f t="shared" si="0"/>
        <v/>
      </c>
      <c r="P29" s="79" t="str">
        <f>IF(TEXT(B29,"aaa")="日","法休日",IF(OR(TEXT(B29,"aaa")="土",ISNUMBER(MATCH(B29,祝日リスト!$B$2:$B$30,0))),"所休日",""))</f>
        <v>法休日</v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3"/>
        <v>0</v>
      </c>
      <c r="V29" s="7" t="str">
        <f t="shared" si="4"/>
        <v/>
      </c>
      <c r="W29" s="15" t="str">
        <f t="shared" si="13"/>
        <v/>
      </c>
    </row>
    <row r="30" spans="1:23">
      <c r="A30" s="11"/>
      <c r="B30" s="12">
        <f>$A$6+24</f>
        <v>44676</v>
      </c>
      <c r="C30" s="2" t="str">
        <f>IF(ISNUMBER(MATCH(B30,祝日リスト!$B$2:$B$33,0)),"(" &amp; TEXT(B30,"aaa") &amp; ")",TEXT(B30,"aaa"))</f>
        <v>月</v>
      </c>
      <c r="D30" s="68">
        <v>0.36944444444444446</v>
      </c>
      <c r="E30" s="68">
        <v>0.79513888888888884</v>
      </c>
      <c r="F30" s="73">
        <f t="shared" si="5"/>
        <v>4.1666666666666664E-2</v>
      </c>
      <c r="G30" s="65">
        <f t="shared" si="6"/>
        <v>0.37361111111111101</v>
      </c>
      <c r="H30" s="65">
        <f t="shared" si="7"/>
        <v>0.37361111111111101</v>
      </c>
      <c r="I30" s="65">
        <f t="shared" si="8"/>
        <v>0</v>
      </c>
      <c r="J30" s="65">
        <f t="shared" si="9"/>
        <v>0.38402777777777769</v>
      </c>
      <c r="K30" s="65" t="str">
        <f t="shared" si="10"/>
        <v/>
      </c>
      <c r="L30" s="65" t="str">
        <f t="shared" si="11"/>
        <v/>
      </c>
      <c r="M30" s="77" t="str">
        <f t="shared" si="12"/>
        <v>○</v>
      </c>
      <c r="N30" s="78">
        <f t="shared" si="14"/>
        <v>1.0416666666666666E-2</v>
      </c>
      <c r="O30" s="79" t="str">
        <f t="shared" si="0"/>
        <v>○</v>
      </c>
      <c r="P30" s="79" t="str">
        <f>IF(TEXT(B30,"aaa")="日","法休日",IF(OR(TEXT(B30,"aaa")="土",ISNUMBER(MATCH(B30,祝日リスト!$B$2:$B$30,0))),"所休日",""))</f>
        <v/>
      </c>
      <c r="Q30" s="80" t="s">
        <v>10</v>
      </c>
      <c r="R30" s="82"/>
      <c r="S30" s="104" t="str">
        <f t="shared" si="1"/>
        <v/>
      </c>
      <c r="T30" s="13">
        <f t="shared" si="2"/>
        <v>0.36944444444444446</v>
      </c>
      <c r="U30" s="14">
        <f t="shared" si="3"/>
        <v>0.79513888888888884</v>
      </c>
      <c r="V30" s="7">
        <f t="shared" si="4"/>
        <v>4.1666666666666664E-2</v>
      </c>
      <c r="W30" s="15">
        <f t="shared" si="13"/>
        <v>0.38402777777777769</v>
      </c>
    </row>
    <row r="31" spans="1:23">
      <c r="A31" s="11"/>
      <c r="B31" s="12">
        <f>$A$6+25</f>
        <v>44677</v>
      </c>
      <c r="C31" s="2" t="str">
        <f>IF(ISNUMBER(MATCH(B31,祝日リスト!$B$2:$B$33,0)),"(" &amp; TEXT(B31,"aaa") &amp; ")",TEXT(B31,"aaa"))</f>
        <v>火</v>
      </c>
      <c r="D31" s="68">
        <v>0.375</v>
      </c>
      <c r="E31" s="68">
        <v>0.75277777777777777</v>
      </c>
      <c r="F31" s="73">
        <f t="shared" si="5"/>
        <v>4.1666666666666664E-2</v>
      </c>
      <c r="G31" s="65">
        <f t="shared" si="6"/>
        <v>0.33333333333333331</v>
      </c>
      <c r="H31" s="65">
        <f t="shared" si="7"/>
        <v>0.33333333333333331</v>
      </c>
      <c r="I31" s="65">
        <f t="shared" si="8"/>
        <v>0</v>
      </c>
      <c r="J31" s="65">
        <f t="shared" si="9"/>
        <v>0.33611111111111108</v>
      </c>
      <c r="K31" s="65" t="str">
        <f t="shared" si="10"/>
        <v/>
      </c>
      <c r="L31" s="65" t="str">
        <f t="shared" si="11"/>
        <v/>
      </c>
      <c r="M31" s="77" t="str">
        <f t="shared" si="12"/>
        <v>○</v>
      </c>
      <c r="N31" s="78">
        <f t="shared" si="14"/>
        <v>2.7777777777777679E-3</v>
      </c>
      <c r="O31" s="79" t="str">
        <f t="shared" si="0"/>
        <v>○</v>
      </c>
      <c r="P31" s="79" t="str">
        <f>IF(TEXT(B31,"aaa")="日","法休日",IF(OR(TEXT(B31,"aaa")="土",ISNUMBER(MATCH(B31,祝日リスト!$B$2:$B$30,0))),"所休日",""))</f>
        <v/>
      </c>
      <c r="Q31" s="80" t="s">
        <v>10</v>
      </c>
      <c r="R31" s="82"/>
      <c r="S31" s="104" t="str">
        <f t="shared" si="1"/>
        <v/>
      </c>
      <c r="T31" s="13">
        <f t="shared" si="2"/>
        <v>0.375</v>
      </c>
      <c r="U31" s="14">
        <f t="shared" si="3"/>
        <v>0.75277777777777777</v>
      </c>
      <c r="V31" s="7">
        <f t="shared" si="4"/>
        <v>4.1666666666666664E-2</v>
      </c>
      <c r="W31" s="15">
        <f t="shared" si="13"/>
        <v>0.33611111111111108</v>
      </c>
    </row>
    <row r="32" spans="1:23">
      <c r="A32" s="11"/>
      <c r="B32" s="12">
        <f>$A$6+26</f>
        <v>44678</v>
      </c>
      <c r="C32" s="2" t="str">
        <f>IF(ISNUMBER(MATCH(B32,祝日リスト!$B$2:$B$33,0)),"(" &amp; TEXT(B32,"aaa") &amp; ")",TEXT(B32,"aaa"))</f>
        <v>水</v>
      </c>
      <c r="D32" s="68">
        <v>0.36736111111111108</v>
      </c>
      <c r="E32" s="68">
        <v>0.71180555555555547</v>
      </c>
      <c r="F32" s="73">
        <f t="shared" si="5"/>
        <v>4.1666666666666664E-2</v>
      </c>
      <c r="G32" s="65">
        <f t="shared" si="6"/>
        <v>0.3027777777777777</v>
      </c>
      <c r="H32" s="65">
        <f t="shared" si="7"/>
        <v>0.3027777777777777</v>
      </c>
      <c r="I32" s="65">
        <f t="shared" si="8"/>
        <v>0</v>
      </c>
      <c r="J32" s="65">
        <f t="shared" si="9"/>
        <v>0.3027777777777777</v>
      </c>
      <c r="K32" s="65" t="str">
        <f t="shared" si="10"/>
        <v/>
      </c>
      <c r="L32" s="65" t="str">
        <f t="shared" si="11"/>
        <v/>
      </c>
      <c r="M32" s="77" t="str">
        <f t="shared" si="12"/>
        <v/>
      </c>
      <c r="N32" s="78">
        <f t="shared" si="14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0.36736111111111108</v>
      </c>
      <c r="U32" s="14">
        <f t="shared" si="3"/>
        <v>0.71180555555555547</v>
      </c>
      <c r="V32" s="7">
        <f t="shared" si="4"/>
        <v>4.1666666666666664E-2</v>
      </c>
      <c r="W32" s="15">
        <f t="shared" si="13"/>
        <v>0.3027777777777777</v>
      </c>
    </row>
    <row r="33" spans="1:23">
      <c r="A33" s="11"/>
      <c r="B33" s="12">
        <f>$A$6+27</f>
        <v>44679</v>
      </c>
      <c r="C33" s="2" t="str">
        <f>IF(ISNUMBER(MATCH(B33,祝日リスト!$B$2:$B$33,0)),"(" &amp; TEXT(B33,"aaa") &amp; ")",TEXT(B33,"aaa"))</f>
        <v>木</v>
      </c>
      <c r="D33" s="68">
        <v>0.43194444444444446</v>
      </c>
      <c r="E33" s="68">
        <v>0.79166666666666663</v>
      </c>
      <c r="F33" s="73">
        <f t="shared" si="5"/>
        <v>4.1666666666666664E-2</v>
      </c>
      <c r="G33" s="65">
        <f t="shared" si="6"/>
        <v>0.31805555555555548</v>
      </c>
      <c r="H33" s="65">
        <f t="shared" si="7"/>
        <v>0.31805555555555548</v>
      </c>
      <c r="I33" s="65">
        <f t="shared" si="8"/>
        <v>0</v>
      </c>
      <c r="J33" s="65">
        <f t="shared" si="9"/>
        <v>0.31805555555555548</v>
      </c>
      <c r="K33" s="65" t="str">
        <f t="shared" si="10"/>
        <v/>
      </c>
      <c r="L33" s="65" t="str">
        <f t="shared" si="11"/>
        <v/>
      </c>
      <c r="M33" s="77" t="str">
        <f t="shared" si="12"/>
        <v/>
      </c>
      <c r="N33" s="78">
        <f t="shared" si="14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0.43194444444444446</v>
      </c>
      <c r="U33" s="14">
        <f t="shared" si="3"/>
        <v>0.79166666666666663</v>
      </c>
      <c r="V33" s="7">
        <f t="shared" si="4"/>
        <v>4.1666666666666664E-2</v>
      </c>
      <c r="W33" s="15">
        <f t="shared" si="13"/>
        <v>0.31805555555555548</v>
      </c>
    </row>
    <row r="34" spans="1:23">
      <c r="A34" s="11"/>
      <c r="B34" s="12">
        <f>IF($A$6+28&gt;DATE(YEAR($A$6),MONTH($A$6)+1,0),"",$A$6+28)</f>
        <v>44680</v>
      </c>
      <c r="C34" s="2" t="str">
        <f>IF(ISNUMBER(MATCH(B34,祝日リスト!$B$2:$B$33,0)),"(" &amp; TEXT(B34,"aaa") &amp; ")",TEXT(B34,"aaa"))</f>
        <v>(金)</v>
      </c>
      <c r="D34" s="68"/>
      <c r="E34" s="68"/>
      <c r="F34" s="73" t="str">
        <f t="shared" si="5"/>
        <v/>
      </c>
      <c r="G34" s="65" t="str">
        <f t="shared" si="6"/>
        <v/>
      </c>
      <c r="H34" s="65" t="str">
        <f t="shared" si="7"/>
        <v/>
      </c>
      <c r="I34" s="65" t="str">
        <f t="shared" si="8"/>
        <v/>
      </c>
      <c r="J34" s="65" t="str">
        <f t="shared" si="9"/>
        <v/>
      </c>
      <c r="K34" s="65" t="str">
        <f t="shared" si="10"/>
        <v/>
      </c>
      <c r="L34" s="65" t="str">
        <f t="shared" si="11"/>
        <v/>
      </c>
      <c r="M34" s="77" t="str">
        <f t="shared" si="12"/>
        <v/>
      </c>
      <c r="N34" s="78">
        <f t="shared" si="14"/>
        <v>0</v>
      </c>
      <c r="O34" s="79" t="str">
        <f t="shared" si="0"/>
        <v/>
      </c>
      <c r="P34" s="79" t="str">
        <f>IF(TEXT(B34,"aaa")="日","法休日",IF(OR(TEXT(B34,"aaa")="土",ISNUMBER(MATCH(B34,祝日リスト!$B$2:$B$30,0))),"所休日",""))</f>
        <v>所休日</v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3"/>
        <v>0</v>
      </c>
      <c r="V34" s="7" t="str">
        <f t="shared" si="4"/>
        <v/>
      </c>
      <c r="W34" s="15" t="str">
        <f t="shared" si="13"/>
        <v/>
      </c>
    </row>
    <row r="35" spans="1:23">
      <c r="A35" s="11"/>
      <c r="B35" s="12">
        <f>IF($A$6+29&gt;DATE(YEAR($A$6),MONTH($A$6)+1,0),"",$A$6+29)</f>
        <v>44681</v>
      </c>
      <c r="C35" s="2" t="str">
        <f>IF(ISNUMBER(MATCH(B35,祝日リスト!$B$2:$B$33,0)),"(" &amp; TEXT(B35,"aaa") &amp; ")",TEXT(B35,"aaa"))</f>
        <v>土</v>
      </c>
      <c r="D35" s="68"/>
      <c r="E35" s="68"/>
      <c r="F35" s="73" t="str">
        <f t="shared" si="5"/>
        <v/>
      </c>
      <c r="G35" s="65" t="str">
        <f t="shared" si="6"/>
        <v/>
      </c>
      <c r="H35" s="65" t="str">
        <f t="shared" si="7"/>
        <v/>
      </c>
      <c r="I35" s="65" t="str">
        <f t="shared" si="8"/>
        <v/>
      </c>
      <c r="J35" s="65" t="str">
        <f t="shared" si="9"/>
        <v/>
      </c>
      <c r="K35" s="65" t="str">
        <f t="shared" si="10"/>
        <v/>
      </c>
      <c r="L35" s="72" t="str">
        <f t="shared" si="11"/>
        <v/>
      </c>
      <c r="M35" s="83" t="str">
        <f t="shared" si="12"/>
        <v/>
      </c>
      <c r="N35" s="84">
        <f t="shared" si="14"/>
        <v>0</v>
      </c>
      <c r="O35" s="85" t="str">
        <f>IF(B35="","",IF(OR(P35="所休日",P35="法休日",,Q35="公休"),"","○"))</f>
        <v/>
      </c>
      <c r="P35" s="79" t="str">
        <f>IF(TEXT(B35,"aaa")="日","法休日",IF(OR(TEXT(B35,"aaa")="土",ISNUMBER(MATCH(B35,祝日リスト!$B$2:$B$30,0))),"所休日",""))</f>
        <v>所休日</v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3"/>
        <v>0</v>
      </c>
      <c r="V35" s="7" t="str">
        <f t="shared" si="4"/>
        <v/>
      </c>
      <c r="W35" s="15" t="str">
        <f t="shared" si="13"/>
        <v/>
      </c>
    </row>
    <row r="36" spans="1:23">
      <c r="A36" s="16"/>
      <c r="B36" s="17" t="str">
        <f>IF($A$6+30&gt;DATE(YEAR($A$6),MONTH($A$6)+1,0),"",$A$6+30)</f>
        <v/>
      </c>
      <c r="C36" s="3" t="str">
        <f>IF(ISNUMBER(MATCH(B36,祝日リスト!$B$2:$B$33,0)),"(" &amp; TEXT(B36,"aaa") &amp; ")",TEXT(B36,"aaa"))</f>
        <v/>
      </c>
      <c r="D36" s="69"/>
      <c r="E36" s="69"/>
      <c r="F36" s="74" t="str">
        <f t="shared" si="5"/>
        <v/>
      </c>
      <c r="G36" s="66" t="str">
        <f t="shared" si="6"/>
        <v/>
      </c>
      <c r="H36" s="66" t="str">
        <f t="shared" si="7"/>
        <v/>
      </c>
      <c r="I36" s="66" t="str">
        <f t="shared" si="8"/>
        <v/>
      </c>
      <c r="J36" s="66" t="str">
        <f t="shared" si="9"/>
        <v/>
      </c>
      <c r="K36" s="66" t="str">
        <f t="shared" si="10"/>
        <v/>
      </c>
      <c r="L36" s="66" t="str">
        <f t="shared" si="11"/>
        <v/>
      </c>
      <c r="M36" s="87" t="str">
        <f t="shared" si="12"/>
        <v/>
      </c>
      <c r="N36" s="88">
        <f t="shared" si="14"/>
        <v>0</v>
      </c>
      <c r="O36" s="89" t="str">
        <f>IF(B36="","",IF(OR(P36="所休日",P36="法休日",,Q36="公休"),"","○"))</f>
        <v/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3"/>
        <v>0</v>
      </c>
      <c r="V36" s="18" t="str">
        <f t="shared" si="4"/>
        <v/>
      </c>
      <c r="W36" s="21" t="str">
        <f t="shared" si="13"/>
        <v/>
      </c>
    </row>
    <row r="37" spans="1:23" ht="12" customHeight="1">
      <c r="A37" s="22"/>
      <c r="B37" s="23">
        <f>DAY(DATE(YEAR($A$6),MONTH($A$6)+1,1)-1)</f>
        <v>30</v>
      </c>
      <c r="C37" s="92">
        <f>40/7*B37</f>
        <v>171.42857142857144</v>
      </c>
      <c r="D37" s="93"/>
      <c r="E37" s="93"/>
      <c r="F37" s="94">
        <f t="shared" ref="F37:N37" si="15">SUM(F6:F36)</f>
        <v>0.86874999999999969</v>
      </c>
      <c r="G37" s="94">
        <f t="shared" si="15"/>
        <v>6.6756944444444439</v>
      </c>
      <c r="H37" s="94">
        <f t="shared" si="15"/>
        <v>6.6756944444444439</v>
      </c>
      <c r="I37" s="94">
        <f t="shared" si="15"/>
        <v>0</v>
      </c>
      <c r="J37" s="94">
        <f t="shared" si="15"/>
        <v>6.7777777777777786</v>
      </c>
      <c r="K37" s="94">
        <f t="shared" si="15"/>
        <v>0</v>
      </c>
      <c r="L37" s="94">
        <f t="shared" si="15"/>
        <v>0</v>
      </c>
      <c r="M37" s="95">
        <f>COUNTIF(M6:M36,"○")</f>
        <v>15</v>
      </c>
      <c r="N37" s="94">
        <f t="shared" si="15"/>
        <v>0.10208333333333341</v>
      </c>
      <c r="O37" s="95">
        <f>COUNTIF(O6:O36,"○")</f>
        <v>20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6.813194444444445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6.813194444444445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171</v>
      </c>
      <c r="F39" s="137" t="s">
        <v>14</v>
      </c>
      <c r="G39" s="138"/>
      <c r="H39" s="108">
        <f>COUNTIF(O6:O36,"○")</f>
        <v>20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6.6666666666666661</v>
      </c>
      <c r="F40" s="118" t="s">
        <v>15</v>
      </c>
      <c r="G40" s="129"/>
      <c r="H40" s="45">
        <f>COUNTIF(G6:G36,"&gt;0")-(COUNTIF(Q6:Q36,"=半休")*0.5)-(COUNTIF(Q6:Q36,"=半公休")*0.5)</f>
        <v>20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105</v>
      </c>
      <c r="D41" s="133"/>
      <c r="E41" s="33">
        <f>H39*TIME(8,0,0)</f>
        <v>6.6666666666666661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6.6756944444444439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9.0277777777778567E-3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6.6756944444444439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6.6756944444444439</v>
      </c>
      <c r="F45" s="118" t="s">
        <v>13</v>
      </c>
      <c r="G45" s="129"/>
      <c r="H45" s="44">
        <f>COUNTIF(Q6:Q36,"有休")+(COUNTIF(Q6:Q36,"半休")*0.5)</f>
        <v>0</v>
      </c>
      <c r="P45" s="5" t="s">
        <v>107</v>
      </c>
      <c r="Q45" s="5">
        <f>COUNTIF($Q$6:$Q$36,"有休")</f>
        <v>0</v>
      </c>
      <c r="R45" s="5" t="s">
        <v>108</v>
      </c>
    </row>
    <row r="46" spans="1:23" ht="13.5">
      <c r="C46" s="126" t="s">
        <v>72</v>
      </c>
      <c r="D46" s="127"/>
      <c r="E46" s="33">
        <f>IF(E44&gt;E41,E44-E41,0)</f>
        <v>9.0277777777778567E-3</v>
      </c>
      <c r="F46" s="128" t="s">
        <v>28</v>
      </c>
      <c r="G46" s="129"/>
      <c r="H46" s="41">
        <f>COUNTIF(Q6:Q36,"代休")</f>
        <v>0</v>
      </c>
      <c r="P46" s="5" t="s">
        <v>109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9.0277777777778567E-3</v>
      </c>
      <c r="F47" s="128" t="s">
        <v>110</v>
      </c>
      <c r="G47" s="129"/>
      <c r="H47" s="41">
        <f>COUNTIF(Q6:Q36,"特別休")</f>
        <v>0</v>
      </c>
      <c r="P47" s="5" t="s">
        <v>112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6.6756944444444439</v>
      </c>
      <c r="F48" s="128" t="s">
        <v>5</v>
      </c>
      <c r="G48" s="129"/>
      <c r="H48" s="41">
        <f>COUNTIF(Q6:Q36,"*出張*")</f>
        <v>0</v>
      </c>
      <c r="P48" s="5" t="s">
        <v>113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114</v>
      </c>
      <c r="Q50" s="5">
        <f>COUNTIF($Q$6:$Q$36,"所休出張")</f>
        <v>0</v>
      </c>
      <c r="R50" s="5" t="s">
        <v>115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116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118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0.21666666666666667</v>
      </c>
      <c r="F54" s="111" t="s">
        <v>68</v>
      </c>
      <c r="G54" s="112"/>
      <c r="H54" s="97">
        <f>E54*60/1440</f>
        <v>9.0277777777777769E-3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0.21666666666666667</v>
      </c>
      <c r="F55" s="111" t="s">
        <v>71</v>
      </c>
      <c r="G55" s="112"/>
      <c r="H55" s="97">
        <f>E55*60/1440</f>
        <v>9.0277777777777769E-3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119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121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66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123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121</v>
      </c>
      <c r="G61" s="116"/>
      <c r="H61" s="97">
        <f>E61*60/1440</f>
        <v>0</v>
      </c>
    </row>
    <row r="64" spans="3:18">
      <c r="J64" s="40"/>
    </row>
  </sheetData>
  <mergeCells count="38">
    <mergeCell ref="C44:D44"/>
    <mergeCell ref="F44:G44"/>
    <mergeCell ref="C45:D45"/>
    <mergeCell ref="C41:D41"/>
    <mergeCell ref="F41:G41"/>
    <mergeCell ref="C42:D42"/>
    <mergeCell ref="F42:G42"/>
    <mergeCell ref="C43:D43"/>
    <mergeCell ref="F43:G43"/>
    <mergeCell ref="F45:G45"/>
    <mergeCell ref="C40:D40"/>
    <mergeCell ref="F40:G40"/>
    <mergeCell ref="A1:R1"/>
    <mergeCell ref="C39:D39"/>
    <mergeCell ref="F39:G39"/>
    <mergeCell ref="C46:D46"/>
    <mergeCell ref="F46:G46"/>
    <mergeCell ref="C47:D47"/>
    <mergeCell ref="F47:G47"/>
    <mergeCell ref="C48:D48"/>
    <mergeCell ref="F48:G48"/>
    <mergeCell ref="F49:G49"/>
    <mergeCell ref="C53:D53"/>
    <mergeCell ref="F53:G53"/>
    <mergeCell ref="F51:G51"/>
    <mergeCell ref="F50:G50"/>
    <mergeCell ref="C54:D54"/>
    <mergeCell ref="F54:G54"/>
    <mergeCell ref="C55:D55"/>
    <mergeCell ref="F55:G55"/>
    <mergeCell ref="C61:D61"/>
    <mergeCell ref="F61:G61"/>
    <mergeCell ref="C56:D56"/>
    <mergeCell ref="F56:G56"/>
    <mergeCell ref="C58:D58"/>
    <mergeCell ref="F58:G58"/>
    <mergeCell ref="C59:D59"/>
    <mergeCell ref="F59:G59"/>
  </mergeCells>
  <phoneticPr fontId="1"/>
  <conditionalFormatting sqref="B34:B36">
    <cfRule type="cellIs" dxfId="467" priority="110" stopIfTrue="1" operator="equal">
      <formula>""</formula>
    </cfRule>
  </conditionalFormatting>
  <conditionalFormatting sqref="T6:T36">
    <cfRule type="cellIs" dxfId="466" priority="111" stopIfTrue="1" operator="lessThan">
      <formula>0.375</formula>
    </cfRule>
  </conditionalFormatting>
  <conditionalFormatting sqref="U6:U36">
    <cfRule type="cellIs" dxfId="465" priority="112" stopIfTrue="1" operator="greaterThan">
      <formula>0.999305555555556</formula>
    </cfRule>
  </conditionalFormatting>
  <conditionalFormatting sqref="E6:E11">
    <cfRule type="cellIs" dxfId="464" priority="116" stopIfTrue="1" operator="greaterThan">
      <formula>0.916666667</formula>
    </cfRule>
  </conditionalFormatting>
  <conditionalFormatting sqref="C6:C36">
    <cfRule type="cellIs" dxfId="463" priority="120" stopIfTrue="1" operator="between">
      <formula>"土"</formula>
      <formula>"日"</formula>
    </cfRule>
    <cfRule type="cellIs" dxfId="462" priority="121" stopIfTrue="1" operator="equal">
      <formula>""</formula>
    </cfRule>
    <cfRule type="cellIs" dxfId="461" priority="122" stopIfTrue="1" operator="lessThan">
      <formula>"A"</formula>
    </cfRule>
  </conditionalFormatting>
  <conditionalFormatting sqref="P6:P36">
    <cfRule type="cellIs" dxfId="460" priority="98" stopIfTrue="1" operator="equal">
      <formula>"所休日"</formula>
    </cfRule>
    <cfRule type="cellIs" dxfId="459" priority="99" stopIfTrue="1" operator="equal">
      <formula>"法休日"</formula>
    </cfRule>
    <cfRule type="cellIs" dxfId="458" priority="100" stopIfTrue="1" operator="equal">
      <formula>"""休日"""</formula>
    </cfRule>
  </conditionalFormatting>
  <conditionalFormatting sqref="D6:D11">
    <cfRule type="containsBlanks" dxfId="457" priority="124">
      <formula>LEN(TRIM(D6))=0</formula>
    </cfRule>
  </conditionalFormatting>
  <conditionalFormatting sqref="E12:E17">
    <cfRule type="cellIs" dxfId="456" priority="61" stopIfTrue="1" operator="greaterThan">
      <formula>0.916666667</formula>
    </cfRule>
  </conditionalFormatting>
  <conditionalFormatting sqref="D12:D17">
    <cfRule type="containsBlanks" dxfId="455" priority="62">
      <formula>LEN(TRIM(D12))=0</formula>
    </cfRule>
  </conditionalFormatting>
  <conditionalFormatting sqref="Q6:Q36">
    <cfRule type="expression" dxfId="454" priority="55">
      <formula>OR($Q6="振休")</formula>
    </cfRule>
    <cfRule type="expression" dxfId="453" priority="56" stopIfTrue="1">
      <formula>OR($Q6="有休",$Q6="半休",$Q6="代休",$Q6="公休",$Q6="欠勤")</formula>
    </cfRule>
    <cfRule type="expression" dxfId="452" priority="5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451" priority="54">
      <formula>AND(OR($Q6="所休出",$Q6="所休出→代",$Q6="所休出張",$Q6="所休出張→代"),$C6="日")</formula>
    </cfRule>
  </conditionalFormatting>
  <conditionalFormatting sqref="E18:E24">
    <cfRule type="cellIs" dxfId="450" priority="52" stopIfTrue="1" operator="greaterThan">
      <formula>0.916666667</formula>
    </cfRule>
  </conditionalFormatting>
  <conditionalFormatting sqref="D18:D24">
    <cfRule type="containsBlanks" dxfId="449" priority="53">
      <formula>LEN(TRIM(D18))=0</formula>
    </cfRule>
  </conditionalFormatting>
  <conditionalFormatting sqref="E25:E30">
    <cfRule type="cellIs" dxfId="448" priority="50" stopIfTrue="1" operator="greaterThan">
      <formula>0.916666667</formula>
    </cfRule>
  </conditionalFormatting>
  <conditionalFormatting sqref="D25:D30">
    <cfRule type="containsBlanks" dxfId="447" priority="51">
      <formula>LEN(TRIM(D25))=0</formula>
    </cfRule>
  </conditionalFormatting>
  <conditionalFormatting sqref="E34:E36">
    <cfRule type="cellIs" dxfId="446" priority="48" stopIfTrue="1" operator="greaterThan">
      <formula>0.916666667</formula>
    </cfRule>
  </conditionalFormatting>
  <conditionalFormatting sqref="D34:D36">
    <cfRule type="containsBlanks" dxfId="445" priority="49">
      <formula>LEN(TRIM(D34))=0</formula>
    </cfRule>
  </conditionalFormatting>
  <conditionalFormatting sqref="I37">
    <cfRule type="expression" dxfId="444" priority="43">
      <formula>IF(I37&gt;TIME(0,0,0),TRUE)</formula>
    </cfRule>
  </conditionalFormatting>
  <conditionalFormatting sqref="D6:D30 D34:D36">
    <cfRule type="expression" dxfId="443" priority="26">
      <formula>AND($D6="",$E6&gt;0)</formula>
    </cfRule>
  </conditionalFormatting>
  <conditionalFormatting sqref="E6:E30 E34:E36">
    <cfRule type="expression" dxfId="442" priority="25">
      <formula>AND($E6="",$D6&gt;0)</formula>
    </cfRule>
  </conditionalFormatting>
  <conditionalFormatting sqref="E43">
    <cfRule type="expression" dxfId="441" priority="24" stopIfTrue="1">
      <formula>$E$42-$E$40&lt;0</formula>
    </cfRule>
  </conditionalFormatting>
  <conditionalFormatting sqref="H40">
    <cfRule type="expression" dxfId="440" priority="23">
      <formula>H40+H45+H46+H47+H48+H50-H41-H42-H43-H44&lt;H39</formula>
    </cfRule>
  </conditionalFormatting>
  <conditionalFormatting sqref="H54">
    <cfRule type="expression" dxfId="439" priority="22">
      <formula>IF(H54&gt;TIME(0,0,0),TRUE)</formula>
    </cfRule>
  </conditionalFormatting>
  <conditionalFormatting sqref="H55">
    <cfRule type="expression" dxfId="438" priority="21">
      <formula>IF(H55&gt;TIME(0,0,0),TRUE)</formula>
    </cfRule>
  </conditionalFormatting>
  <conditionalFormatting sqref="H56">
    <cfRule type="expression" dxfId="437" priority="20">
      <formula>IF(H56&gt;TIME(0,0,0),TRUE)</formula>
    </cfRule>
  </conditionalFormatting>
  <conditionalFormatting sqref="H58">
    <cfRule type="expression" dxfId="436" priority="19">
      <formula>IF(H58&gt;TIME(0,0,0),TRUE)</formula>
    </cfRule>
  </conditionalFormatting>
  <conditionalFormatting sqref="H59">
    <cfRule type="expression" dxfId="435" priority="18">
      <formula>IF(H59&gt;TIME(0,0,0),TRUE)</formula>
    </cfRule>
  </conditionalFormatting>
  <conditionalFormatting sqref="H61">
    <cfRule type="expression" dxfId="434" priority="17">
      <formula>IF(H61&gt;TIME(0,0,0),TRUE)</formula>
    </cfRule>
  </conditionalFormatting>
  <conditionalFormatting sqref="I53">
    <cfRule type="expression" dxfId="433" priority="16">
      <formula>IF(OR(E54&gt;0,E55&gt;0),TRUE)</formula>
    </cfRule>
  </conditionalFormatting>
  <conditionalFormatting sqref="I54">
    <cfRule type="expression" dxfId="432" priority="15">
      <formula>IF(H54&gt;TIME(0,0,0),TRUE)</formula>
    </cfRule>
  </conditionalFormatting>
  <conditionalFormatting sqref="I55">
    <cfRule type="expression" dxfId="431" priority="14">
      <formula>IF(H55&gt;TIME(0,0,0),TRUE)</formula>
    </cfRule>
  </conditionalFormatting>
  <conditionalFormatting sqref="H6:H35">
    <cfRule type="cellIs" dxfId="430" priority="13" stopIfTrue="1" operator="equal">
      <formula>"時間不足"</formula>
    </cfRule>
  </conditionalFormatting>
  <conditionalFormatting sqref="E31">
    <cfRule type="cellIs" dxfId="429" priority="11" stopIfTrue="1" operator="greaterThan">
      <formula>0.916666667</formula>
    </cfRule>
  </conditionalFormatting>
  <conditionalFormatting sqref="D31">
    <cfRule type="containsBlanks" dxfId="428" priority="12">
      <formula>LEN(TRIM(D31))=0</formula>
    </cfRule>
  </conditionalFormatting>
  <conditionalFormatting sqref="D31">
    <cfRule type="expression" dxfId="427" priority="10">
      <formula>AND($D31="",$E31&gt;0)</formula>
    </cfRule>
  </conditionalFormatting>
  <conditionalFormatting sqref="E31">
    <cfRule type="expression" dxfId="426" priority="9">
      <formula>AND($E31="",$D31&gt;0)</formula>
    </cfRule>
  </conditionalFormatting>
  <conditionalFormatting sqref="E32">
    <cfRule type="cellIs" dxfId="425" priority="7" stopIfTrue="1" operator="greaterThan">
      <formula>0.916666667</formula>
    </cfRule>
  </conditionalFormatting>
  <conditionalFormatting sqref="D32">
    <cfRule type="containsBlanks" dxfId="424" priority="8">
      <formula>LEN(TRIM(D32))=0</formula>
    </cfRule>
  </conditionalFormatting>
  <conditionalFormatting sqref="D32">
    <cfRule type="expression" dxfId="423" priority="6">
      <formula>AND($D32="",$E32&gt;0)</formula>
    </cfRule>
  </conditionalFormatting>
  <conditionalFormatting sqref="E32">
    <cfRule type="expression" dxfId="422" priority="5">
      <formula>AND($E32="",$D32&gt;0)</formula>
    </cfRule>
  </conditionalFormatting>
  <conditionalFormatting sqref="E33">
    <cfRule type="cellIs" dxfId="421" priority="3" stopIfTrue="1" operator="greaterThan">
      <formula>0.916666667</formula>
    </cfRule>
  </conditionalFormatting>
  <conditionalFormatting sqref="D33">
    <cfRule type="containsBlanks" dxfId="420" priority="4">
      <formula>LEN(TRIM(D33))=0</formula>
    </cfRule>
  </conditionalFormatting>
  <conditionalFormatting sqref="D33">
    <cfRule type="expression" dxfId="419" priority="2">
      <formula>AND($D33="",$E33&gt;0)</formula>
    </cfRule>
  </conditionalFormatting>
  <conditionalFormatting sqref="E33">
    <cfRule type="expression" dxfId="418" priority="1">
      <formula>AND($E33="",$D33&gt;0)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60">
        <v>44682</v>
      </c>
      <c r="B6" s="6">
        <f>$A$6+0</f>
        <v>44682</v>
      </c>
      <c r="C6" s="2" t="str">
        <f>IF(ISNUMBER(MATCH(B6,祝日リスト!$B$2:$B$33,0)),"(" &amp; TEXT(B6,"aaa") &amp; ")",TEXT(B6,"aaa"))</f>
        <v>日</v>
      </c>
      <c r="D6" s="68"/>
      <c r="E6" s="68"/>
      <c r="F6" s="73" t="str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/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/>
      </c>
      <c r="P6" s="79" t="str">
        <f>IF(TEXT(B6,"aaa")="日","法休日",IF(OR(TEXT(B6,"aaa")="土",ISNUMBER(MATCH(B6,祝日リスト!$B$2:$B$30,0))),"所休日",""))</f>
        <v>法休日</v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 t="str">
        <f t="shared" ref="V6:V36" si="3">IF(OR(O6="○",Q6="法休出",Q6="法休出→代",Q6="所休出",Q6="所休出→代"),TIME(1,0,0),"")</f>
        <v/>
      </c>
      <c r="W6" s="10" t="str">
        <f>IF(U6&gt;0,U6-T6-V6,"")</f>
        <v/>
      </c>
    </row>
    <row r="7" spans="1:23">
      <c r="A7" s="11"/>
      <c r="B7" s="12">
        <f>$A$6+1</f>
        <v>44683</v>
      </c>
      <c r="C7" s="2" t="str">
        <f>IF(ISNUMBER(MATCH(B7,祝日リスト!$B$2:$B$33,0)),"(" &amp; TEXT(B7,"aaa") &amp; ")",TEXT(B7,"aaa"))</f>
        <v>月</v>
      </c>
      <c r="D7" s="68"/>
      <c r="E7" s="68"/>
      <c r="F7" s="73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>4.1666666666666664E-2</v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>○</v>
      </c>
      <c r="P7" s="79" t="str">
        <f>IF(TEXT(B7,"aaa")="日","法休日",IF(OR(TEXT(B7,"aaa")="土",ISNUMBER(MATCH(B7,祝日リスト!$B$2:$B$30,0))),"所休日",""))</f>
        <v/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>
        <f t="shared" si="3"/>
        <v>4.1666666666666664E-2</v>
      </c>
      <c r="W7" s="15" t="str">
        <f t="shared" ref="W7:W36" si="12">IF(U7&gt;0,U7-T7-V7,"")</f>
        <v/>
      </c>
    </row>
    <row r="8" spans="1:23">
      <c r="A8" s="11"/>
      <c r="B8" s="12">
        <f>$A$6+2</f>
        <v>44684</v>
      </c>
      <c r="C8" s="2" t="str">
        <f>IF(ISNUMBER(MATCH(B8,祝日リスト!$B$2:$B$33,0)),"(" &amp; TEXT(B8,"aaa") &amp; ")",TEXT(B8,"aaa"))</f>
        <v>(火)</v>
      </c>
      <c r="D8" s="68"/>
      <c r="E8" s="68"/>
      <c r="F8" s="73" t="str">
        <f t="shared" si="4"/>
        <v/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/>
      </c>
      <c r="P8" s="79" t="str">
        <f>IF(TEXT(B8,"aaa")="日","法休日",IF(OR(TEXT(B8,"aaa")="土",ISNUMBER(MATCH(B8,祝日リスト!$B$2:$B$30,0))),"所休日",""))</f>
        <v>所休日</v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 t="str">
        <f t="shared" si="3"/>
        <v/>
      </c>
      <c r="W8" s="15" t="str">
        <f t="shared" si="12"/>
        <v/>
      </c>
    </row>
    <row r="9" spans="1:23">
      <c r="A9" s="11"/>
      <c r="B9" s="12">
        <f>$A$6+3</f>
        <v>44685</v>
      </c>
      <c r="C9" s="2" t="str">
        <f>IF(ISNUMBER(MATCH(B9,祝日リスト!$B$2:$B$33,0)),"(" &amp; TEXT(B9,"aaa") &amp; ")",TEXT(B9,"aaa"))</f>
        <v>(水)</v>
      </c>
      <c r="D9" s="68"/>
      <c r="E9" s="68"/>
      <c r="F9" s="73" t="str">
        <f t="shared" si="4"/>
        <v/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/>
      </c>
      <c r="P9" s="79" t="str">
        <f>IF(TEXT(B9,"aaa")="日","法休日",IF(OR(TEXT(B9,"aaa")="土",ISNUMBER(MATCH(B9,祝日リスト!$B$2:$B$30,0))),"所休日",""))</f>
        <v>所休日</v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 t="str">
        <f t="shared" si="3"/>
        <v/>
      </c>
      <c r="W9" s="15" t="str">
        <f t="shared" si="12"/>
        <v/>
      </c>
    </row>
    <row r="10" spans="1:23">
      <c r="A10" s="11"/>
      <c r="B10" s="12">
        <f>$A$6+4</f>
        <v>44686</v>
      </c>
      <c r="C10" s="2" t="str">
        <f>IF(ISNUMBER(MATCH(B10,祝日リスト!$B$2:$B$33,0)),"(" &amp; TEXT(B10,"aaa") &amp; ")",TEXT(B10,"aaa"))</f>
        <v>(木)</v>
      </c>
      <c r="D10" s="68"/>
      <c r="E10" s="68"/>
      <c r="F10" s="73" t="str">
        <f t="shared" si="4"/>
        <v/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/>
      </c>
      <c r="P10" s="79" t="str">
        <f>IF(TEXT(B10,"aaa")="日","法休日",IF(OR(TEXT(B10,"aaa")="土",ISNUMBER(MATCH(B10,祝日リスト!$B$2:$B$30,0))),"所休日",""))</f>
        <v>所休日</v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 t="str">
        <f t="shared" si="3"/>
        <v/>
      </c>
      <c r="W10" s="15" t="str">
        <f t="shared" si="12"/>
        <v/>
      </c>
    </row>
    <row r="11" spans="1:23">
      <c r="A11" s="11"/>
      <c r="B11" s="12">
        <f>$A$6+5</f>
        <v>44687</v>
      </c>
      <c r="C11" s="2" t="str">
        <f>IF(ISNUMBER(MATCH(B11,祝日リスト!$B$2:$B$33,0)),"(" &amp; TEXT(B11,"aaa") &amp; ")",TEXT(B11,"aaa"))</f>
        <v>金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44688</v>
      </c>
      <c r="C12" s="2" t="str">
        <f>IF(ISNUMBER(MATCH(B12,祝日リスト!$B$2:$B$33,0)),"(" &amp; TEXT(B12,"aaa") &amp; ")",TEXT(B12,"aaa"))</f>
        <v>土</v>
      </c>
      <c r="D12" s="68"/>
      <c r="E12" s="68"/>
      <c r="F12" s="73" t="str">
        <f t="shared" si="4"/>
        <v/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/>
      </c>
      <c r="P12" s="79" t="str">
        <f>IF(TEXT(B12,"aaa")="日","法休日",IF(OR(TEXT(B12,"aaa")="土",ISNUMBER(MATCH(B12,祝日リスト!$B$2:$B$30,0))),"所休日",""))</f>
        <v>所休日</v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 t="str">
        <f t="shared" si="3"/>
        <v/>
      </c>
      <c r="W12" s="15" t="str">
        <f t="shared" si="12"/>
        <v/>
      </c>
    </row>
    <row r="13" spans="1:23">
      <c r="A13" s="11"/>
      <c r="B13" s="12">
        <f>$A$6+7</f>
        <v>44689</v>
      </c>
      <c r="C13" s="2" t="str">
        <f>IF(ISNUMBER(MATCH(B13,祝日リスト!$B$2:$B$33,0)),"(" &amp; TEXT(B13,"aaa") &amp; ")",TEXT(B13,"aaa"))</f>
        <v>日</v>
      </c>
      <c r="D13" s="68"/>
      <c r="E13" s="68"/>
      <c r="F13" s="73" t="str">
        <f t="shared" si="4"/>
        <v/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/>
      </c>
      <c r="P13" s="79" t="str">
        <f>IF(TEXT(B13,"aaa")="日","法休日",IF(OR(TEXT(B13,"aaa")="土",ISNUMBER(MATCH(B13,祝日リスト!$B$2:$B$30,0))),"所休日",""))</f>
        <v>法休日</v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 t="str">
        <f t="shared" si="3"/>
        <v/>
      </c>
      <c r="W13" s="15" t="str">
        <f t="shared" si="12"/>
        <v/>
      </c>
    </row>
    <row r="14" spans="1:23">
      <c r="A14" s="11"/>
      <c r="B14" s="12">
        <f>$A$6+8</f>
        <v>44690</v>
      </c>
      <c r="C14" s="2" t="str">
        <f>IF(ISNUMBER(MATCH(B14,祝日リスト!$B$2:$B$33,0)),"(" &amp; TEXT(B14,"aaa") &amp; ")",TEXT(B14,"aaa"))</f>
        <v>月</v>
      </c>
      <c r="D14" s="68"/>
      <c r="E14" s="68"/>
      <c r="F14" s="73">
        <f t="shared" si="4"/>
        <v>4.1666666666666664E-2</v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>○</v>
      </c>
      <c r="P14" s="79" t="str">
        <f>IF(TEXT(B14,"aaa")="日","法休日",IF(OR(TEXT(B14,"aaa")="土",ISNUMBER(MATCH(B14,祝日リスト!$B$2:$B$30,0))),"所休日",""))</f>
        <v/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>
        <f t="shared" si="3"/>
        <v>4.1666666666666664E-2</v>
      </c>
      <c r="W14" s="15" t="str">
        <f t="shared" si="12"/>
        <v/>
      </c>
    </row>
    <row r="15" spans="1:23">
      <c r="A15" s="11"/>
      <c r="B15" s="12">
        <f>$A$6+9</f>
        <v>44691</v>
      </c>
      <c r="C15" s="2" t="str">
        <f>IF(ISNUMBER(MATCH(B15,祝日リスト!$B$2:$B$33,0)),"(" &amp; TEXT(B15,"aaa") &amp; ")",TEXT(B15,"aaa"))</f>
        <v>火</v>
      </c>
      <c r="D15" s="68"/>
      <c r="E15" s="68"/>
      <c r="F15" s="73">
        <f t="shared" si="4"/>
        <v>4.1666666666666664E-2</v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>○</v>
      </c>
      <c r="P15" s="79" t="str">
        <f>IF(TEXT(B15,"aaa")="日","法休日",IF(OR(TEXT(B15,"aaa")="土",ISNUMBER(MATCH(B15,祝日リスト!$B$2:$B$30,0))),"所休日",""))</f>
        <v/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>
        <f t="shared" si="3"/>
        <v>4.1666666666666664E-2</v>
      </c>
      <c r="W15" s="15" t="str">
        <f t="shared" si="12"/>
        <v/>
      </c>
    </row>
    <row r="16" spans="1:23">
      <c r="A16" s="11"/>
      <c r="B16" s="12">
        <f>$A$6+10</f>
        <v>44692</v>
      </c>
      <c r="C16" s="2" t="str">
        <f>IF(ISNUMBER(MATCH(B16,祝日リスト!$B$2:$B$33,0)),"(" &amp; TEXT(B16,"aaa") &amp; ")",TEXT(B16,"aaa"))</f>
        <v>水</v>
      </c>
      <c r="D16" s="68"/>
      <c r="E16" s="68"/>
      <c r="F16" s="73">
        <f t="shared" si="4"/>
        <v>4.1666666666666664E-2</v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>○</v>
      </c>
      <c r="P16" s="79" t="str">
        <f>IF(TEXT(B16,"aaa")="日","法休日",IF(OR(TEXT(B16,"aaa")="土",ISNUMBER(MATCH(B16,祝日リスト!$B$2:$B$30,0))),"所休日",""))</f>
        <v/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>
        <f t="shared" si="3"/>
        <v>4.1666666666666664E-2</v>
      </c>
      <c r="W16" s="15" t="str">
        <f t="shared" si="12"/>
        <v/>
      </c>
    </row>
    <row r="17" spans="1:23">
      <c r="A17" s="11"/>
      <c r="B17" s="12">
        <f>$A$6+11</f>
        <v>44693</v>
      </c>
      <c r="C17" s="2" t="str">
        <f>IF(ISNUMBER(MATCH(B17,祝日リスト!$B$2:$B$33,0)),"(" &amp; TEXT(B17,"aaa") &amp; ")",TEXT(B17,"aaa"))</f>
        <v>木</v>
      </c>
      <c r="D17" s="68"/>
      <c r="E17" s="68"/>
      <c r="F17" s="73">
        <f t="shared" si="4"/>
        <v>4.1666666666666664E-2</v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>○</v>
      </c>
      <c r="P17" s="79" t="str">
        <f>IF(TEXT(B17,"aaa")="日","法休日",IF(OR(TEXT(B17,"aaa")="土",ISNUMBER(MATCH(B17,祝日リスト!$B$2:$B$30,0))),"所休日",""))</f>
        <v/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>
        <f t="shared" si="3"/>
        <v>4.1666666666666664E-2</v>
      </c>
      <c r="W17" s="15" t="str">
        <f t="shared" si="12"/>
        <v/>
      </c>
    </row>
    <row r="18" spans="1:23">
      <c r="A18" s="11"/>
      <c r="B18" s="12">
        <f>$A$6+12</f>
        <v>44694</v>
      </c>
      <c r="C18" s="2" t="str">
        <f>IF(ISNUMBER(MATCH(B18,祝日リスト!$B$2:$B$33,0)),"(" &amp; TEXT(B18,"aaa") &amp; ")",TEXT(B18,"aaa"))</f>
        <v>金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44695</v>
      </c>
      <c r="C19" s="2" t="str">
        <f>IF(ISNUMBER(MATCH(B19,祝日リスト!$B$2:$B$33,0)),"(" &amp; TEXT(B19,"aaa") &amp; ")",TEXT(B19,"aaa"))</f>
        <v>土</v>
      </c>
      <c r="D19" s="68"/>
      <c r="E19" s="68"/>
      <c r="F19" s="73" t="str">
        <f t="shared" si="4"/>
        <v/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/>
      </c>
      <c r="P19" s="79" t="str">
        <f>IF(TEXT(B19,"aaa")="日","法休日",IF(OR(TEXT(B19,"aaa")="土",ISNUMBER(MATCH(B19,祝日リスト!$B$2:$B$30,0))),"所休日",""))</f>
        <v>所休日</v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 t="str">
        <f t="shared" si="3"/>
        <v/>
      </c>
      <c r="W19" s="15" t="str">
        <f t="shared" si="12"/>
        <v/>
      </c>
    </row>
    <row r="20" spans="1:23">
      <c r="A20" s="11"/>
      <c r="B20" s="12">
        <f>$A$6+14</f>
        <v>44696</v>
      </c>
      <c r="C20" s="2" t="str">
        <f>IF(ISNUMBER(MATCH(B20,祝日リスト!$B$2:$B$33,0)),"(" &amp; TEXT(B20,"aaa") &amp; ")",TEXT(B20,"aaa"))</f>
        <v>日</v>
      </c>
      <c r="D20" s="68"/>
      <c r="E20" s="68"/>
      <c r="F20" s="73" t="str">
        <f t="shared" si="4"/>
        <v/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/>
      </c>
      <c r="P20" s="79" t="str">
        <f>IF(TEXT(B20,"aaa")="日","法休日",IF(OR(TEXT(B20,"aaa")="土",ISNUMBER(MATCH(B20,祝日リスト!$B$2:$B$30,0))),"所休日",""))</f>
        <v>法休日</v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 t="str">
        <f t="shared" si="3"/>
        <v/>
      </c>
      <c r="W20" s="15" t="str">
        <f t="shared" si="12"/>
        <v/>
      </c>
    </row>
    <row r="21" spans="1:23">
      <c r="A21" s="11"/>
      <c r="B21" s="12">
        <f>$A$6+15</f>
        <v>44697</v>
      </c>
      <c r="C21" s="2" t="str">
        <f>IF(ISNUMBER(MATCH(B21,祝日リスト!$B$2:$B$33,0)),"(" &amp; TEXT(B21,"aaa") &amp; ")",TEXT(B21,"aaa"))</f>
        <v>月</v>
      </c>
      <c r="D21" s="68"/>
      <c r="E21" s="68"/>
      <c r="F21" s="73">
        <f t="shared" si="4"/>
        <v>4.1666666666666664E-2</v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>
        <f t="shared" si="3"/>
        <v>4.1666666666666664E-2</v>
      </c>
      <c r="W21" s="15" t="str">
        <f t="shared" si="12"/>
        <v/>
      </c>
    </row>
    <row r="22" spans="1:23">
      <c r="A22" s="11"/>
      <c r="B22" s="12">
        <f>$A$6+16</f>
        <v>44698</v>
      </c>
      <c r="C22" s="2" t="str">
        <f>IF(ISNUMBER(MATCH(B22,祝日リスト!$B$2:$B$33,0)),"(" &amp; TEXT(B22,"aaa") &amp; ")",TEXT(B22,"aaa"))</f>
        <v>火</v>
      </c>
      <c r="D22" s="68"/>
      <c r="E22" s="68"/>
      <c r="F22" s="73">
        <f t="shared" si="4"/>
        <v>4.1666666666666664E-2</v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>○</v>
      </c>
      <c r="P22" s="79" t="str">
        <f>IF(TEXT(B22,"aaa")="日","法休日",IF(OR(TEXT(B22,"aaa")="土",ISNUMBER(MATCH(B22,祝日リスト!$B$2:$B$30,0))),"所休日",""))</f>
        <v/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>
        <f t="shared" si="3"/>
        <v>4.1666666666666664E-2</v>
      </c>
      <c r="W22" s="15" t="str">
        <f t="shared" si="12"/>
        <v/>
      </c>
    </row>
    <row r="23" spans="1:23">
      <c r="A23" s="11"/>
      <c r="B23" s="12">
        <f>$A$6+17</f>
        <v>44699</v>
      </c>
      <c r="C23" s="2" t="str">
        <f>IF(ISNUMBER(MATCH(B23,祝日リスト!$B$2:$B$33,0)),"(" &amp; TEXT(B23,"aaa") &amp; ")",TEXT(B23,"aaa"))</f>
        <v>水</v>
      </c>
      <c r="D23" s="68"/>
      <c r="E23" s="68"/>
      <c r="F23" s="73">
        <f t="shared" si="4"/>
        <v>4.1666666666666664E-2</v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>○</v>
      </c>
      <c r="P23" s="79" t="str">
        <f>IF(TEXT(B23,"aaa")="日","法休日",IF(OR(TEXT(B23,"aaa")="土",ISNUMBER(MATCH(B23,祝日リスト!$B$2:$B$30,0))),"所休日",""))</f>
        <v/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>
        <f t="shared" si="3"/>
        <v>4.1666666666666664E-2</v>
      </c>
      <c r="W23" s="15" t="str">
        <f t="shared" si="12"/>
        <v/>
      </c>
    </row>
    <row r="24" spans="1:23">
      <c r="A24" s="11"/>
      <c r="B24" s="12">
        <f>$A$6+18</f>
        <v>44700</v>
      </c>
      <c r="C24" s="2" t="str">
        <f>IF(ISNUMBER(MATCH(B24,祝日リスト!$B$2:$B$33,0)),"(" &amp; TEXT(B24,"aaa") &amp; ")",TEXT(B24,"aaa"))</f>
        <v>木</v>
      </c>
      <c r="D24" s="68"/>
      <c r="E24" s="68"/>
      <c r="F24" s="73">
        <f t="shared" si="4"/>
        <v>4.1666666666666664E-2</v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>○</v>
      </c>
      <c r="P24" s="79" t="str">
        <f>IF(TEXT(B24,"aaa")="日","法休日",IF(OR(TEXT(B24,"aaa")="土",ISNUMBER(MATCH(B24,祝日リスト!$B$2:$B$30,0))),"所休日",""))</f>
        <v/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>
        <f t="shared" si="3"/>
        <v>4.1666666666666664E-2</v>
      </c>
      <c r="W24" s="15" t="str">
        <f t="shared" si="12"/>
        <v/>
      </c>
    </row>
    <row r="25" spans="1:23">
      <c r="A25" s="11"/>
      <c r="B25" s="12">
        <f>$A$6+19</f>
        <v>44701</v>
      </c>
      <c r="C25" s="2" t="str">
        <f>IF(ISNUMBER(MATCH(B25,祝日リスト!$B$2:$B$33,0)),"(" &amp; TEXT(B25,"aaa") &amp; ")",TEXT(B25,"aaa"))</f>
        <v>金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44702</v>
      </c>
      <c r="C26" s="2" t="str">
        <f>IF(ISNUMBER(MATCH(B26,祝日リスト!$B$2:$B$33,0)),"(" &amp; TEXT(B26,"aaa") &amp; ")",TEXT(B26,"aaa"))</f>
        <v>土</v>
      </c>
      <c r="D26" s="68"/>
      <c r="E26" s="68"/>
      <c r="F26" s="73" t="str">
        <f t="shared" si="4"/>
        <v/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/>
      </c>
      <c r="P26" s="79" t="str">
        <f>IF(TEXT(B26,"aaa")="日","法休日",IF(OR(TEXT(B26,"aaa")="土",ISNUMBER(MATCH(B26,祝日リスト!$B$2:$B$30,0))),"所休日",""))</f>
        <v>所休日</v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 t="str">
        <f t="shared" si="3"/>
        <v/>
      </c>
      <c r="W26" s="15" t="str">
        <f t="shared" si="12"/>
        <v/>
      </c>
    </row>
    <row r="27" spans="1:23">
      <c r="A27" s="11"/>
      <c r="B27" s="12">
        <f>$A$6+21</f>
        <v>44703</v>
      </c>
      <c r="C27" s="2" t="str">
        <f>IF(ISNUMBER(MATCH(B27,祝日リスト!$B$2:$B$33,0)),"(" &amp; TEXT(B27,"aaa") &amp; ")",TEXT(B27,"aaa"))</f>
        <v>日</v>
      </c>
      <c r="D27" s="68"/>
      <c r="E27" s="68"/>
      <c r="F27" s="73" t="str">
        <f t="shared" si="4"/>
        <v/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/>
      </c>
      <c r="P27" s="79" t="str">
        <f>IF(TEXT(B27,"aaa")="日","法休日",IF(OR(TEXT(B27,"aaa")="土",ISNUMBER(MATCH(B27,祝日リスト!$B$2:$B$30,0))),"所休日",""))</f>
        <v>法休日</v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 t="str">
        <f t="shared" si="3"/>
        <v/>
      </c>
      <c r="W27" s="15" t="str">
        <f t="shared" si="12"/>
        <v/>
      </c>
    </row>
    <row r="28" spans="1:23">
      <c r="A28" s="11"/>
      <c r="B28" s="12">
        <f>$A$6+22</f>
        <v>44704</v>
      </c>
      <c r="C28" s="2" t="str">
        <f>IF(ISNUMBER(MATCH(B28,祝日リスト!$B$2:$B$33,0)),"(" &amp; TEXT(B28,"aaa") &amp; ")",TEXT(B28,"aaa"))</f>
        <v>月</v>
      </c>
      <c r="D28" s="68"/>
      <c r="E28" s="68"/>
      <c r="F28" s="73">
        <f t="shared" si="4"/>
        <v>4.1666666666666664E-2</v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>○</v>
      </c>
      <c r="P28" s="79" t="str">
        <f>IF(TEXT(B28,"aaa")="日","法休日",IF(OR(TEXT(B28,"aaa")="土",ISNUMBER(MATCH(B28,祝日リスト!$B$2:$B$30,0))),"所休日",""))</f>
        <v/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>
        <f t="shared" si="3"/>
        <v>4.1666666666666664E-2</v>
      </c>
      <c r="W28" s="15" t="str">
        <f t="shared" si="12"/>
        <v/>
      </c>
    </row>
    <row r="29" spans="1:23">
      <c r="A29" s="11"/>
      <c r="B29" s="12">
        <f>$A$6+23</f>
        <v>44705</v>
      </c>
      <c r="C29" s="2" t="str">
        <f>IF(ISNUMBER(MATCH(B29,祝日リスト!$B$2:$B$33,0)),"(" &amp; TEXT(B29,"aaa") &amp; ")",TEXT(B29,"aaa"))</f>
        <v>火</v>
      </c>
      <c r="D29" s="68"/>
      <c r="E29" s="68"/>
      <c r="F29" s="73">
        <f t="shared" si="4"/>
        <v>4.1666666666666664E-2</v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>○</v>
      </c>
      <c r="P29" s="79" t="str">
        <f>IF(TEXT(B29,"aaa")="日","法休日",IF(OR(TEXT(B29,"aaa")="土",ISNUMBER(MATCH(B29,祝日リスト!$B$2:$B$30,0))),"所休日",""))</f>
        <v/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>
        <f t="shared" si="3"/>
        <v>4.1666666666666664E-2</v>
      </c>
      <c r="W29" s="15" t="str">
        <f t="shared" si="12"/>
        <v/>
      </c>
    </row>
    <row r="30" spans="1:23">
      <c r="A30" s="11"/>
      <c r="B30" s="12">
        <f>$A$6+24</f>
        <v>44706</v>
      </c>
      <c r="C30" s="2" t="str">
        <f>IF(ISNUMBER(MATCH(B30,祝日リスト!$B$2:$B$33,0)),"(" &amp; TEXT(B30,"aaa") &amp; ")",TEXT(B30,"aaa"))</f>
        <v>水</v>
      </c>
      <c r="D30" s="68"/>
      <c r="E30" s="68"/>
      <c r="F30" s="73">
        <f t="shared" si="4"/>
        <v>4.1666666666666664E-2</v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>○</v>
      </c>
      <c r="P30" s="79" t="str">
        <f>IF(TEXT(B30,"aaa")="日","法休日",IF(OR(TEXT(B30,"aaa")="土",ISNUMBER(MATCH(B30,祝日リスト!$B$2:$B$30,0))),"所休日",""))</f>
        <v/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>
        <f t="shared" si="3"/>
        <v>4.1666666666666664E-2</v>
      </c>
      <c r="W30" s="15" t="str">
        <f t="shared" si="12"/>
        <v/>
      </c>
    </row>
    <row r="31" spans="1:23">
      <c r="A31" s="11"/>
      <c r="B31" s="12">
        <f>$A$6+25</f>
        <v>44707</v>
      </c>
      <c r="C31" s="2" t="str">
        <f>IF(ISNUMBER(MATCH(B31,祝日リスト!$B$2:$B$33,0)),"(" &amp; TEXT(B31,"aaa") &amp; ")",TEXT(B31,"aaa"))</f>
        <v>木</v>
      </c>
      <c r="D31" s="68"/>
      <c r="E31" s="68"/>
      <c r="F31" s="73">
        <f t="shared" si="4"/>
        <v>4.1666666666666664E-2</v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>○</v>
      </c>
      <c r="P31" s="79" t="str">
        <f>IF(TEXT(B31,"aaa")="日","法休日",IF(OR(TEXT(B31,"aaa")="土",ISNUMBER(MATCH(B31,祝日リスト!$B$2:$B$30,0))),"所休日",""))</f>
        <v/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>
        <f t="shared" si="3"/>
        <v>4.1666666666666664E-2</v>
      </c>
      <c r="W31" s="15" t="str">
        <f t="shared" si="12"/>
        <v/>
      </c>
    </row>
    <row r="32" spans="1:23">
      <c r="A32" s="11"/>
      <c r="B32" s="12">
        <f>$A$6+26</f>
        <v>44708</v>
      </c>
      <c r="C32" s="2" t="str">
        <f>IF(ISNUMBER(MATCH(B32,祝日リスト!$B$2:$B$33,0)),"(" &amp; TEXT(B32,"aaa") &amp; ")",TEXT(B32,"aaa"))</f>
        <v>金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44709</v>
      </c>
      <c r="C33" s="2" t="str">
        <f>IF(ISNUMBER(MATCH(B33,祝日リスト!$B$2:$B$33,0)),"(" &amp; TEXT(B33,"aaa") &amp; ")",TEXT(B33,"aaa"))</f>
        <v>土</v>
      </c>
      <c r="D33" s="68"/>
      <c r="E33" s="68"/>
      <c r="F33" s="73" t="str">
        <f t="shared" si="4"/>
        <v/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/>
      </c>
      <c r="P33" s="79" t="str">
        <f>IF(TEXT(B33,"aaa")="日","法休日",IF(OR(TEXT(B33,"aaa")="土",ISNUMBER(MATCH(B33,祝日リスト!$B$2:$B$30,0))),"所休日",""))</f>
        <v>所休日</v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 t="str">
        <f t="shared" si="3"/>
        <v/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44710</v>
      </c>
      <c r="C34" s="2" t="str">
        <f>IF(ISNUMBER(MATCH(B34,祝日リスト!$B$2:$B$33,0)),"(" &amp; TEXT(B34,"aaa") &amp; ")",TEXT(B34,"aaa"))</f>
        <v>日</v>
      </c>
      <c r="D34" s="68"/>
      <c r="E34" s="68"/>
      <c r="F34" s="73" t="str">
        <f t="shared" si="4"/>
        <v/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/>
      </c>
      <c r="P34" s="79" t="str">
        <f>IF(TEXT(B34,"aaa")="日","法休日",IF(OR(TEXT(B34,"aaa")="土",ISNUMBER(MATCH(B34,祝日リスト!$B$2:$B$30,0))),"所休日",""))</f>
        <v>法休日</v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 t="str">
        <f t="shared" si="3"/>
        <v/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44711</v>
      </c>
      <c r="C35" s="2" t="str">
        <f>IF(ISNUMBER(MATCH(B35,祝日リスト!$B$2:$B$33,0)),"(" &amp; TEXT(B35,"aaa") &amp; ")",TEXT(B35,"aaa"))</f>
        <v>月</v>
      </c>
      <c r="D35" s="68"/>
      <c r="E35" s="68"/>
      <c r="F35" s="73">
        <f t="shared" si="4"/>
        <v>4.1666666666666664E-2</v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>○</v>
      </c>
      <c r="P35" s="79" t="str">
        <f>IF(TEXT(B35,"aaa")="日","法休日",IF(OR(TEXT(B35,"aaa")="土",ISNUMBER(MATCH(B35,祝日リスト!$B$2:$B$30,0))),"所休日",""))</f>
        <v/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>
        <f t="shared" si="3"/>
        <v>4.1666666666666664E-2</v>
      </c>
      <c r="W35" s="15" t="str">
        <f t="shared" si="12"/>
        <v/>
      </c>
    </row>
    <row r="36" spans="1:23">
      <c r="A36" s="16"/>
      <c r="B36" s="17">
        <f>IF($A$6+30&gt;DATE(YEAR($A$6),MONTH($A$6)+1,0),"",$A$6+30)</f>
        <v>44712</v>
      </c>
      <c r="C36" s="3" t="str">
        <f>IF(ISNUMBER(MATCH(B36,祝日リスト!$B$2:$B$33,0)),"(" &amp; TEXT(B36,"aaa") &amp; ")",TEXT(B36,"aaa"))</f>
        <v>火</v>
      </c>
      <c r="D36" s="69"/>
      <c r="E36" s="69"/>
      <c r="F36" s="74">
        <f t="shared" si="4"/>
        <v>4.1666666666666664E-2</v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>○</v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>
        <f t="shared" si="3"/>
        <v>4.1666666666666664E-2</v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31</v>
      </c>
      <c r="C37" s="92">
        <f>40/7*B37</f>
        <v>177.14285714285714</v>
      </c>
      <c r="D37" s="93"/>
      <c r="E37" s="93"/>
      <c r="F37" s="94">
        <f t="shared" ref="F37:N37" si="14">SUM(F6:F36)</f>
        <v>0.79166666666666641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19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177</v>
      </c>
      <c r="F39" s="137" t="s">
        <v>14</v>
      </c>
      <c r="G39" s="138"/>
      <c r="H39" s="108">
        <f>COUNTIF(O6:O36,"○")</f>
        <v>19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6.333333333333333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104</v>
      </c>
      <c r="D41" s="133"/>
      <c r="E41" s="33">
        <f>H39*TIME(8,0,0)</f>
        <v>6.333333333333333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6.333333333333333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107</v>
      </c>
      <c r="Q45" s="5">
        <f>COUNTIF($Q$6:$Q$36,"有休")</f>
        <v>0</v>
      </c>
      <c r="R45" s="5" t="s">
        <v>158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109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112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125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126</v>
      </c>
      <c r="Q50" s="5">
        <f>COUNTIF($Q$6:$Q$36,"所休出張")</f>
        <v>0</v>
      </c>
      <c r="R50" s="5" t="s">
        <v>127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135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168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129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120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154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169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120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417" priority="44" stopIfTrue="1" operator="equal">
      <formula>""</formula>
    </cfRule>
  </conditionalFormatting>
  <conditionalFormatting sqref="T6:T36">
    <cfRule type="cellIs" dxfId="416" priority="45" stopIfTrue="1" operator="lessThan">
      <formula>0.375</formula>
    </cfRule>
  </conditionalFormatting>
  <conditionalFormatting sqref="U6:U36">
    <cfRule type="cellIs" dxfId="415" priority="46" stopIfTrue="1" operator="greaterThan">
      <formula>0.999305555555556</formula>
    </cfRule>
  </conditionalFormatting>
  <conditionalFormatting sqref="E6:E11">
    <cfRule type="cellIs" dxfId="414" priority="47" stopIfTrue="1" operator="greaterThan">
      <formula>0.916666667</formula>
    </cfRule>
  </conditionalFormatting>
  <conditionalFormatting sqref="C6:C36">
    <cfRule type="cellIs" dxfId="413" priority="48" stopIfTrue="1" operator="between">
      <formula>"土"</formula>
      <formula>"日"</formula>
    </cfRule>
    <cfRule type="cellIs" dxfId="412" priority="49" stopIfTrue="1" operator="equal">
      <formula>""</formula>
    </cfRule>
    <cfRule type="cellIs" dxfId="411" priority="50" stopIfTrue="1" operator="lessThan">
      <formula>"A"</formula>
    </cfRule>
  </conditionalFormatting>
  <conditionalFormatting sqref="P6:P36">
    <cfRule type="cellIs" dxfId="410" priority="40" stopIfTrue="1" operator="equal">
      <formula>"所休日"</formula>
    </cfRule>
    <cfRule type="cellIs" dxfId="409" priority="41" stopIfTrue="1" operator="equal">
      <formula>"法休日"</formula>
    </cfRule>
    <cfRule type="cellIs" dxfId="408" priority="42" stopIfTrue="1" operator="equal">
      <formula>"""休日"""</formula>
    </cfRule>
  </conditionalFormatting>
  <conditionalFormatting sqref="D6:D11">
    <cfRule type="containsBlanks" dxfId="407" priority="51">
      <formula>LEN(TRIM(D6))=0</formula>
    </cfRule>
  </conditionalFormatting>
  <conditionalFormatting sqref="E12:E17">
    <cfRule type="cellIs" dxfId="406" priority="38" stopIfTrue="1" operator="greaterThan">
      <formula>0.916666667</formula>
    </cfRule>
  </conditionalFormatting>
  <conditionalFormatting sqref="D12:D17">
    <cfRule type="containsBlanks" dxfId="405" priority="39">
      <formula>LEN(TRIM(D12))=0</formula>
    </cfRule>
  </conditionalFormatting>
  <conditionalFormatting sqref="Q6:Q36">
    <cfRule type="expression" dxfId="404" priority="35">
      <formula>OR($Q6="振休")</formula>
    </cfRule>
    <cfRule type="expression" dxfId="403" priority="36" stopIfTrue="1">
      <formula>OR($Q6="有休",$Q6="半休",$Q6="代休",$Q6="公休",$Q6="欠勤")</formula>
    </cfRule>
    <cfRule type="expression" dxfId="402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401" priority="34">
      <formula>AND(OR($Q6="所休出",$Q6="所休出→代",$Q6="所休出張",$Q6="所休出張→代"),$C6="日")</formula>
    </cfRule>
  </conditionalFormatting>
  <conditionalFormatting sqref="E18:E24">
    <cfRule type="cellIs" dxfId="400" priority="32" stopIfTrue="1" operator="greaterThan">
      <formula>0.916666667</formula>
    </cfRule>
  </conditionalFormatting>
  <conditionalFormatting sqref="D18:D24">
    <cfRule type="containsBlanks" dxfId="399" priority="33">
      <formula>LEN(TRIM(D18))=0</formula>
    </cfRule>
  </conditionalFormatting>
  <conditionalFormatting sqref="E25:E32">
    <cfRule type="cellIs" dxfId="398" priority="30" stopIfTrue="1" operator="greaterThan">
      <formula>0.916666667</formula>
    </cfRule>
  </conditionalFormatting>
  <conditionalFormatting sqref="D25:D32">
    <cfRule type="containsBlanks" dxfId="397" priority="31">
      <formula>LEN(TRIM(D25))=0</formula>
    </cfRule>
  </conditionalFormatting>
  <conditionalFormatting sqref="E33:E36">
    <cfRule type="cellIs" dxfId="396" priority="28" stopIfTrue="1" operator="greaterThan">
      <formula>0.916666667</formula>
    </cfRule>
  </conditionalFormatting>
  <conditionalFormatting sqref="D33:D36">
    <cfRule type="containsBlanks" dxfId="395" priority="29">
      <formula>LEN(TRIM(D33))=0</formula>
    </cfRule>
  </conditionalFormatting>
  <conditionalFormatting sqref="I37">
    <cfRule type="expression" dxfId="394" priority="24">
      <formula>IF(I37&gt;TIME(0,0,0),TRUE)</formula>
    </cfRule>
  </conditionalFormatting>
  <conditionalFormatting sqref="D6:D36">
    <cfRule type="expression" dxfId="393" priority="14">
      <formula>AND($D6="",$E6&gt;0)</formula>
    </cfRule>
  </conditionalFormatting>
  <conditionalFormatting sqref="E6:E36">
    <cfRule type="expression" dxfId="392" priority="13">
      <formula>AND($E6="",$D6&gt;0)</formula>
    </cfRule>
  </conditionalFormatting>
  <conditionalFormatting sqref="E43">
    <cfRule type="expression" dxfId="391" priority="12" stopIfTrue="1">
      <formula>$E$42-$E$40&lt;0</formula>
    </cfRule>
  </conditionalFormatting>
  <conditionalFormatting sqref="H40">
    <cfRule type="expression" dxfId="390" priority="11">
      <formula>H40+H45+H46+H47+H48+H50-H41-H42-H43-H44&lt;H39</formula>
    </cfRule>
  </conditionalFormatting>
  <conditionalFormatting sqref="H54">
    <cfRule type="expression" dxfId="389" priority="10">
      <formula>IF(H54&gt;TIME(0,0,0),TRUE)</formula>
    </cfRule>
  </conditionalFormatting>
  <conditionalFormatting sqref="H55">
    <cfRule type="expression" dxfId="388" priority="9">
      <formula>IF(H55&gt;TIME(0,0,0),TRUE)</formula>
    </cfRule>
  </conditionalFormatting>
  <conditionalFormatting sqref="H56">
    <cfRule type="expression" dxfId="387" priority="8">
      <formula>IF(H56&gt;TIME(0,0,0),TRUE)</formula>
    </cfRule>
  </conditionalFormatting>
  <conditionalFormatting sqref="H58">
    <cfRule type="expression" dxfId="386" priority="7">
      <formula>IF(H58&gt;TIME(0,0,0),TRUE)</formula>
    </cfRule>
  </conditionalFormatting>
  <conditionalFormatting sqref="H59">
    <cfRule type="expression" dxfId="385" priority="6">
      <formula>IF(H59&gt;TIME(0,0,0),TRUE)</formula>
    </cfRule>
  </conditionalFormatting>
  <conditionalFormatting sqref="H61">
    <cfRule type="expression" dxfId="384" priority="5">
      <formula>IF(H61&gt;TIME(0,0,0),TRUE)</formula>
    </cfRule>
  </conditionalFormatting>
  <conditionalFormatting sqref="I53">
    <cfRule type="expression" dxfId="383" priority="4">
      <formula>IF(OR(E54&gt;0,E55&gt;0),TRUE)</formula>
    </cfRule>
  </conditionalFormatting>
  <conditionalFormatting sqref="I54">
    <cfRule type="expression" dxfId="382" priority="3">
      <formula>IF(H54&gt;TIME(0,0,0),TRUE)</formula>
    </cfRule>
  </conditionalFormatting>
  <conditionalFormatting sqref="I55">
    <cfRule type="expression" dxfId="381" priority="2">
      <formula>IF(H55&gt;TIME(0,0,0),TRUE)</formula>
    </cfRule>
  </conditionalFormatting>
  <conditionalFormatting sqref="H6:H35">
    <cfRule type="cellIs" dxfId="380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60">
        <v>44713</v>
      </c>
      <c r="B6" s="6">
        <f>$A$6+0</f>
        <v>44713</v>
      </c>
      <c r="C6" s="2" t="str">
        <f>IF(ISNUMBER(MATCH(B6,祝日リスト!$B$2:$B$33,0)),"(" &amp; TEXT(B6,"aaa") &amp; ")",TEXT(B6,"aaa"))</f>
        <v>水</v>
      </c>
      <c r="D6" s="68"/>
      <c r="E6" s="68"/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>
        <f t="shared" ref="V6:V36" si="3">IF(OR(O6="○",Q6="法休出",Q6="法休出→代",Q6="所休出",Q6="所休出→代"),TIME(1,0,0),"")</f>
        <v>4.1666666666666664E-2</v>
      </c>
      <c r="W6" s="10" t="str">
        <f>IF(U6&gt;0,U6-T6-V6,"")</f>
        <v/>
      </c>
    </row>
    <row r="7" spans="1:23">
      <c r="A7" s="11"/>
      <c r="B7" s="12">
        <f>$A$6+1</f>
        <v>44714</v>
      </c>
      <c r="C7" s="2" t="str">
        <f>IF(ISNUMBER(MATCH(B7,祝日リスト!$B$2:$B$33,0)),"(" &amp; TEXT(B7,"aaa") &amp; ")",TEXT(B7,"aaa"))</f>
        <v>木</v>
      </c>
      <c r="D7" s="68"/>
      <c r="E7" s="68"/>
      <c r="F7" s="73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>4.1666666666666664E-2</v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>○</v>
      </c>
      <c r="P7" s="79" t="str">
        <f>IF(TEXT(B7,"aaa")="日","法休日",IF(OR(TEXT(B7,"aaa")="土",ISNUMBER(MATCH(B7,祝日リスト!$B$2:$B$30,0))),"所休日",""))</f>
        <v/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>
        <f t="shared" si="3"/>
        <v>4.1666666666666664E-2</v>
      </c>
      <c r="W7" s="15" t="str">
        <f t="shared" ref="W7:W36" si="12">IF(U7&gt;0,U7-T7-V7,"")</f>
        <v/>
      </c>
    </row>
    <row r="8" spans="1:23">
      <c r="A8" s="11"/>
      <c r="B8" s="12">
        <f>$A$6+2</f>
        <v>44715</v>
      </c>
      <c r="C8" s="2" t="str">
        <f>IF(ISNUMBER(MATCH(B8,祝日リスト!$B$2:$B$33,0)),"(" &amp; TEXT(B8,"aaa") &amp; ")",TEXT(B8,"aaa"))</f>
        <v>金</v>
      </c>
      <c r="D8" s="68"/>
      <c r="E8" s="68"/>
      <c r="F8" s="73">
        <f t="shared" si="4"/>
        <v>4.1666666666666664E-2</v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>○</v>
      </c>
      <c r="P8" s="79" t="str">
        <f>IF(TEXT(B8,"aaa")="日","法休日",IF(OR(TEXT(B8,"aaa")="土",ISNUMBER(MATCH(B8,祝日リスト!$B$2:$B$30,0))),"所休日",""))</f>
        <v/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>
        <f t="shared" si="3"/>
        <v>4.1666666666666664E-2</v>
      </c>
      <c r="W8" s="15" t="str">
        <f t="shared" si="12"/>
        <v/>
      </c>
    </row>
    <row r="9" spans="1:23">
      <c r="A9" s="11"/>
      <c r="B9" s="12">
        <f>$A$6+3</f>
        <v>44716</v>
      </c>
      <c r="C9" s="2" t="str">
        <f>IF(ISNUMBER(MATCH(B9,祝日リスト!$B$2:$B$33,0)),"(" &amp; TEXT(B9,"aaa") &amp; ")",TEXT(B9,"aaa"))</f>
        <v>土</v>
      </c>
      <c r="D9" s="68"/>
      <c r="E9" s="68"/>
      <c r="F9" s="73" t="str">
        <f t="shared" si="4"/>
        <v/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/>
      </c>
      <c r="P9" s="79" t="str">
        <f>IF(TEXT(B9,"aaa")="日","法休日",IF(OR(TEXT(B9,"aaa")="土",ISNUMBER(MATCH(B9,祝日リスト!$B$2:$B$30,0))),"所休日",""))</f>
        <v>所休日</v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 t="str">
        <f t="shared" si="3"/>
        <v/>
      </c>
      <c r="W9" s="15" t="str">
        <f t="shared" si="12"/>
        <v/>
      </c>
    </row>
    <row r="10" spans="1:23">
      <c r="A10" s="11"/>
      <c r="B10" s="12">
        <f>$A$6+4</f>
        <v>44717</v>
      </c>
      <c r="C10" s="2" t="str">
        <f>IF(ISNUMBER(MATCH(B10,祝日リスト!$B$2:$B$33,0)),"(" &amp; TEXT(B10,"aaa") &amp; ")",TEXT(B10,"aaa"))</f>
        <v>日</v>
      </c>
      <c r="D10" s="68"/>
      <c r="E10" s="68"/>
      <c r="F10" s="73" t="str">
        <f t="shared" si="4"/>
        <v/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/>
      </c>
      <c r="P10" s="79" t="str">
        <f>IF(TEXT(B10,"aaa")="日","法休日",IF(OR(TEXT(B10,"aaa")="土",ISNUMBER(MATCH(B10,祝日リスト!$B$2:$B$30,0))),"所休日",""))</f>
        <v>法休日</v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 t="str">
        <f t="shared" si="3"/>
        <v/>
      </c>
      <c r="W10" s="15" t="str">
        <f t="shared" si="12"/>
        <v/>
      </c>
    </row>
    <row r="11" spans="1:23">
      <c r="A11" s="11"/>
      <c r="B11" s="12">
        <f>$A$6+5</f>
        <v>44718</v>
      </c>
      <c r="C11" s="2" t="str">
        <f>IF(ISNUMBER(MATCH(B11,祝日リスト!$B$2:$B$33,0)),"(" &amp; TEXT(B11,"aaa") &amp; ")",TEXT(B11,"aaa"))</f>
        <v>月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44719</v>
      </c>
      <c r="C12" s="2" t="str">
        <f>IF(ISNUMBER(MATCH(B12,祝日リスト!$B$2:$B$33,0)),"(" &amp; TEXT(B12,"aaa") &amp; ")",TEXT(B12,"aaa"))</f>
        <v>火</v>
      </c>
      <c r="D12" s="68"/>
      <c r="E12" s="68"/>
      <c r="F12" s="73">
        <f t="shared" si="4"/>
        <v>4.1666666666666664E-2</v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>
        <f t="shared" si="3"/>
        <v>4.1666666666666664E-2</v>
      </c>
      <c r="W12" s="15" t="str">
        <f t="shared" si="12"/>
        <v/>
      </c>
    </row>
    <row r="13" spans="1:23">
      <c r="A13" s="11"/>
      <c r="B13" s="12">
        <f>$A$6+7</f>
        <v>44720</v>
      </c>
      <c r="C13" s="2" t="str">
        <f>IF(ISNUMBER(MATCH(B13,祝日リスト!$B$2:$B$33,0)),"(" &amp; TEXT(B13,"aaa") &amp; ")",TEXT(B13,"aaa"))</f>
        <v>水</v>
      </c>
      <c r="D13" s="68"/>
      <c r="E13" s="68"/>
      <c r="F13" s="73">
        <f t="shared" si="4"/>
        <v>4.1666666666666664E-2</v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>
        <f t="shared" si="3"/>
        <v>4.1666666666666664E-2</v>
      </c>
      <c r="W13" s="15" t="str">
        <f t="shared" si="12"/>
        <v/>
      </c>
    </row>
    <row r="14" spans="1:23">
      <c r="A14" s="11"/>
      <c r="B14" s="12">
        <f>$A$6+8</f>
        <v>44721</v>
      </c>
      <c r="C14" s="2" t="str">
        <f>IF(ISNUMBER(MATCH(B14,祝日リスト!$B$2:$B$33,0)),"(" &amp; TEXT(B14,"aaa") &amp; ")",TEXT(B14,"aaa"))</f>
        <v>木</v>
      </c>
      <c r="D14" s="68"/>
      <c r="E14" s="68"/>
      <c r="F14" s="73">
        <f t="shared" si="4"/>
        <v>4.1666666666666664E-2</v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>○</v>
      </c>
      <c r="P14" s="79" t="str">
        <f>IF(TEXT(B14,"aaa")="日","法休日",IF(OR(TEXT(B14,"aaa")="土",ISNUMBER(MATCH(B14,祝日リスト!$B$2:$B$30,0))),"所休日",""))</f>
        <v/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>
        <f t="shared" si="3"/>
        <v>4.1666666666666664E-2</v>
      </c>
      <c r="W14" s="15" t="str">
        <f t="shared" si="12"/>
        <v/>
      </c>
    </row>
    <row r="15" spans="1:23">
      <c r="A15" s="11"/>
      <c r="B15" s="12">
        <f>$A$6+9</f>
        <v>44722</v>
      </c>
      <c r="C15" s="2" t="str">
        <f>IF(ISNUMBER(MATCH(B15,祝日リスト!$B$2:$B$33,0)),"(" &amp; TEXT(B15,"aaa") &amp; ")",TEXT(B15,"aaa"))</f>
        <v>金</v>
      </c>
      <c r="D15" s="68"/>
      <c r="E15" s="68"/>
      <c r="F15" s="73">
        <f t="shared" si="4"/>
        <v>4.1666666666666664E-2</v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>○</v>
      </c>
      <c r="P15" s="79" t="str">
        <f>IF(TEXT(B15,"aaa")="日","法休日",IF(OR(TEXT(B15,"aaa")="土",ISNUMBER(MATCH(B15,祝日リスト!$B$2:$B$30,0))),"所休日",""))</f>
        <v/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>
        <f t="shared" si="3"/>
        <v>4.1666666666666664E-2</v>
      </c>
      <c r="W15" s="15" t="str">
        <f t="shared" si="12"/>
        <v/>
      </c>
    </row>
    <row r="16" spans="1:23">
      <c r="A16" s="11"/>
      <c r="B16" s="12">
        <f>$A$6+10</f>
        <v>44723</v>
      </c>
      <c r="C16" s="2" t="str">
        <f>IF(ISNUMBER(MATCH(B16,祝日リスト!$B$2:$B$33,0)),"(" &amp; TEXT(B16,"aaa") &amp; ")",TEXT(B16,"aaa"))</f>
        <v>土</v>
      </c>
      <c r="D16" s="68"/>
      <c r="E16" s="68"/>
      <c r="F16" s="73" t="str">
        <f t="shared" si="4"/>
        <v/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/>
      </c>
      <c r="P16" s="79" t="str">
        <f>IF(TEXT(B16,"aaa")="日","法休日",IF(OR(TEXT(B16,"aaa")="土",ISNUMBER(MATCH(B16,祝日リスト!$B$2:$B$30,0))),"所休日",""))</f>
        <v>所休日</v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 t="str">
        <f t="shared" si="3"/>
        <v/>
      </c>
      <c r="W16" s="15" t="str">
        <f t="shared" si="12"/>
        <v/>
      </c>
    </row>
    <row r="17" spans="1:23">
      <c r="A17" s="11"/>
      <c r="B17" s="12">
        <f>$A$6+11</f>
        <v>44724</v>
      </c>
      <c r="C17" s="2" t="str">
        <f>IF(ISNUMBER(MATCH(B17,祝日リスト!$B$2:$B$33,0)),"(" &amp; TEXT(B17,"aaa") &amp; ")",TEXT(B17,"aaa"))</f>
        <v>日</v>
      </c>
      <c r="D17" s="68"/>
      <c r="E17" s="68"/>
      <c r="F17" s="73" t="str">
        <f t="shared" si="4"/>
        <v/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/>
      </c>
      <c r="P17" s="79" t="str">
        <f>IF(TEXT(B17,"aaa")="日","法休日",IF(OR(TEXT(B17,"aaa")="土",ISNUMBER(MATCH(B17,祝日リスト!$B$2:$B$30,0))),"所休日",""))</f>
        <v>法休日</v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 t="str">
        <f t="shared" si="3"/>
        <v/>
      </c>
      <c r="W17" s="15" t="str">
        <f t="shared" si="12"/>
        <v/>
      </c>
    </row>
    <row r="18" spans="1:23">
      <c r="A18" s="11"/>
      <c r="B18" s="12">
        <f>$A$6+12</f>
        <v>44725</v>
      </c>
      <c r="C18" s="2" t="str">
        <f>IF(ISNUMBER(MATCH(B18,祝日リスト!$B$2:$B$33,0)),"(" &amp; TEXT(B18,"aaa") &amp; ")",TEXT(B18,"aaa"))</f>
        <v>月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44726</v>
      </c>
      <c r="C19" s="2" t="str">
        <f>IF(ISNUMBER(MATCH(B19,祝日リスト!$B$2:$B$33,0)),"(" &amp; TEXT(B19,"aaa") &amp; ")",TEXT(B19,"aaa"))</f>
        <v>火</v>
      </c>
      <c r="D19" s="68"/>
      <c r="E19" s="68"/>
      <c r="F19" s="73">
        <f t="shared" si="4"/>
        <v>4.1666666666666664E-2</v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>
        <f t="shared" si="3"/>
        <v>4.1666666666666664E-2</v>
      </c>
      <c r="W19" s="15" t="str">
        <f t="shared" si="12"/>
        <v/>
      </c>
    </row>
    <row r="20" spans="1:23">
      <c r="A20" s="11"/>
      <c r="B20" s="12">
        <f>$A$6+14</f>
        <v>44727</v>
      </c>
      <c r="C20" s="2" t="str">
        <f>IF(ISNUMBER(MATCH(B20,祝日リスト!$B$2:$B$33,0)),"(" &amp; TEXT(B20,"aaa") &amp; ")",TEXT(B20,"aaa"))</f>
        <v>水</v>
      </c>
      <c r="D20" s="68"/>
      <c r="E20" s="68"/>
      <c r="F20" s="73">
        <f t="shared" si="4"/>
        <v>4.1666666666666664E-2</v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>
        <f t="shared" si="3"/>
        <v>4.1666666666666664E-2</v>
      </c>
      <c r="W20" s="15" t="str">
        <f t="shared" si="12"/>
        <v/>
      </c>
    </row>
    <row r="21" spans="1:23">
      <c r="A21" s="11"/>
      <c r="B21" s="12">
        <f>$A$6+15</f>
        <v>44728</v>
      </c>
      <c r="C21" s="2" t="str">
        <f>IF(ISNUMBER(MATCH(B21,祝日リスト!$B$2:$B$33,0)),"(" &amp; TEXT(B21,"aaa") &amp; ")",TEXT(B21,"aaa"))</f>
        <v>木</v>
      </c>
      <c r="D21" s="68"/>
      <c r="E21" s="68"/>
      <c r="F21" s="73">
        <f t="shared" si="4"/>
        <v>4.1666666666666664E-2</v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>
        <f t="shared" si="3"/>
        <v>4.1666666666666664E-2</v>
      </c>
      <c r="W21" s="15" t="str">
        <f t="shared" si="12"/>
        <v/>
      </c>
    </row>
    <row r="22" spans="1:23">
      <c r="A22" s="11"/>
      <c r="B22" s="12">
        <f>$A$6+16</f>
        <v>44729</v>
      </c>
      <c r="C22" s="2" t="str">
        <f>IF(ISNUMBER(MATCH(B22,祝日リスト!$B$2:$B$33,0)),"(" &amp; TEXT(B22,"aaa") &amp; ")",TEXT(B22,"aaa"))</f>
        <v>金</v>
      </c>
      <c r="D22" s="68"/>
      <c r="E22" s="68"/>
      <c r="F22" s="73">
        <f t="shared" si="4"/>
        <v>4.1666666666666664E-2</v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>○</v>
      </c>
      <c r="P22" s="79" t="str">
        <f>IF(TEXT(B22,"aaa")="日","法休日",IF(OR(TEXT(B22,"aaa")="土",ISNUMBER(MATCH(B22,祝日リスト!$B$2:$B$30,0))),"所休日",""))</f>
        <v/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>
        <f t="shared" si="3"/>
        <v>4.1666666666666664E-2</v>
      </c>
      <c r="W22" s="15" t="str">
        <f t="shared" si="12"/>
        <v/>
      </c>
    </row>
    <row r="23" spans="1:23">
      <c r="A23" s="11"/>
      <c r="B23" s="12">
        <f>$A$6+17</f>
        <v>44730</v>
      </c>
      <c r="C23" s="2" t="str">
        <f>IF(ISNUMBER(MATCH(B23,祝日リスト!$B$2:$B$33,0)),"(" &amp; TEXT(B23,"aaa") &amp; ")",TEXT(B23,"aaa"))</f>
        <v>土</v>
      </c>
      <c r="D23" s="68"/>
      <c r="E23" s="68"/>
      <c r="F23" s="73" t="str">
        <f t="shared" si="4"/>
        <v/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/>
      </c>
      <c r="P23" s="79" t="str">
        <f>IF(TEXT(B23,"aaa")="日","法休日",IF(OR(TEXT(B23,"aaa")="土",ISNUMBER(MATCH(B23,祝日リスト!$B$2:$B$30,0))),"所休日",""))</f>
        <v>所休日</v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 t="str">
        <f t="shared" si="3"/>
        <v/>
      </c>
      <c r="W23" s="15" t="str">
        <f t="shared" si="12"/>
        <v/>
      </c>
    </row>
    <row r="24" spans="1:23">
      <c r="A24" s="11"/>
      <c r="B24" s="12">
        <f>$A$6+18</f>
        <v>44731</v>
      </c>
      <c r="C24" s="2" t="str">
        <f>IF(ISNUMBER(MATCH(B24,祝日リスト!$B$2:$B$33,0)),"(" &amp; TEXT(B24,"aaa") &amp; ")",TEXT(B24,"aaa"))</f>
        <v>日</v>
      </c>
      <c r="D24" s="68"/>
      <c r="E24" s="68"/>
      <c r="F24" s="73" t="str">
        <f t="shared" si="4"/>
        <v/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/>
      </c>
      <c r="P24" s="79" t="str">
        <f>IF(TEXT(B24,"aaa")="日","法休日",IF(OR(TEXT(B24,"aaa")="土",ISNUMBER(MATCH(B24,祝日リスト!$B$2:$B$30,0))),"所休日",""))</f>
        <v>法休日</v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 t="str">
        <f t="shared" si="3"/>
        <v/>
      </c>
      <c r="W24" s="15" t="str">
        <f t="shared" si="12"/>
        <v/>
      </c>
    </row>
    <row r="25" spans="1:23">
      <c r="A25" s="11"/>
      <c r="B25" s="12">
        <f>$A$6+19</f>
        <v>44732</v>
      </c>
      <c r="C25" s="2" t="str">
        <f>IF(ISNUMBER(MATCH(B25,祝日リスト!$B$2:$B$33,0)),"(" &amp; TEXT(B25,"aaa") &amp; ")",TEXT(B25,"aaa"))</f>
        <v>月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44733</v>
      </c>
      <c r="C26" s="2" t="str">
        <f>IF(ISNUMBER(MATCH(B26,祝日リスト!$B$2:$B$33,0)),"(" &amp; TEXT(B26,"aaa") &amp; ")",TEXT(B26,"aaa"))</f>
        <v>火</v>
      </c>
      <c r="D26" s="68"/>
      <c r="E26" s="68"/>
      <c r="F26" s="73">
        <f t="shared" si="4"/>
        <v>4.1666666666666664E-2</v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>○</v>
      </c>
      <c r="P26" s="79" t="str">
        <f>IF(TEXT(B26,"aaa")="日","法休日",IF(OR(TEXT(B26,"aaa")="土",ISNUMBER(MATCH(B26,祝日リスト!$B$2:$B$30,0))),"所休日",""))</f>
        <v/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>
        <f t="shared" si="3"/>
        <v>4.1666666666666664E-2</v>
      </c>
      <c r="W26" s="15" t="str">
        <f t="shared" si="12"/>
        <v/>
      </c>
    </row>
    <row r="27" spans="1:23">
      <c r="A27" s="11"/>
      <c r="B27" s="12">
        <f>$A$6+21</f>
        <v>44734</v>
      </c>
      <c r="C27" s="2" t="str">
        <f>IF(ISNUMBER(MATCH(B27,祝日リスト!$B$2:$B$33,0)),"(" &amp; TEXT(B27,"aaa") &amp; ")",TEXT(B27,"aaa"))</f>
        <v>水</v>
      </c>
      <c r="D27" s="68"/>
      <c r="E27" s="68"/>
      <c r="F27" s="73">
        <f t="shared" si="4"/>
        <v>4.1666666666666664E-2</v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>
        <f t="shared" si="3"/>
        <v>4.1666666666666664E-2</v>
      </c>
      <c r="W27" s="15" t="str">
        <f t="shared" si="12"/>
        <v/>
      </c>
    </row>
    <row r="28" spans="1:23">
      <c r="A28" s="11"/>
      <c r="B28" s="12">
        <f>$A$6+22</f>
        <v>44735</v>
      </c>
      <c r="C28" s="2" t="str">
        <f>IF(ISNUMBER(MATCH(B28,祝日リスト!$B$2:$B$33,0)),"(" &amp; TEXT(B28,"aaa") &amp; ")",TEXT(B28,"aaa"))</f>
        <v>木</v>
      </c>
      <c r="D28" s="68"/>
      <c r="E28" s="68"/>
      <c r="F28" s="73">
        <f t="shared" si="4"/>
        <v>4.1666666666666664E-2</v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>○</v>
      </c>
      <c r="P28" s="79" t="str">
        <f>IF(TEXT(B28,"aaa")="日","法休日",IF(OR(TEXT(B28,"aaa")="土",ISNUMBER(MATCH(B28,祝日リスト!$B$2:$B$30,0))),"所休日",""))</f>
        <v/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>
        <f t="shared" si="3"/>
        <v>4.1666666666666664E-2</v>
      </c>
      <c r="W28" s="15" t="str">
        <f t="shared" si="12"/>
        <v/>
      </c>
    </row>
    <row r="29" spans="1:23">
      <c r="A29" s="11"/>
      <c r="B29" s="12">
        <f>$A$6+23</f>
        <v>44736</v>
      </c>
      <c r="C29" s="2" t="str">
        <f>IF(ISNUMBER(MATCH(B29,祝日リスト!$B$2:$B$33,0)),"(" &amp; TEXT(B29,"aaa") &amp; ")",TEXT(B29,"aaa"))</f>
        <v>金</v>
      </c>
      <c r="D29" s="68"/>
      <c r="E29" s="68"/>
      <c r="F29" s="73">
        <f t="shared" si="4"/>
        <v>4.1666666666666664E-2</v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>○</v>
      </c>
      <c r="P29" s="79" t="str">
        <f>IF(TEXT(B29,"aaa")="日","法休日",IF(OR(TEXT(B29,"aaa")="土",ISNUMBER(MATCH(B29,祝日リスト!$B$2:$B$30,0))),"所休日",""))</f>
        <v/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>
        <f t="shared" si="3"/>
        <v>4.1666666666666664E-2</v>
      </c>
      <c r="W29" s="15" t="str">
        <f t="shared" si="12"/>
        <v/>
      </c>
    </row>
    <row r="30" spans="1:23">
      <c r="A30" s="11"/>
      <c r="B30" s="12">
        <f>$A$6+24</f>
        <v>44737</v>
      </c>
      <c r="C30" s="2" t="str">
        <f>IF(ISNUMBER(MATCH(B30,祝日リスト!$B$2:$B$33,0)),"(" &amp; TEXT(B30,"aaa") &amp; ")",TEXT(B30,"aaa"))</f>
        <v>土</v>
      </c>
      <c r="D30" s="68"/>
      <c r="E30" s="68"/>
      <c r="F30" s="73" t="str">
        <f t="shared" si="4"/>
        <v/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/>
      </c>
      <c r="P30" s="79" t="str">
        <f>IF(TEXT(B30,"aaa")="日","法休日",IF(OR(TEXT(B30,"aaa")="土",ISNUMBER(MATCH(B30,祝日リスト!$B$2:$B$30,0))),"所休日",""))</f>
        <v>所休日</v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 t="str">
        <f t="shared" si="3"/>
        <v/>
      </c>
      <c r="W30" s="15" t="str">
        <f t="shared" si="12"/>
        <v/>
      </c>
    </row>
    <row r="31" spans="1:23">
      <c r="A31" s="11"/>
      <c r="B31" s="12">
        <f>$A$6+25</f>
        <v>44738</v>
      </c>
      <c r="C31" s="2" t="str">
        <f>IF(ISNUMBER(MATCH(B31,祝日リスト!$B$2:$B$33,0)),"(" &amp; TEXT(B31,"aaa") &amp; ")",TEXT(B31,"aaa"))</f>
        <v>日</v>
      </c>
      <c r="D31" s="68"/>
      <c r="E31" s="68"/>
      <c r="F31" s="73" t="str">
        <f t="shared" si="4"/>
        <v/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/>
      </c>
      <c r="P31" s="79" t="str">
        <f>IF(TEXT(B31,"aaa")="日","法休日",IF(OR(TEXT(B31,"aaa")="土",ISNUMBER(MATCH(B31,祝日リスト!$B$2:$B$30,0))),"所休日",""))</f>
        <v>法休日</v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 t="str">
        <f t="shared" si="3"/>
        <v/>
      </c>
      <c r="W31" s="15" t="str">
        <f t="shared" si="12"/>
        <v/>
      </c>
    </row>
    <row r="32" spans="1:23">
      <c r="A32" s="11"/>
      <c r="B32" s="12">
        <f>$A$6+26</f>
        <v>44739</v>
      </c>
      <c r="C32" s="2" t="str">
        <f>IF(ISNUMBER(MATCH(B32,祝日リスト!$B$2:$B$33,0)),"(" &amp; TEXT(B32,"aaa") &amp; ")",TEXT(B32,"aaa"))</f>
        <v>月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44740</v>
      </c>
      <c r="C33" s="2" t="str">
        <f>IF(ISNUMBER(MATCH(B33,祝日リスト!$B$2:$B$33,0)),"(" &amp; TEXT(B33,"aaa") &amp; ")",TEXT(B33,"aaa"))</f>
        <v>火</v>
      </c>
      <c r="D33" s="68"/>
      <c r="E33" s="68"/>
      <c r="F33" s="73">
        <f t="shared" si="4"/>
        <v>4.1666666666666664E-2</v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>
        <f t="shared" si="3"/>
        <v>4.1666666666666664E-2</v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44741</v>
      </c>
      <c r="C34" s="2" t="str">
        <f>IF(ISNUMBER(MATCH(B34,祝日リスト!$B$2:$B$33,0)),"(" &amp; TEXT(B34,"aaa") &amp; ")",TEXT(B34,"aaa"))</f>
        <v>水</v>
      </c>
      <c r="D34" s="68"/>
      <c r="E34" s="68"/>
      <c r="F34" s="73">
        <f t="shared" si="4"/>
        <v>4.1666666666666664E-2</v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>○</v>
      </c>
      <c r="P34" s="79" t="str">
        <f>IF(TEXT(B34,"aaa")="日","法休日",IF(OR(TEXT(B34,"aaa")="土",ISNUMBER(MATCH(B34,祝日リスト!$B$2:$B$30,0))),"所休日",""))</f>
        <v/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>
        <f t="shared" si="3"/>
        <v>4.1666666666666664E-2</v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44742</v>
      </c>
      <c r="C35" s="2" t="str">
        <f>IF(ISNUMBER(MATCH(B35,祝日リスト!$B$2:$B$33,0)),"(" &amp; TEXT(B35,"aaa") &amp; ")",TEXT(B35,"aaa"))</f>
        <v>木</v>
      </c>
      <c r="D35" s="68"/>
      <c r="E35" s="68"/>
      <c r="F35" s="73">
        <f t="shared" si="4"/>
        <v>4.1666666666666664E-2</v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>○</v>
      </c>
      <c r="P35" s="79" t="str">
        <f>IF(TEXT(B35,"aaa")="日","法休日",IF(OR(TEXT(B35,"aaa")="土",ISNUMBER(MATCH(B35,祝日リスト!$B$2:$B$30,0))),"所休日",""))</f>
        <v/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>
        <f t="shared" si="3"/>
        <v>4.1666666666666664E-2</v>
      </c>
      <c r="W35" s="15" t="str">
        <f t="shared" si="12"/>
        <v/>
      </c>
    </row>
    <row r="36" spans="1:23">
      <c r="A36" s="16"/>
      <c r="B36" s="17" t="str">
        <f>IF($A$6+30&gt;DATE(YEAR($A$6),MONTH($A$6)+1,0),"",$A$6+30)</f>
        <v/>
      </c>
      <c r="C36" s="3" t="str">
        <f>IF(ISNUMBER(MATCH(B36,祝日リスト!$B$2:$B$33,0)),"(" &amp; TEXT(B36,"aaa") &amp; ")",TEXT(B36,"aaa"))</f>
        <v/>
      </c>
      <c r="D36" s="69"/>
      <c r="E36" s="69"/>
      <c r="F36" s="74" t="str">
        <f t="shared" si="4"/>
        <v/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/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 t="str">
        <f t="shared" si="3"/>
        <v/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30</v>
      </c>
      <c r="C37" s="92">
        <f>40/7*B37</f>
        <v>171.42857142857144</v>
      </c>
      <c r="D37" s="93"/>
      <c r="E37" s="93"/>
      <c r="F37" s="94">
        <f t="shared" ref="F37:N37" si="14">SUM(F6:F36)</f>
        <v>0.9166666666666663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22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171</v>
      </c>
      <c r="F39" s="137" t="s">
        <v>14</v>
      </c>
      <c r="G39" s="138"/>
      <c r="H39" s="108">
        <f>COUNTIF(O6:O36,"○")</f>
        <v>22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7.333333333333333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166</v>
      </c>
      <c r="D41" s="133"/>
      <c r="E41" s="33">
        <f>H39*TIME(8,0,0)</f>
        <v>7.333333333333333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7.333333333333333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107</v>
      </c>
      <c r="Q45" s="5">
        <f>COUNTIF($Q$6:$Q$36,"有休")</f>
        <v>0</v>
      </c>
      <c r="R45" s="5" t="s">
        <v>133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139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111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125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126</v>
      </c>
      <c r="Q50" s="5">
        <f>COUNTIF($Q$6:$Q$36,"所休出張")</f>
        <v>0</v>
      </c>
      <c r="R50" s="5" t="s">
        <v>127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167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128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146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156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165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123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156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379" priority="44" stopIfTrue="1" operator="equal">
      <formula>""</formula>
    </cfRule>
  </conditionalFormatting>
  <conditionalFormatting sqref="T6:T36">
    <cfRule type="cellIs" dxfId="378" priority="45" stopIfTrue="1" operator="lessThan">
      <formula>0.375</formula>
    </cfRule>
  </conditionalFormatting>
  <conditionalFormatting sqref="U6:U36">
    <cfRule type="cellIs" dxfId="377" priority="46" stopIfTrue="1" operator="greaterThan">
      <formula>0.999305555555556</formula>
    </cfRule>
  </conditionalFormatting>
  <conditionalFormatting sqref="E6:E11">
    <cfRule type="cellIs" dxfId="376" priority="47" stopIfTrue="1" operator="greaterThan">
      <formula>0.916666667</formula>
    </cfRule>
  </conditionalFormatting>
  <conditionalFormatting sqref="C6:C36">
    <cfRule type="cellIs" dxfId="375" priority="48" stopIfTrue="1" operator="between">
      <formula>"土"</formula>
      <formula>"日"</formula>
    </cfRule>
    <cfRule type="cellIs" dxfId="374" priority="49" stopIfTrue="1" operator="equal">
      <formula>""</formula>
    </cfRule>
    <cfRule type="cellIs" dxfId="373" priority="50" stopIfTrue="1" operator="lessThan">
      <formula>"A"</formula>
    </cfRule>
  </conditionalFormatting>
  <conditionalFormatting sqref="P6:P36">
    <cfRule type="cellIs" dxfId="372" priority="40" stopIfTrue="1" operator="equal">
      <formula>"所休日"</formula>
    </cfRule>
    <cfRule type="cellIs" dxfId="371" priority="41" stopIfTrue="1" operator="equal">
      <formula>"法休日"</formula>
    </cfRule>
    <cfRule type="cellIs" dxfId="370" priority="42" stopIfTrue="1" operator="equal">
      <formula>"""休日"""</formula>
    </cfRule>
  </conditionalFormatting>
  <conditionalFormatting sqref="D6:D11">
    <cfRule type="containsBlanks" dxfId="369" priority="51">
      <formula>LEN(TRIM(D6))=0</formula>
    </cfRule>
  </conditionalFormatting>
  <conditionalFormatting sqref="E12:E17">
    <cfRule type="cellIs" dxfId="368" priority="38" stopIfTrue="1" operator="greaterThan">
      <formula>0.916666667</formula>
    </cfRule>
  </conditionalFormatting>
  <conditionalFormatting sqref="D12:D17">
    <cfRule type="containsBlanks" dxfId="367" priority="39">
      <formula>LEN(TRIM(D12))=0</formula>
    </cfRule>
  </conditionalFormatting>
  <conditionalFormatting sqref="Q6:Q36">
    <cfRule type="expression" dxfId="366" priority="35">
      <formula>OR($Q6="振休")</formula>
    </cfRule>
    <cfRule type="expression" dxfId="365" priority="36" stopIfTrue="1">
      <formula>OR($Q6="有休",$Q6="半休",$Q6="代休",$Q6="公休",$Q6="欠勤")</formula>
    </cfRule>
    <cfRule type="expression" dxfId="364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363" priority="34">
      <formula>AND(OR($Q6="所休出",$Q6="所休出→代",$Q6="所休出張",$Q6="所休出張→代"),$C6="日")</formula>
    </cfRule>
  </conditionalFormatting>
  <conditionalFormatting sqref="E18:E24">
    <cfRule type="cellIs" dxfId="362" priority="32" stopIfTrue="1" operator="greaterThan">
      <formula>0.916666667</formula>
    </cfRule>
  </conditionalFormatting>
  <conditionalFormatting sqref="D18:D24">
    <cfRule type="containsBlanks" dxfId="361" priority="33">
      <formula>LEN(TRIM(D18))=0</formula>
    </cfRule>
  </conditionalFormatting>
  <conditionalFormatting sqref="E25:E32">
    <cfRule type="cellIs" dxfId="360" priority="30" stopIfTrue="1" operator="greaterThan">
      <formula>0.916666667</formula>
    </cfRule>
  </conditionalFormatting>
  <conditionalFormatting sqref="D25:D32">
    <cfRule type="containsBlanks" dxfId="359" priority="31">
      <formula>LEN(TRIM(D25))=0</formula>
    </cfRule>
  </conditionalFormatting>
  <conditionalFormatting sqref="E33:E36">
    <cfRule type="cellIs" dxfId="358" priority="28" stopIfTrue="1" operator="greaterThan">
      <formula>0.916666667</formula>
    </cfRule>
  </conditionalFormatting>
  <conditionalFormatting sqref="D33:D36">
    <cfRule type="containsBlanks" dxfId="357" priority="29">
      <formula>LEN(TRIM(D33))=0</formula>
    </cfRule>
  </conditionalFormatting>
  <conditionalFormatting sqref="I37">
    <cfRule type="expression" dxfId="356" priority="24">
      <formula>IF(I37&gt;TIME(0,0,0),TRUE)</formula>
    </cfRule>
  </conditionalFormatting>
  <conditionalFormatting sqref="D6:D36">
    <cfRule type="expression" dxfId="355" priority="14">
      <formula>AND($D6="",$E6&gt;0)</formula>
    </cfRule>
  </conditionalFormatting>
  <conditionalFormatting sqref="E6:E36">
    <cfRule type="expression" dxfId="354" priority="13">
      <formula>AND($E6="",$D6&gt;0)</formula>
    </cfRule>
  </conditionalFormatting>
  <conditionalFormatting sqref="E43">
    <cfRule type="expression" dxfId="353" priority="12" stopIfTrue="1">
      <formula>$E$42-$E$40&lt;0</formula>
    </cfRule>
  </conditionalFormatting>
  <conditionalFormatting sqref="H40">
    <cfRule type="expression" dxfId="352" priority="11">
      <formula>H40+H45+H46+H47+H48+H50-H41-H42-H43-H44&lt;H39</formula>
    </cfRule>
  </conditionalFormatting>
  <conditionalFormatting sqref="H54">
    <cfRule type="expression" dxfId="351" priority="10">
      <formula>IF(H54&gt;TIME(0,0,0),TRUE)</formula>
    </cfRule>
  </conditionalFormatting>
  <conditionalFormatting sqref="H55">
    <cfRule type="expression" dxfId="350" priority="9">
      <formula>IF(H55&gt;TIME(0,0,0),TRUE)</formula>
    </cfRule>
  </conditionalFormatting>
  <conditionalFormatting sqref="H56">
    <cfRule type="expression" dxfId="349" priority="8">
      <formula>IF(H56&gt;TIME(0,0,0),TRUE)</formula>
    </cfRule>
  </conditionalFormatting>
  <conditionalFormatting sqref="H58">
    <cfRule type="expression" dxfId="348" priority="7">
      <formula>IF(H58&gt;TIME(0,0,0),TRUE)</formula>
    </cfRule>
  </conditionalFormatting>
  <conditionalFormatting sqref="H59">
    <cfRule type="expression" dxfId="347" priority="6">
      <formula>IF(H59&gt;TIME(0,0,0),TRUE)</formula>
    </cfRule>
  </conditionalFormatting>
  <conditionalFormatting sqref="H61">
    <cfRule type="expression" dxfId="346" priority="5">
      <formula>IF(H61&gt;TIME(0,0,0),TRUE)</formula>
    </cfRule>
  </conditionalFormatting>
  <conditionalFormatting sqref="I53">
    <cfRule type="expression" dxfId="345" priority="4">
      <formula>IF(OR(E54&gt;0,E55&gt;0),TRUE)</formula>
    </cfRule>
  </conditionalFormatting>
  <conditionalFormatting sqref="I54">
    <cfRule type="expression" dxfId="344" priority="3">
      <formula>IF(H54&gt;TIME(0,0,0),TRUE)</formula>
    </cfRule>
  </conditionalFormatting>
  <conditionalFormatting sqref="I55">
    <cfRule type="expression" dxfId="343" priority="2">
      <formula>IF(H55&gt;TIME(0,0,0),TRUE)</formula>
    </cfRule>
  </conditionalFormatting>
  <conditionalFormatting sqref="H6:H35">
    <cfRule type="cellIs" dxfId="342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60">
        <v>44743</v>
      </c>
      <c r="B6" s="6">
        <f>$A$6+0</f>
        <v>44743</v>
      </c>
      <c r="C6" s="2" t="str">
        <f>IF(ISNUMBER(MATCH(B6,祝日リスト!$B$2:$B$33,0)),"(" &amp; TEXT(B6,"aaa") &amp; ")",TEXT(B6,"aaa"))</f>
        <v>金</v>
      </c>
      <c r="D6" s="68"/>
      <c r="E6" s="68"/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>
        <f t="shared" ref="V6:V36" si="3">IF(OR(O6="○",Q6="法休出",Q6="法休出→代",Q6="所休出",Q6="所休出→代"),TIME(1,0,0),"")</f>
        <v>4.1666666666666664E-2</v>
      </c>
      <c r="W6" s="10" t="str">
        <f>IF(U6&gt;0,U6-T6-V6,"")</f>
        <v/>
      </c>
    </row>
    <row r="7" spans="1:23">
      <c r="A7" s="11"/>
      <c r="B7" s="12">
        <f>$A$6+1</f>
        <v>44744</v>
      </c>
      <c r="C7" s="2" t="str">
        <f>IF(ISNUMBER(MATCH(B7,祝日リスト!$B$2:$B$33,0)),"(" &amp; TEXT(B7,"aaa") &amp; ")",TEXT(B7,"aaa"))</f>
        <v>土</v>
      </c>
      <c r="D7" s="68"/>
      <c r="E7" s="68"/>
      <c r="F7" s="73" t="str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/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/>
      </c>
      <c r="P7" s="79" t="str">
        <f>IF(TEXT(B7,"aaa")="日","法休日",IF(OR(TEXT(B7,"aaa")="土",ISNUMBER(MATCH(B7,祝日リスト!$B$2:$B$30,0))),"所休日",""))</f>
        <v>所休日</v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 t="str">
        <f t="shared" si="3"/>
        <v/>
      </c>
      <c r="W7" s="15" t="str">
        <f t="shared" ref="W7:W36" si="12">IF(U7&gt;0,U7-T7-V7,"")</f>
        <v/>
      </c>
    </row>
    <row r="8" spans="1:23">
      <c r="A8" s="11"/>
      <c r="B8" s="12">
        <f>$A$6+2</f>
        <v>44745</v>
      </c>
      <c r="C8" s="2" t="str">
        <f>IF(ISNUMBER(MATCH(B8,祝日リスト!$B$2:$B$33,0)),"(" &amp; TEXT(B8,"aaa") &amp; ")",TEXT(B8,"aaa"))</f>
        <v>日</v>
      </c>
      <c r="D8" s="68"/>
      <c r="E8" s="68"/>
      <c r="F8" s="73" t="str">
        <f t="shared" si="4"/>
        <v/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/>
      </c>
      <c r="P8" s="79" t="str">
        <f>IF(TEXT(B8,"aaa")="日","法休日",IF(OR(TEXT(B8,"aaa")="土",ISNUMBER(MATCH(B8,祝日リスト!$B$2:$B$30,0))),"所休日",""))</f>
        <v>法休日</v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 t="str">
        <f t="shared" si="3"/>
        <v/>
      </c>
      <c r="W8" s="15" t="str">
        <f t="shared" si="12"/>
        <v/>
      </c>
    </row>
    <row r="9" spans="1:23">
      <c r="A9" s="11"/>
      <c r="B9" s="12">
        <f>$A$6+3</f>
        <v>44746</v>
      </c>
      <c r="C9" s="2" t="str">
        <f>IF(ISNUMBER(MATCH(B9,祝日リスト!$B$2:$B$33,0)),"(" &amp; TEXT(B9,"aaa") &amp; ")",TEXT(B9,"aaa"))</f>
        <v>月</v>
      </c>
      <c r="D9" s="68"/>
      <c r="E9" s="68"/>
      <c r="F9" s="73">
        <f t="shared" si="4"/>
        <v>4.1666666666666664E-2</v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>○</v>
      </c>
      <c r="P9" s="79" t="str">
        <f>IF(TEXT(B9,"aaa")="日","法休日",IF(OR(TEXT(B9,"aaa")="土",ISNUMBER(MATCH(B9,祝日リスト!$B$2:$B$30,0))),"所休日",""))</f>
        <v/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>
        <f t="shared" si="3"/>
        <v>4.1666666666666664E-2</v>
      </c>
      <c r="W9" s="15" t="str">
        <f t="shared" si="12"/>
        <v/>
      </c>
    </row>
    <row r="10" spans="1:23">
      <c r="A10" s="11"/>
      <c r="B10" s="12">
        <f>$A$6+4</f>
        <v>44747</v>
      </c>
      <c r="C10" s="2" t="str">
        <f>IF(ISNUMBER(MATCH(B10,祝日リスト!$B$2:$B$33,0)),"(" &amp; TEXT(B10,"aaa") &amp; ")",TEXT(B10,"aaa"))</f>
        <v>火</v>
      </c>
      <c r="D10" s="68"/>
      <c r="E10" s="68"/>
      <c r="F10" s="73">
        <f t="shared" si="4"/>
        <v>4.1666666666666664E-2</v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>○</v>
      </c>
      <c r="P10" s="79" t="str">
        <f>IF(TEXT(B10,"aaa")="日","法休日",IF(OR(TEXT(B10,"aaa")="土",ISNUMBER(MATCH(B10,祝日リスト!$B$2:$B$30,0))),"所休日",""))</f>
        <v/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>
        <f t="shared" si="3"/>
        <v>4.1666666666666664E-2</v>
      </c>
      <c r="W10" s="15" t="str">
        <f t="shared" si="12"/>
        <v/>
      </c>
    </row>
    <row r="11" spans="1:23">
      <c r="A11" s="11"/>
      <c r="B11" s="12">
        <f>$A$6+5</f>
        <v>44748</v>
      </c>
      <c r="C11" s="2" t="str">
        <f>IF(ISNUMBER(MATCH(B11,祝日リスト!$B$2:$B$33,0)),"(" &amp; TEXT(B11,"aaa") &amp; ")",TEXT(B11,"aaa"))</f>
        <v>水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44749</v>
      </c>
      <c r="C12" s="2" t="str">
        <f>IF(ISNUMBER(MATCH(B12,祝日リスト!$B$2:$B$33,0)),"(" &amp; TEXT(B12,"aaa") &amp; ")",TEXT(B12,"aaa"))</f>
        <v>木</v>
      </c>
      <c r="D12" s="68"/>
      <c r="E12" s="68"/>
      <c r="F12" s="73">
        <f t="shared" si="4"/>
        <v>4.1666666666666664E-2</v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>
        <f t="shared" si="3"/>
        <v>4.1666666666666664E-2</v>
      </c>
      <c r="W12" s="15" t="str">
        <f t="shared" si="12"/>
        <v/>
      </c>
    </row>
    <row r="13" spans="1:23">
      <c r="A13" s="11"/>
      <c r="B13" s="12">
        <f>$A$6+7</f>
        <v>44750</v>
      </c>
      <c r="C13" s="2" t="str">
        <f>IF(ISNUMBER(MATCH(B13,祝日リスト!$B$2:$B$33,0)),"(" &amp; TEXT(B13,"aaa") &amp; ")",TEXT(B13,"aaa"))</f>
        <v>金</v>
      </c>
      <c r="D13" s="68"/>
      <c r="E13" s="68"/>
      <c r="F13" s="73">
        <f t="shared" si="4"/>
        <v>4.1666666666666664E-2</v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>
        <f t="shared" si="3"/>
        <v>4.1666666666666664E-2</v>
      </c>
      <c r="W13" s="15" t="str">
        <f t="shared" si="12"/>
        <v/>
      </c>
    </row>
    <row r="14" spans="1:23">
      <c r="A14" s="11"/>
      <c r="B14" s="12">
        <f>$A$6+8</f>
        <v>44751</v>
      </c>
      <c r="C14" s="2" t="str">
        <f>IF(ISNUMBER(MATCH(B14,祝日リスト!$B$2:$B$33,0)),"(" &amp; TEXT(B14,"aaa") &amp; ")",TEXT(B14,"aaa"))</f>
        <v>土</v>
      </c>
      <c r="D14" s="68"/>
      <c r="E14" s="68"/>
      <c r="F14" s="73" t="str">
        <f t="shared" si="4"/>
        <v/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/>
      </c>
      <c r="P14" s="79" t="str">
        <f>IF(TEXT(B14,"aaa")="日","法休日",IF(OR(TEXT(B14,"aaa")="土",ISNUMBER(MATCH(B14,祝日リスト!$B$2:$B$30,0))),"所休日",""))</f>
        <v>所休日</v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 t="str">
        <f t="shared" si="3"/>
        <v/>
      </c>
      <c r="W14" s="15" t="str">
        <f t="shared" si="12"/>
        <v/>
      </c>
    </row>
    <row r="15" spans="1:23">
      <c r="A15" s="11"/>
      <c r="B15" s="12">
        <f>$A$6+9</f>
        <v>44752</v>
      </c>
      <c r="C15" s="2" t="str">
        <f>IF(ISNUMBER(MATCH(B15,祝日リスト!$B$2:$B$33,0)),"(" &amp; TEXT(B15,"aaa") &amp; ")",TEXT(B15,"aaa"))</f>
        <v>日</v>
      </c>
      <c r="D15" s="68"/>
      <c r="E15" s="68"/>
      <c r="F15" s="73" t="str">
        <f t="shared" si="4"/>
        <v/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/>
      </c>
      <c r="P15" s="79" t="str">
        <f>IF(TEXT(B15,"aaa")="日","法休日",IF(OR(TEXT(B15,"aaa")="土",ISNUMBER(MATCH(B15,祝日リスト!$B$2:$B$30,0))),"所休日",""))</f>
        <v>法休日</v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 t="str">
        <f t="shared" si="3"/>
        <v/>
      </c>
      <c r="W15" s="15" t="str">
        <f t="shared" si="12"/>
        <v/>
      </c>
    </row>
    <row r="16" spans="1:23">
      <c r="A16" s="11"/>
      <c r="B16" s="12">
        <f>$A$6+10</f>
        <v>44753</v>
      </c>
      <c r="C16" s="2" t="str">
        <f>IF(ISNUMBER(MATCH(B16,祝日リスト!$B$2:$B$33,0)),"(" &amp; TEXT(B16,"aaa") &amp; ")",TEXT(B16,"aaa"))</f>
        <v>月</v>
      </c>
      <c r="D16" s="68"/>
      <c r="E16" s="68"/>
      <c r="F16" s="73">
        <f t="shared" si="4"/>
        <v>4.1666666666666664E-2</v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>○</v>
      </c>
      <c r="P16" s="79" t="str">
        <f>IF(TEXT(B16,"aaa")="日","法休日",IF(OR(TEXT(B16,"aaa")="土",ISNUMBER(MATCH(B16,祝日リスト!$B$2:$B$30,0))),"所休日",""))</f>
        <v/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>
        <f t="shared" si="3"/>
        <v>4.1666666666666664E-2</v>
      </c>
      <c r="W16" s="15" t="str">
        <f t="shared" si="12"/>
        <v/>
      </c>
    </row>
    <row r="17" spans="1:23">
      <c r="A17" s="11"/>
      <c r="B17" s="12">
        <f>$A$6+11</f>
        <v>44754</v>
      </c>
      <c r="C17" s="2" t="str">
        <f>IF(ISNUMBER(MATCH(B17,祝日リスト!$B$2:$B$33,0)),"(" &amp; TEXT(B17,"aaa") &amp; ")",TEXT(B17,"aaa"))</f>
        <v>火</v>
      </c>
      <c r="D17" s="68"/>
      <c r="E17" s="68"/>
      <c r="F17" s="73">
        <f t="shared" si="4"/>
        <v>4.1666666666666664E-2</v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>○</v>
      </c>
      <c r="P17" s="79" t="str">
        <f>IF(TEXT(B17,"aaa")="日","法休日",IF(OR(TEXT(B17,"aaa")="土",ISNUMBER(MATCH(B17,祝日リスト!$B$2:$B$30,0))),"所休日",""))</f>
        <v/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>
        <f t="shared" si="3"/>
        <v>4.1666666666666664E-2</v>
      </c>
      <c r="W17" s="15" t="str">
        <f t="shared" si="12"/>
        <v/>
      </c>
    </row>
    <row r="18" spans="1:23">
      <c r="A18" s="11"/>
      <c r="B18" s="12">
        <f>$A$6+12</f>
        <v>44755</v>
      </c>
      <c r="C18" s="2" t="str">
        <f>IF(ISNUMBER(MATCH(B18,祝日リスト!$B$2:$B$33,0)),"(" &amp; TEXT(B18,"aaa") &amp; ")",TEXT(B18,"aaa"))</f>
        <v>水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44756</v>
      </c>
      <c r="C19" s="2" t="str">
        <f>IF(ISNUMBER(MATCH(B19,祝日リスト!$B$2:$B$33,0)),"(" &amp; TEXT(B19,"aaa") &amp; ")",TEXT(B19,"aaa"))</f>
        <v>木</v>
      </c>
      <c r="D19" s="68"/>
      <c r="E19" s="68"/>
      <c r="F19" s="73">
        <f t="shared" si="4"/>
        <v>4.1666666666666664E-2</v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>
        <f t="shared" si="3"/>
        <v>4.1666666666666664E-2</v>
      </c>
      <c r="W19" s="15" t="str">
        <f t="shared" si="12"/>
        <v/>
      </c>
    </row>
    <row r="20" spans="1:23">
      <c r="A20" s="11"/>
      <c r="B20" s="12">
        <f>$A$6+14</f>
        <v>44757</v>
      </c>
      <c r="C20" s="2" t="str">
        <f>IF(ISNUMBER(MATCH(B20,祝日リスト!$B$2:$B$33,0)),"(" &amp; TEXT(B20,"aaa") &amp; ")",TEXT(B20,"aaa"))</f>
        <v>金</v>
      </c>
      <c r="D20" s="68"/>
      <c r="E20" s="68"/>
      <c r="F20" s="73">
        <f t="shared" si="4"/>
        <v>4.1666666666666664E-2</v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>
        <f t="shared" si="3"/>
        <v>4.1666666666666664E-2</v>
      </c>
      <c r="W20" s="15" t="str">
        <f t="shared" si="12"/>
        <v/>
      </c>
    </row>
    <row r="21" spans="1:23">
      <c r="A21" s="11"/>
      <c r="B21" s="12">
        <f>$A$6+15</f>
        <v>44758</v>
      </c>
      <c r="C21" s="2" t="str">
        <f>IF(ISNUMBER(MATCH(B21,祝日リスト!$B$2:$B$33,0)),"(" &amp; TEXT(B21,"aaa") &amp; ")",TEXT(B21,"aaa"))</f>
        <v>土</v>
      </c>
      <c r="D21" s="68"/>
      <c r="E21" s="68"/>
      <c r="F21" s="73" t="str">
        <f t="shared" si="4"/>
        <v/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/>
      </c>
      <c r="P21" s="79" t="str">
        <f>IF(TEXT(B21,"aaa")="日","法休日",IF(OR(TEXT(B21,"aaa")="土",ISNUMBER(MATCH(B21,祝日リスト!$B$2:$B$30,0))),"所休日",""))</f>
        <v>所休日</v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 t="str">
        <f t="shared" si="3"/>
        <v/>
      </c>
      <c r="W21" s="15" t="str">
        <f t="shared" si="12"/>
        <v/>
      </c>
    </row>
    <row r="22" spans="1:23">
      <c r="A22" s="11"/>
      <c r="B22" s="12">
        <f>$A$6+16</f>
        <v>44759</v>
      </c>
      <c r="C22" s="2" t="str">
        <f>IF(ISNUMBER(MATCH(B22,祝日リスト!$B$2:$B$33,0)),"(" &amp; TEXT(B22,"aaa") &amp; ")",TEXT(B22,"aaa"))</f>
        <v>日</v>
      </c>
      <c r="D22" s="68"/>
      <c r="E22" s="68"/>
      <c r="F22" s="73" t="str">
        <f t="shared" si="4"/>
        <v/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/>
      </c>
      <c r="P22" s="79" t="str">
        <f>IF(TEXT(B22,"aaa")="日","法休日",IF(OR(TEXT(B22,"aaa")="土",ISNUMBER(MATCH(B22,祝日リスト!$B$2:$B$30,0))),"所休日",""))</f>
        <v>法休日</v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 t="str">
        <f t="shared" si="3"/>
        <v/>
      </c>
      <c r="W22" s="15" t="str">
        <f t="shared" si="12"/>
        <v/>
      </c>
    </row>
    <row r="23" spans="1:23">
      <c r="A23" s="11"/>
      <c r="B23" s="12">
        <f>$A$6+17</f>
        <v>44760</v>
      </c>
      <c r="C23" s="2" t="str">
        <f>IF(ISNUMBER(MATCH(B23,祝日リスト!$B$2:$B$33,0)),"(" &amp; TEXT(B23,"aaa") &amp; ")",TEXT(B23,"aaa"))</f>
        <v>(月)</v>
      </c>
      <c r="D23" s="68"/>
      <c r="E23" s="68"/>
      <c r="F23" s="73" t="str">
        <f t="shared" si="4"/>
        <v/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/>
      </c>
      <c r="P23" s="79" t="str">
        <f>IF(TEXT(B23,"aaa")="日","法休日",IF(OR(TEXT(B23,"aaa")="土",ISNUMBER(MATCH(B23,祝日リスト!$B$2:$B$30,0))),"所休日",""))</f>
        <v>所休日</v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 t="str">
        <f t="shared" si="3"/>
        <v/>
      </c>
      <c r="W23" s="15" t="str">
        <f t="shared" si="12"/>
        <v/>
      </c>
    </row>
    <row r="24" spans="1:23">
      <c r="A24" s="11"/>
      <c r="B24" s="12">
        <f>$A$6+18</f>
        <v>44761</v>
      </c>
      <c r="C24" s="2" t="str">
        <f>IF(ISNUMBER(MATCH(B24,祝日リスト!$B$2:$B$33,0)),"(" &amp; TEXT(B24,"aaa") &amp; ")",TEXT(B24,"aaa"))</f>
        <v>火</v>
      </c>
      <c r="D24" s="68"/>
      <c r="E24" s="68"/>
      <c r="F24" s="73">
        <f t="shared" si="4"/>
        <v>4.1666666666666664E-2</v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>○</v>
      </c>
      <c r="P24" s="79" t="str">
        <f>IF(TEXT(B24,"aaa")="日","法休日",IF(OR(TEXT(B24,"aaa")="土",ISNUMBER(MATCH(B24,祝日リスト!$B$2:$B$30,0))),"所休日",""))</f>
        <v/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>
        <f t="shared" si="3"/>
        <v>4.1666666666666664E-2</v>
      </c>
      <c r="W24" s="15" t="str">
        <f t="shared" si="12"/>
        <v/>
      </c>
    </row>
    <row r="25" spans="1:23">
      <c r="A25" s="11"/>
      <c r="B25" s="12">
        <f>$A$6+19</f>
        <v>44762</v>
      </c>
      <c r="C25" s="2" t="str">
        <f>IF(ISNUMBER(MATCH(B25,祝日リスト!$B$2:$B$33,0)),"(" &amp; TEXT(B25,"aaa") &amp; ")",TEXT(B25,"aaa"))</f>
        <v>水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44763</v>
      </c>
      <c r="C26" s="2" t="str">
        <f>IF(ISNUMBER(MATCH(B26,祝日リスト!$B$2:$B$33,0)),"(" &amp; TEXT(B26,"aaa") &amp; ")",TEXT(B26,"aaa"))</f>
        <v>木</v>
      </c>
      <c r="D26" s="68"/>
      <c r="E26" s="68"/>
      <c r="F26" s="73">
        <f t="shared" si="4"/>
        <v>4.1666666666666664E-2</v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>○</v>
      </c>
      <c r="P26" s="79" t="str">
        <f>IF(TEXT(B26,"aaa")="日","法休日",IF(OR(TEXT(B26,"aaa")="土",ISNUMBER(MATCH(B26,祝日リスト!$B$2:$B$30,0))),"所休日",""))</f>
        <v/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>
        <f t="shared" si="3"/>
        <v>4.1666666666666664E-2</v>
      </c>
      <c r="W26" s="15" t="str">
        <f t="shared" si="12"/>
        <v/>
      </c>
    </row>
    <row r="27" spans="1:23">
      <c r="A27" s="11"/>
      <c r="B27" s="12">
        <f>$A$6+21</f>
        <v>44764</v>
      </c>
      <c r="C27" s="2" t="str">
        <f>IF(ISNUMBER(MATCH(B27,祝日リスト!$B$2:$B$33,0)),"(" &amp; TEXT(B27,"aaa") &amp; ")",TEXT(B27,"aaa"))</f>
        <v>金</v>
      </c>
      <c r="D27" s="68"/>
      <c r="E27" s="68"/>
      <c r="F27" s="73">
        <f t="shared" si="4"/>
        <v>4.1666666666666664E-2</v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>
        <f t="shared" si="3"/>
        <v>4.1666666666666664E-2</v>
      </c>
      <c r="W27" s="15" t="str">
        <f t="shared" si="12"/>
        <v/>
      </c>
    </row>
    <row r="28" spans="1:23">
      <c r="A28" s="11"/>
      <c r="B28" s="12">
        <f>$A$6+22</f>
        <v>44765</v>
      </c>
      <c r="C28" s="2" t="str">
        <f>IF(ISNUMBER(MATCH(B28,祝日リスト!$B$2:$B$33,0)),"(" &amp; TEXT(B28,"aaa") &amp; ")",TEXT(B28,"aaa"))</f>
        <v>土</v>
      </c>
      <c r="D28" s="68"/>
      <c r="E28" s="68"/>
      <c r="F28" s="73" t="str">
        <f t="shared" si="4"/>
        <v/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/>
      </c>
      <c r="P28" s="79" t="str">
        <f>IF(TEXT(B28,"aaa")="日","法休日",IF(OR(TEXT(B28,"aaa")="土",ISNUMBER(MATCH(B28,祝日リスト!$B$2:$B$30,0))),"所休日",""))</f>
        <v>所休日</v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 t="str">
        <f t="shared" si="3"/>
        <v/>
      </c>
      <c r="W28" s="15" t="str">
        <f t="shared" si="12"/>
        <v/>
      </c>
    </row>
    <row r="29" spans="1:23">
      <c r="A29" s="11"/>
      <c r="B29" s="12">
        <f>$A$6+23</f>
        <v>44766</v>
      </c>
      <c r="C29" s="2" t="str">
        <f>IF(ISNUMBER(MATCH(B29,祝日リスト!$B$2:$B$33,0)),"(" &amp; TEXT(B29,"aaa") &amp; ")",TEXT(B29,"aaa"))</f>
        <v>日</v>
      </c>
      <c r="D29" s="68"/>
      <c r="E29" s="68"/>
      <c r="F29" s="73" t="str">
        <f t="shared" si="4"/>
        <v/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/>
      </c>
      <c r="P29" s="79" t="str">
        <f>IF(TEXT(B29,"aaa")="日","法休日",IF(OR(TEXT(B29,"aaa")="土",ISNUMBER(MATCH(B29,祝日リスト!$B$2:$B$30,0))),"所休日",""))</f>
        <v>法休日</v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 t="str">
        <f t="shared" si="3"/>
        <v/>
      </c>
      <c r="W29" s="15" t="str">
        <f t="shared" si="12"/>
        <v/>
      </c>
    </row>
    <row r="30" spans="1:23">
      <c r="A30" s="11"/>
      <c r="B30" s="12">
        <f>$A$6+24</f>
        <v>44767</v>
      </c>
      <c r="C30" s="2" t="str">
        <f>IF(ISNUMBER(MATCH(B30,祝日リスト!$B$2:$B$33,0)),"(" &amp; TEXT(B30,"aaa") &amp; ")",TEXT(B30,"aaa"))</f>
        <v>月</v>
      </c>
      <c r="D30" s="68"/>
      <c r="E30" s="68"/>
      <c r="F30" s="73">
        <f t="shared" si="4"/>
        <v>4.1666666666666664E-2</v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>○</v>
      </c>
      <c r="P30" s="79" t="str">
        <f>IF(TEXT(B30,"aaa")="日","法休日",IF(OR(TEXT(B30,"aaa")="土",ISNUMBER(MATCH(B30,祝日リスト!$B$2:$B$30,0))),"所休日",""))</f>
        <v/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>
        <f t="shared" si="3"/>
        <v>4.1666666666666664E-2</v>
      </c>
      <c r="W30" s="15" t="str">
        <f t="shared" si="12"/>
        <v/>
      </c>
    </row>
    <row r="31" spans="1:23">
      <c r="A31" s="11"/>
      <c r="B31" s="12">
        <f>$A$6+25</f>
        <v>44768</v>
      </c>
      <c r="C31" s="2" t="str">
        <f>IF(ISNUMBER(MATCH(B31,祝日リスト!$B$2:$B$33,0)),"(" &amp; TEXT(B31,"aaa") &amp; ")",TEXT(B31,"aaa"))</f>
        <v>火</v>
      </c>
      <c r="D31" s="68"/>
      <c r="E31" s="68"/>
      <c r="F31" s="73">
        <f t="shared" si="4"/>
        <v>4.1666666666666664E-2</v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>○</v>
      </c>
      <c r="P31" s="79" t="str">
        <f>IF(TEXT(B31,"aaa")="日","法休日",IF(OR(TEXT(B31,"aaa")="土",ISNUMBER(MATCH(B31,祝日リスト!$B$2:$B$30,0))),"所休日",""))</f>
        <v/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>
        <f t="shared" si="3"/>
        <v>4.1666666666666664E-2</v>
      </c>
      <c r="W31" s="15" t="str">
        <f t="shared" si="12"/>
        <v/>
      </c>
    </row>
    <row r="32" spans="1:23">
      <c r="A32" s="11"/>
      <c r="B32" s="12">
        <f>$A$6+26</f>
        <v>44769</v>
      </c>
      <c r="C32" s="2" t="str">
        <f>IF(ISNUMBER(MATCH(B32,祝日リスト!$B$2:$B$33,0)),"(" &amp; TEXT(B32,"aaa") &amp; ")",TEXT(B32,"aaa"))</f>
        <v>水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44770</v>
      </c>
      <c r="C33" s="2" t="str">
        <f>IF(ISNUMBER(MATCH(B33,祝日リスト!$B$2:$B$33,0)),"(" &amp; TEXT(B33,"aaa") &amp; ")",TEXT(B33,"aaa"))</f>
        <v>木</v>
      </c>
      <c r="D33" s="68"/>
      <c r="E33" s="68"/>
      <c r="F33" s="73">
        <f t="shared" si="4"/>
        <v>4.1666666666666664E-2</v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>
        <f t="shared" si="3"/>
        <v>4.1666666666666664E-2</v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44771</v>
      </c>
      <c r="C34" s="2" t="str">
        <f>IF(ISNUMBER(MATCH(B34,祝日リスト!$B$2:$B$33,0)),"(" &amp; TEXT(B34,"aaa") &amp; ")",TEXT(B34,"aaa"))</f>
        <v>金</v>
      </c>
      <c r="D34" s="68"/>
      <c r="E34" s="68"/>
      <c r="F34" s="73">
        <f t="shared" si="4"/>
        <v>4.1666666666666664E-2</v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>○</v>
      </c>
      <c r="P34" s="79" t="str">
        <f>IF(TEXT(B34,"aaa")="日","法休日",IF(OR(TEXT(B34,"aaa")="土",ISNUMBER(MATCH(B34,祝日リスト!$B$2:$B$30,0))),"所休日",""))</f>
        <v/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>
        <f t="shared" si="3"/>
        <v>4.1666666666666664E-2</v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44772</v>
      </c>
      <c r="C35" s="2" t="str">
        <f>IF(ISNUMBER(MATCH(B35,祝日リスト!$B$2:$B$33,0)),"(" &amp; TEXT(B35,"aaa") &amp; ")",TEXT(B35,"aaa"))</f>
        <v>土</v>
      </c>
      <c r="D35" s="68"/>
      <c r="E35" s="68"/>
      <c r="F35" s="73" t="str">
        <f t="shared" si="4"/>
        <v/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/>
      </c>
      <c r="P35" s="79" t="str">
        <f>IF(TEXT(B35,"aaa")="日","法休日",IF(OR(TEXT(B35,"aaa")="土",ISNUMBER(MATCH(B35,祝日リスト!$B$2:$B$30,0))),"所休日",""))</f>
        <v>所休日</v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 t="str">
        <f t="shared" si="3"/>
        <v/>
      </c>
      <c r="W35" s="15" t="str">
        <f t="shared" si="12"/>
        <v/>
      </c>
    </row>
    <row r="36" spans="1:23">
      <c r="A36" s="16"/>
      <c r="B36" s="17">
        <f>IF($A$6+30&gt;DATE(YEAR($A$6),MONTH($A$6)+1,0),"",$A$6+30)</f>
        <v>44773</v>
      </c>
      <c r="C36" s="3" t="str">
        <f>IF(ISNUMBER(MATCH(B36,祝日リスト!$B$2:$B$33,0)),"(" &amp; TEXT(B36,"aaa") &amp; ")",TEXT(B36,"aaa"))</f>
        <v>日</v>
      </c>
      <c r="D36" s="69"/>
      <c r="E36" s="69"/>
      <c r="F36" s="74" t="str">
        <f t="shared" si="4"/>
        <v/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/>
      </c>
      <c r="P36" s="89" t="str">
        <f>IF(TEXT(B36,"aaa")="日","法休日",IF(OR(TEXT(B36,"aaa")="土",ISNUMBER(MATCH(B36,祝日リスト!$B$2:$B$30,0))),"所休日",""))</f>
        <v>法休日</v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 t="str">
        <f t="shared" si="3"/>
        <v/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31</v>
      </c>
      <c r="C37" s="92">
        <f>40/7*B37</f>
        <v>177.14285714285714</v>
      </c>
      <c r="D37" s="93"/>
      <c r="E37" s="93"/>
      <c r="F37" s="94">
        <f t="shared" ref="F37:N37" si="14">SUM(F6:F36)</f>
        <v>0.83333333333333304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20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177</v>
      </c>
      <c r="F39" s="137" t="s">
        <v>14</v>
      </c>
      <c r="G39" s="138"/>
      <c r="H39" s="108">
        <f>COUNTIF(O6:O36,"○")</f>
        <v>20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6.6666666666666661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104</v>
      </c>
      <c r="D41" s="133"/>
      <c r="E41" s="33">
        <f>H39*TIME(8,0,0)</f>
        <v>6.6666666666666661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6.6666666666666661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107</v>
      </c>
      <c r="Q45" s="5">
        <f>COUNTIF($Q$6:$Q$36,"有休")</f>
        <v>0</v>
      </c>
      <c r="R45" s="5" t="s">
        <v>158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139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111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95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126</v>
      </c>
      <c r="Q50" s="5">
        <f>COUNTIF($Q$6:$Q$36,"所休出張")</f>
        <v>0</v>
      </c>
      <c r="R50" s="5" t="s">
        <v>94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163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117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164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141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165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155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120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341" priority="44" stopIfTrue="1" operator="equal">
      <formula>""</formula>
    </cfRule>
  </conditionalFormatting>
  <conditionalFormatting sqref="T6:T36">
    <cfRule type="cellIs" dxfId="340" priority="45" stopIfTrue="1" operator="lessThan">
      <formula>0.375</formula>
    </cfRule>
  </conditionalFormatting>
  <conditionalFormatting sqref="U6:U36">
    <cfRule type="cellIs" dxfId="339" priority="46" stopIfTrue="1" operator="greaterThan">
      <formula>0.999305555555556</formula>
    </cfRule>
  </conditionalFormatting>
  <conditionalFormatting sqref="E6:E11">
    <cfRule type="cellIs" dxfId="338" priority="47" stopIfTrue="1" operator="greaterThan">
      <formula>0.916666667</formula>
    </cfRule>
  </conditionalFormatting>
  <conditionalFormatting sqref="C6:C36">
    <cfRule type="cellIs" dxfId="337" priority="48" stopIfTrue="1" operator="between">
      <formula>"土"</formula>
      <formula>"日"</formula>
    </cfRule>
    <cfRule type="cellIs" dxfId="336" priority="49" stopIfTrue="1" operator="equal">
      <formula>""</formula>
    </cfRule>
    <cfRule type="cellIs" dxfId="335" priority="50" stopIfTrue="1" operator="lessThan">
      <formula>"A"</formula>
    </cfRule>
  </conditionalFormatting>
  <conditionalFormatting sqref="P6:P36">
    <cfRule type="cellIs" dxfId="334" priority="40" stopIfTrue="1" operator="equal">
      <formula>"所休日"</formula>
    </cfRule>
    <cfRule type="cellIs" dxfId="333" priority="41" stopIfTrue="1" operator="equal">
      <formula>"法休日"</formula>
    </cfRule>
    <cfRule type="cellIs" dxfId="332" priority="42" stopIfTrue="1" operator="equal">
      <formula>"""休日"""</formula>
    </cfRule>
  </conditionalFormatting>
  <conditionalFormatting sqref="D6:D11">
    <cfRule type="containsBlanks" dxfId="331" priority="51">
      <formula>LEN(TRIM(D6))=0</formula>
    </cfRule>
  </conditionalFormatting>
  <conditionalFormatting sqref="E12:E17">
    <cfRule type="cellIs" dxfId="330" priority="38" stopIfTrue="1" operator="greaterThan">
      <formula>0.916666667</formula>
    </cfRule>
  </conditionalFormatting>
  <conditionalFormatting sqref="D12:D17">
    <cfRule type="containsBlanks" dxfId="329" priority="39">
      <formula>LEN(TRIM(D12))=0</formula>
    </cfRule>
  </conditionalFormatting>
  <conditionalFormatting sqref="Q6:Q36">
    <cfRule type="expression" dxfId="328" priority="35">
      <formula>OR($Q6="振休")</formula>
    </cfRule>
    <cfRule type="expression" dxfId="327" priority="36" stopIfTrue="1">
      <formula>OR($Q6="有休",$Q6="半休",$Q6="代休",$Q6="公休",$Q6="欠勤")</formula>
    </cfRule>
    <cfRule type="expression" dxfId="326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325" priority="34">
      <formula>AND(OR($Q6="所休出",$Q6="所休出→代",$Q6="所休出張",$Q6="所休出張→代"),$C6="日")</formula>
    </cfRule>
  </conditionalFormatting>
  <conditionalFormatting sqref="E18:E24">
    <cfRule type="cellIs" dxfId="324" priority="32" stopIfTrue="1" operator="greaterThan">
      <formula>0.916666667</formula>
    </cfRule>
  </conditionalFormatting>
  <conditionalFormatting sqref="D18:D24">
    <cfRule type="containsBlanks" dxfId="323" priority="33">
      <formula>LEN(TRIM(D18))=0</formula>
    </cfRule>
  </conditionalFormatting>
  <conditionalFormatting sqref="E25:E32">
    <cfRule type="cellIs" dxfId="322" priority="30" stopIfTrue="1" operator="greaterThan">
      <formula>0.916666667</formula>
    </cfRule>
  </conditionalFormatting>
  <conditionalFormatting sqref="D25:D32">
    <cfRule type="containsBlanks" dxfId="321" priority="31">
      <formula>LEN(TRIM(D25))=0</formula>
    </cfRule>
  </conditionalFormatting>
  <conditionalFormatting sqref="E33:E36">
    <cfRule type="cellIs" dxfId="320" priority="28" stopIfTrue="1" operator="greaterThan">
      <formula>0.916666667</formula>
    </cfRule>
  </conditionalFormatting>
  <conditionalFormatting sqref="D33:D36">
    <cfRule type="containsBlanks" dxfId="319" priority="29">
      <formula>LEN(TRIM(D33))=0</formula>
    </cfRule>
  </conditionalFormatting>
  <conditionalFormatting sqref="I37">
    <cfRule type="expression" dxfId="318" priority="24">
      <formula>IF(I37&gt;TIME(0,0,0),TRUE)</formula>
    </cfRule>
  </conditionalFormatting>
  <conditionalFormatting sqref="D6:D36">
    <cfRule type="expression" dxfId="317" priority="14">
      <formula>AND($D6="",$E6&gt;0)</formula>
    </cfRule>
  </conditionalFormatting>
  <conditionalFormatting sqref="E6:E36">
    <cfRule type="expression" dxfId="316" priority="13">
      <formula>AND($E6="",$D6&gt;0)</formula>
    </cfRule>
  </conditionalFormatting>
  <conditionalFormatting sqref="E43">
    <cfRule type="expression" dxfId="315" priority="12" stopIfTrue="1">
      <formula>$E$42-$E$40&lt;0</formula>
    </cfRule>
  </conditionalFormatting>
  <conditionalFormatting sqref="H40">
    <cfRule type="expression" dxfId="314" priority="11">
      <formula>H40+H45+H46+H47+H48+H50-H41-H42-H43-H44&lt;H39</formula>
    </cfRule>
  </conditionalFormatting>
  <conditionalFormatting sqref="H54">
    <cfRule type="expression" dxfId="313" priority="10">
      <formula>IF(H54&gt;TIME(0,0,0),TRUE)</formula>
    </cfRule>
  </conditionalFormatting>
  <conditionalFormatting sqref="H55">
    <cfRule type="expression" dxfId="312" priority="9">
      <formula>IF(H55&gt;TIME(0,0,0),TRUE)</formula>
    </cfRule>
  </conditionalFormatting>
  <conditionalFormatting sqref="H56">
    <cfRule type="expression" dxfId="311" priority="8">
      <formula>IF(H56&gt;TIME(0,0,0),TRUE)</formula>
    </cfRule>
  </conditionalFormatting>
  <conditionalFormatting sqref="H58">
    <cfRule type="expression" dxfId="310" priority="7">
      <formula>IF(H58&gt;TIME(0,0,0),TRUE)</formula>
    </cfRule>
  </conditionalFormatting>
  <conditionalFormatting sqref="H59">
    <cfRule type="expression" dxfId="309" priority="6">
      <formula>IF(H59&gt;TIME(0,0,0),TRUE)</formula>
    </cfRule>
  </conditionalFormatting>
  <conditionalFormatting sqref="H61">
    <cfRule type="expression" dxfId="308" priority="5">
      <formula>IF(H61&gt;TIME(0,0,0),TRUE)</formula>
    </cfRule>
  </conditionalFormatting>
  <conditionalFormatting sqref="I53">
    <cfRule type="expression" dxfId="307" priority="4">
      <formula>IF(OR(E54&gt;0,E55&gt;0),TRUE)</formula>
    </cfRule>
  </conditionalFormatting>
  <conditionalFormatting sqref="I54">
    <cfRule type="expression" dxfId="306" priority="3">
      <formula>IF(H54&gt;TIME(0,0,0),TRUE)</formula>
    </cfRule>
  </conditionalFormatting>
  <conditionalFormatting sqref="I55">
    <cfRule type="expression" dxfId="305" priority="2">
      <formula>IF(H55&gt;TIME(0,0,0),TRUE)</formula>
    </cfRule>
  </conditionalFormatting>
  <conditionalFormatting sqref="H6:H35">
    <cfRule type="cellIs" dxfId="304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tabSelected="1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60">
        <v>44774</v>
      </c>
      <c r="B6" s="6">
        <f>$A$6+0</f>
        <v>44774</v>
      </c>
      <c r="C6" s="2" t="str">
        <f>IF(ISNUMBER(MATCH(B6,祝日リスト!$B$2:$B$33,0)),"(" &amp; TEXT(B6,"aaa") &amp; ")",TEXT(B6,"aaa"))</f>
        <v>月</v>
      </c>
      <c r="D6" s="68">
        <v>0.35416666666666669</v>
      </c>
      <c r="E6" s="68">
        <v>0.77083333333333337</v>
      </c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>
        <f>IF(AND($D6&lt;&gt;"",$E6&lt;&gt;""),IF($F6&lt;&gt;"",$E6-$D6-$F6-$N6,$E6-$D6-$N6),"")</f>
        <v>0.36458333333333331</v>
      </c>
      <c r="H6" s="65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>0.36458333333333331</v>
      </c>
      <c r="I6" s="65">
        <f>IF(ISBLANK(E6),"",IF(E6&gt;TIME(22,0,0),E6-TIME(22,0,0),0))</f>
        <v>0</v>
      </c>
      <c r="J6" s="65">
        <f>IF(Q6="半休",E6-D6,IF(OR(Q6="有休",Q6="代休",Q6="特別休",Q6="出張",Q6="法休出張",Q6="法休出張→代",Q6="所休出張",Q6="所休出張→代"),0,IF(E6&gt;0,E6-D6-F6,"")))</f>
        <v>0.375</v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>○</v>
      </c>
      <c r="N6" s="78">
        <f>IF(M6="○",IF(J6&gt;=TIME(8,15,0),TIME(0,15,0),J6-TIME(8,0,0)),0)</f>
        <v>1.0416666666666666E-2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0.35416666666666669</v>
      </c>
      <c r="U6" s="9">
        <f t="shared" si="2"/>
        <v>0.77083333333333337</v>
      </c>
      <c r="V6" s="7">
        <f t="shared" ref="V6:V36" si="3">IF(OR(O6="○",Q6="法休出",Q6="法休出→代",Q6="所休出",Q6="所休出→代"),TIME(1,0,0),"")</f>
        <v>4.1666666666666664E-2</v>
      </c>
      <c r="W6" s="10">
        <f>IF(U6&gt;0,U6-T6-V6,"")</f>
        <v>0.375</v>
      </c>
    </row>
    <row r="7" spans="1:23">
      <c r="A7" s="11"/>
      <c r="B7" s="12">
        <f>$A$6+1</f>
        <v>44775</v>
      </c>
      <c r="C7" s="2" t="str">
        <f>IF(ISNUMBER(MATCH(B7,祝日リスト!$B$2:$B$33,0)),"(" &amp; TEXT(B7,"aaa") &amp; ")",TEXT(B7,"aaa"))</f>
        <v>火</v>
      </c>
      <c r="D7" s="68">
        <v>0.35416666666666669</v>
      </c>
      <c r="E7" s="68">
        <v>0.73402777777777783</v>
      </c>
      <c r="F7" s="73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>4.1666666666666664E-2</v>
      </c>
      <c r="G7" s="65">
        <f t="shared" ref="G7:G36" si="5">IF(AND($D7&lt;&gt;"",$E7&lt;&gt;""),IF($F7&lt;&gt;"",$E7-$D7-$F7-$N7,$E7-$D7-$N7),"")</f>
        <v>0.33333333333333331</v>
      </c>
      <c r="H7" s="65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>0.33333333333333331</v>
      </c>
      <c r="I7" s="65">
        <f t="shared" ref="I7:I36" si="7">IF(ISBLANK(E7),"",IF(E7&gt;TIME(22,0,0),E7-TIME(22,0,0),0))</f>
        <v>0</v>
      </c>
      <c r="J7" s="65">
        <f t="shared" ref="J7:J36" si="8">IF(Q7="半休",E7-D7,IF(OR(Q7="有休",Q7="代休",Q7="特別休",Q7="出張",Q7="法休出張",Q7="法休出張→代",Q7="所休出張",Q7="所休出張→代"),0,IF(E7&gt;0,E7-D7-F7,"")))</f>
        <v>0.33819444444444446</v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>○</v>
      </c>
      <c r="N7" s="78">
        <f>IF(M7="○",IF(J7&gt;=TIME(8,15,0),TIME(0,15,0),J7-TIME(8,0,0)),0)</f>
        <v>4.8611111111111494E-3</v>
      </c>
      <c r="O7" s="79" t="str">
        <f t="shared" si="0"/>
        <v>○</v>
      </c>
      <c r="P7" s="79" t="str">
        <f>IF(TEXT(B7,"aaa")="日","法休日",IF(OR(TEXT(B7,"aaa")="土",ISNUMBER(MATCH(B7,祝日リスト!$B$2:$B$30,0))),"所休日",""))</f>
        <v/>
      </c>
      <c r="Q7" s="80" t="s">
        <v>10</v>
      </c>
      <c r="R7" s="82"/>
      <c r="S7" s="104" t="str">
        <f t="shared" si="1"/>
        <v/>
      </c>
      <c r="T7" s="13">
        <f t="shared" si="2"/>
        <v>0.35416666666666669</v>
      </c>
      <c r="U7" s="14">
        <f t="shared" si="2"/>
        <v>0.73402777777777783</v>
      </c>
      <c r="V7" s="7">
        <f t="shared" si="3"/>
        <v>4.1666666666666664E-2</v>
      </c>
      <c r="W7" s="15">
        <f t="shared" ref="W7:W36" si="12">IF(U7&gt;0,U7-T7-V7,"")</f>
        <v>0.33819444444444446</v>
      </c>
    </row>
    <row r="8" spans="1:23">
      <c r="A8" s="11"/>
      <c r="B8" s="12">
        <f>$A$6+2</f>
        <v>44776</v>
      </c>
      <c r="C8" s="2" t="str">
        <f>IF(ISNUMBER(MATCH(B8,祝日リスト!$B$2:$B$33,0)),"(" &amp; TEXT(B8,"aaa") &amp; ")",TEXT(B8,"aaa"))</f>
        <v>水</v>
      </c>
      <c r="D8" s="68">
        <v>0.35625000000000001</v>
      </c>
      <c r="E8" s="68">
        <v>0.85972222222222217</v>
      </c>
      <c r="F8" s="73">
        <f t="shared" si="4"/>
        <v>4.1666666666666664E-2</v>
      </c>
      <c r="G8" s="65">
        <f t="shared" si="5"/>
        <v>0.45138888888888873</v>
      </c>
      <c r="H8" s="65">
        <f t="shared" si="6"/>
        <v>0.45138888888888873</v>
      </c>
      <c r="I8" s="65">
        <f t="shared" si="7"/>
        <v>0</v>
      </c>
      <c r="J8" s="65">
        <f t="shared" si="8"/>
        <v>0.46180555555555541</v>
      </c>
      <c r="K8" s="65" t="str">
        <f t="shared" si="9"/>
        <v/>
      </c>
      <c r="L8" s="65" t="str">
        <f t="shared" si="10"/>
        <v/>
      </c>
      <c r="M8" s="77" t="str">
        <f t="shared" si="11"/>
        <v>○</v>
      </c>
      <c r="N8" s="78">
        <f t="shared" ref="N8:N36" si="13">IF(M8="○",IF(J8&gt;=TIME(8,15,0),TIME(0,15,0),J8-TIME(8,0,0)),0)</f>
        <v>1.0416666666666666E-2</v>
      </c>
      <c r="O8" s="79" t="str">
        <f t="shared" si="0"/>
        <v>○</v>
      </c>
      <c r="P8" s="79" t="str">
        <f>IF(TEXT(B8,"aaa")="日","法休日",IF(OR(TEXT(B8,"aaa")="土",ISNUMBER(MATCH(B8,祝日リスト!$B$2:$B$30,0))),"所休日",""))</f>
        <v/>
      </c>
      <c r="Q8" s="80" t="s">
        <v>10</v>
      </c>
      <c r="R8" s="82"/>
      <c r="S8" s="104" t="str">
        <f t="shared" si="1"/>
        <v/>
      </c>
      <c r="T8" s="13">
        <f t="shared" si="2"/>
        <v>0.35625000000000001</v>
      </c>
      <c r="U8" s="14">
        <f t="shared" si="2"/>
        <v>0.85972222222222217</v>
      </c>
      <c r="V8" s="7">
        <f t="shared" si="3"/>
        <v>4.1666666666666664E-2</v>
      </c>
      <c r="W8" s="15">
        <f t="shared" si="12"/>
        <v>0.46180555555555541</v>
      </c>
    </row>
    <row r="9" spans="1:23">
      <c r="A9" s="11"/>
      <c r="B9" s="12">
        <f>$A$6+3</f>
        <v>44777</v>
      </c>
      <c r="C9" s="2" t="str">
        <f>IF(ISNUMBER(MATCH(B9,祝日リスト!$B$2:$B$33,0)),"(" &amp; TEXT(B9,"aaa") &amp; ")",TEXT(B9,"aaa"))</f>
        <v>木</v>
      </c>
      <c r="D9" s="68">
        <v>0.36736111111111108</v>
      </c>
      <c r="E9" s="68">
        <v>0.92291666666666661</v>
      </c>
      <c r="F9" s="73">
        <f t="shared" si="4"/>
        <v>4.1666666666666664E-2</v>
      </c>
      <c r="G9" s="65">
        <f t="shared" si="5"/>
        <v>0.50347222222222232</v>
      </c>
      <c r="H9" s="65">
        <f t="shared" si="6"/>
        <v>0.50347222222222232</v>
      </c>
      <c r="I9" s="65">
        <f t="shared" si="7"/>
        <v>6.2499999999999778E-3</v>
      </c>
      <c r="J9" s="65">
        <f t="shared" si="8"/>
        <v>0.51388888888888895</v>
      </c>
      <c r="K9" s="65" t="str">
        <f t="shared" si="9"/>
        <v/>
      </c>
      <c r="L9" s="65" t="str">
        <f t="shared" si="10"/>
        <v/>
      </c>
      <c r="M9" s="77" t="str">
        <f t="shared" si="11"/>
        <v>○</v>
      </c>
      <c r="N9" s="78">
        <f t="shared" si="13"/>
        <v>1.0416666666666666E-2</v>
      </c>
      <c r="O9" s="79" t="str">
        <f t="shared" si="0"/>
        <v>○</v>
      </c>
      <c r="P9" s="79" t="str">
        <f>IF(TEXT(B9,"aaa")="日","法休日",IF(OR(TEXT(B9,"aaa")="土",ISNUMBER(MATCH(B9,祝日リスト!$B$2:$B$30,0))),"所休日",""))</f>
        <v/>
      </c>
      <c r="Q9" s="80" t="s">
        <v>10</v>
      </c>
      <c r="R9" s="82"/>
      <c r="S9" s="104" t="str">
        <f t="shared" si="1"/>
        <v/>
      </c>
      <c r="T9" s="13">
        <f t="shared" si="2"/>
        <v>0.36736111111111108</v>
      </c>
      <c r="U9" s="14">
        <f t="shared" si="2"/>
        <v>0.92291666666666661</v>
      </c>
      <c r="V9" s="7">
        <f t="shared" si="3"/>
        <v>4.1666666666666664E-2</v>
      </c>
      <c r="W9" s="15">
        <f t="shared" si="12"/>
        <v>0.51388888888888895</v>
      </c>
    </row>
    <row r="10" spans="1:23">
      <c r="A10" s="11"/>
      <c r="B10" s="12">
        <f>$A$6+4</f>
        <v>44778</v>
      </c>
      <c r="C10" s="2" t="str">
        <f>IF(ISNUMBER(MATCH(B10,祝日リスト!$B$2:$B$33,0)),"(" &amp; TEXT(B10,"aaa") &amp; ")",TEXT(B10,"aaa"))</f>
        <v>金</v>
      </c>
      <c r="D10" s="68">
        <v>0.38263888888888892</v>
      </c>
      <c r="E10" s="68">
        <v>0.87986111111111109</v>
      </c>
      <c r="F10" s="73">
        <f t="shared" si="4"/>
        <v>4.1666666666666664E-2</v>
      </c>
      <c r="G10" s="65">
        <f t="shared" si="5"/>
        <v>0.44513888888888881</v>
      </c>
      <c r="H10" s="65">
        <f t="shared" si="6"/>
        <v>0.44513888888888881</v>
      </c>
      <c r="I10" s="65">
        <f t="shared" si="7"/>
        <v>0</v>
      </c>
      <c r="J10" s="65">
        <f t="shared" si="8"/>
        <v>0.45555555555555549</v>
      </c>
      <c r="K10" s="65" t="str">
        <f t="shared" si="9"/>
        <v/>
      </c>
      <c r="L10" s="65" t="str">
        <f t="shared" si="10"/>
        <v/>
      </c>
      <c r="M10" s="77" t="str">
        <f t="shared" si="11"/>
        <v>○</v>
      </c>
      <c r="N10" s="78">
        <f t="shared" si="13"/>
        <v>1.0416666666666666E-2</v>
      </c>
      <c r="O10" s="79" t="str">
        <f t="shared" si="0"/>
        <v>○</v>
      </c>
      <c r="P10" s="79" t="str">
        <f>IF(TEXT(B10,"aaa")="日","法休日",IF(OR(TEXT(B10,"aaa")="土",ISNUMBER(MATCH(B10,祝日リスト!$B$2:$B$30,0))),"所休日",""))</f>
        <v/>
      </c>
      <c r="Q10" s="80" t="s">
        <v>10</v>
      </c>
      <c r="R10" s="82"/>
      <c r="S10" s="104" t="str">
        <f t="shared" si="1"/>
        <v/>
      </c>
      <c r="T10" s="13">
        <f t="shared" si="2"/>
        <v>0.38263888888888892</v>
      </c>
      <c r="U10" s="14">
        <f t="shared" si="2"/>
        <v>0.87986111111111109</v>
      </c>
      <c r="V10" s="7">
        <f t="shared" si="3"/>
        <v>4.1666666666666664E-2</v>
      </c>
      <c r="W10" s="15">
        <f t="shared" si="12"/>
        <v>0.45555555555555549</v>
      </c>
    </row>
    <row r="11" spans="1:23">
      <c r="A11" s="11"/>
      <c r="B11" s="12">
        <f>$A$6+5</f>
        <v>44779</v>
      </c>
      <c r="C11" s="2" t="str">
        <f>IF(ISNUMBER(MATCH(B11,祝日リスト!$B$2:$B$33,0)),"(" &amp; TEXT(B11,"aaa") &amp; ")",TEXT(B11,"aaa"))</f>
        <v>土</v>
      </c>
      <c r="D11" s="68"/>
      <c r="E11" s="68"/>
      <c r="F11" s="73" t="str">
        <f t="shared" si="4"/>
        <v/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/>
      </c>
      <c r="P11" s="79" t="str">
        <f>IF(TEXT(B11,"aaa")="日","法休日",IF(OR(TEXT(B11,"aaa")="土",ISNUMBER(MATCH(B11,祝日リスト!$B$2:$B$30,0))),"所休日",""))</f>
        <v>所休日</v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 t="str">
        <f t="shared" si="3"/>
        <v/>
      </c>
      <c r="W11" s="15" t="str">
        <f t="shared" si="12"/>
        <v/>
      </c>
    </row>
    <row r="12" spans="1:23">
      <c r="A12" s="11"/>
      <c r="B12" s="12">
        <f>$A$6+6</f>
        <v>44780</v>
      </c>
      <c r="C12" s="2" t="str">
        <f>IF(ISNUMBER(MATCH(B12,祝日リスト!$B$2:$B$33,0)),"(" &amp; TEXT(B12,"aaa") &amp; ")",TEXT(B12,"aaa"))</f>
        <v>日</v>
      </c>
      <c r="D12" s="68"/>
      <c r="E12" s="68"/>
      <c r="F12" s="73" t="str">
        <f t="shared" si="4"/>
        <v/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/>
      </c>
      <c r="P12" s="79" t="str">
        <f>IF(TEXT(B12,"aaa")="日","法休日",IF(OR(TEXT(B12,"aaa")="土",ISNUMBER(MATCH(B12,祝日リスト!$B$2:$B$30,0))),"所休日",""))</f>
        <v>法休日</v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 t="str">
        <f t="shared" si="3"/>
        <v/>
      </c>
      <c r="W12" s="15" t="str">
        <f t="shared" si="12"/>
        <v/>
      </c>
    </row>
    <row r="13" spans="1:23">
      <c r="A13" s="11"/>
      <c r="B13" s="12">
        <f>$A$6+7</f>
        <v>44781</v>
      </c>
      <c r="C13" s="2" t="str">
        <f>IF(ISNUMBER(MATCH(B13,祝日リスト!$B$2:$B$33,0)),"(" &amp; TEXT(B13,"aaa") &amp; ")",TEXT(B13,"aaa"))</f>
        <v>月</v>
      </c>
      <c r="D13" s="68">
        <v>0.33680555555555558</v>
      </c>
      <c r="E13" s="68">
        <v>0.87569444444444444</v>
      </c>
      <c r="F13" s="73">
        <f t="shared" si="4"/>
        <v>4.1666666666666664E-2</v>
      </c>
      <c r="G13" s="65">
        <f t="shared" si="5"/>
        <v>0.48680555555555549</v>
      </c>
      <c r="H13" s="65">
        <f t="shared" si="6"/>
        <v>0.48680555555555549</v>
      </c>
      <c r="I13" s="65">
        <f t="shared" si="7"/>
        <v>0</v>
      </c>
      <c r="J13" s="65">
        <f t="shared" si="8"/>
        <v>0.49722222222222218</v>
      </c>
      <c r="K13" s="65" t="str">
        <f t="shared" si="9"/>
        <v/>
      </c>
      <c r="L13" s="65" t="str">
        <f t="shared" si="10"/>
        <v/>
      </c>
      <c r="M13" s="77" t="str">
        <f t="shared" si="11"/>
        <v>○</v>
      </c>
      <c r="N13" s="78">
        <f t="shared" si="13"/>
        <v>1.0416666666666666E-2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0.33680555555555558</v>
      </c>
      <c r="U13" s="14">
        <f t="shared" si="2"/>
        <v>0.87569444444444444</v>
      </c>
      <c r="V13" s="7">
        <f t="shared" si="3"/>
        <v>4.1666666666666664E-2</v>
      </c>
      <c r="W13" s="15">
        <f t="shared" si="12"/>
        <v>0.49722222222222218</v>
      </c>
    </row>
    <row r="14" spans="1:23">
      <c r="A14" s="11"/>
      <c r="B14" s="12">
        <f>$A$6+8</f>
        <v>44782</v>
      </c>
      <c r="C14" s="2" t="str">
        <f>IF(ISNUMBER(MATCH(B14,祝日リスト!$B$2:$B$33,0)),"(" &amp; TEXT(B14,"aaa") &amp; ")",TEXT(B14,"aaa"))</f>
        <v>火</v>
      </c>
      <c r="D14" s="68">
        <v>0.37361111111111112</v>
      </c>
      <c r="E14" s="68">
        <v>0.90208333333333324</v>
      </c>
      <c r="F14" s="73">
        <f t="shared" si="4"/>
        <v>4.1666666666666664E-2</v>
      </c>
      <c r="G14" s="65">
        <f t="shared" si="5"/>
        <v>0.47638888888888875</v>
      </c>
      <c r="H14" s="65">
        <f t="shared" si="6"/>
        <v>0.47638888888888875</v>
      </c>
      <c r="I14" s="65">
        <f t="shared" si="7"/>
        <v>0</v>
      </c>
      <c r="J14" s="65">
        <f t="shared" si="8"/>
        <v>0.48680555555555544</v>
      </c>
      <c r="K14" s="65" t="str">
        <f t="shared" si="9"/>
        <v/>
      </c>
      <c r="L14" s="65" t="str">
        <f t="shared" si="10"/>
        <v/>
      </c>
      <c r="M14" s="77" t="str">
        <f t="shared" si="11"/>
        <v>○</v>
      </c>
      <c r="N14" s="78">
        <f t="shared" si="13"/>
        <v>1.0416666666666666E-2</v>
      </c>
      <c r="O14" s="79" t="str">
        <f t="shared" si="0"/>
        <v>○</v>
      </c>
      <c r="P14" s="79" t="str">
        <f>IF(TEXT(B14,"aaa")="日","法休日",IF(OR(TEXT(B14,"aaa")="土",ISNUMBER(MATCH(B14,祝日リスト!$B$2:$B$30,0))),"所休日",""))</f>
        <v/>
      </c>
      <c r="Q14" s="80" t="s">
        <v>10</v>
      </c>
      <c r="R14" s="82"/>
      <c r="S14" s="104" t="str">
        <f t="shared" si="1"/>
        <v/>
      </c>
      <c r="T14" s="13">
        <f t="shared" si="2"/>
        <v>0.37361111111111112</v>
      </c>
      <c r="U14" s="14">
        <f t="shared" si="2"/>
        <v>0.90208333333333324</v>
      </c>
      <c r="V14" s="7">
        <f t="shared" si="3"/>
        <v>4.1666666666666664E-2</v>
      </c>
      <c r="W14" s="15">
        <f t="shared" si="12"/>
        <v>0.48680555555555544</v>
      </c>
    </row>
    <row r="15" spans="1:23">
      <c r="A15" s="11"/>
      <c r="B15" s="12">
        <f>$A$6+9</f>
        <v>44783</v>
      </c>
      <c r="C15" s="2" t="str">
        <f>IF(ISNUMBER(MATCH(B15,祝日リスト!$B$2:$B$33,0)),"(" &amp; TEXT(B15,"aaa") &amp; ")",TEXT(B15,"aaa"))</f>
        <v>水</v>
      </c>
      <c r="D15" s="68">
        <v>0.38611111111111113</v>
      </c>
      <c r="E15" s="68">
        <v>0.74652777777777779</v>
      </c>
      <c r="F15" s="73">
        <f t="shared" si="4"/>
        <v>4.1666666666666664E-2</v>
      </c>
      <c r="G15" s="65">
        <f t="shared" si="5"/>
        <v>0.31874999999999998</v>
      </c>
      <c r="H15" s="65">
        <f t="shared" si="6"/>
        <v>0.31874999999999998</v>
      </c>
      <c r="I15" s="65">
        <f t="shared" si="7"/>
        <v>0</v>
      </c>
      <c r="J15" s="65">
        <f t="shared" si="8"/>
        <v>0.31874999999999998</v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>○</v>
      </c>
      <c r="P15" s="79" t="str">
        <f>IF(TEXT(B15,"aaa")="日","法休日",IF(OR(TEXT(B15,"aaa")="土",ISNUMBER(MATCH(B15,祝日リスト!$B$2:$B$30,0))),"所休日",""))</f>
        <v/>
      </c>
      <c r="Q15" s="80" t="s">
        <v>10</v>
      </c>
      <c r="R15" s="82"/>
      <c r="S15" s="104" t="str">
        <f t="shared" si="1"/>
        <v/>
      </c>
      <c r="T15" s="13">
        <f t="shared" si="2"/>
        <v>0.38611111111111113</v>
      </c>
      <c r="U15" s="14">
        <f t="shared" si="2"/>
        <v>0.74652777777777779</v>
      </c>
      <c r="V15" s="7">
        <f t="shared" si="3"/>
        <v>4.1666666666666664E-2</v>
      </c>
      <c r="W15" s="15">
        <f t="shared" si="12"/>
        <v>0.31874999999999998</v>
      </c>
    </row>
    <row r="16" spans="1:23">
      <c r="A16" s="11"/>
      <c r="B16" s="12">
        <f>$A$6+10</f>
        <v>44784</v>
      </c>
      <c r="C16" s="2" t="str">
        <f>IF(ISNUMBER(MATCH(B16,祝日リスト!$B$2:$B$33,0)),"(" &amp; TEXT(B16,"aaa") &amp; ")",TEXT(B16,"aaa"))</f>
        <v>(木)</v>
      </c>
      <c r="D16" s="68"/>
      <c r="E16" s="68"/>
      <c r="F16" s="73" t="str">
        <f t="shared" si="4"/>
        <v/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/>
      </c>
      <c r="P16" s="79" t="str">
        <f>IF(TEXT(B16,"aaa")="日","法休日",IF(OR(TEXT(B16,"aaa")="土",ISNUMBER(MATCH(B16,祝日リスト!$B$2:$B$30,0))),"所休日",""))</f>
        <v>所休日</v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 t="str">
        <f t="shared" si="3"/>
        <v/>
      </c>
      <c r="W16" s="15" t="str">
        <f t="shared" si="12"/>
        <v/>
      </c>
    </row>
    <row r="17" spans="1:23">
      <c r="A17" s="11"/>
      <c r="B17" s="12">
        <f>$A$6+11</f>
        <v>44785</v>
      </c>
      <c r="C17" s="2" t="str">
        <f>IF(ISNUMBER(MATCH(B17,祝日リスト!$B$2:$B$33,0)),"(" &amp; TEXT(B17,"aaa") &amp; ")",TEXT(B17,"aaa"))</f>
        <v>金</v>
      </c>
      <c r="D17" s="68"/>
      <c r="E17" s="68"/>
      <c r="F17" s="73" t="str">
        <f t="shared" si="4"/>
        <v/>
      </c>
      <c r="G17" s="65" t="str">
        <f t="shared" si="5"/>
        <v/>
      </c>
      <c r="H17" s="65">
        <f t="shared" si="6"/>
        <v>0.33333333333333331</v>
      </c>
      <c r="I17" s="65" t="str">
        <f t="shared" si="7"/>
        <v/>
      </c>
      <c r="J17" s="65">
        <f t="shared" si="8"/>
        <v>0</v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>○</v>
      </c>
      <c r="P17" s="79" t="str">
        <f>IF(TEXT(B17,"aaa")="日","法休日",IF(OR(TEXT(B17,"aaa")="土",ISNUMBER(MATCH(B17,祝日リスト!$B$2:$B$30,0))),"所休日",""))</f>
        <v/>
      </c>
      <c r="Q17" s="80" t="s">
        <v>170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>
        <f t="shared" si="3"/>
        <v>4.1666666666666664E-2</v>
      </c>
      <c r="W17" s="15" t="str">
        <f t="shared" si="12"/>
        <v/>
      </c>
    </row>
    <row r="18" spans="1:23">
      <c r="A18" s="11"/>
      <c r="B18" s="12">
        <f>$A$6+12</f>
        <v>44786</v>
      </c>
      <c r="C18" s="2" t="str">
        <f>IF(ISNUMBER(MATCH(B18,祝日リスト!$B$2:$B$33,0)),"(" &amp; TEXT(B18,"aaa") &amp; ")",TEXT(B18,"aaa"))</f>
        <v>土</v>
      </c>
      <c r="D18" s="68"/>
      <c r="E18" s="68"/>
      <c r="F18" s="73" t="str">
        <f t="shared" si="4"/>
        <v/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/>
      </c>
      <c r="P18" s="79" t="str">
        <f>IF(TEXT(B18,"aaa")="日","法休日",IF(OR(TEXT(B18,"aaa")="土",ISNUMBER(MATCH(B18,祝日リスト!$B$2:$B$30,0))),"所休日",""))</f>
        <v>所休日</v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 t="str">
        <f t="shared" si="3"/>
        <v/>
      </c>
      <c r="W18" s="15" t="str">
        <f t="shared" si="12"/>
        <v/>
      </c>
    </row>
    <row r="19" spans="1:23">
      <c r="A19" s="11"/>
      <c r="B19" s="12">
        <f>$A$6+13</f>
        <v>44787</v>
      </c>
      <c r="C19" s="2" t="str">
        <f>IF(ISNUMBER(MATCH(B19,祝日リスト!$B$2:$B$33,0)),"(" &amp; TEXT(B19,"aaa") &amp; ")",TEXT(B19,"aaa"))</f>
        <v>日</v>
      </c>
      <c r="D19" s="68"/>
      <c r="E19" s="68"/>
      <c r="F19" s="73" t="str">
        <f t="shared" si="4"/>
        <v/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/>
      </c>
      <c r="P19" s="79" t="str">
        <f>IF(TEXT(B19,"aaa")="日","法休日",IF(OR(TEXT(B19,"aaa")="土",ISNUMBER(MATCH(B19,祝日リスト!$B$2:$B$30,0))),"所休日",""))</f>
        <v>法休日</v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 t="str">
        <f t="shared" si="3"/>
        <v/>
      </c>
      <c r="W19" s="15" t="str">
        <f t="shared" si="12"/>
        <v/>
      </c>
    </row>
    <row r="20" spans="1:23">
      <c r="A20" s="11"/>
      <c r="B20" s="12">
        <f>$A$6+14</f>
        <v>44788</v>
      </c>
      <c r="C20" s="2" t="str">
        <f>IF(ISNUMBER(MATCH(B20,祝日リスト!$B$2:$B$33,0)),"(" &amp; TEXT(B20,"aaa") &amp; ")",TEXT(B20,"aaa"))</f>
        <v>月</v>
      </c>
      <c r="D20" s="68">
        <v>0.375</v>
      </c>
      <c r="E20" s="68">
        <v>0.7270833333333333</v>
      </c>
      <c r="F20" s="73">
        <f t="shared" si="4"/>
        <v>4.1666666666666664E-2</v>
      </c>
      <c r="G20" s="65">
        <f t="shared" si="5"/>
        <v>0.31041666666666662</v>
      </c>
      <c r="H20" s="65">
        <f t="shared" si="6"/>
        <v>0.31041666666666662</v>
      </c>
      <c r="I20" s="65">
        <f t="shared" si="7"/>
        <v>0</v>
      </c>
      <c r="J20" s="65">
        <f t="shared" si="8"/>
        <v>0.31041666666666662</v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0.375</v>
      </c>
      <c r="U20" s="14">
        <f t="shared" si="2"/>
        <v>0.7270833333333333</v>
      </c>
      <c r="V20" s="7">
        <f t="shared" si="3"/>
        <v>4.1666666666666664E-2</v>
      </c>
      <c r="W20" s="15">
        <f t="shared" si="12"/>
        <v>0.31041666666666662</v>
      </c>
    </row>
    <row r="21" spans="1:23">
      <c r="A21" s="11"/>
      <c r="B21" s="12">
        <f>$A$6+15</f>
        <v>44789</v>
      </c>
      <c r="C21" s="2" t="str">
        <f>IF(ISNUMBER(MATCH(B21,祝日リスト!$B$2:$B$33,0)),"(" &amp; TEXT(B21,"aaa") &amp; ")",TEXT(B21,"aaa"))</f>
        <v>火</v>
      </c>
      <c r="D21" s="68">
        <v>0.38125000000000003</v>
      </c>
      <c r="E21" s="68">
        <v>0.7729166666666667</v>
      </c>
      <c r="F21" s="73">
        <f t="shared" si="4"/>
        <v>4.1666666666666664E-2</v>
      </c>
      <c r="G21" s="65">
        <f t="shared" si="5"/>
        <v>0.33958333333333329</v>
      </c>
      <c r="H21" s="65">
        <f t="shared" si="6"/>
        <v>0.33958333333333329</v>
      </c>
      <c r="I21" s="65">
        <f t="shared" si="7"/>
        <v>0</v>
      </c>
      <c r="J21" s="65">
        <f t="shared" si="8"/>
        <v>0.35</v>
      </c>
      <c r="K21" s="65" t="str">
        <f t="shared" si="9"/>
        <v/>
      </c>
      <c r="L21" s="65" t="str">
        <f t="shared" si="10"/>
        <v/>
      </c>
      <c r="M21" s="77" t="str">
        <f t="shared" si="11"/>
        <v>○</v>
      </c>
      <c r="N21" s="78">
        <f t="shared" si="13"/>
        <v>1.0416666666666666E-2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0.38125000000000003</v>
      </c>
      <c r="U21" s="14">
        <f t="shared" si="2"/>
        <v>0.7729166666666667</v>
      </c>
      <c r="V21" s="7">
        <f t="shared" si="3"/>
        <v>4.1666666666666664E-2</v>
      </c>
      <c r="W21" s="15">
        <f t="shared" si="12"/>
        <v>0.35</v>
      </c>
    </row>
    <row r="22" spans="1:23">
      <c r="A22" s="11"/>
      <c r="B22" s="12">
        <f>$A$6+16</f>
        <v>44790</v>
      </c>
      <c r="C22" s="2" t="str">
        <f>IF(ISNUMBER(MATCH(B22,祝日リスト!$B$2:$B$33,0)),"(" &amp; TEXT(B22,"aaa") &amp; ")",TEXT(B22,"aaa"))</f>
        <v>水</v>
      </c>
      <c r="D22" s="68">
        <v>0.37777777777777777</v>
      </c>
      <c r="E22" s="68">
        <v>0.7597222222222223</v>
      </c>
      <c r="F22" s="73">
        <f t="shared" si="4"/>
        <v>4.1666666666666664E-2</v>
      </c>
      <c r="G22" s="65">
        <f t="shared" si="5"/>
        <v>0.33333333333333331</v>
      </c>
      <c r="H22" s="65">
        <f t="shared" si="6"/>
        <v>0.33333333333333331</v>
      </c>
      <c r="I22" s="65">
        <f t="shared" si="7"/>
        <v>0</v>
      </c>
      <c r="J22" s="65">
        <f t="shared" si="8"/>
        <v>0.34027777777777785</v>
      </c>
      <c r="K22" s="65" t="str">
        <f t="shared" si="9"/>
        <v/>
      </c>
      <c r="L22" s="65" t="str">
        <f t="shared" si="10"/>
        <v/>
      </c>
      <c r="M22" s="77" t="str">
        <f t="shared" si="11"/>
        <v>○</v>
      </c>
      <c r="N22" s="78">
        <f t="shared" si="13"/>
        <v>6.9444444444445308E-3</v>
      </c>
      <c r="O22" s="79" t="str">
        <f t="shared" si="0"/>
        <v>○</v>
      </c>
      <c r="P22" s="79" t="str">
        <f>IF(TEXT(B22,"aaa")="日","法休日",IF(OR(TEXT(B22,"aaa")="土",ISNUMBER(MATCH(B22,祝日リスト!$B$2:$B$30,0))),"所休日",""))</f>
        <v/>
      </c>
      <c r="Q22" s="80" t="s">
        <v>10</v>
      </c>
      <c r="R22" s="82"/>
      <c r="S22" s="104" t="str">
        <f t="shared" si="1"/>
        <v/>
      </c>
      <c r="T22" s="13">
        <f t="shared" si="2"/>
        <v>0.37777777777777777</v>
      </c>
      <c r="U22" s="14">
        <f t="shared" si="2"/>
        <v>0.7597222222222223</v>
      </c>
      <c r="V22" s="7">
        <f t="shared" si="3"/>
        <v>4.1666666666666664E-2</v>
      </c>
      <c r="W22" s="15">
        <f t="shared" si="12"/>
        <v>0.34027777777777785</v>
      </c>
    </row>
    <row r="23" spans="1:23">
      <c r="A23" s="11"/>
      <c r="B23" s="12">
        <f>$A$6+17</f>
        <v>44791</v>
      </c>
      <c r="C23" s="2" t="str">
        <f>IF(ISNUMBER(MATCH(B23,祝日リスト!$B$2:$B$33,0)),"(" &amp; TEXT(B23,"aaa") &amp; ")",TEXT(B23,"aaa"))</f>
        <v>木</v>
      </c>
      <c r="D23" s="68">
        <v>0.35416666666666669</v>
      </c>
      <c r="E23" s="68">
        <v>0.70277777777777783</v>
      </c>
      <c r="F23" s="73">
        <f t="shared" si="4"/>
        <v>4.1666666666666664E-2</v>
      </c>
      <c r="G23" s="65">
        <f t="shared" si="5"/>
        <v>0.30694444444444446</v>
      </c>
      <c r="H23" s="65">
        <f t="shared" si="6"/>
        <v>0.30694444444444446</v>
      </c>
      <c r="I23" s="65">
        <f t="shared" si="7"/>
        <v>0</v>
      </c>
      <c r="J23" s="65">
        <f t="shared" si="8"/>
        <v>0.30694444444444446</v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>○</v>
      </c>
      <c r="P23" s="79" t="str">
        <f>IF(TEXT(B23,"aaa")="日","法休日",IF(OR(TEXT(B23,"aaa")="土",ISNUMBER(MATCH(B23,祝日リスト!$B$2:$B$30,0))),"所休日",""))</f>
        <v/>
      </c>
      <c r="Q23" s="80" t="s">
        <v>10</v>
      </c>
      <c r="R23" s="82"/>
      <c r="S23" s="104" t="str">
        <f t="shared" si="1"/>
        <v/>
      </c>
      <c r="T23" s="13">
        <f t="shared" si="2"/>
        <v>0.35416666666666669</v>
      </c>
      <c r="U23" s="14">
        <f t="shared" si="2"/>
        <v>0.70277777777777783</v>
      </c>
      <c r="V23" s="7">
        <f t="shared" si="3"/>
        <v>4.1666666666666664E-2</v>
      </c>
      <c r="W23" s="15">
        <f t="shared" si="12"/>
        <v>0.30694444444444446</v>
      </c>
    </row>
    <row r="24" spans="1:23">
      <c r="A24" s="11"/>
      <c r="B24" s="12">
        <f>$A$6+18</f>
        <v>44792</v>
      </c>
      <c r="C24" s="2" t="str">
        <f>IF(ISNUMBER(MATCH(B24,祝日リスト!$B$2:$B$33,0)),"(" &amp; TEXT(B24,"aaa") &amp; ")",TEXT(B24,"aaa"))</f>
        <v>金</v>
      </c>
      <c r="D24" s="68"/>
      <c r="E24" s="68"/>
      <c r="F24" s="73" t="str">
        <f t="shared" si="4"/>
        <v/>
      </c>
      <c r="G24" s="65" t="str">
        <f t="shared" si="5"/>
        <v/>
      </c>
      <c r="H24" s="65">
        <f t="shared" si="6"/>
        <v>0.33333333333333331</v>
      </c>
      <c r="I24" s="65" t="str">
        <f t="shared" si="7"/>
        <v/>
      </c>
      <c r="J24" s="65">
        <f t="shared" si="8"/>
        <v>0</v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>○</v>
      </c>
      <c r="P24" s="79" t="str">
        <f>IF(TEXT(B24,"aaa")="日","法休日",IF(OR(TEXT(B24,"aaa")="土",ISNUMBER(MATCH(B24,祝日リスト!$B$2:$B$30,0))),"所休日",""))</f>
        <v/>
      </c>
      <c r="Q24" s="80" t="s">
        <v>170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>
        <f t="shared" si="3"/>
        <v>4.1666666666666664E-2</v>
      </c>
      <c r="W24" s="15" t="str">
        <f t="shared" si="12"/>
        <v/>
      </c>
    </row>
    <row r="25" spans="1:23">
      <c r="A25" s="11"/>
      <c r="B25" s="12">
        <f>$A$6+19</f>
        <v>44793</v>
      </c>
      <c r="C25" s="2" t="str">
        <f>IF(ISNUMBER(MATCH(B25,祝日リスト!$B$2:$B$33,0)),"(" &amp; TEXT(B25,"aaa") &amp; ")",TEXT(B25,"aaa"))</f>
        <v>土</v>
      </c>
      <c r="D25" s="68"/>
      <c r="E25" s="68"/>
      <c r="F25" s="73" t="str">
        <f t="shared" si="4"/>
        <v/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/>
      </c>
      <c r="P25" s="79" t="str">
        <f>IF(TEXT(B25,"aaa")="日","法休日",IF(OR(TEXT(B25,"aaa")="土",ISNUMBER(MATCH(B25,祝日リスト!$B$2:$B$30,0))),"所休日",""))</f>
        <v>所休日</v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 t="str">
        <f t="shared" si="3"/>
        <v/>
      </c>
      <c r="W25" s="15" t="str">
        <f t="shared" si="12"/>
        <v/>
      </c>
    </row>
    <row r="26" spans="1:23">
      <c r="A26" s="11"/>
      <c r="B26" s="12">
        <f>$A$6+20</f>
        <v>44794</v>
      </c>
      <c r="C26" s="2" t="str">
        <f>IF(ISNUMBER(MATCH(B26,祝日リスト!$B$2:$B$33,0)),"(" &amp; TEXT(B26,"aaa") &amp; ")",TEXT(B26,"aaa"))</f>
        <v>日</v>
      </c>
      <c r="D26" s="68"/>
      <c r="E26" s="68"/>
      <c r="F26" s="73" t="str">
        <f t="shared" si="4"/>
        <v/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/>
      </c>
      <c r="P26" s="79" t="str">
        <f>IF(TEXT(B26,"aaa")="日","法休日",IF(OR(TEXT(B26,"aaa")="土",ISNUMBER(MATCH(B26,祝日リスト!$B$2:$B$30,0))),"所休日",""))</f>
        <v>法休日</v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 t="str">
        <f t="shared" si="3"/>
        <v/>
      </c>
      <c r="W26" s="15" t="str">
        <f t="shared" si="12"/>
        <v/>
      </c>
    </row>
    <row r="27" spans="1:23">
      <c r="A27" s="11"/>
      <c r="B27" s="12">
        <f>$A$6+21</f>
        <v>44795</v>
      </c>
      <c r="C27" s="2" t="str">
        <f>IF(ISNUMBER(MATCH(B27,祝日リスト!$B$2:$B$33,0)),"(" &amp; TEXT(B27,"aaa") &amp; ")",TEXT(B27,"aaa"))</f>
        <v>月</v>
      </c>
      <c r="D27" s="68">
        <v>0.375</v>
      </c>
      <c r="E27" s="68">
        <v>0.75</v>
      </c>
      <c r="F27" s="73">
        <f t="shared" si="4"/>
        <v>4.1666666666666664E-2</v>
      </c>
      <c r="G27" s="65">
        <f t="shared" si="5"/>
        <v>0.33333333333333331</v>
      </c>
      <c r="H27" s="65">
        <f t="shared" si="6"/>
        <v>0.33333333333333331</v>
      </c>
      <c r="I27" s="65">
        <f t="shared" si="7"/>
        <v>0</v>
      </c>
      <c r="J27" s="65">
        <f t="shared" si="8"/>
        <v>0.33333333333333331</v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0.375</v>
      </c>
      <c r="U27" s="14">
        <f t="shared" si="2"/>
        <v>0.75</v>
      </c>
      <c r="V27" s="7">
        <f t="shared" si="3"/>
        <v>4.1666666666666664E-2</v>
      </c>
      <c r="W27" s="15">
        <f t="shared" si="12"/>
        <v>0.33333333333333331</v>
      </c>
    </row>
    <row r="28" spans="1:23">
      <c r="A28" s="11"/>
      <c r="B28" s="12">
        <f>$A$6+22</f>
        <v>44796</v>
      </c>
      <c r="C28" s="2" t="str">
        <f>IF(ISNUMBER(MATCH(B28,祝日リスト!$B$2:$B$33,0)),"(" &amp; TEXT(B28,"aaa") &amp; ")",TEXT(B28,"aaa"))</f>
        <v>火</v>
      </c>
      <c r="D28" s="68">
        <v>0.375</v>
      </c>
      <c r="E28" s="68">
        <v>0.75</v>
      </c>
      <c r="F28" s="73">
        <f t="shared" si="4"/>
        <v>4.1666666666666664E-2</v>
      </c>
      <c r="G28" s="65">
        <f t="shared" si="5"/>
        <v>0.33333333333333331</v>
      </c>
      <c r="H28" s="65">
        <f t="shared" si="6"/>
        <v>0.33333333333333331</v>
      </c>
      <c r="I28" s="65">
        <f t="shared" si="7"/>
        <v>0</v>
      </c>
      <c r="J28" s="65">
        <f t="shared" si="8"/>
        <v>0.33333333333333331</v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>○</v>
      </c>
      <c r="P28" s="79" t="str">
        <f>IF(TEXT(B28,"aaa")="日","法休日",IF(OR(TEXT(B28,"aaa")="土",ISNUMBER(MATCH(B28,祝日リスト!$B$2:$B$30,0))),"所休日",""))</f>
        <v/>
      </c>
      <c r="Q28" s="80" t="s">
        <v>10</v>
      </c>
      <c r="R28" s="82"/>
      <c r="S28" s="104" t="str">
        <f t="shared" si="1"/>
        <v/>
      </c>
      <c r="T28" s="13">
        <f t="shared" si="2"/>
        <v>0.375</v>
      </c>
      <c r="U28" s="14">
        <f t="shared" si="2"/>
        <v>0.75</v>
      </c>
      <c r="V28" s="7">
        <f t="shared" si="3"/>
        <v>4.1666666666666664E-2</v>
      </c>
      <c r="W28" s="15">
        <f t="shared" si="12"/>
        <v>0.33333333333333331</v>
      </c>
    </row>
    <row r="29" spans="1:23">
      <c r="A29" s="11"/>
      <c r="B29" s="12">
        <f>$A$6+23</f>
        <v>44797</v>
      </c>
      <c r="C29" s="2" t="str">
        <f>IF(ISNUMBER(MATCH(B29,祝日リスト!$B$2:$B$33,0)),"(" &amp; TEXT(B29,"aaa") &amp; ")",TEXT(B29,"aaa"))</f>
        <v>水</v>
      </c>
      <c r="D29" s="68">
        <v>0.375</v>
      </c>
      <c r="E29" s="68">
        <v>0.75</v>
      </c>
      <c r="F29" s="73">
        <f t="shared" si="4"/>
        <v>4.1666666666666664E-2</v>
      </c>
      <c r="G29" s="65">
        <f t="shared" si="5"/>
        <v>0.33333333333333331</v>
      </c>
      <c r="H29" s="65">
        <f t="shared" si="6"/>
        <v>0.33333333333333331</v>
      </c>
      <c r="I29" s="65">
        <f t="shared" si="7"/>
        <v>0</v>
      </c>
      <c r="J29" s="65">
        <f t="shared" si="8"/>
        <v>0.33333333333333331</v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>○</v>
      </c>
      <c r="P29" s="79" t="str">
        <f>IF(TEXT(B29,"aaa")="日","法休日",IF(OR(TEXT(B29,"aaa")="土",ISNUMBER(MATCH(B29,祝日リスト!$B$2:$B$30,0))),"所休日",""))</f>
        <v/>
      </c>
      <c r="Q29" s="80" t="s">
        <v>10</v>
      </c>
      <c r="R29" s="82"/>
      <c r="S29" s="104" t="str">
        <f t="shared" si="1"/>
        <v/>
      </c>
      <c r="T29" s="13">
        <f t="shared" si="2"/>
        <v>0.375</v>
      </c>
      <c r="U29" s="14">
        <f t="shared" si="2"/>
        <v>0.75</v>
      </c>
      <c r="V29" s="7">
        <f t="shared" si="3"/>
        <v>4.1666666666666664E-2</v>
      </c>
      <c r="W29" s="15">
        <f t="shared" si="12"/>
        <v>0.33333333333333331</v>
      </c>
    </row>
    <row r="30" spans="1:23">
      <c r="A30" s="11"/>
      <c r="B30" s="12">
        <f>$A$6+24</f>
        <v>44798</v>
      </c>
      <c r="C30" s="2" t="str">
        <f>IF(ISNUMBER(MATCH(B30,祝日リスト!$B$2:$B$33,0)),"(" &amp; TEXT(B30,"aaa") &amp; ")",TEXT(B30,"aaa"))</f>
        <v>木</v>
      </c>
      <c r="D30" s="68">
        <v>0.375</v>
      </c>
      <c r="E30" s="68">
        <v>0.75</v>
      </c>
      <c r="F30" s="73">
        <f t="shared" si="4"/>
        <v>4.1666666666666664E-2</v>
      </c>
      <c r="G30" s="65">
        <f t="shared" si="5"/>
        <v>0.33333333333333331</v>
      </c>
      <c r="H30" s="65">
        <f t="shared" si="6"/>
        <v>0.33333333333333331</v>
      </c>
      <c r="I30" s="65">
        <f t="shared" si="7"/>
        <v>0</v>
      </c>
      <c r="J30" s="65">
        <f t="shared" si="8"/>
        <v>0.33333333333333331</v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>○</v>
      </c>
      <c r="P30" s="79" t="str">
        <f>IF(TEXT(B30,"aaa")="日","法休日",IF(OR(TEXT(B30,"aaa")="土",ISNUMBER(MATCH(B30,祝日リスト!$B$2:$B$30,0))),"所休日",""))</f>
        <v/>
      </c>
      <c r="Q30" s="80" t="s">
        <v>10</v>
      </c>
      <c r="R30" s="82"/>
      <c r="S30" s="104" t="str">
        <f t="shared" si="1"/>
        <v/>
      </c>
      <c r="T30" s="13">
        <f t="shared" si="2"/>
        <v>0.375</v>
      </c>
      <c r="U30" s="14">
        <f t="shared" si="2"/>
        <v>0.75</v>
      </c>
      <c r="V30" s="7">
        <f t="shared" si="3"/>
        <v>4.1666666666666664E-2</v>
      </c>
      <c r="W30" s="15">
        <f t="shared" si="12"/>
        <v>0.33333333333333331</v>
      </c>
    </row>
    <row r="31" spans="1:23">
      <c r="A31" s="11"/>
      <c r="B31" s="12">
        <f>$A$6+25</f>
        <v>44799</v>
      </c>
      <c r="C31" s="2" t="str">
        <f>IF(ISNUMBER(MATCH(B31,祝日リスト!$B$2:$B$33,0)),"(" &amp; TEXT(B31,"aaa") &amp; ")",TEXT(B31,"aaa"))</f>
        <v>金</v>
      </c>
      <c r="D31" s="68">
        <v>0.375</v>
      </c>
      <c r="E31" s="68">
        <v>0.75</v>
      </c>
      <c r="F31" s="73">
        <f t="shared" si="4"/>
        <v>4.1666666666666664E-2</v>
      </c>
      <c r="G31" s="65">
        <f t="shared" si="5"/>
        <v>0.33333333333333331</v>
      </c>
      <c r="H31" s="65">
        <f t="shared" si="6"/>
        <v>0.33333333333333331</v>
      </c>
      <c r="I31" s="65">
        <f t="shared" si="7"/>
        <v>0</v>
      </c>
      <c r="J31" s="65">
        <f t="shared" si="8"/>
        <v>0.33333333333333331</v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>○</v>
      </c>
      <c r="P31" s="79" t="str">
        <f>IF(TEXT(B31,"aaa")="日","法休日",IF(OR(TEXT(B31,"aaa")="土",ISNUMBER(MATCH(B31,祝日リスト!$B$2:$B$30,0))),"所休日",""))</f>
        <v/>
      </c>
      <c r="Q31" s="80" t="s">
        <v>10</v>
      </c>
      <c r="R31" s="82"/>
      <c r="S31" s="104" t="str">
        <f t="shared" si="1"/>
        <v/>
      </c>
      <c r="T31" s="13">
        <f t="shared" si="2"/>
        <v>0.375</v>
      </c>
      <c r="U31" s="14">
        <f t="shared" si="2"/>
        <v>0.75</v>
      </c>
      <c r="V31" s="7">
        <f t="shared" si="3"/>
        <v>4.1666666666666664E-2</v>
      </c>
      <c r="W31" s="15">
        <f t="shared" si="12"/>
        <v>0.33333333333333331</v>
      </c>
    </row>
    <row r="32" spans="1:23">
      <c r="A32" s="11"/>
      <c r="B32" s="12">
        <f>$A$6+26</f>
        <v>44800</v>
      </c>
      <c r="C32" s="2" t="str">
        <f>IF(ISNUMBER(MATCH(B32,祝日リスト!$B$2:$B$33,0)),"(" &amp; TEXT(B32,"aaa") &amp; ")",TEXT(B32,"aaa"))</f>
        <v>土</v>
      </c>
      <c r="D32" s="68"/>
      <c r="E32" s="68"/>
      <c r="F32" s="73" t="str">
        <f t="shared" si="4"/>
        <v/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/>
      </c>
      <c r="P32" s="79" t="str">
        <f>IF(TEXT(B32,"aaa")="日","法休日",IF(OR(TEXT(B32,"aaa")="土",ISNUMBER(MATCH(B32,祝日リスト!$B$2:$B$30,0))),"所休日",""))</f>
        <v>所休日</v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 t="str">
        <f t="shared" si="3"/>
        <v/>
      </c>
      <c r="W32" s="15" t="str">
        <f t="shared" si="12"/>
        <v/>
      </c>
    </row>
    <row r="33" spans="1:23">
      <c r="A33" s="11"/>
      <c r="B33" s="12">
        <f>$A$6+27</f>
        <v>44801</v>
      </c>
      <c r="C33" s="2" t="str">
        <f>IF(ISNUMBER(MATCH(B33,祝日リスト!$B$2:$B$33,0)),"(" &amp; TEXT(B33,"aaa") &amp; ")",TEXT(B33,"aaa"))</f>
        <v>日</v>
      </c>
      <c r="D33" s="68"/>
      <c r="E33" s="68"/>
      <c r="F33" s="73" t="str">
        <f t="shared" si="4"/>
        <v/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/>
      </c>
      <c r="P33" s="79" t="str">
        <f>IF(TEXT(B33,"aaa")="日","法休日",IF(OR(TEXT(B33,"aaa")="土",ISNUMBER(MATCH(B33,祝日リスト!$B$2:$B$30,0))),"所休日",""))</f>
        <v>法休日</v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 t="str">
        <f t="shared" si="3"/>
        <v/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44802</v>
      </c>
      <c r="C34" s="2" t="str">
        <f>IF(ISNUMBER(MATCH(B34,祝日リスト!$B$2:$B$33,0)),"(" &amp; TEXT(B34,"aaa") &amp; ")",TEXT(B34,"aaa"))</f>
        <v>月</v>
      </c>
      <c r="D34" s="68">
        <v>0.375</v>
      </c>
      <c r="E34" s="68">
        <v>0.75</v>
      </c>
      <c r="F34" s="73">
        <f t="shared" si="4"/>
        <v>4.1666666666666664E-2</v>
      </c>
      <c r="G34" s="65">
        <f t="shared" si="5"/>
        <v>0.33333333333333331</v>
      </c>
      <c r="H34" s="65">
        <f t="shared" si="6"/>
        <v>0.33333333333333331</v>
      </c>
      <c r="I34" s="65">
        <f t="shared" si="7"/>
        <v>0</v>
      </c>
      <c r="J34" s="65">
        <f t="shared" si="8"/>
        <v>0.33333333333333331</v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>○</v>
      </c>
      <c r="P34" s="79" t="str">
        <f>IF(TEXT(B34,"aaa")="日","法休日",IF(OR(TEXT(B34,"aaa")="土",ISNUMBER(MATCH(B34,祝日リスト!$B$2:$B$30,0))),"所休日",""))</f>
        <v/>
      </c>
      <c r="Q34" s="80" t="s">
        <v>10</v>
      </c>
      <c r="R34" s="82"/>
      <c r="S34" s="104" t="str">
        <f t="shared" si="1"/>
        <v/>
      </c>
      <c r="T34" s="13">
        <f t="shared" si="2"/>
        <v>0.375</v>
      </c>
      <c r="U34" s="14">
        <f t="shared" si="2"/>
        <v>0.75</v>
      </c>
      <c r="V34" s="7">
        <f t="shared" si="3"/>
        <v>4.1666666666666664E-2</v>
      </c>
      <c r="W34" s="15">
        <f t="shared" si="12"/>
        <v>0.33333333333333331</v>
      </c>
    </row>
    <row r="35" spans="1:23">
      <c r="A35" s="11"/>
      <c r="B35" s="12">
        <f>IF($A$6+29&gt;DATE(YEAR($A$6),MONTH($A$6)+1,0),"",$A$6+29)</f>
        <v>44803</v>
      </c>
      <c r="C35" s="2" t="str">
        <f>IF(ISNUMBER(MATCH(B35,祝日リスト!$B$2:$B$33,0)),"(" &amp; TEXT(B35,"aaa") &amp; ")",TEXT(B35,"aaa"))</f>
        <v>火</v>
      </c>
      <c r="D35" s="68">
        <v>0.375</v>
      </c>
      <c r="E35" s="68">
        <v>0.75</v>
      </c>
      <c r="F35" s="73">
        <f t="shared" si="4"/>
        <v>4.1666666666666664E-2</v>
      </c>
      <c r="G35" s="65">
        <f t="shared" si="5"/>
        <v>0.33333333333333331</v>
      </c>
      <c r="H35" s="65">
        <f t="shared" si="6"/>
        <v>0.33333333333333331</v>
      </c>
      <c r="I35" s="65">
        <f t="shared" si="7"/>
        <v>0</v>
      </c>
      <c r="J35" s="65">
        <f t="shared" si="8"/>
        <v>0.33333333333333331</v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>○</v>
      </c>
      <c r="P35" s="79" t="str">
        <f>IF(TEXT(B35,"aaa")="日","法休日",IF(OR(TEXT(B35,"aaa")="土",ISNUMBER(MATCH(B35,祝日リスト!$B$2:$B$30,0))),"所休日",""))</f>
        <v/>
      </c>
      <c r="Q35" s="86" t="s">
        <v>10</v>
      </c>
      <c r="R35" s="82"/>
      <c r="S35" s="104" t="str">
        <f t="shared" si="1"/>
        <v/>
      </c>
      <c r="T35" s="13">
        <f t="shared" si="2"/>
        <v>0.375</v>
      </c>
      <c r="U35" s="14">
        <f t="shared" si="2"/>
        <v>0.75</v>
      </c>
      <c r="V35" s="7">
        <f t="shared" si="3"/>
        <v>4.1666666666666664E-2</v>
      </c>
      <c r="W35" s="15">
        <f t="shared" si="12"/>
        <v>0.33333333333333331</v>
      </c>
    </row>
    <row r="36" spans="1:23">
      <c r="A36" s="16"/>
      <c r="B36" s="17">
        <f>IF($A$6+30&gt;DATE(YEAR($A$6),MONTH($A$6)+1,0),"",$A$6+30)</f>
        <v>44804</v>
      </c>
      <c r="C36" s="3" t="str">
        <f>IF(ISNUMBER(MATCH(B36,祝日リスト!$B$2:$B$33,0)),"(" &amp; TEXT(B36,"aaa") &amp; ")",TEXT(B36,"aaa"))</f>
        <v>水</v>
      </c>
      <c r="D36" s="69">
        <v>0.375</v>
      </c>
      <c r="E36" s="69">
        <v>0.75</v>
      </c>
      <c r="F36" s="74">
        <f t="shared" si="4"/>
        <v>4.1666666666666664E-2</v>
      </c>
      <c r="G36" s="66">
        <f t="shared" si="5"/>
        <v>0.33333333333333331</v>
      </c>
      <c r="H36" s="66">
        <f t="shared" si="6"/>
        <v>0.33333333333333331</v>
      </c>
      <c r="I36" s="66">
        <f t="shared" si="7"/>
        <v>0</v>
      </c>
      <c r="J36" s="66">
        <f t="shared" si="8"/>
        <v>0.33333333333333331</v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>○</v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0.375</v>
      </c>
      <c r="U36" s="20">
        <f t="shared" si="2"/>
        <v>0.75</v>
      </c>
      <c r="V36" s="18">
        <f t="shared" si="3"/>
        <v>4.1666666666666664E-2</v>
      </c>
      <c r="W36" s="21">
        <f t="shared" si="12"/>
        <v>0.33333333333333331</v>
      </c>
    </row>
    <row r="37" spans="1:23" ht="12" customHeight="1">
      <c r="A37" s="22"/>
      <c r="B37" s="23">
        <f>DAY(DATE(YEAR($A$6),MONTH($A$6)+1,1)-1)</f>
        <v>31</v>
      </c>
      <c r="C37" s="92">
        <f>40/7*B37</f>
        <v>177.14285714285714</v>
      </c>
      <c r="D37" s="93"/>
      <c r="E37" s="93"/>
      <c r="F37" s="94">
        <f t="shared" ref="F37:N37" si="14">SUM(F6:F36)</f>
        <v>0.83333333333333304</v>
      </c>
      <c r="G37" s="94">
        <f t="shared" si="14"/>
        <v>7.3368055555555527</v>
      </c>
      <c r="H37" s="94">
        <f t="shared" si="14"/>
        <v>8.0034722222222197</v>
      </c>
      <c r="I37" s="94">
        <f t="shared" si="14"/>
        <v>6.2499999999999778E-3</v>
      </c>
      <c r="J37" s="94">
        <f t="shared" si="14"/>
        <v>7.4215277777777748</v>
      </c>
      <c r="K37" s="94">
        <f t="shared" si="14"/>
        <v>0</v>
      </c>
      <c r="L37" s="94">
        <f t="shared" si="14"/>
        <v>0</v>
      </c>
      <c r="M37" s="95">
        <f>COUNTIF(M6:M36,"○")</f>
        <v>9</v>
      </c>
      <c r="N37" s="94">
        <f t="shared" si="14"/>
        <v>8.4722222222222351E-2</v>
      </c>
      <c r="O37" s="95">
        <f>COUNTIF(O6:O36,"○")</f>
        <v>22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7.4215277777777748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7.4215277777777748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177</v>
      </c>
      <c r="F39" s="137" t="s">
        <v>14</v>
      </c>
      <c r="G39" s="138"/>
      <c r="H39" s="108">
        <f>COUNTIF(O6:O36,"○")</f>
        <v>22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7.333333333333333</v>
      </c>
      <c r="F40" s="118" t="s">
        <v>15</v>
      </c>
      <c r="G40" s="129"/>
      <c r="H40" s="45">
        <f>COUNTIF(G6:G36,"&gt;0")-(COUNTIF(Q6:Q36,"=半休")*0.5)-(COUNTIF(Q6:Q36,"=半公休")*0.5)</f>
        <v>20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105</v>
      </c>
      <c r="D41" s="133"/>
      <c r="E41" s="33">
        <f>H39*TIME(8,0,0)</f>
        <v>7.333333333333333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8.0034722222222197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0.67013888888888662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8.0034722222222197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7.3368055555555527</v>
      </c>
      <c r="F45" s="118" t="s">
        <v>13</v>
      </c>
      <c r="G45" s="129"/>
      <c r="H45" s="44">
        <f>COUNTIF(Q6:Q36,"有休")+(COUNTIF(Q6:Q36,"半休")*0.5)</f>
        <v>2</v>
      </c>
      <c r="P45" s="5" t="s">
        <v>107</v>
      </c>
      <c r="Q45" s="5">
        <f>COUNTIF($Q$6:$Q$36,"有休")</f>
        <v>2</v>
      </c>
      <c r="R45" s="5" t="s">
        <v>108</v>
      </c>
    </row>
    <row r="46" spans="1:23" ht="13.5">
      <c r="C46" s="126" t="s">
        <v>72</v>
      </c>
      <c r="D46" s="127"/>
      <c r="E46" s="33">
        <f>IF(E44&gt;E41,E44-E41,0)</f>
        <v>0.67013888888888662</v>
      </c>
      <c r="F46" s="128" t="s">
        <v>28</v>
      </c>
      <c r="G46" s="129"/>
      <c r="H46" s="41">
        <f>COUNTIF(Q6:Q36,"代休")</f>
        <v>0</v>
      </c>
      <c r="P46" s="5" t="s">
        <v>109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3.4722222222196564E-3</v>
      </c>
      <c r="F47" s="128" t="s">
        <v>110</v>
      </c>
      <c r="G47" s="129"/>
      <c r="H47" s="41">
        <f>COUNTIF(Q6:Q36,"特別休")</f>
        <v>0</v>
      </c>
      <c r="P47" s="5" t="s">
        <v>112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7.3368055555555527</v>
      </c>
      <c r="F48" s="128" t="s">
        <v>5</v>
      </c>
      <c r="G48" s="129"/>
      <c r="H48" s="41">
        <f>COUNTIF(Q6:Q36,"*出張*")</f>
        <v>0</v>
      </c>
      <c r="P48" s="5" t="s">
        <v>95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87</v>
      </c>
      <c r="Q50" s="5">
        <f>COUNTIF($Q$6:$Q$36,"所休出張")</f>
        <v>0</v>
      </c>
      <c r="R50" s="5" t="s">
        <v>127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91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117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16.083333333333332</v>
      </c>
      <c r="F54" s="111" t="s">
        <v>68</v>
      </c>
      <c r="G54" s="112"/>
      <c r="H54" s="97">
        <f>E54*60/1440</f>
        <v>0.67013888888888884</v>
      </c>
      <c r="I54" s="97">
        <f>IF(D3="AS",0,IF(D3="SL",IF(E54&gt;=30,(E54-30)*60/1440,0), IF(E54&gt;=15,(E54-15)*60/1440,0)))</f>
        <v>4.513888888888884E-2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8.3333333333333329E-2</v>
      </c>
      <c r="F55" s="111" t="s">
        <v>71</v>
      </c>
      <c r="G55" s="112"/>
      <c r="H55" s="97">
        <f>E55*60/1440</f>
        <v>3.472222222222222E-3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146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120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66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123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0.15</v>
      </c>
      <c r="F61" s="115" t="s">
        <v>156</v>
      </c>
      <c r="G61" s="116"/>
      <c r="H61" s="97">
        <f>E61*60/1440</f>
        <v>6.2500000000000003E-3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303" priority="44" stopIfTrue="1" operator="equal">
      <formula>""</formula>
    </cfRule>
  </conditionalFormatting>
  <conditionalFormatting sqref="T6:T36">
    <cfRule type="cellIs" dxfId="302" priority="45" stopIfTrue="1" operator="lessThan">
      <formula>0.375</formula>
    </cfRule>
  </conditionalFormatting>
  <conditionalFormatting sqref="U6:U36">
    <cfRule type="cellIs" dxfId="301" priority="46" stopIfTrue="1" operator="greaterThan">
      <formula>0.999305555555556</formula>
    </cfRule>
  </conditionalFormatting>
  <conditionalFormatting sqref="E6:E11">
    <cfRule type="cellIs" dxfId="300" priority="47" stopIfTrue="1" operator="greaterThan">
      <formula>0.916666667</formula>
    </cfRule>
  </conditionalFormatting>
  <conditionalFormatting sqref="C6:C36">
    <cfRule type="cellIs" dxfId="299" priority="48" stopIfTrue="1" operator="between">
      <formula>"土"</formula>
      <formula>"日"</formula>
    </cfRule>
    <cfRule type="cellIs" dxfId="298" priority="49" stopIfTrue="1" operator="equal">
      <formula>""</formula>
    </cfRule>
    <cfRule type="cellIs" dxfId="297" priority="50" stopIfTrue="1" operator="lessThan">
      <formula>"A"</formula>
    </cfRule>
  </conditionalFormatting>
  <conditionalFormatting sqref="P6:P36">
    <cfRule type="cellIs" dxfId="296" priority="40" stopIfTrue="1" operator="equal">
      <formula>"所休日"</formula>
    </cfRule>
    <cfRule type="cellIs" dxfId="295" priority="41" stopIfTrue="1" operator="equal">
      <formula>"法休日"</formula>
    </cfRule>
    <cfRule type="cellIs" dxfId="294" priority="42" stopIfTrue="1" operator="equal">
      <formula>"""休日"""</formula>
    </cfRule>
  </conditionalFormatting>
  <conditionalFormatting sqref="D6:D11">
    <cfRule type="containsBlanks" dxfId="293" priority="51">
      <formula>LEN(TRIM(D6))=0</formula>
    </cfRule>
  </conditionalFormatting>
  <conditionalFormatting sqref="E12:E17">
    <cfRule type="cellIs" dxfId="292" priority="38" stopIfTrue="1" operator="greaterThan">
      <formula>0.916666667</formula>
    </cfRule>
  </conditionalFormatting>
  <conditionalFormatting sqref="D12:D17">
    <cfRule type="containsBlanks" dxfId="291" priority="39">
      <formula>LEN(TRIM(D12))=0</formula>
    </cfRule>
  </conditionalFormatting>
  <conditionalFormatting sqref="Q6:Q36">
    <cfRule type="expression" dxfId="290" priority="35">
      <formula>OR($Q6="振休")</formula>
    </cfRule>
    <cfRule type="expression" dxfId="289" priority="36" stopIfTrue="1">
      <formula>OR($Q6="有休",$Q6="半休",$Q6="代休",$Q6="公休",$Q6="欠勤")</formula>
    </cfRule>
    <cfRule type="expression" dxfId="288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287" priority="34">
      <formula>AND(OR($Q6="所休出",$Q6="所休出→代",$Q6="所休出張",$Q6="所休出張→代"),$C6="日")</formula>
    </cfRule>
  </conditionalFormatting>
  <conditionalFormatting sqref="E18:E24">
    <cfRule type="cellIs" dxfId="286" priority="32" stopIfTrue="1" operator="greaterThan">
      <formula>0.916666667</formula>
    </cfRule>
  </conditionalFormatting>
  <conditionalFormatting sqref="D18:D24">
    <cfRule type="containsBlanks" dxfId="285" priority="33">
      <formula>LEN(TRIM(D18))=0</formula>
    </cfRule>
  </conditionalFormatting>
  <conditionalFormatting sqref="E25:E32">
    <cfRule type="cellIs" dxfId="284" priority="30" stopIfTrue="1" operator="greaterThan">
      <formula>0.916666667</formula>
    </cfRule>
  </conditionalFormatting>
  <conditionalFormatting sqref="D25:D32">
    <cfRule type="containsBlanks" dxfId="283" priority="31">
      <formula>LEN(TRIM(D25))=0</formula>
    </cfRule>
  </conditionalFormatting>
  <conditionalFormatting sqref="E33:E36">
    <cfRule type="cellIs" dxfId="282" priority="28" stopIfTrue="1" operator="greaterThan">
      <formula>0.916666667</formula>
    </cfRule>
  </conditionalFormatting>
  <conditionalFormatting sqref="D33:D36">
    <cfRule type="containsBlanks" dxfId="281" priority="29">
      <formula>LEN(TRIM(D33))=0</formula>
    </cfRule>
  </conditionalFormatting>
  <conditionalFormatting sqref="I37">
    <cfRule type="expression" dxfId="280" priority="24">
      <formula>IF(I37&gt;TIME(0,0,0),TRUE)</formula>
    </cfRule>
  </conditionalFormatting>
  <conditionalFormatting sqref="D6:D36">
    <cfRule type="expression" dxfId="279" priority="14">
      <formula>AND($D6="",$E6&gt;0)</formula>
    </cfRule>
  </conditionalFormatting>
  <conditionalFormatting sqref="E6:E36">
    <cfRule type="expression" dxfId="278" priority="13">
      <formula>AND($E6="",$D6&gt;0)</formula>
    </cfRule>
  </conditionalFormatting>
  <conditionalFormatting sqref="E43">
    <cfRule type="expression" dxfId="277" priority="12" stopIfTrue="1">
      <formula>$E$42-$E$40&lt;0</formula>
    </cfRule>
  </conditionalFormatting>
  <conditionalFormatting sqref="H40">
    <cfRule type="expression" dxfId="276" priority="11">
      <formula>H40+H45+H46+H47+H48+H50-H41-H42-H43-H44&lt;H39</formula>
    </cfRule>
  </conditionalFormatting>
  <conditionalFormatting sqref="H54">
    <cfRule type="expression" dxfId="275" priority="10">
      <formula>IF(H54&gt;TIME(0,0,0),TRUE)</formula>
    </cfRule>
  </conditionalFormatting>
  <conditionalFormatting sqref="H55">
    <cfRule type="expression" dxfId="274" priority="9">
      <formula>IF(H55&gt;TIME(0,0,0),TRUE)</formula>
    </cfRule>
  </conditionalFormatting>
  <conditionalFormatting sqref="H56">
    <cfRule type="expression" dxfId="273" priority="8">
      <formula>IF(H56&gt;TIME(0,0,0),TRUE)</formula>
    </cfRule>
  </conditionalFormatting>
  <conditionalFormatting sqref="H58">
    <cfRule type="expression" dxfId="272" priority="7">
      <formula>IF(H58&gt;TIME(0,0,0),TRUE)</formula>
    </cfRule>
  </conditionalFormatting>
  <conditionalFormatting sqref="H59">
    <cfRule type="expression" dxfId="271" priority="6">
      <formula>IF(H59&gt;TIME(0,0,0),TRUE)</formula>
    </cfRule>
  </conditionalFormatting>
  <conditionalFormatting sqref="H61">
    <cfRule type="expression" dxfId="270" priority="5">
      <formula>IF(H61&gt;TIME(0,0,0),TRUE)</formula>
    </cfRule>
  </conditionalFormatting>
  <conditionalFormatting sqref="I53">
    <cfRule type="expression" dxfId="269" priority="4">
      <formula>IF(OR(E54&gt;0,E55&gt;0),TRUE)</formula>
    </cfRule>
  </conditionalFormatting>
  <conditionalFormatting sqref="I54">
    <cfRule type="expression" dxfId="268" priority="3">
      <formula>IF(H54&gt;TIME(0,0,0),TRUE)</formula>
    </cfRule>
  </conditionalFormatting>
  <conditionalFormatting sqref="I55">
    <cfRule type="expression" dxfId="267" priority="2">
      <formula>IF(H55&gt;TIME(0,0,0),TRUE)</formula>
    </cfRule>
  </conditionalFormatting>
  <conditionalFormatting sqref="H6:H35">
    <cfRule type="cellIs" dxfId="266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60">
        <v>44805</v>
      </c>
      <c r="B6" s="6">
        <f>$A$6+0</f>
        <v>44805</v>
      </c>
      <c r="C6" s="2" t="str">
        <f>IF(ISNUMBER(MATCH(B6,祝日リスト!$B$2:$B$33,0)),"(" &amp; TEXT(B6,"aaa") &amp; ")",TEXT(B6,"aaa"))</f>
        <v>木</v>
      </c>
      <c r="D6" s="68"/>
      <c r="E6" s="68"/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>
        <f t="shared" ref="V6:V36" si="3">IF(OR(O6="○",Q6="法休出",Q6="法休出→代",Q6="所休出",Q6="所休出→代"),TIME(1,0,0),"")</f>
        <v>4.1666666666666664E-2</v>
      </c>
      <c r="W6" s="10" t="str">
        <f>IF(U6&gt;0,U6-T6-V6,"")</f>
        <v/>
      </c>
    </row>
    <row r="7" spans="1:23">
      <c r="A7" s="11"/>
      <c r="B7" s="12">
        <f>$A$6+1</f>
        <v>44806</v>
      </c>
      <c r="C7" s="2" t="str">
        <f>IF(ISNUMBER(MATCH(B7,祝日リスト!$B$2:$B$33,0)),"(" &amp; TEXT(B7,"aaa") &amp; ")",TEXT(B7,"aaa"))</f>
        <v>金</v>
      </c>
      <c r="D7" s="68"/>
      <c r="E7" s="68"/>
      <c r="F7" s="73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>4.1666666666666664E-2</v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>○</v>
      </c>
      <c r="P7" s="79" t="str">
        <f>IF(TEXT(B7,"aaa")="日","法休日",IF(OR(TEXT(B7,"aaa")="土",ISNUMBER(MATCH(B7,祝日リスト!$B$2:$B$30,0))),"所休日",""))</f>
        <v/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>
        <f t="shared" si="3"/>
        <v>4.1666666666666664E-2</v>
      </c>
      <c r="W7" s="15" t="str">
        <f t="shared" ref="W7:W36" si="12">IF(U7&gt;0,U7-T7-V7,"")</f>
        <v/>
      </c>
    </row>
    <row r="8" spans="1:23">
      <c r="A8" s="11"/>
      <c r="B8" s="12">
        <f>$A$6+2</f>
        <v>44807</v>
      </c>
      <c r="C8" s="2" t="str">
        <f>IF(ISNUMBER(MATCH(B8,祝日リスト!$B$2:$B$33,0)),"(" &amp; TEXT(B8,"aaa") &amp; ")",TEXT(B8,"aaa"))</f>
        <v>土</v>
      </c>
      <c r="D8" s="68"/>
      <c r="E8" s="68"/>
      <c r="F8" s="73" t="str">
        <f t="shared" si="4"/>
        <v/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/>
      </c>
      <c r="P8" s="79" t="str">
        <f>IF(TEXT(B8,"aaa")="日","法休日",IF(OR(TEXT(B8,"aaa")="土",ISNUMBER(MATCH(B8,祝日リスト!$B$2:$B$30,0))),"所休日",""))</f>
        <v>所休日</v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 t="str">
        <f t="shared" si="3"/>
        <v/>
      </c>
      <c r="W8" s="15" t="str">
        <f t="shared" si="12"/>
        <v/>
      </c>
    </row>
    <row r="9" spans="1:23">
      <c r="A9" s="11"/>
      <c r="B9" s="12">
        <f>$A$6+3</f>
        <v>44808</v>
      </c>
      <c r="C9" s="2" t="str">
        <f>IF(ISNUMBER(MATCH(B9,祝日リスト!$B$2:$B$33,0)),"(" &amp; TEXT(B9,"aaa") &amp; ")",TEXT(B9,"aaa"))</f>
        <v>日</v>
      </c>
      <c r="D9" s="68"/>
      <c r="E9" s="68"/>
      <c r="F9" s="73" t="str">
        <f t="shared" si="4"/>
        <v/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/>
      </c>
      <c r="P9" s="79" t="str">
        <f>IF(TEXT(B9,"aaa")="日","法休日",IF(OR(TEXT(B9,"aaa")="土",ISNUMBER(MATCH(B9,祝日リスト!$B$2:$B$30,0))),"所休日",""))</f>
        <v>法休日</v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 t="str">
        <f t="shared" si="3"/>
        <v/>
      </c>
      <c r="W9" s="15" t="str">
        <f t="shared" si="12"/>
        <v/>
      </c>
    </row>
    <row r="10" spans="1:23">
      <c r="A10" s="11"/>
      <c r="B10" s="12">
        <f>$A$6+4</f>
        <v>44809</v>
      </c>
      <c r="C10" s="2" t="str">
        <f>IF(ISNUMBER(MATCH(B10,祝日リスト!$B$2:$B$33,0)),"(" &amp; TEXT(B10,"aaa") &amp; ")",TEXT(B10,"aaa"))</f>
        <v>月</v>
      </c>
      <c r="D10" s="68"/>
      <c r="E10" s="68"/>
      <c r="F10" s="73">
        <f t="shared" si="4"/>
        <v>4.1666666666666664E-2</v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>○</v>
      </c>
      <c r="P10" s="79" t="str">
        <f>IF(TEXT(B10,"aaa")="日","法休日",IF(OR(TEXT(B10,"aaa")="土",ISNUMBER(MATCH(B10,祝日リスト!$B$2:$B$30,0))),"所休日",""))</f>
        <v/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>
        <f t="shared" si="3"/>
        <v>4.1666666666666664E-2</v>
      </c>
      <c r="W10" s="15" t="str">
        <f t="shared" si="12"/>
        <v/>
      </c>
    </row>
    <row r="11" spans="1:23">
      <c r="A11" s="11"/>
      <c r="B11" s="12">
        <f>$A$6+5</f>
        <v>44810</v>
      </c>
      <c r="C11" s="2" t="str">
        <f>IF(ISNUMBER(MATCH(B11,祝日リスト!$B$2:$B$33,0)),"(" &amp; TEXT(B11,"aaa") &amp; ")",TEXT(B11,"aaa"))</f>
        <v>火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44811</v>
      </c>
      <c r="C12" s="2" t="str">
        <f>IF(ISNUMBER(MATCH(B12,祝日リスト!$B$2:$B$33,0)),"(" &amp; TEXT(B12,"aaa") &amp; ")",TEXT(B12,"aaa"))</f>
        <v>水</v>
      </c>
      <c r="D12" s="68"/>
      <c r="E12" s="68"/>
      <c r="F12" s="73">
        <f t="shared" si="4"/>
        <v>4.1666666666666664E-2</v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>
        <f t="shared" si="3"/>
        <v>4.1666666666666664E-2</v>
      </c>
      <c r="W12" s="15" t="str">
        <f t="shared" si="12"/>
        <v/>
      </c>
    </row>
    <row r="13" spans="1:23">
      <c r="A13" s="11"/>
      <c r="B13" s="12">
        <f>$A$6+7</f>
        <v>44812</v>
      </c>
      <c r="C13" s="2" t="str">
        <f>IF(ISNUMBER(MATCH(B13,祝日リスト!$B$2:$B$33,0)),"(" &amp; TEXT(B13,"aaa") &amp; ")",TEXT(B13,"aaa"))</f>
        <v>木</v>
      </c>
      <c r="D13" s="68"/>
      <c r="E13" s="68"/>
      <c r="F13" s="73">
        <f t="shared" si="4"/>
        <v>4.1666666666666664E-2</v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>
        <f t="shared" si="3"/>
        <v>4.1666666666666664E-2</v>
      </c>
      <c r="W13" s="15" t="str">
        <f t="shared" si="12"/>
        <v/>
      </c>
    </row>
    <row r="14" spans="1:23">
      <c r="A14" s="11"/>
      <c r="B14" s="12">
        <f>$A$6+8</f>
        <v>44813</v>
      </c>
      <c r="C14" s="2" t="str">
        <f>IF(ISNUMBER(MATCH(B14,祝日リスト!$B$2:$B$33,0)),"(" &amp; TEXT(B14,"aaa") &amp; ")",TEXT(B14,"aaa"))</f>
        <v>金</v>
      </c>
      <c r="D14" s="68"/>
      <c r="E14" s="68"/>
      <c r="F14" s="73">
        <f t="shared" si="4"/>
        <v>4.1666666666666664E-2</v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>○</v>
      </c>
      <c r="P14" s="79" t="str">
        <f>IF(TEXT(B14,"aaa")="日","法休日",IF(OR(TEXT(B14,"aaa")="土",ISNUMBER(MATCH(B14,祝日リスト!$B$2:$B$30,0))),"所休日",""))</f>
        <v/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>
        <f t="shared" si="3"/>
        <v>4.1666666666666664E-2</v>
      </c>
      <c r="W14" s="15" t="str">
        <f t="shared" si="12"/>
        <v/>
      </c>
    </row>
    <row r="15" spans="1:23">
      <c r="A15" s="11"/>
      <c r="B15" s="12">
        <f>$A$6+9</f>
        <v>44814</v>
      </c>
      <c r="C15" s="2" t="str">
        <f>IF(ISNUMBER(MATCH(B15,祝日リスト!$B$2:$B$33,0)),"(" &amp; TEXT(B15,"aaa") &amp; ")",TEXT(B15,"aaa"))</f>
        <v>土</v>
      </c>
      <c r="D15" s="68"/>
      <c r="E15" s="68"/>
      <c r="F15" s="73" t="str">
        <f t="shared" si="4"/>
        <v/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/>
      </c>
      <c r="P15" s="79" t="str">
        <f>IF(TEXT(B15,"aaa")="日","法休日",IF(OR(TEXT(B15,"aaa")="土",ISNUMBER(MATCH(B15,祝日リスト!$B$2:$B$30,0))),"所休日",""))</f>
        <v>所休日</v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 t="str">
        <f t="shared" si="3"/>
        <v/>
      </c>
      <c r="W15" s="15" t="str">
        <f t="shared" si="12"/>
        <v/>
      </c>
    </row>
    <row r="16" spans="1:23">
      <c r="A16" s="11"/>
      <c r="B16" s="12">
        <f>$A$6+10</f>
        <v>44815</v>
      </c>
      <c r="C16" s="2" t="str">
        <f>IF(ISNUMBER(MATCH(B16,祝日リスト!$B$2:$B$33,0)),"(" &amp; TEXT(B16,"aaa") &amp; ")",TEXT(B16,"aaa"))</f>
        <v>日</v>
      </c>
      <c r="D16" s="68"/>
      <c r="E16" s="68"/>
      <c r="F16" s="73" t="str">
        <f t="shared" si="4"/>
        <v/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/>
      </c>
      <c r="P16" s="79" t="str">
        <f>IF(TEXT(B16,"aaa")="日","法休日",IF(OR(TEXT(B16,"aaa")="土",ISNUMBER(MATCH(B16,祝日リスト!$B$2:$B$30,0))),"所休日",""))</f>
        <v>法休日</v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 t="str">
        <f t="shared" si="3"/>
        <v/>
      </c>
      <c r="W16" s="15" t="str">
        <f t="shared" si="12"/>
        <v/>
      </c>
    </row>
    <row r="17" spans="1:23">
      <c r="A17" s="11"/>
      <c r="B17" s="12">
        <f>$A$6+11</f>
        <v>44816</v>
      </c>
      <c r="C17" s="2" t="str">
        <f>IF(ISNUMBER(MATCH(B17,祝日リスト!$B$2:$B$33,0)),"(" &amp; TEXT(B17,"aaa") &amp; ")",TEXT(B17,"aaa"))</f>
        <v>月</v>
      </c>
      <c r="D17" s="68"/>
      <c r="E17" s="68"/>
      <c r="F17" s="73">
        <f t="shared" si="4"/>
        <v>4.1666666666666664E-2</v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>○</v>
      </c>
      <c r="P17" s="79" t="str">
        <f>IF(TEXT(B17,"aaa")="日","法休日",IF(OR(TEXT(B17,"aaa")="土",ISNUMBER(MATCH(B17,祝日リスト!$B$2:$B$30,0))),"所休日",""))</f>
        <v/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>
        <f t="shared" si="3"/>
        <v>4.1666666666666664E-2</v>
      </c>
      <c r="W17" s="15" t="str">
        <f t="shared" si="12"/>
        <v/>
      </c>
    </row>
    <row r="18" spans="1:23">
      <c r="A18" s="11"/>
      <c r="B18" s="12">
        <f>$A$6+12</f>
        <v>44817</v>
      </c>
      <c r="C18" s="2" t="str">
        <f>IF(ISNUMBER(MATCH(B18,祝日リスト!$B$2:$B$33,0)),"(" &amp; TEXT(B18,"aaa") &amp; ")",TEXT(B18,"aaa"))</f>
        <v>火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44818</v>
      </c>
      <c r="C19" s="2" t="str">
        <f>IF(ISNUMBER(MATCH(B19,祝日リスト!$B$2:$B$33,0)),"(" &amp; TEXT(B19,"aaa") &amp; ")",TEXT(B19,"aaa"))</f>
        <v>水</v>
      </c>
      <c r="D19" s="68"/>
      <c r="E19" s="68"/>
      <c r="F19" s="73">
        <f t="shared" si="4"/>
        <v>4.1666666666666664E-2</v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>
        <f t="shared" si="3"/>
        <v>4.1666666666666664E-2</v>
      </c>
      <c r="W19" s="15" t="str">
        <f t="shared" si="12"/>
        <v/>
      </c>
    </row>
    <row r="20" spans="1:23">
      <c r="A20" s="11"/>
      <c r="B20" s="12">
        <f>$A$6+14</f>
        <v>44819</v>
      </c>
      <c r="C20" s="2" t="str">
        <f>IF(ISNUMBER(MATCH(B20,祝日リスト!$B$2:$B$33,0)),"(" &amp; TEXT(B20,"aaa") &amp; ")",TEXT(B20,"aaa"))</f>
        <v>木</v>
      </c>
      <c r="D20" s="68"/>
      <c r="E20" s="68"/>
      <c r="F20" s="73">
        <f t="shared" si="4"/>
        <v>4.1666666666666664E-2</v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>
        <f t="shared" si="3"/>
        <v>4.1666666666666664E-2</v>
      </c>
      <c r="W20" s="15" t="str">
        <f t="shared" si="12"/>
        <v/>
      </c>
    </row>
    <row r="21" spans="1:23">
      <c r="A21" s="11"/>
      <c r="B21" s="12">
        <f>$A$6+15</f>
        <v>44820</v>
      </c>
      <c r="C21" s="2" t="str">
        <f>IF(ISNUMBER(MATCH(B21,祝日リスト!$B$2:$B$33,0)),"(" &amp; TEXT(B21,"aaa") &amp; ")",TEXT(B21,"aaa"))</f>
        <v>金</v>
      </c>
      <c r="D21" s="68"/>
      <c r="E21" s="68"/>
      <c r="F21" s="73">
        <f t="shared" si="4"/>
        <v>4.1666666666666664E-2</v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>
        <f t="shared" si="3"/>
        <v>4.1666666666666664E-2</v>
      </c>
      <c r="W21" s="15" t="str">
        <f t="shared" si="12"/>
        <v/>
      </c>
    </row>
    <row r="22" spans="1:23">
      <c r="A22" s="11"/>
      <c r="B22" s="12">
        <f>$A$6+16</f>
        <v>44821</v>
      </c>
      <c r="C22" s="2" t="str">
        <f>IF(ISNUMBER(MATCH(B22,祝日リスト!$B$2:$B$33,0)),"(" &amp; TEXT(B22,"aaa") &amp; ")",TEXT(B22,"aaa"))</f>
        <v>土</v>
      </c>
      <c r="D22" s="68"/>
      <c r="E22" s="68"/>
      <c r="F22" s="73" t="str">
        <f t="shared" si="4"/>
        <v/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/>
      </c>
      <c r="P22" s="79" t="str">
        <f>IF(TEXT(B22,"aaa")="日","法休日",IF(OR(TEXT(B22,"aaa")="土",ISNUMBER(MATCH(B22,祝日リスト!$B$2:$B$30,0))),"所休日",""))</f>
        <v>所休日</v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 t="str">
        <f t="shared" si="3"/>
        <v/>
      </c>
      <c r="W22" s="15" t="str">
        <f t="shared" si="12"/>
        <v/>
      </c>
    </row>
    <row r="23" spans="1:23">
      <c r="A23" s="11"/>
      <c r="B23" s="12">
        <f>$A$6+17</f>
        <v>44822</v>
      </c>
      <c r="C23" s="2" t="str">
        <f>IF(ISNUMBER(MATCH(B23,祝日リスト!$B$2:$B$33,0)),"(" &amp; TEXT(B23,"aaa") &amp; ")",TEXT(B23,"aaa"))</f>
        <v>日</v>
      </c>
      <c r="D23" s="68"/>
      <c r="E23" s="68"/>
      <c r="F23" s="73" t="str">
        <f t="shared" si="4"/>
        <v/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/>
      </c>
      <c r="P23" s="79" t="str">
        <f>IF(TEXT(B23,"aaa")="日","法休日",IF(OR(TEXT(B23,"aaa")="土",ISNUMBER(MATCH(B23,祝日リスト!$B$2:$B$30,0))),"所休日",""))</f>
        <v>法休日</v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 t="str">
        <f t="shared" si="3"/>
        <v/>
      </c>
      <c r="W23" s="15" t="str">
        <f t="shared" si="12"/>
        <v/>
      </c>
    </row>
    <row r="24" spans="1:23">
      <c r="A24" s="11"/>
      <c r="B24" s="12">
        <f>$A$6+18</f>
        <v>44823</v>
      </c>
      <c r="C24" s="2" t="str">
        <f>IF(ISNUMBER(MATCH(B24,祝日リスト!$B$2:$B$33,0)),"(" &amp; TEXT(B24,"aaa") &amp; ")",TEXT(B24,"aaa"))</f>
        <v>(月)</v>
      </c>
      <c r="D24" s="68"/>
      <c r="E24" s="68"/>
      <c r="F24" s="73" t="str">
        <f t="shared" si="4"/>
        <v/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/>
      </c>
      <c r="P24" s="79" t="str">
        <f>IF(TEXT(B24,"aaa")="日","法休日",IF(OR(TEXT(B24,"aaa")="土",ISNUMBER(MATCH(B24,祝日リスト!$B$2:$B$30,0))),"所休日",""))</f>
        <v>所休日</v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 t="str">
        <f t="shared" si="3"/>
        <v/>
      </c>
      <c r="W24" s="15" t="str">
        <f t="shared" si="12"/>
        <v/>
      </c>
    </row>
    <row r="25" spans="1:23">
      <c r="A25" s="11"/>
      <c r="B25" s="12">
        <f>$A$6+19</f>
        <v>44824</v>
      </c>
      <c r="C25" s="2" t="str">
        <f>IF(ISNUMBER(MATCH(B25,祝日リスト!$B$2:$B$33,0)),"(" &amp; TEXT(B25,"aaa") &amp; ")",TEXT(B25,"aaa"))</f>
        <v>火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44825</v>
      </c>
      <c r="C26" s="2" t="str">
        <f>IF(ISNUMBER(MATCH(B26,祝日リスト!$B$2:$B$33,0)),"(" &amp; TEXT(B26,"aaa") &amp; ")",TEXT(B26,"aaa"))</f>
        <v>水</v>
      </c>
      <c r="D26" s="68"/>
      <c r="E26" s="68"/>
      <c r="F26" s="73">
        <f t="shared" si="4"/>
        <v>4.1666666666666664E-2</v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>○</v>
      </c>
      <c r="P26" s="79" t="str">
        <f>IF(TEXT(B26,"aaa")="日","法休日",IF(OR(TEXT(B26,"aaa")="土",ISNUMBER(MATCH(B26,祝日リスト!$B$2:$B$30,0))),"所休日",""))</f>
        <v/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>
        <f t="shared" si="3"/>
        <v>4.1666666666666664E-2</v>
      </c>
      <c r="W26" s="15" t="str">
        <f t="shared" si="12"/>
        <v/>
      </c>
    </row>
    <row r="27" spans="1:23">
      <c r="A27" s="11"/>
      <c r="B27" s="12">
        <f>$A$6+21</f>
        <v>44826</v>
      </c>
      <c r="C27" s="2" t="str">
        <f>IF(ISNUMBER(MATCH(B27,祝日リスト!$B$2:$B$33,0)),"(" &amp; TEXT(B27,"aaa") &amp; ")",TEXT(B27,"aaa"))</f>
        <v>木</v>
      </c>
      <c r="D27" s="68"/>
      <c r="E27" s="68"/>
      <c r="F27" s="73">
        <f t="shared" si="4"/>
        <v>4.1666666666666664E-2</v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>
        <f t="shared" si="3"/>
        <v>4.1666666666666664E-2</v>
      </c>
      <c r="W27" s="15" t="str">
        <f t="shared" si="12"/>
        <v/>
      </c>
    </row>
    <row r="28" spans="1:23">
      <c r="A28" s="11"/>
      <c r="B28" s="12">
        <f>$A$6+22</f>
        <v>44827</v>
      </c>
      <c r="C28" s="2" t="str">
        <f>IF(ISNUMBER(MATCH(B28,祝日リスト!$B$2:$B$33,0)),"(" &amp; TEXT(B28,"aaa") &amp; ")",TEXT(B28,"aaa"))</f>
        <v>(金)</v>
      </c>
      <c r="D28" s="68"/>
      <c r="E28" s="68"/>
      <c r="F28" s="73" t="str">
        <f t="shared" si="4"/>
        <v/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/>
      </c>
      <c r="P28" s="79" t="str">
        <f>IF(TEXT(B28,"aaa")="日","法休日",IF(OR(TEXT(B28,"aaa")="土",ISNUMBER(MATCH(B28,祝日リスト!$B$2:$B$30,0))),"所休日",""))</f>
        <v>所休日</v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 t="str">
        <f t="shared" si="3"/>
        <v/>
      </c>
      <c r="W28" s="15" t="str">
        <f t="shared" si="12"/>
        <v/>
      </c>
    </row>
    <row r="29" spans="1:23">
      <c r="A29" s="11"/>
      <c r="B29" s="12">
        <f>$A$6+23</f>
        <v>44828</v>
      </c>
      <c r="C29" s="2" t="str">
        <f>IF(ISNUMBER(MATCH(B29,祝日リスト!$B$2:$B$33,0)),"(" &amp; TEXT(B29,"aaa") &amp; ")",TEXT(B29,"aaa"))</f>
        <v>土</v>
      </c>
      <c r="D29" s="68"/>
      <c r="E29" s="68"/>
      <c r="F29" s="73" t="str">
        <f t="shared" si="4"/>
        <v/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/>
      </c>
      <c r="P29" s="79" t="str">
        <f>IF(TEXT(B29,"aaa")="日","法休日",IF(OR(TEXT(B29,"aaa")="土",ISNUMBER(MATCH(B29,祝日リスト!$B$2:$B$30,0))),"所休日",""))</f>
        <v>所休日</v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 t="str">
        <f t="shared" si="3"/>
        <v/>
      </c>
      <c r="W29" s="15" t="str">
        <f t="shared" si="12"/>
        <v/>
      </c>
    </row>
    <row r="30" spans="1:23">
      <c r="A30" s="11"/>
      <c r="B30" s="12">
        <f>$A$6+24</f>
        <v>44829</v>
      </c>
      <c r="C30" s="2" t="str">
        <f>IF(ISNUMBER(MATCH(B30,祝日リスト!$B$2:$B$33,0)),"(" &amp; TEXT(B30,"aaa") &amp; ")",TEXT(B30,"aaa"))</f>
        <v>日</v>
      </c>
      <c r="D30" s="68"/>
      <c r="E30" s="68"/>
      <c r="F30" s="73" t="str">
        <f t="shared" si="4"/>
        <v/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/>
      </c>
      <c r="P30" s="79" t="str">
        <f>IF(TEXT(B30,"aaa")="日","法休日",IF(OR(TEXT(B30,"aaa")="土",ISNUMBER(MATCH(B30,祝日リスト!$B$2:$B$30,0))),"所休日",""))</f>
        <v>法休日</v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 t="str">
        <f t="shared" si="3"/>
        <v/>
      </c>
      <c r="W30" s="15" t="str">
        <f t="shared" si="12"/>
        <v/>
      </c>
    </row>
    <row r="31" spans="1:23">
      <c r="A31" s="11"/>
      <c r="B31" s="12">
        <f>$A$6+25</f>
        <v>44830</v>
      </c>
      <c r="C31" s="2" t="str">
        <f>IF(ISNUMBER(MATCH(B31,祝日リスト!$B$2:$B$33,0)),"(" &amp; TEXT(B31,"aaa") &amp; ")",TEXT(B31,"aaa"))</f>
        <v>月</v>
      </c>
      <c r="D31" s="68"/>
      <c r="E31" s="68"/>
      <c r="F31" s="73">
        <f t="shared" si="4"/>
        <v>4.1666666666666664E-2</v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>○</v>
      </c>
      <c r="P31" s="79" t="str">
        <f>IF(TEXT(B31,"aaa")="日","法休日",IF(OR(TEXT(B31,"aaa")="土",ISNUMBER(MATCH(B31,祝日リスト!$B$2:$B$30,0))),"所休日",""))</f>
        <v/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>
        <f t="shared" si="3"/>
        <v>4.1666666666666664E-2</v>
      </c>
      <c r="W31" s="15" t="str">
        <f t="shared" si="12"/>
        <v/>
      </c>
    </row>
    <row r="32" spans="1:23">
      <c r="A32" s="11"/>
      <c r="B32" s="12">
        <f>$A$6+26</f>
        <v>44831</v>
      </c>
      <c r="C32" s="2" t="str">
        <f>IF(ISNUMBER(MATCH(B32,祝日リスト!$B$2:$B$33,0)),"(" &amp; TEXT(B32,"aaa") &amp; ")",TEXT(B32,"aaa"))</f>
        <v>火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44832</v>
      </c>
      <c r="C33" s="2" t="str">
        <f>IF(ISNUMBER(MATCH(B33,祝日リスト!$B$2:$B$33,0)),"(" &amp; TEXT(B33,"aaa") &amp; ")",TEXT(B33,"aaa"))</f>
        <v>水</v>
      </c>
      <c r="D33" s="68"/>
      <c r="E33" s="68"/>
      <c r="F33" s="73">
        <f t="shared" si="4"/>
        <v>4.1666666666666664E-2</v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>
        <f t="shared" si="3"/>
        <v>4.1666666666666664E-2</v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44833</v>
      </c>
      <c r="C34" s="2" t="str">
        <f>IF(ISNUMBER(MATCH(B34,祝日リスト!$B$2:$B$33,0)),"(" &amp; TEXT(B34,"aaa") &amp; ")",TEXT(B34,"aaa"))</f>
        <v>木</v>
      </c>
      <c r="D34" s="68"/>
      <c r="E34" s="68"/>
      <c r="F34" s="73">
        <f t="shared" si="4"/>
        <v>4.1666666666666664E-2</v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>○</v>
      </c>
      <c r="P34" s="79" t="str">
        <f>IF(TEXT(B34,"aaa")="日","法休日",IF(OR(TEXT(B34,"aaa")="土",ISNUMBER(MATCH(B34,祝日リスト!$B$2:$B$30,0))),"所休日",""))</f>
        <v/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>
        <f t="shared" si="3"/>
        <v>4.1666666666666664E-2</v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44834</v>
      </c>
      <c r="C35" s="2" t="str">
        <f>IF(ISNUMBER(MATCH(B35,祝日リスト!$B$2:$B$33,0)),"(" &amp; TEXT(B35,"aaa") &amp; ")",TEXT(B35,"aaa"))</f>
        <v>金</v>
      </c>
      <c r="D35" s="68"/>
      <c r="E35" s="68"/>
      <c r="F35" s="73">
        <f t="shared" si="4"/>
        <v>4.1666666666666664E-2</v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>○</v>
      </c>
      <c r="P35" s="79" t="str">
        <f>IF(TEXT(B35,"aaa")="日","法休日",IF(OR(TEXT(B35,"aaa")="土",ISNUMBER(MATCH(B35,祝日リスト!$B$2:$B$30,0))),"所休日",""))</f>
        <v/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>
        <f t="shared" si="3"/>
        <v>4.1666666666666664E-2</v>
      </c>
      <c r="W35" s="15" t="str">
        <f t="shared" si="12"/>
        <v/>
      </c>
    </row>
    <row r="36" spans="1:23">
      <c r="A36" s="16"/>
      <c r="B36" s="17" t="str">
        <f>IF($A$6+30&gt;DATE(YEAR($A$6),MONTH($A$6)+1,0),"",$A$6+30)</f>
        <v/>
      </c>
      <c r="C36" s="3" t="str">
        <f>IF(ISNUMBER(MATCH(B36,祝日リスト!$B$2:$B$33,0)),"(" &amp; TEXT(B36,"aaa") &amp; ")",TEXT(B36,"aaa"))</f>
        <v/>
      </c>
      <c r="D36" s="69"/>
      <c r="E36" s="69"/>
      <c r="F36" s="74" t="str">
        <f t="shared" si="4"/>
        <v/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/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 t="str">
        <f t="shared" si="3"/>
        <v/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30</v>
      </c>
      <c r="C37" s="92">
        <f>40/7*B37</f>
        <v>171.42857142857144</v>
      </c>
      <c r="D37" s="93"/>
      <c r="E37" s="93"/>
      <c r="F37" s="94">
        <f t="shared" ref="F37:N37" si="14">SUM(F6:F36)</f>
        <v>0.83333333333333304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20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171</v>
      </c>
      <c r="F39" s="137" t="s">
        <v>14</v>
      </c>
      <c r="G39" s="138"/>
      <c r="H39" s="108">
        <f>COUNTIF(O6:O36,"○")</f>
        <v>20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6.6666666666666661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137</v>
      </c>
      <c r="D41" s="133"/>
      <c r="E41" s="33">
        <f>H39*TIME(8,0,0)</f>
        <v>6.6666666666666661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6.6666666666666661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106</v>
      </c>
      <c r="Q45" s="5">
        <f>COUNTIF($Q$6:$Q$36,"有休")</f>
        <v>0</v>
      </c>
      <c r="R45" s="5" t="s">
        <v>108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109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111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125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150</v>
      </c>
      <c r="Q50" s="5">
        <f>COUNTIF($Q$6:$Q$36,"所休出張")</f>
        <v>0</v>
      </c>
      <c r="R50" s="5" t="s">
        <v>94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91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128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146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130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147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155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162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265" priority="44" stopIfTrue="1" operator="equal">
      <formula>""</formula>
    </cfRule>
  </conditionalFormatting>
  <conditionalFormatting sqref="T6:T36">
    <cfRule type="cellIs" dxfId="264" priority="45" stopIfTrue="1" operator="lessThan">
      <formula>0.375</formula>
    </cfRule>
  </conditionalFormatting>
  <conditionalFormatting sqref="U6:U36">
    <cfRule type="cellIs" dxfId="263" priority="46" stopIfTrue="1" operator="greaterThan">
      <formula>0.999305555555556</formula>
    </cfRule>
  </conditionalFormatting>
  <conditionalFormatting sqref="E6:E11">
    <cfRule type="cellIs" dxfId="262" priority="47" stopIfTrue="1" operator="greaterThan">
      <formula>0.916666667</formula>
    </cfRule>
  </conditionalFormatting>
  <conditionalFormatting sqref="C6:C36">
    <cfRule type="cellIs" dxfId="261" priority="48" stopIfTrue="1" operator="between">
      <formula>"土"</formula>
      <formula>"日"</formula>
    </cfRule>
    <cfRule type="cellIs" dxfId="260" priority="49" stopIfTrue="1" operator="equal">
      <formula>""</formula>
    </cfRule>
    <cfRule type="cellIs" dxfId="259" priority="50" stopIfTrue="1" operator="lessThan">
      <formula>"A"</formula>
    </cfRule>
  </conditionalFormatting>
  <conditionalFormatting sqref="P6:P36">
    <cfRule type="cellIs" dxfId="258" priority="40" stopIfTrue="1" operator="equal">
      <formula>"所休日"</formula>
    </cfRule>
    <cfRule type="cellIs" dxfId="257" priority="41" stopIfTrue="1" operator="equal">
      <formula>"法休日"</formula>
    </cfRule>
    <cfRule type="cellIs" dxfId="256" priority="42" stopIfTrue="1" operator="equal">
      <formula>"""休日"""</formula>
    </cfRule>
  </conditionalFormatting>
  <conditionalFormatting sqref="D6:D11">
    <cfRule type="containsBlanks" dxfId="255" priority="51">
      <formula>LEN(TRIM(D6))=0</formula>
    </cfRule>
  </conditionalFormatting>
  <conditionalFormatting sqref="E12:E17">
    <cfRule type="cellIs" dxfId="254" priority="38" stopIfTrue="1" operator="greaterThan">
      <formula>0.916666667</formula>
    </cfRule>
  </conditionalFormatting>
  <conditionalFormatting sqref="D12:D17">
    <cfRule type="containsBlanks" dxfId="253" priority="39">
      <formula>LEN(TRIM(D12))=0</formula>
    </cfRule>
  </conditionalFormatting>
  <conditionalFormatting sqref="Q6:Q36">
    <cfRule type="expression" dxfId="252" priority="35">
      <formula>OR($Q6="振休")</formula>
    </cfRule>
    <cfRule type="expression" dxfId="251" priority="36" stopIfTrue="1">
      <formula>OR($Q6="有休",$Q6="半休",$Q6="代休",$Q6="公休",$Q6="欠勤")</formula>
    </cfRule>
    <cfRule type="expression" dxfId="250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249" priority="34">
      <formula>AND(OR($Q6="所休出",$Q6="所休出→代",$Q6="所休出張",$Q6="所休出張→代"),$C6="日")</formula>
    </cfRule>
  </conditionalFormatting>
  <conditionalFormatting sqref="E18:E24">
    <cfRule type="cellIs" dxfId="248" priority="32" stopIfTrue="1" operator="greaterThan">
      <formula>0.916666667</formula>
    </cfRule>
  </conditionalFormatting>
  <conditionalFormatting sqref="D18:D24">
    <cfRule type="containsBlanks" dxfId="247" priority="33">
      <formula>LEN(TRIM(D18))=0</formula>
    </cfRule>
  </conditionalFormatting>
  <conditionalFormatting sqref="E25:E32">
    <cfRule type="cellIs" dxfId="246" priority="30" stopIfTrue="1" operator="greaterThan">
      <formula>0.916666667</formula>
    </cfRule>
  </conditionalFormatting>
  <conditionalFormatting sqref="D25:D32">
    <cfRule type="containsBlanks" dxfId="245" priority="31">
      <formula>LEN(TRIM(D25))=0</formula>
    </cfRule>
  </conditionalFormatting>
  <conditionalFormatting sqref="E33:E36">
    <cfRule type="cellIs" dxfId="244" priority="28" stopIfTrue="1" operator="greaterThan">
      <formula>0.916666667</formula>
    </cfRule>
  </conditionalFormatting>
  <conditionalFormatting sqref="D33:D36">
    <cfRule type="containsBlanks" dxfId="243" priority="29">
      <formula>LEN(TRIM(D33))=0</formula>
    </cfRule>
  </conditionalFormatting>
  <conditionalFormatting sqref="I37">
    <cfRule type="expression" dxfId="242" priority="24">
      <formula>IF(I37&gt;TIME(0,0,0),TRUE)</formula>
    </cfRule>
  </conditionalFormatting>
  <conditionalFormatting sqref="D6:D36">
    <cfRule type="expression" dxfId="241" priority="14">
      <formula>AND($D6="",$E6&gt;0)</formula>
    </cfRule>
  </conditionalFormatting>
  <conditionalFormatting sqref="E6:E36">
    <cfRule type="expression" dxfId="240" priority="13">
      <formula>AND($E6="",$D6&gt;0)</formula>
    </cfRule>
  </conditionalFormatting>
  <conditionalFormatting sqref="E43">
    <cfRule type="expression" dxfId="239" priority="12" stopIfTrue="1">
      <formula>$E$42-$E$40&lt;0</formula>
    </cfRule>
  </conditionalFormatting>
  <conditionalFormatting sqref="H40">
    <cfRule type="expression" dxfId="238" priority="11">
      <formula>H40+H45+H46+H47+H48+H50-H41-H42-H43-H44&lt;H39</formula>
    </cfRule>
  </conditionalFormatting>
  <conditionalFormatting sqref="H54">
    <cfRule type="expression" dxfId="237" priority="10">
      <formula>IF(H54&gt;TIME(0,0,0),TRUE)</formula>
    </cfRule>
  </conditionalFormatting>
  <conditionalFormatting sqref="H55">
    <cfRule type="expression" dxfId="236" priority="9">
      <formula>IF(H55&gt;TIME(0,0,0),TRUE)</formula>
    </cfRule>
  </conditionalFormatting>
  <conditionalFormatting sqref="H56">
    <cfRule type="expression" dxfId="235" priority="8">
      <formula>IF(H56&gt;TIME(0,0,0),TRUE)</formula>
    </cfRule>
  </conditionalFormatting>
  <conditionalFormatting sqref="H58">
    <cfRule type="expression" dxfId="234" priority="7">
      <formula>IF(H58&gt;TIME(0,0,0),TRUE)</formula>
    </cfRule>
  </conditionalFormatting>
  <conditionalFormatting sqref="H59">
    <cfRule type="expression" dxfId="233" priority="6">
      <formula>IF(H59&gt;TIME(0,0,0),TRUE)</formula>
    </cfRule>
  </conditionalFormatting>
  <conditionalFormatting sqref="H61">
    <cfRule type="expression" dxfId="232" priority="5">
      <formula>IF(H61&gt;TIME(0,0,0),TRUE)</formula>
    </cfRule>
  </conditionalFormatting>
  <conditionalFormatting sqref="I53">
    <cfRule type="expression" dxfId="231" priority="4">
      <formula>IF(OR(E54&gt;0,E55&gt;0),TRUE)</formula>
    </cfRule>
  </conditionalFormatting>
  <conditionalFormatting sqref="I54">
    <cfRule type="expression" dxfId="230" priority="3">
      <formula>IF(H54&gt;TIME(0,0,0),TRUE)</formula>
    </cfRule>
  </conditionalFormatting>
  <conditionalFormatting sqref="I55">
    <cfRule type="expression" dxfId="229" priority="2">
      <formula>IF(H55&gt;TIME(0,0,0),TRUE)</formula>
    </cfRule>
  </conditionalFormatting>
  <conditionalFormatting sqref="H6:H35">
    <cfRule type="cellIs" dxfId="228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106">
        <v>44835</v>
      </c>
      <c r="B6" s="6">
        <f>$A$6+0</f>
        <v>44835</v>
      </c>
      <c r="C6" s="2" t="str">
        <f>IF(ISNUMBER(MATCH(B6,祝日リスト!$B$2:$B$33,0)),"(" &amp; TEXT(B6,"aaa") &amp; ")",TEXT(B6,"aaa"))</f>
        <v>土</v>
      </c>
      <c r="D6" s="68"/>
      <c r="E6" s="68"/>
      <c r="F6" s="73" t="str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/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/>
      </c>
      <c r="P6" s="79" t="str">
        <f>IF(TEXT(B6,"aaa")="日","法休日",IF(OR(TEXT(B6,"aaa")="土",ISNUMBER(MATCH(B6,祝日リスト!$B$2:$B$30,0))),"所休日",""))</f>
        <v>所休日</v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 t="str">
        <f t="shared" ref="V6:V36" si="3">IF(OR(O6="○",Q6="法休出",Q6="法休出→代",Q6="所休出",Q6="所休出→代"),TIME(1,0,0),"")</f>
        <v/>
      </c>
      <c r="W6" s="10" t="str">
        <f>IF(U6&gt;0,U6-T6-V6,"")</f>
        <v/>
      </c>
    </row>
    <row r="7" spans="1:23">
      <c r="A7" s="11"/>
      <c r="B7" s="12">
        <f>$A$6+1</f>
        <v>44836</v>
      </c>
      <c r="C7" s="2" t="str">
        <f>IF(ISNUMBER(MATCH(B7,祝日リスト!$B$2:$B$33,0)),"(" &amp; TEXT(B7,"aaa") &amp; ")",TEXT(B7,"aaa"))</f>
        <v>日</v>
      </c>
      <c r="D7" s="68"/>
      <c r="E7" s="68"/>
      <c r="F7" s="73" t="str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/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/>
      </c>
      <c r="P7" s="79" t="str">
        <f>IF(TEXT(B7,"aaa")="日","法休日",IF(OR(TEXT(B7,"aaa")="土",ISNUMBER(MATCH(B7,祝日リスト!$B$2:$B$30,0))),"所休日",""))</f>
        <v>法休日</v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 t="str">
        <f t="shared" si="3"/>
        <v/>
      </c>
      <c r="W7" s="15" t="str">
        <f t="shared" ref="W7:W36" si="12">IF(U7&gt;0,U7-T7-V7,"")</f>
        <v/>
      </c>
    </row>
    <row r="8" spans="1:23">
      <c r="A8" s="11"/>
      <c r="B8" s="12">
        <f>$A$6+2</f>
        <v>44837</v>
      </c>
      <c r="C8" s="2" t="str">
        <f>IF(ISNUMBER(MATCH(B8,祝日リスト!$B$2:$B$33,0)),"(" &amp; TEXT(B8,"aaa") &amp; ")",TEXT(B8,"aaa"))</f>
        <v>月</v>
      </c>
      <c r="D8" s="68"/>
      <c r="E8" s="68"/>
      <c r="F8" s="73">
        <f t="shared" si="4"/>
        <v>4.1666666666666664E-2</v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>○</v>
      </c>
      <c r="P8" s="79" t="str">
        <f>IF(TEXT(B8,"aaa")="日","法休日",IF(OR(TEXT(B8,"aaa")="土",ISNUMBER(MATCH(B8,祝日リスト!$B$2:$B$30,0))),"所休日",""))</f>
        <v/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>
        <f t="shared" si="3"/>
        <v>4.1666666666666664E-2</v>
      </c>
      <c r="W8" s="15" t="str">
        <f t="shared" si="12"/>
        <v/>
      </c>
    </row>
    <row r="9" spans="1:23">
      <c r="A9" s="11"/>
      <c r="B9" s="12">
        <f>$A$6+3</f>
        <v>44838</v>
      </c>
      <c r="C9" s="2" t="str">
        <f>IF(ISNUMBER(MATCH(B9,祝日リスト!$B$2:$B$33,0)),"(" &amp; TEXT(B9,"aaa") &amp; ")",TEXT(B9,"aaa"))</f>
        <v>火</v>
      </c>
      <c r="D9" s="68"/>
      <c r="E9" s="68"/>
      <c r="F9" s="73">
        <f t="shared" si="4"/>
        <v>4.1666666666666664E-2</v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>○</v>
      </c>
      <c r="P9" s="79" t="str">
        <f>IF(TEXT(B9,"aaa")="日","法休日",IF(OR(TEXT(B9,"aaa")="土",ISNUMBER(MATCH(B9,祝日リスト!$B$2:$B$30,0))),"所休日",""))</f>
        <v/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>
        <f t="shared" si="3"/>
        <v>4.1666666666666664E-2</v>
      </c>
      <c r="W9" s="15" t="str">
        <f t="shared" si="12"/>
        <v/>
      </c>
    </row>
    <row r="10" spans="1:23">
      <c r="A10" s="11"/>
      <c r="B10" s="12">
        <f>$A$6+4</f>
        <v>44839</v>
      </c>
      <c r="C10" s="2" t="str">
        <f>IF(ISNUMBER(MATCH(B10,祝日リスト!$B$2:$B$33,0)),"(" &amp; TEXT(B10,"aaa") &amp; ")",TEXT(B10,"aaa"))</f>
        <v>水</v>
      </c>
      <c r="D10" s="68"/>
      <c r="E10" s="68"/>
      <c r="F10" s="73">
        <f t="shared" si="4"/>
        <v>4.1666666666666664E-2</v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>○</v>
      </c>
      <c r="P10" s="79" t="str">
        <f>IF(TEXT(B10,"aaa")="日","法休日",IF(OR(TEXT(B10,"aaa")="土",ISNUMBER(MATCH(B10,祝日リスト!$B$2:$B$30,0))),"所休日",""))</f>
        <v/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>
        <f t="shared" si="3"/>
        <v>4.1666666666666664E-2</v>
      </c>
      <c r="W10" s="15" t="str">
        <f t="shared" si="12"/>
        <v/>
      </c>
    </row>
    <row r="11" spans="1:23">
      <c r="A11" s="11"/>
      <c r="B11" s="12">
        <f>$A$6+5</f>
        <v>44840</v>
      </c>
      <c r="C11" s="2" t="str">
        <f>IF(ISNUMBER(MATCH(B11,祝日リスト!$B$2:$B$33,0)),"(" &amp; TEXT(B11,"aaa") &amp; ")",TEXT(B11,"aaa"))</f>
        <v>木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44841</v>
      </c>
      <c r="C12" s="2" t="str">
        <f>IF(ISNUMBER(MATCH(B12,祝日リスト!$B$2:$B$33,0)),"(" &amp; TEXT(B12,"aaa") &amp; ")",TEXT(B12,"aaa"))</f>
        <v>金</v>
      </c>
      <c r="D12" s="68"/>
      <c r="E12" s="68"/>
      <c r="F12" s="73">
        <f t="shared" si="4"/>
        <v>4.1666666666666664E-2</v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>
        <f t="shared" si="3"/>
        <v>4.1666666666666664E-2</v>
      </c>
      <c r="W12" s="15" t="str">
        <f t="shared" si="12"/>
        <v/>
      </c>
    </row>
    <row r="13" spans="1:23">
      <c r="A13" s="11"/>
      <c r="B13" s="12">
        <f>$A$6+7</f>
        <v>44842</v>
      </c>
      <c r="C13" s="2" t="str">
        <f>IF(ISNUMBER(MATCH(B13,祝日リスト!$B$2:$B$33,0)),"(" &amp; TEXT(B13,"aaa") &amp; ")",TEXT(B13,"aaa"))</f>
        <v>土</v>
      </c>
      <c r="D13" s="68"/>
      <c r="E13" s="68"/>
      <c r="F13" s="73" t="str">
        <f t="shared" si="4"/>
        <v/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/>
      </c>
      <c r="P13" s="79" t="str">
        <f>IF(TEXT(B13,"aaa")="日","法休日",IF(OR(TEXT(B13,"aaa")="土",ISNUMBER(MATCH(B13,祝日リスト!$B$2:$B$30,0))),"所休日",""))</f>
        <v>所休日</v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 t="str">
        <f t="shared" si="3"/>
        <v/>
      </c>
      <c r="W13" s="15" t="str">
        <f t="shared" si="12"/>
        <v/>
      </c>
    </row>
    <row r="14" spans="1:23">
      <c r="A14" s="11"/>
      <c r="B14" s="12">
        <f>$A$6+8</f>
        <v>44843</v>
      </c>
      <c r="C14" s="2" t="str">
        <f>IF(ISNUMBER(MATCH(B14,祝日リスト!$B$2:$B$33,0)),"(" &amp; TEXT(B14,"aaa") &amp; ")",TEXT(B14,"aaa"))</f>
        <v>日</v>
      </c>
      <c r="D14" s="68"/>
      <c r="E14" s="68"/>
      <c r="F14" s="73" t="str">
        <f t="shared" si="4"/>
        <v/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/>
      </c>
      <c r="P14" s="79" t="str">
        <f>IF(TEXT(B14,"aaa")="日","法休日",IF(OR(TEXT(B14,"aaa")="土",ISNUMBER(MATCH(B14,祝日リスト!$B$2:$B$30,0))),"所休日",""))</f>
        <v>法休日</v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 t="str">
        <f t="shared" si="3"/>
        <v/>
      </c>
      <c r="W14" s="15" t="str">
        <f t="shared" si="12"/>
        <v/>
      </c>
    </row>
    <row r="15" spans="1:23">
      <c r="A15" s="11"/>
      <c r="B15" s="12">
        <f>$A$6+9</f>
        <v>44844</v>
      </c>
      <c r="C15" s="2" t="str">
        <f>IF(ISNUMBER(MATCH(B15,祝日リスト!$B$2:$B$33,0)),"(" &amp; TEXT(B15,"aaa") &amp; ")",TEXT(B15,"aaa"))</f>
        <v>(月)</v>
      </c>
      <c r="D15" s="68"/>
      <c r="E15" s="68"/>
      <c r="F15" s="73" t="str">
        <f t="shared" si="4"/>
        <v/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/>
      </c>
      <c r="P15" s="79" t="str">
        <f>IF(TEXT(B15,"aaa")="日","法休日",IF(OR(TEXT(B15,"aaa")="土",ISNUMBER(MATCH(B15,祝日リスト!$B$2:$B$30,0))),"所休日",""))</f>
        <v>所休日</v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 t="str">
        <f t="shared" si="3"/>
        <v/>
      </c>
      <c r="W15" s="15" t="str">
        <f t="shared" si="12"/>
        <v/>
      </c>
    </row>
    <row r="16" spans="1:23">
      <c r="A16" s="11"/>
      <c r="B16" s="12">
        <f>$A$6+10</f>
        <v>44845</v>
      </c>
      <c r="C16" s="2" t="str">
        <f>IF(ISNUMBER(MATCH(B16,祝日リスト!$B$2:$B$33,0)),"(" &amp; TEXT(B16,"aaa") &amp; ")",TEXT(B16,"aaa"))</f>
        <v>火</v>
      </c>
      <c r="D16" s="68"/>
      <c r="E16" s="68"/>
      <c r="F16" s="73">
        <f t="shared" si="4"/>
        <v>4.1666666666666664E-2</v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>○</v>
      </c>
      <c r="P16" s="79" t="str">
        <f>IF(TEXT(B16,"aaa")="日","法休日",IF(OR(TEXT(B16,"aaa")="土",ISNUMBER(MATCH(B16,祝日リスト!$B$2:$B$30,0))),"所休日",""))</f>
        <v/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>
        <f t="shared" si="3"/>
        <v>4.1666666666666664E-2</v>
      </c>
      <c r="W16" s="15" t="str">
        <f t="shared" si="12"/>
        <v/>
      </c>
    </row>
    <row r="17" spans="1:23">
      <c r="A17" s="11"/>
      <c r="B17" s="12">
        <f>$A$6+11</f>
        <v>44846</v>
      </c>
      <c r="C17" s="2" t="str">
        <f>IF(ISNUMBER(MATCH(B17,祝日リスト!$B$2:$B$33,0)),"(" &amp; TEXT(B17,"aaa") &amp; ")",TEXT(B17,"aaa"))</f>
        <v>水</v>
      </c>
      <c r="D17" s="68"/>
      <c r="E17" s="68"/>
      <c r="F17" s="73">
        <f t="shared" si="4"/>
        <v>4.1666666666666664E-2</v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>○</v>
      </c>
      <c r="P17" s="79" t="str">
        <f>IF(TEXT(B17,"aaa")="日","法休日",IF(OR(TEXT(B17,"aaa")="土",ISNUMBER(MATCH(B17,祝日リスト!$B$2:$B$30,0))),"所休日",""))</f>
        <v/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>
        <f t="shared" si="3"/>
        <v>4.1666666666666664E-2</v>
      </c>
      <c r="W17" s="15" t="str">
        <f t="shared" si="12"/>
        <v/>
      </c>
    </row>
    <row r="18" spans="1:23">
      <c r="A18" s="11"/>
      <c r="B18" s="12">
        <f>$A$6+12</f>
        <v>44847</v>
      </c>
      <c r="C18" s="2" t="str">
        <f>IF(ISNUMBER(MATCH(B18,祝日リスト!$B$2:$B$33,0)),"(" &amp; TEXT(B18,"aaa") &amp; ")",TEXT(B18,"aaa"))</f>
        <v>木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44848</v>
      </c>
      <c r="C19" s="2" t="str">
        <f>IF(ISNUMBER(MATCH(B19,祝日リスト!$B$2:$B$33,0)),"(" &amp; TEXT(B19,"aaa") &amp; ")",TEXT(B19,"aaa"))</f>
        <v>金</v>
      </c>
      <c r="D19" s="68"/>
      <c r="E19" s="68"/>
      <c r="F19" s="73">
        <f t="shared" si="4"/>
        <v>4.1666666666666664E-2</v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>
        <f t="shared" si="3"/>
        <v>4.1666666666666664E-2</v>
      </c>
      <c r="W19" s="15" t="str">
        <f t="shared" si="12"/>
        <v/>
      </c>
    </row>
    <row r="20" spans="1:23">
      <c r="A20" s="11"/>
      <c r="B20" s="12">
        <f>$A$6+14</f>
        <v>44849</v>
      </c>
      <c r="C20" s="2" t="str">
        <f>IF(ISNUMBER(MATCH(B20,祝日リスト!$B$2:$B$33,0)),"(" &amp; TEXT(B20,"aaa") &amp; ")",TEXT(B20,"aaa"))</f>
        <v>土</v>
      </c>
      <c r="D20" s="68"/>
      <c r="E20" s="68"/>
      <c r="F20" s="73" t="str">
        <f t="shared" si="4"/>
        <v/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/>
      </c>
      <c r="P20" s="79" t="str">
        <f>IF(TEXT(B20,"aaa")="日","法休日",IF(OR(TEXT(B20,"aaa")="土",ISNUMBER(MATCH(B20,祝日リスト!$B$2:$B$30,0))),"所休日",""))</f>
        <v>所休日</v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 t="str">
        <f t="shared" si="3"/>
        <v/>
      </c>
      <c r="W20" s="15" t="str">
        <f t="shared" si="12"/>
        <v/>
      </c>
    </row>
    <row r="21" spans="1:23">
      <c r="A21" s="11"/>
      <c r="B21" s="12">
        <f>$A$6+15</f>
        <v>44850</v>
      </c>
      <c r="C21" s="2" t="str">
        <f>IF(ISNUMBER(MATCH(B21,祝日リスト!$B$2:$B$33,0)),"(" &amp; TEXT(B21,"aaa") &amp; ")",TEXT(B21,"aaa"))</f>
        <v>日</v>
      </c>
      <c r="D21" s="68"/>
      <c r="E21" s="68"/>
      <c r="F21" s="73" t="str">
        <f t="shared" si="4"/>
        <v/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/>
      </c>
      <c r="P21" s="79" t="str">
        <f>IF(TEXT(B21,"aaa")="日","法休日",IF(OR(TEXT(B21,"aaa")="土",ISNUMBER(MATCH(B21,祝日リスト!$B$2:$B$30,0))),"所休日",""))</f>
        <v>法休日</v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 t="str">
        <f t="shared" si="3"/>
        <v/>
      </c>
      <c r="W21" s="15" t="str">
        <f t="shared" si="12"/>
        <v/>
      </c>
    </row>
    <row r="22" spans="1:23">
      <c r="A22" s="11"/>
      <c r="B22" s="12">
        <f>$A$6+16</f>
        <v>44851</v>
      </c>
      <c r="C22" s="2" t="str">
        <f>IF(ISNUMBER(MATCH(B22,祝日リスト!$B$2:$B$33,0)),"(" &amp; TEXT(B22,"aaa") &amp; ")",TEXT(B22,"aaa"))</f>
        <v>月</v>
      </c>
      <c r="D22" s="68"/>
      <c r="E22" s="68"/>
      <c r="F22" s="73">
        <f t="shared" si="4"/>
        <v>4.1666666666666664E-2</v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>○</v>
      </c>
      <c r="P22" s="79" t="str">
        <f>IF(TEXT(B22,"aaa")="日","法休日",IF(OR(TEXT(B22,"aaa")="土",ISNUMBER(MATCH(B22,祝日リスト!$B$2:$B$30,0))),"所休日",""))</f>
        <v/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>
        <f t="shared" si="3"/>
        <v>4.1666666666666664E-2</v>
      </c>
      <c r="W22" s="15" t="str">
        <f t="shared" si="12"/>
        <v/>
      </c>
    </row>
    <row r="23" spans="1:23">
      <c r="A23" s="11"/>
      <c r="B23" s="12">
        <f>$A$6+17</f>
        <v>44852</v>
      </c>
      <c r="C23" s="2" t="str">
        <f>IF(ISNUMBER(MATCH(B23,祝日リスト!$B$2:$B$33,0)),"(" &amp; TEXT(B23,"aaa") &amp; ")",TEXT(B23,"aaa"))</f>
        <v>火</v>
      </c>
      <c r="D23" s="68"/>
      <c r="E23" s="68"/>
      <c r="F23" s="73">
        <f t="shared" si="4"/>
        <v>4.1666666666666664E-2</v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>○</v>
      </c>
      <c r="P23" s="79" t="str">
        <f>IF(TEXT(B23,"aaa")="日","法休日",IF(OR(TEXT(B23,"aaa")="土",ISNUMBER(MATCH(B23,祝日リスト!$B$2:$B$30,0))),"所休日",""))</f>
        <v/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>
        <f t="shared" si="3"/>
        <v>4.1666666666666664E-2</v>
      </c>
      <c r="W23" s="15" t="str">
        <f t="shared" si="12"/>
        <v/>
      </c>
    </row>
    <row r="24" spans="1:23">
      <c r="A24" s="11"/>
      <c r="B24" s="12">
        <f>$A$6+18</f>
        <v>44853</v>
      </c>
      <c r="C24" s="2" t="str">
        <f>IF(ISNUMBER(MATCH(B24,祝日リスト!$B$2:$B$33,0)),"(" &amp; TEXT(B24,"aaa") &amp; ")",TEXT(B24,"aaa"))</f>
        <v>水</v>
      </c>
      <c r="D24" s="68"/>
      <c r="E24" s="68"/>
      <c r="F24" s="73">
        <f t="shared" si="4"/>
        <v>4.1666666666666664E-2</v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>○</v>
      </c>
      <c r="P24" s="79" t="str">
        <f>IF(TEXT(B24,"aaa")="日","法休日",IF(OR(TEXT(B24,"aaa")="土",ISNUMBER(MATCH(B24,祝日リスト!$B$2:$B$30,0))),"所休日",""))</f>
        <v/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>
        <f t="shared" si="3"/>
        <v>4.1666666666666664E-2</v>
      </c>
      <c r="W24" s="15" t="str">
        <f t="shared" si="12"/>
        <v/>
      </c>
    </row>
    <row r="25" spans="1:23">
      <c r="A25" s="11"/>
      <c r="B25" s="12">
        <f>$A$6+19</f>
        <v>44854</v>
      </c>
      <c r="C25" s="2" t="str">
        <f>IF(ISNUMBER(MATCH(B25,祝日リスト!$B$2:$B$33,0)),"(" &amp; TEXT(B25,"aaa") &amp; ")",TEXT(B25,"aaa"))</f>
        <v>木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44855</v>
      </c>
      <c r="C26" s="2" t="str">
        <f>IF(ISNUMBER(MATCH(B26,祝日リスト!$B$2:$B$33,0)),"(" &amp; TEXT(B26,"aaa") &amp; ")",TEXT(B26,"aaa"))</f>
        <v>金</v>
      </c>
      <c r="D26" s="68"/>
      <c r="E26" s="68"/>
      <c r="F26" s="73">
        <f t="shared" si="4"/>
        <v>4.1666666666666664E-2</v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>○</v>
      </c>
      <c r="P26" s="79" t="str">
        <f>IF(TEXT(B26,"aaa")="日","法休日",IF(OR(TEXT(B26,"aaa")="土",ISNUMBER(MATCH(B26,祝日リスト!$B$2:$B$30,0))),"所休日",""))</f>
        <v/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>
        <f t="shared" si="3"/>
        <v>4.1666666666666664E-2</v>
      </c>
      <c r="W26" s="15" t="str">
        <f t="shared" si="12"/>
        <v/>
      </c>
    </row>
    <row r="27" spans="1:23">
      <c r="A27" s="11"/>
      <c r="B27" s="12">
        <f>$A$6+21</f>
        <v>44856</v>
      </c>
      <c r="C27" s="2" t="str">
        <f>IF(ISNUMBER(MATCH(B27,祝日リスト!$B$2:$B$33,0)),"(" &amp; TEXT(B27,"aaa") &amp; ")",TEXT(B27,"aaa"))</f>
        <v>土</v>
      </c>
      <c r="D27" s="68"/>
      <c r="E27" s="68"/>
      <c r="F27" s="73" t="str">
        <f t="shared" si="4"/>
        <v/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/>
      </c>
      <c r="P27" s="79" t="str">
        <f>IF(TEXT(B27,"aaa")="日","法休日",IF(OR(TEXT(B27,"aaa")="土",ISNUMBER(MATCH(B27,祝日リスト!$B$2:$B$30,0))),"所休日",""))</f>
        <v>所休日</v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 t="str">
        <f t="shared" si="3"/>
        <v/>
      </c>
      <c r="W27" s="15" t="str">
        <f t="shared" si="12"/>
        <v/>
      </c>
    </row>
    <row r="28" spans="1:23">
      <c r="A28" s="11"/>
      <c r="B28" s="12">
        <f>$A$6+22</f>
        <v>44857</v>
      </c>
      <c r="C28" s="2" t="str">
        <f>IF(ISNUMBER(MATCH(B28,祝日リスト!$B$2:$B$33,0)),"(" &amp; TEXT(B28,"aaa") &amp; ")",TEXT(B28,"aaa"))</f>
        <v>日</v>
      </c>
      <c r="D28" s="68"/>
      <c r="E28" s="68"/>
      <c r="F28" s="73" t="str">
        <f t="shared" si="4"/>
        <v/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/>
      </c>
      <c r="P28" s="79" t="str">
        <f>IF(TEXT(B28,"aaa")="日","法休日",IF(OR(TEXT(B28,"aaa")="土",ISNUMBER(MATCH(B28,祝日リスト!$B$2:$B$30,0))),"所休日",""))</f>
        <v>法休日</v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 t="str">
        <f t="shared" si="3"/>
        <v/>
      </c>
      <c r="W28" s="15" t="str">
        <f t="shared" si="12"/>
        <v/>
      </c>
    </row>
    <row r="29" spans="1:23">
      <c r="A29" s="11"/>
      <c r="B29" s="12">
        <f>$A$6+23</f>
        <v>44858</v>
      </c>
      <c r="C29" s="2" t="str">
        <f>IF(ISNUMBER(MATCH(B29,祝日リスト!$B$2:$B$33,0)),"(" &amp; TEXT(B29,"aaa") &amp; ")",TEXT(B29,"aaa"))</f>
        <v>月</v>
      </c>
      <c r="D29" s="68"/>
      <c r="E29" s="68"/>
      <c r="F29" s="73">
        <f t="shared" si="4"/>
        <v>4.1666666666666664E-2</v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>○</v>
      </c>
      <c r="P29" s="79" t="str">
        <f>IF(TEXT(B29,"aaa")="日","法休日",IF(OR(TEXT(B29,"aaa")="土",ISNUMBER(MATCH(B29,祝日リスト!$B$2:$B$30,0))),"所休日",""))</f>
        <v/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>
        <f t="shared" si="3"/>
        <v>4.1666666666666664E-2</v>
      </c>
      <c r="W29" s="15" t="str">
        <f t="shared" si="12"/>
        <v/>
      </c>
    </row>
    <row r="30" spans="1:23">
      <c r="A30" s="11"/>
      <c r="B30" s="12">
        <f>$A$6+24</f>
        <v>44859</v>
      </c>
      <c r="C30" s="2" t="str">
        <f>IF(ISNUMBER(MATCH(B30,祝日リスト!$B$2:$B$33,0)),"(" &amp; TEXT(B30,"aaa") &amp; ")",TEXT(B30,"aaa"))</f>
        <v>火</v>
      </c>
      <c r="D30" s="68"/>
      <c r="E30" s="68"/>
      <c r="F30" s="73">
        <f t="shared" si="4"/>
        <v>4.1666666666666664E-2</v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>○</v>
      </c>
      <c r="P30" s="79" t="str">
        <f>IF(TEXT(B30,"aaa")="日","法休日",IF(OR(TEXT(B30,"aaa")="土",ISNUMBER(MATCH(B30,祝日リスト!$B$2:$B$30,0))),"所休日",""))</f>
        <v/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>
        <f t="shared" si="3"/>
        <v>4.1666666666666664E-2</v>
      </c>
      <c r="W30" s="15" t="str">
        <f t="shared" si="12"/>
        <v/>
      </c>
    </row>
    <row r="31" spans="1:23">
      <c r="A31" s="11"/>
      <c r="B31" s="12">
        <f>$A$6+25</f>
        <v>44860</v>
      </c>
      <c r="C31" s="2" t="str">
        <f>IF(ISNUMBER(MATCH(B31,祝日リスト!$B$2:$B$33,0)),"(" &amp; TEXT(B31,"aaa") &amp; ")",TEXT(B31,"aaa"))</f>
        <v>水</v>
      </c>
      <c r="D31" s="68"/>
      <c r="E31" s="68"/>
      <c r="F31" s="73">
        <f t="shared" si="4"/>
        <v>4.1666666666666664E-2</v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>○</v>
      </c>
      <c r="P31" s="79" t="str">
        <f>IF(TEXT(B31,"aaa")="日","法休日",IF(OR(TEXT(B31,"aaa")="土",ISNUMBER(MATCH(B31,祝日リスト!$B$2:$B$30,0))),"所休日",""))</f>
        <v/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>
        <f t="shared" si="3"/>
        <v>4.1666666666666664E-2</v>
      </c>
      <c r="W31" s="15" t="str">
        <f t="shared" si="12"/>
        <v/>
      </c>
    </row>
    <row r="32" spans="1:23">
      <c r="A32" s="11"/>
      <c r="B32" s="12">
        <f>$A$6+26</f>
        <v>44861</v>
      </c>
      <c r="C32" s="2" t="str">
        <f>IF(ISNUMBER(MATCH(B32,祝日リスト!$B$2:$B$33,0)),"(" &amp; TEXT(B32,"aaa") &amp; ")",TEXT(B32,"aaa"))</f>
        <v>木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44862</v>
      </c>
      <c r="C33" s="2" t="str">
        <f>IF(ISNUMBER(MATCH(B33,祝日リスト!$B$2:$B$33,0)),"(" &amp; TEXT(B33,"aaa") &amp; ")",TEXT(B33,"aaa"))</f>
        <v>金</v>
      </c>
      <c r="D33" s="68"/>
      <c r="E33" s="68"/>
      <c r="F33" s="73">
        <f t="shared" si="4"/>
        <v>4.1666666666666664E-2</v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>
        <f t="shared" si="3"/>
        <v>4.1666666666666664E-2</v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44863</v>
      </c>
      <c r="C34" s="2" t="str">
        <f>IF(ISNUMBER(MATCH(B34,祝日リスト!$B$2:$B$33,0)),"(" &amp; TEXT(B34,"aaa") &amp; ")",TEXT(B34,"aaa"))</f>
        <v>土</v>
      </c>
      <c r="D34" s="68"/>
      <c r="E34" s="68"/>
      <c r="F34" s="73" t="str">
        <f t="shared" si="4"/>
        <v/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/>
      </c>
      <c r="P34" s="79" t="str">
        <f>IF(TEXT(B34,"aaa")="日","法休日",IF(OR(TEXT(B34,"aaa")="土",ISNUMBER(MATCH(B34,祝日リスト!$B$2:$B$30,0))),"所休日",""))</f>
        <v>所休日</v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 t="str">
        <f t="shared" si="3"/>
        <v/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44864</v>
      </c>
      <c r="C35" s="2" t="str">
        <f>IF(ISNUMBER(MATCH(B35,祝日リスト!$B$2:$B$33,0)),"(" &amp; TEXT(B35,"aaa") &amp; ")",TEXT(B35,"aaa"))</f>
        <v>日</v>
      </c>
      <c r="D35" s="68"/>
      <c r="E35" s="68"/>
      <c r="F35" s="73" t="str">
        <f t="shared" si="4"/>
        <v/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/>
      </c>
      <c r="P35" s="79" t="str">
        <f>IF(TEXT(B35,"aaa")="日","法休日",IF(OR(TEXT(B35,"aaa")="土",ISNUMBER(MATCH(B35,祝日リスト!$B$2:$B$30,0))),"所休日",""))</f>
        <v>法休日</v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 t="str">
        <f t="shared" si="3"/>
        <v/>
      </c>
      <c r="W35" s="15" t="str">
        <f t="shared" si="12"/>
        <v/>
      </c>
    </row>
    <row r="36" spans="1:23">
      <c r="A36" s="16"/>
      <c r="B36" s="17">
        <f>IF($A$6+30&gt;DATE(YEAR($A$6),MONTH($A$6)+1,0),"",$A$6+30)</f>
        <v>44865</v>
      </c>
      <c r="C36" s="3" t="str">
        <f>IF(ISNUMBER(MATCH(B36,祝日リスト!$B$2:$B$33,0)),"(" &amp; TEXT(B36,"aaa") &amp; ")",TEXT(B36,"aaa"))</f>
        <v>月</v>
      </c>
      <c r="D36" s="69"/>
      <c r="E36" s="69"/>
      <c r="F36" s="74">
        <f t="shared" si="4"/>
        <v>4.1666666666666664E-2</v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>○</v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>
        <f t="shared" si="3"/>
        <v>4.1666666666666664E-2</v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31</v>
      </c>
      <c r="C37" s="92">
        <f>40/7*B37</f>
        <v>177.14285714285714</v>
      </c>
      <c r="D37" s="93"/>
      <c r="E37" s="93"/>
      <c r="F37" s="94">
        <f t="shared" ref="F37:N37" si="14">SUM(F6:F36)</f>
        <v>0.83333333333333304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20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177</v>
      </c>
      <c r="F39" s="137" t="s">
        <v>14</v>
      </c>
      <c r="G39" s="138"/>
      <c r="H39" s="108">
        <f>COUNTIF(O6:O36,"○")</f>
        <v>20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6.6666666666666661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157</v>
      </c>
      <c r="D41" s="133"/>
      <c r="E41" s="33">
        <f>H39*TIME(8,0,0)</f>
        <v>6.6666666666666661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6.6666666666666661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138</v>
      </c>
      <c r="Q45" s="5">
        <f>COUNTIF($Q$6:$Q$36,"有休")</f>
        <v>0</v>
      </c>
      <c r="R45" s="5" t="s">
        <v>158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134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112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144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126</v>
      </c>
      <c r="Q50" s="5">
        <f>COUNTIF($Q$6:$Q$36,"所休出張")</f>
        <v>0</v>
      </c>
      <c r="R50" s="5" t="s">
        <v>127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159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160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129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130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161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123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120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227" priority="44" stopIfTrue="1" operator="equal">
      <formula>""</formula>
    </cfRule>
  </conditionalFormatting>
  <conditionalFormatting sqref="T6:T36">
    <cfRule type="cellIs" dxfId="226" priority="45" stopIfTrue="1" operator="lessThan">
      <formula>0.375</formula>
    </cfRule>
  </conditionalFormatting>
  <conditionalFormatting sqref="U6:U36">
    <cfRule type="cellIs" dxfId="225" priority="46" stopIfTrue="1" operator="greaterThan">
      <formula>0.999305555555556</formula>
    </cfRule>
  </conditionalFormatting>
  <conditionalFormatting sqref="E6:E11">
    <cfRule type="cellIs" dxfId="224" priority="47" stopIfTrue="1" operator="greaterThan">
      <formula>0.916666667</formula>
    </cfRule>
  </conditionalFormatting>
  <conditionalFormatting sqref="C6:C36">
    <cfRule type="cellIs" dxfId="223" priority="48" stopIfTrue="1" operator="between">
      <formula>"土"</formula>
      <formula>"日"</formula>
    </cfRule>
    <cfRule type="cellIs" dxfId="222" priority="49" stopIfTrue="1" operator="equal">
      <formula>""</formula>
    </cfRule>
    <cfRule type="cellIs" dxfId="221" priority="50" stopIfTrue="1" operator="lessThan">
      <formula>"A"</formula>
    </cfRule>
  </conditionalFormatting>
  <conditionalFormatting sqref="P6:P36">
    <cfRule type="cellIs" dxfId="220" priority="40" stopIfTrue="1" operator="equal">
      <formula>"所休日"</formula>
    </cfRule>
    <cfRule type="cellIs" dxfId="219" priority="41" stopIfTrue="1" operator="equal">
      <formula>"法休日"</formula>
    </cfRule>
    <cfRule type="cellIs" dxfId="218" priority="42" stopIfTrue="1" operator="equal">
      <formula>"""休日"""</formula>
    </cfRule>
  </conditionalFormatting>
  <conditionalFormatting sqref="D6:D11">
    <cfRule type="containsBlanks" dxfId="217" priority="51">
      <formula>LEN(TRIM(D6))=0</formula>
    </cfRule>
  </conditionalFormatting>
  <conditionalFormatting sqref="E12:E17">
    <cfRule type="cellIs" dxfId="216" priority="38" stopIfTrue="1" operator="greaterThan">
      <formula>0.916666667</formula>
    </cfRule>
  </conditionalFormatting>
  <conditionalFormatting sqref="D12:D17">
    <cfRule type="containsBlanks" dxfId="215" priority="39">
      <formula>LEN(TRIM(D12))=0</formula>
    </cfRule>
  </conditionalFormatting>
  <conditionalFormatting sqref="Q6:Q36">
    <cfRule type="expression" dxfId="214" priority="35">
      <formula>OR($Q6="振休")</formula>
    </cfRule>
    <cfRule type="expression" dxfId="213" priority="36" stopIfTrue="1">
      <formula>OR($Q6="有休",$Q6="半休",$Q6="代休",$Q6="公休",$Q6="欠勤")</formula>
    </cfRule>
    <cfRule type="expression" dxfId="212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211" priority="34">
      <formula>AND(OR($Q6="所休出",$Q6="所休出→代",$Q6="所休出張",$Q6="所休出張→代"),$C6="日")</formula>
    </cfRule>
  </conditionalFormatting>
  <conditionalFormatting sqref="E18:E24">
    <cfRule type="cellIs" dxfId="210" priority="32" stopIfTrue="1" operator="greaterThan">
      <formula>0.916666667</formula>
    </cfRule>
  </conditionalFormatting>
  <conditionalFormatting sqref="D18:D24">
    <cfRule type="containsBlanks" dxfId="209" priority="33">
      <formula>LEN(TRIM(D18))=0</formula>
    </cfRule>
  </conditionalFormatting>
  <conditionalFormatting sqref="E25:E32">
    <cfRule type="cellIs" dxfId="208" priority="30" stopIfTrue="1" operator="greaterThan">
      <formula>0.916666667</formula>
    </cfRule>
  </conditionalFormatting>
  <conditionalFormatting sqref="D25:D32">
    <cfRule type="containsBlanks" dxfId="207" priority="31">
      <formula>LEN(TRIM(D25))=0</formula>
    </cfRule>
  </conditionalFormatting>
  <conditionalFormatting sqref="E33:E36">
    <cfRule type="cellIs" dxfId="206" priority="28" stopIfTrue="1" operator="greaterThan">
      <formula>0.916666667</formula>
    </cfRule>
  </conditionalFormatting>
  <conditionalFormatting sqref="D33:D36">
    <cfRule type="containsBlanks" dxfId="205" priority="29">
      <formula>LEN(TRIM(D33))=0</formula>
    </cfRule>
  </conditionalFormatting>
  <conditionalFormatting sqref="I37">
    <cfRule type="expression" dxfId="204" priority="24">
      <formula>IF(I37&gt;TIME(0,0,0),TRUE)</formula>
    </cfRule>
  </conditionalFormatting>
  <conditionalFormatting sqref="D6:D36">
    <cfRule type="expression" dxfId="203" priority="14">
      <formula>AND($D6="",$E6&gt;0)</formula>
    </cfRule>
  </conditionalFormatting>
  <conditionalFormatting sqref="E6:E36">
    <cfRule type="expression" dxfId="202" priority="13">
      <formula>AND($E6="",$D6&gt;0)</formula>
    </cfRule>
  </conditionalFormatting>
  <conditionalFormatting sqref="E43">
    <cfRule type="expression" dxfId="201" priority="12" stopIfTrue="1">
      <formula>$E$42-$E$40&lt;0</formula>
    </cfRule>
  </conditionalFormatting>
  <conditionalFormatting sqref="H40">
    <cfRule type="expression" dxfId="200" priority="11">
      <formula>H40+H45+H46+H47+H48+H50-H41-H42-H43-H44&lt;H39</formula>
    </cfRule>
  </conditionalFormatting>
  <conditionalFormatting sqref="H54">
    <cfRule type="expression" dxfId="199" priority="10">
      <formula>IF(H54&gt;TIME(0,0,0),TRUE)</formula>
    </cfRule>
  </conditionalFormatting>
  <conditionalFormatting sqref="H55">
    <cfRule type="expression" dxfId="198" priority="9">
      <formula>IF(H55&gt;TIME(0,0,0),TRUE)</formula>
    </cfRule>
  </conditionalFormatting>
  <conditionalFormatting sqref="H56">
    <cfRule type="expression" dxfId="197" priority="8">
      <formula>IF(H56&gt;TIME(0,0,0),TRUE)</formula>
    </cfRule>
  </conditionalFormatting>
  <conditionalFormatting sqref="H58">
    <cfRule type="expression" dxfId="196" priority="7">
      <formula>IF(H58&gt;TIME(0,0,0),TRUE)</formula>
    </cfRule>
  </conditionalFormatting>
  <conditionalFormatting sqref="H59">
    <cfRule type="expression" dxfId="195" priority="6">
      <formula>IF(H59&gt;TIME(0,0,0),TRUE)</formula>
    </cfRule>
  </conditionalFormatting>
  <conditionalFormatting sqref="H61">
    <cfRule type="expression" dxfId="194" priority="5">
      <formula>IF(H61&gt;TIME(0,0,0),TRUE)</formula>
    </cfRule>
  </conditionalFormatting>
  <conditionalFormatting sqref="I53">
    <cfRule type="expression" dxfId="193" priority="4">
      <formula>IF(OR(E54&gt;0,E55&gt;0),TRUE)</formula>
    </cfRule>
  </conditionalFormatting>
  <conditionalFormatting sqref="I54">
    <cfRule type="expression" dxfId="192" priority="3">
      <formula>IF(H54&gt;TIME(0,0,0),TRUE)</formula>
    </cfRule>
  </conditionalFormatting>
  <conditionalFormatting sqref="I55">
    <cfRule type="expression" dxfId="191" priority="2">
      <formula>IF(H55&gt;TIME(0,0,0),TRUE)</formula>
    </cfRule>
  </conditionalFormatting>
  <conditionalFormatting sqref="H6:H35">
    <cfRule type="cellIs" dxfId="190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106">
        <v>44866</v>
      </c>
      <c r="B6" s="6">
        <f>$A$6+0</f>
        <v>44866</v>
      </c>
      <c r="C6" s="2" t="str">
        <f>IF(ISNUMBER(MATCH(B6,祝日リスト!$B$2:$B$33,0)),"(" &amp; TEXT(B6,"aaa") &amp; ")",TEXT(B6,"aaa"))</f>
        <v>火</v>
      </c>
      <c r="D6" s="68"/>
      <c r="E6" s="68"/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>
        <f t="shared" ref="V6:V36" si="3">IF(OR(O6="○",Q6="法休出",Q6="法休出→代",Q6="所休出",Q6="所休出→代"),TIME(1,0,0),"")</f>
        <v>4.1666666666666664E-2</v>
      </c>
      <c r="W6" s="10" t="str">
        <f>IF(U6&gt;0,U6-T6-V6,"")</f>
        <v/>
      </c>
    </row>
    <row r="7" spans="1:23">
      <c r="A7" s="11"/>
      <c r="B7" s="12">
        <f>$A$6+1</f>
        <v>44867</v>
      </c>
      <c r="C7" s="2" t="str">
        <f>IF(ISNUMBER(MATCH(B7,祝日リスト!$B$2:$B$33,0)),"(" &amp; TEXT(B7,"aaa") &amp; ")",TEXT(B7,"aaa"))</f>
        <v>水</v>
      </c>
      <c r="D7" s="68"/>
      <c r="E7" s="68"/>
      <c r="F7" s="73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>4.1666666666666664E-2</v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>○</v>
      </c>
      <c r="P7" s="79" t="str">
        <f>IF(TEXT(B7,"aaa")="日","法休日",IF(OR(TEXT(B7,"aaa")="土",ISNUMBER(MATCH(B7,祝日リスト!$B$2:$B$30,0))),"所休日",""))</f>
        <v/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>
        <f t="shared" si="3"/>
        <v>4.1666666666666664E-2</v>
      </c>
      <c r="W7" s="15" t="str">
        <f t="shared" ref="W7:W36" si="12">IF(U7&gt;0,U7-T7-V7,"")</f>
        <v/>
      </c>
    </row>
    <row r="8" spans="1:23">
      <c r="A8" s="11"/>
      <c r="B8" s="12">
        <f>$A$6+2</f>
        <v>44868</v>
      </c>
      <c r="C8" s="2" t="str">
        <f>IF(ISNUMBER(MATCH(B8,祝日リスト!$B$2:$B$33,0)),"(" &amp; TEXT(B8,"aaa") &amp; ")",TEXT(B8,"aaa"))</f>
        <v>(木)</v>
      </c>
      <c r="D8" s="68"/>
      <c r="E8" s="68"/>
      <c r="F8" s="73" t="str">
        <f t="shared" si="4"/>
        <v/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/>
      </c>
      <c r="P8" s="79" t="str">
        <f>IF(TEXT(B8,"aaa")="日","法休日",IF(OR(TEXT(B8,"aaa")="土",ISNUMBER(MATCH(B8,祝日リスト!$B$2:$B$30,0))),"所休日",""))</f>
        <v>所休日</v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 t="str">
        <f t="shared" si="3"/>
        <v/>
      </c>
      <c r="W8" s="15" t="str">
        <f t="shared" si="12"/>
        <v/>
      </c>
    </row>
    <row r="9" spans="1:23">
      <c r="A9" s="11"/>
      <c r="B9" s="12">
        <f>$A$6+3</f>
        <v>44869</v>
      </c>
      <c r="C9" s="2" t="str">
        <f>IF(ISNUMBER(MATCH(B9,祝日リスト!$B$2:$B$33,0)),"(" &amp; TEXT(B9,"aaa") &amp; ")",TEXT(B9,"aaa"))</f>
        <v>金</v>
      </c>
      <c r="D9" s="68"/>
      <c r="E9" s="68"/>
      <c r="F9" s="73">
        <f t="shared" si="4"/>
        <v>4.1666666666666664E-2</v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>○</v>
      </c>
      <c r="P9" s="79" t="str">
        <f>IF(TEXT(B9,"aaa")="日","法休日",IF(OR(TEXT(B9,"aaa")="土",ISNUMBER(MATCH(B9,祝日リスト!$B$2:$B$30,0))),"所休日",""))</f>
        <v/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>
        <f t="shared" si="3"/>
        <v>4.1666666666666664E-2</v>
      </c>
      <c r="W9" s="15" t="str">
        <f t="shared" si="12"/>
        <v/>
      </c>
    </row>
    <row r="10" spans="1:23">
      <c r="A10" s="11"/>
      <c r="B10" s="12">
        <f>$A$6+4</f>
        <v>44870</v>
      </c>
      <c r="C10" s="2" t="str">
        <f>IF(ISNUMBER(MATCH(B10,祝日リスト!$B$2:$B$33,0)),"(" &amp; TEXT(B10,"aaa") &amp; ")",TEXT(B10,"aaa"))</f>
        <v>土</v>
      </c>
      <c r="D10" s="68"/>
      <c r="E10" s="68"/>
      <c r="F10" s="73" t="str">
        <f t="shared" si="4"/>
        <v/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/>
      </c>
      <c r="P10" s="79" t="str">
        <f>IF(TEXT(B10,"aaa")="日","法休日",IF(OR(TEXT(B10,"aaa")="土",ISNUMBER(MATCH(B10,祝日リスト!$B$2:$B$30,0))),"所休日",""))</f>
        <v>所休日</v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 t="str">
        <f t="shared" si="3"/>
        <v/>
      </c>
      <c r="W10" s="15" t="str">
        <f t="shared" si="12"/>
        <v/>
      </c>
    </row>
    <row r="11" spans="1:23">
      <c r="A11" s="11"/>
      <c r="B11" s="12">
        <f>$A$6+5</f>
        <v>44871</v>
      </c>
      <c r="C11" s="2" t="str">
        <f>IF(ISNUMBER(MATCH(B11,祝日リスト!$B$2:$B$33,0)),"(" &amp; TEXT(B11,"aaa") &amp; ")",TEXT(B11,"aaa"))</f>
        <v>日</v>
      </c>
      <c r="D11" s="68"/>
      <c r="E11" s="68"/>
      <c r="F11" s="73" t="str">
        <f t="shared" si="4"/>
        <v/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/>
      </c>
      <c r="P11" s="79" t="str">
        <f>IF(TEXT(B11,"aaa")="日","法休日",IF(OR(TEXT(B11,"aaa")="土",ISNUMBER(MATCH(B11,祝日リスト!$B$2:$B$30,0))),"所休日",""))</f>
        <v>法休日</v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 t="str">
        <f t="shared" si="3"/>
        <v/>
      </c>
      <c r="W11" s="15" t="str">
        <f t="shared" si="12"/>
        <v/>
      </c>
    </row>
    <row r="12" spans="1:23">
      <c r="A12" s="11"/>
      <c r="B12" s="12">
        <f>$A$6+6</f>
        <v>44872</v>
      </c>
      <c r="C12" s="2" t="str">
        <f>IF(ISNUMBER(MATCH(B12,祝日リスト!$B$2:$B$33,0)),"(" &amp; TEXT(B12,"aaa") &amp; ")",TEXT(B12,"aaa"))</f>
        <v>月</v>
      </c>
      <c r="D12" s="68"/>
      <c r="E12" s="68"/>
      <c r="F12" s="73">
        <f t="shared" si="4"/>
        <v>4.1666666666666664E-2</v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>
        <f t="shared" si="3"/>
        <v>4.1666666666666664E-2</v>
      </c>
      <c r="W12" s="15" t="str">
        <f t="shared" si="12"/>
        <v/>
      </c>
    </row>
    <row r="13" spans="1:23">
      <c r="A13" s="11"/>
      <c r="B13" s="12">
        <f>$A$6+7</f>
        <v>44873</v>
      </c>
      <c r="C13" s="2" t="str">
        <f>IF(ISNUMBER(MATCH(B13,祝日リスト!$B$2:$B$33,0)),"(" &amp; TEXT(B13,"aaa") &amp; ")",TEXT(B13,"aaa"))</f>
        <v>火</v>
      </c>
      <c r="D13" s="68"/>
      <c r="E13" s="68"/>
      <c r="F13" s="73">
        <f t="shared" si="4"/>
        <v>4.1666666666666664E-2</v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>
        <f t="shared" si="3"/>
        <v>4.1666666666666664E-2</v>
      </c>
      <c r="W13" s="15" t="str">
        <f t="shared" si="12"/>
        <v/>
      </c>
    </row>
    <row r="14" spans="1:23">
      <c r="A14" s="11"/>
      <c r="B14" s="12">
        <f>$A$6+8</f>
        <v>44874</v>
      </c>
      <c r="C14" s="2" t="str">
        <f>IF(ISNUMBER(MATCH(B14,祝日リスト!$B$2:$B$33,0)),"(" &amp; TEXT(B14,"aaa") &amp; ")",TEXT(B14,"aaa"))</f>
        <v>水</v>
      </c>
      <c r="D14" s="68"/>
      <c r="E14" s="68"/>
      <c r="F14" s="73">
        <f t="shared" si="4"/>
        <v>4.1666666666666664E-2</v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>○</v>
      </c>
      <c r="P14" s="79" t="str">
        <f>IF(TEXT(B14,"aaa")="日","法休日",IF(OR(TEXT(B14,"aaa")="土",ISNUMBER(MATCH(B14,祝日リスト!$B$2:$B$30,0))),"所休日",""))</f>
        <v/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>
        <f t="shared" si="3"/>
        <v>4.1666666666666664E-2</v>
      </c>
      <c r="W14" s="15" t="str">
        <f t="shared" si="12"/>
        <v/>
      </c>
    </row>
    <row r="15" spans="1:23">
      <c r="A15" s="11"/>
      <c r="B15" s="12">
        <f>$A$6+9</f>
        <v>44875</v>
      </c>
      <c r="C15" s="2" t="str">
        <f>IF(ISNUMBER(MATCH(B15,祝日リスト!$B$2:$B$33,0)),"(" &amp; TEXT(B15,"aaa") &amp; ")",TEXT(B15,"aaa"))</f>
        <v>木</v>
      </c>
      <c r="D15" s="68"/>
      <c r="E15" s="68"/>
      <c r="F15" s="73">
        <f t="shared" si="4"/>
        <v>4.1666666666666664E-2</v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>○</v>
      </c>
      <c r="P15" s="79" t="str">
        <f>IF(TEXT(B15,"aaa")="日","法休日",IF(OR(TEXT(B15,"aaa")="土",ISNUMBER(MATCH(B15,祝日リスト!$B$2:$B$30,0))),"所休日",""))</f>
        <v/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>
        <f t="shared" si="3"/>
        <v>4.1666666666666664E-2</v>
      </c>
      <c r="W15" s="15" t="str">
        <f t="shared" si="12"/>
        <v/>
      </c>
    </row>
    <row r="16" spans="1:23">
      <c r="A16" s="11"/>
      <c r="B16" s="12">
        <f>$A$6+10</f>
        <v>44876</v>
      </c>
      <c r="C16" s="2" t="str">
        <f>IF(ISNUMBER(MATCH(B16,祝日リスト!$B$2:$B$33,0)),"(" &amp; TEXT(B16,"aaa") &amp; ")",TEXT(B16,"aaa"))</f>
        <v>金</v>
      </c>
      <c r="D16" s="68"/>
      <c r="E16" s="68"/>
      <c r="F16" s="73">
        <f t="shared" si="4"/>
        <v>4.1666666666666664E-2</v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>○</v>
      </c>
      <c r="P16" s="79" t="str">
        <f>IF(TEXT(B16,"aaa")="日","法休日",IF(OR(TEXT(B16,"aaa")="土",ISNUMBER(MATCH(B16,祝日リスト!$B$2:$B$30,0))),"所休日",""))</f>
        <v/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>
        <f t="shared" si="3"/>
        <v>4.1666666666666664E-2</v>
      </c>
      <c r="W16" s="15" t="str">
        <f t="shared" si="12"/>
        <v/>
      </c>
    </row>
    <row r="17" spans="1:23">
      <c r="A17" s="11"/>
      <c r="B17" s="12">
        <f>$A$6+11</f>
        <v>44877</v>
      </c>
      <c r="C17" s="2" t="str">
        <f>IF(ISNUMBER(MATCH(B17,祝日リスト!$B$2:$B$33,0)),"(" &amp; TEXT(B17,"aaa") &amp; ")",TEXT(B17,"aaa"))</f>
        <v>土</v>
      </c>
      <c r="D17" s="68"/>
      <c r="E17" s="68"/>
      <c r="F17" s="73" t="str">
        <f t="shared" si="4"/>
        <v/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/>
      </c>
      <c r="P17" s="79" t="str">
        <f>IF(TEXT(B17,"aaa")="日","法休日",IF(OR(TEXT(B17,"aaa")="土",ISNUMBER(MATCH(B17,祝日リスト!$B$2:$B$30,0))),"所休日",""))</f>
        <v>所休日</v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 t="str">
        <f t="shared" si="3"/>
        <v/>
      </c>
      <c r="W17" s="15" t="str">
        <f t="shared" si="12"/>
        <v/>
      </c>
    </row>
    <row r="18" spans="1:23">
      <c r="A18" s="11"/>
      <c r="B18" s="12">
        <f>$A$6+12</f>
        <v>44878</v>
      </c>
      <c r="C18" s="2" t="str">
        <f>IF(ISNUMBER(MATCH(B18,祝日リスト!$B$2:$B$33,0)),"(" &amp; TEXT(B18,"aaa") &amp; ")",TEXT(B18,"aaa"))</f>
        <v>日</v>
      </c>
      <c r="D18" s="68"/>
      <c r="E18" s="68"/>
      <c r="F18" s="73" t="str">
        <f t="shared" si="4"/>
        <v/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/>
      </c>
      <c r="P18" s="79" t="str">
        <f>IF(TEXT(B18,"aaa")="日","法休日",IF(OR(TEXT(B18,"aaa")="土",ISNUMBER(MATCH(B18,祝日リスト!$B$2:$B$30,0))),"所休日",""))</f>
        <v>法休日</v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 t="str">
        <f t="shared" si="3"/>
        <v/>
      </c>
      <c r="W18" s="15" t="str">
        <f t="shared" si="12"/>
        <v/>
      </c>
    </row>
    <row r="19" spans="1:23">
      <c r="A19" s="11"/>
      <c r="B19" s="12">
        <f>$A$6+13</f>
        <v>44879</v>
      </c>
      <c r="C19" s="2" t="str">
        <f>IF(ISNUMBER(MATCH(B19,祝日リスト!$B$2:$B$33,0)),"(" &amp; TEXT(B19,"aaa") &amp; ")",TEXT(B19,"aaa"))</f>
        <v>月</v>
      </c>
      <c r="D19" s="68"/>
      <c r="E19" s="68"/>
      <c r="F19" s="73">
        <f t="shared" si="4"/>
        <v>4.1666666666666664E-2</v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>
        <f t="shared" si="3"/>
        <v>4.1666666666666664E-2</v>
      </c>
      <c r="W19" s="15" t="str">
        <f t="shared" si="12"/>
        <v/>
      </c>
    </row>
    <row r="20" spans="1:23">
      <c r="A20" s="11"/>
      <c r="B20" s="12">
        <f>$A$6+14</f>
        <v>44880</v>
      </c>
      <c r="C20" s="2" t="str">
        <f>IF(ISNUMBER(MATCH(B20,祝日リスト!$B$2:$B$33,0)),"(" &amp; TEXT(B20,"aaa") &amp; ")",TEXT(B20,"aaa"))</f>
        <v>火</v>
      </c>
      <c r="D20" s="68"/>
      <c r="E20" s="68"/>
      <c r="F20" s="73">
        <f t="shared" si="4"/>
        <v>4.1666666666666664E-2</v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>
        <f t="shared" si="3"/>
        <v>4.1666666666666664E-2</v>
      </c>
      <c r="W20" s="15" t="str">
        <f t="shared" si="12"/>
        <v/>
      </c>
    </row>
    <row r="21" spans="1:23">
      <c r="A21" s="11"/>
      <c r="B21" s="12">
        <f>$A$6+15</f>
        <v>44881</v>
      </c>
      <c r="C21" s="2" t="str">
        <f>IF(ISNUMBER(MATCH(B21,祝日リスト!$B$2:$B$33,0)),"(" &amp; TEXT(B21,"aaa") &amp; ")",TEXT(B21,"aaa"))</f>
        <v>水</v>
      </c>
      <c r="D21" s="68"/>
      <c r="E21" s="68"/>
      <c r="F21" s="73">
        <f t="shared" si="4"/>
        <v>4.1666666666666664E-2</v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>
        <f t="shared" si="3"/>
        <v>4.1666666666666664E-2</v>
      </c>
      <c r="W21" s="15" t="str">
        <f t="shared" si="12"/>
        <v/>
      </c>
    </row>
    <row r="22" spans="1:23">
      <c r="A22" s="11"/>
      <c r="B22" s="12">
        <f>$A$6+16</f>
        <v>44882</v>
      </c>
      <c r="C22" s="2" t="str">
        <f>IF(ISNUMBER(MATCH(B22,祝日リスト!$B$2:$B$33,0)),"(" &amp; TEXT(B22,"aaa") &amp; ")",TEXT(B22,"aaa"))</f>
        <v>木</v>
      </c>
      <c r="D22" s="68"/>
      <c r="E22" s="68"/>
      <c r="F22" s="73">
        <f t="shared" si="4"/>
        <v>4.1666666666666664E-2</v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>○</v>
      </c>
      <c r="P22" s="79" t="str">
        <f>IF(TEXT(B22,"aaa")="日","法休日",IF(OR(TEXT(B22,"aaa")="土",ISNUMBER(MATCH(B22,祝日リスト!$B$2:$B$30,0))),"所休日",""))</f>
        <v/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>
        <f t="shared" si="3"/>
        <v>4.1666666666666664E-2</v>
      </c>
      <c r="W22" s="15" t="str">
        <f t="shared" si="12"/>
        <v/>
      </c>
    </row>
    <row r="23" spans="1:23">
      <c r="A23" s="11"/>
      <c r="B23" s="12">
        <f>$A$6+17</f>
        <v>44883</v>
      </c>
      <c r="C23" s="2" t="str">
        <f>IF(ISNUMBER(MATCH(B23,祝日リスト!$B$2:$B$33,0)),"(" &amp; TEXT(B23,"aaa") &amp; ")",TEXT(B23,"aaa"))</f>
        <v>金</v>
      </c>
      <c r="D23" s="68"/>
      <c r="E23" s="68"/>
      <c r="F23" s="73">
        <f t="shared" si="4"/>
        <v>4.1666666666666664E-2</v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>○</v>
      </c>
      <c r="P23" s="79" t="str">
        <f>IF(TEXT(B23,"aaa")="日","法休日",IF(OR(TEXT(B23,"aaa")="土",ISNUMBER(MATCH(B23,祝日リスト!$B$2:$B$30,0))),"所休日",""))</f>
        <v/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>
        <f t="shared" si="3"/>
        <v>4.1666666666666664E-2</v>
      </c>
      <c r="W23" s="15" t="str">
        <f t="shared" si="12"/>
        <v/>
      </c>
    </row>
    <row r="24" spans="1:23">
      <c r="A24" s="11"/>
      <c r="B24" s="12">
        <f>$A$6+18</f>
        <v>44884</v>
      </c>
      <c r="C24" s="2" t="str">
        <f>IF(ISNUMBER(MATCH(B24,祝日リスト!$B$2:$B$33,0)),"(" &amp; TEXT(B24,"aaa") &amp; ")",TEXT(B24,"aaa"))</f>
        <v>土</v>
      </c>
      <c r="D24" s="68"/>
      <c r="E24" s="68"/>
      <c r="F24" s="73" t="str">
        <f t="shared" si="4"/>
        <v/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/>
      </c>
      <c r="P24" s="79" t="str">
        <f>IF(TEXT(B24,"aaa")="日","法休日",IF(OR(TEXT(B24,"aaa")="土",ISNUMBER(MATCH(B24,祝日リスト!$B$2:$B$30,0))),"所休日",""))</f>
        <v>所休日</v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 t="str">
        <f t="shared" si="3"/>
        <v/>
      </c>
      <c r="W24" s="15" t="str">
        <f t="shared" si="12"/>
        <v/>
      </c>
    </row>
    <row r="25" spans="1:23">
      <c r="A25" s="11"/>
      <c r="B25" s="12">
        <f>$A$6+19</f>
        <v>44885</v>
      </c>
      <c r="C25" s="2" t="str">
        <f>IF(ISNUMBER(MATCH(B25,祝日リスト!$B$2:$B$33,0)),"(" &amp; TEXT(B25,"aaa") &amp; ")",TEXT(B25,"aaa"))</f>
        <v>日</v>
      </c>
      <c r="D25" s="68"/>
      <c r="E25" s="68"/>
      <c r="F25" s="73" t="str">
        <f t="shared" si="4"/>
        <v/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/>
      </c>
      <c r="P25" s="79" t="str">
        <f>IF(TEXT(B25,"aaa")="日","法休日",IF(OR(TEXT(B25,"aaa")="土",ISNUMBER(MATCH(B25,祝日リスト!$B$2:$B$30,0))),"所休日",""))</f>
        <v>法休日</v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 t="str">
        <f t="shared" si="3"/>
        <v/>
      </c>
      <c r="W25" s="15" t="str">
        <f t="shared" si="12"/>
        <v/>
      </c>
    </row>
    <row r="26" spans="1:23">
      <c r="A26" s="11"/>
      <c r="B26" s="12">
        <f>$A$6+20</f>
        <v>44886</v>
      </c>
      <c r="C26" s="2" t="str">
        <f>IF(ISNUMBER(MATCH(B26,祝日リスト!$B$2:$B$33,0)),"(" &amp; TEXT(B26,"aaa") &amp; ")",TEXT(B26,"aaa"))</f>
        <v>月</v>
      </c>
      <c r="D26" s="68"/>
      <c r="E26" s="68"/>
      <c r="F26" s="73">
        <f t="shared" si="4"/>
        <v>4.1666666666666664E-2</v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>○</v>
      </c>
      <c r="P26" s="79" t="str">
        <f>IF(TEXT(B26,"aaa")="日","法休日",IF(OR(TEXT(B26,"aaa")="土",ISNUMBER(MATCH(B26,祝日リスト!$B$2:$B$30,0))),"所休日",""))</f>
        <v/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>
        <f t="shared" si="3"/>
        <v>4.1666666666666664E-2</v>
      </c>
      <c r="W26" s="15" t="str">
        <f t="shared" si="12"/>
        <v/>
      </c>
    </row>
    <row r="27" spans="1:23">
      <c r="A27" s="11"/>
      <c r="B27" s="12">
        <f>$A$6+21</f>
        <v>44887</v>
      </c>
      <c r="C27" s="2" t="str">
        <f>IF(ISNUMBER(MATCH(B27,祝日リスト!$B$2:$B$33,0)),"(" &amp; TEXT(B27,"aaa") &amp; ")",TEXT(B27,"aaa"))</f>
        <v>火</v>
      </c>
      <c r="D27" s="68"/>
      <c r="E27" s="68"/>
      <c r="F27" s="73">
        <f t="shared" si="4"/>
        <v>4.1666666666666664E-2</v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>
        <f t="shared" si="3"/>
        <v>4.1666666666666664E-2</v>
      </c>
      <c r="W27" s="15" t="str">
        <f t="shared" si="12"/>
        <v/>
      </c>
    </row>
    <row r="28" spans="1:23">
      <c r="A28" s="11"/>
      <c r="B28" s="12">
        <f>$A$6+22</f>
        <v>44888</v>
      </c>
      <c r="C28" s="2" t="str">
        <f>IF(ISNUMBER(MATCH(B28,祝日リスト!$B$2:$B$33,0)),"(" &amp; TEXT(B28,"aaa") &amp; ")",TEXT(B28,"aaa"))</f>
        <v>(水)</v>
      </c>
      <c r="D28" s="68"/>
      <c r="E28" s="68"/>
      <c r="F28" s="73" t="str">
        <f t="shared" si="4"/>
        <v/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/>
      </c>
      <c r="P28" s="79" t="str">
        <f>IF(TEXT(B28,"aaa")="日","法休日",IF(OR(TEXT(B28,"aaa")="土",ISNUMBER(MATCH(B28,祝日リスト!$B$2:$B$30,0))),"所休日",""))</f>
        <v>所休日</v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 t="str">
        <f t="shared" si="3"/>
        <v/>
      </c>
      <c r="W28" s="15" t="str">
        <f t="shared" si="12"/>
        <v/>
      </c>
    </row>
    <row r="29" spans="1:23">
      <c r="A29" s="11"/>
      <c r="B29" s="12">
        <f>$A$6+23</f>
        <v>44889</v>
      </c>
      <c r="C29" s="2" t="str">
        <f>IF(ISNUMBER(MATCH(B29,祝日リスト!$B$2:$B$33,0)),"(" &amp; TEXT(B29,"aaa") &amp; ")",TEXT(B29,"aaa"))</f>
        <v>木</v>
      </c>
      <c r="D29" s="68"/>
      <c r="E29" s="68"/>
      <c r="F29" s="73">
        <f t="shared" si="4"/>
        <v>4.1666666666666664E-2</v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>○</v>
      </c>
      <c r="P29" s="79" t="str">
        <f>IF(TEXT(B29,"aaa")="日","法休日",IF(OR(TEXT(B29,"aaa")="土",ISNUMBER(MATCH(B29,祝日リスト!$B$2:$B$30,0))),"所休日",""))</f>
        <v/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>
        <f t="shared" si="3"/>
        <v>4.1666666666666664E-2</v>
      </c>
      <c r="W29" s="15" t="str">
        <f t="shared" si="12"/>
        <v/>
      </c>
    </row>
    <row r="30" spans="1:23">
      <c r="A30" s="11"/>
      <c r="B30" s="12">
        <f>$A$6+24</f>
        <v>44890</v>
      </c>
      <c r="C30" s="2" t="str">
        <f>IF(ISNUMBER(MATCH(B30,祝日リスト!$B$2:$B$33,0)),"(" &amp; TEXT(B30,"aaa") &amp; ")",TEXT(B30,"aaa"))</f>
        <v>金</v>
      </c>
      <c r="D30" s="68"/>
      <c r="E30" s="68"/>
      <c r="F30" s="73">
        <f t="shared" si="4"/>
        <v>4.1666666666666664E-2</v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>○</v>
      </c>
      <c r="P30" s="79" t="str">
        <f>IF(TEXT(B30,"aaa")="日","法休日",IF(OR(TEXT(B30,"aaa")="土",ISNUMBER(MATCH(B30,祝日リスト!$B$2:$B$30,0))),"所休日",""))</f>
        <v/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>
        <f t="shared" si="3"/>
        <v>4.1666666666666664E-2</v>
      </c>
      <c r="W30" s="15" t="str">
        <f t="shared" si="12"/>
        <v/>
      </c>
    </row>
    <row r="31" spans="1:23">
      <c r="A31" s="11"/>
      <c r="B31" s="12">
        <f>$A$6+25</f>
        <v>44891</v>
      </c>
      <c r="C31" s="2" t="str">
        <f>IF(ISNUMBER(MATCH(B31,祝日リスト!$B$2:$B$33,0)),"(" &amp; TEXT(B31,"aaa") &amp; ")",TEXT(B31,"aaa"))</f>
        <v>土</v>
      </c>
      <c r="D31" s="68"/>
      <c r="E31" s="68"/>
      <c r="F31" s="73" t="str">
        <f t="shared" si="4"/>
        <v/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/>
      </c>
      <c r="P31" s="79" t="str">
        <f>IF(TEXT(B31,"aaa")="日","法休日",IF(OR(TEXT(B31,"aaa")="土",ISNUMBER(MATCH(B31,祝日リスト!$B$2:$B$30,0))),"所休日",""))</f>
        <v>所休日</v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 t="str">
        <f t="shared" si="3"/>
        <v/>
      </c>
      <c r="W31" s="15" t="str">
        <f t="shared" si="12"/>
        <v/>
      </c>
    </row>
    <row r="32" spans="1:23">
      <c r="A32" s="11"/>
      <c r="B32" s="12">
        <f>$A$6+26</f>
        <v>44892</v>
      </c>
      <c r="C32" s="2" t="str">
        <f>IF(ISNUMBER(MATCH(B32,祝日リスト!$B$2:$B$33,0)),"(" &amp; TEXT(B32,"aaa") &amp; ")",TEXT(B32,"aaa"))</f>
        <v>日</v>
      </c>
      <c r="D32" s="68"/>
      <c r="E32" s="68"/>
      <c r="F32" s="73" t="str">
        <f t="shared" si="4"/>
        <v/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/>
      </c>
      <c r="P32" s="79" t="str">
        <f>IF(TEXT(B32,"aaa")="日","法休日",IF(OR(TEXT(B32,"aaa")="土",ISNUMBER(MATCH(B32,祝日リスト!$B$2:$B$30,0))),"所休日",""))</f>
        <v>法休日</v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 t="str">
        <f t="shared" si="3"/>
        <v/>
      </c>
      <c r="W32" s="15" t="str">
        <f t="shared" si="12"/>
        <v/>
      </c>
    </row>
    <row r="33" spans="1:23">
      <c r="A33" s="11"/>
      <c r="B33" s="12">
        <f>$A$6+27</f>
        <v>44893</v>
      </c>
      <c r="C33" s="2" t="str">
        <f>IF(ISNUMBER(MATCH(B33,祝日リスト!$B$2:$B$33,0)),"(" &amp; TEXT(B33,"aaa") &amp; ")",TEXT(B33,"aaa"))</f>
        <v>月</v>
      </c>
      <c r="D33" s="68"/>
      <c r="E33" s="68"/>
      <c r="F33" s="73">
        <f t="shared" si="4"/>
        <v>4.1666666666666664E-2</v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>
        <f t="shared" si="3"/>
        <v>4.1666666666666664E-2</v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44894</v>
      </c>
      <c r="C34" s="2" t="str">
        <f>IF(ISNUMBER(MATCH(B34,祝日リスト!$B$2:$B$33,0)),"(" &amp; TEXT(B34,"aaa") &amp; ")",TEXT(B34,"aaa"))</f>
        <v>火</v>
      </c>
      <c r="D34" s="68"/>
      <c r="E34" s="68"/>
      <c r="F34" s="73">
        <f t="shared" si="4"/>
        <v>4.1666666666666664E-2</v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>○</v>
      </c>
      <c r="P34" s="79" t="str">
        <f>IF(TEXT(B34,"aaa")="日","法休日",IF(OR(TEXT(B34,"aaa")="土",ISNUMBER(MATCH(B34,祝日リスト!$B$2:$B$30,0))),"所休日",""))</f>
        <v/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>
        <f t="shared" si="3"/>
        <v>4.1666666666666664E-2</v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44895</v>
      </c>
      <c r="C35" s="2" t="str">
        <f>IF(ISNUMBER(MATCH(B35,祝日リスト!$B$2:$B$33,0)),"(" &amp; TEXT(B35,"aaa") &amp; ")",TEXT(B35,"aaa"))</f>
        <v>水</v>
      </c>
      <c r="D35" s="68"/>
      <c r="E35" s="68"/>
      <c r="F35" s="73">
        <f t="shared" si="4"/>
        <v>4.1666666666666664E-2</v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>○</v>
      </c>
      <c r="P35" s="79" t="str">
        <f>IF(TEXT(B35,"aaa")="日","法休日",IF(OR(TEXT(B35,"aaa")="土",ISNUMBER(MATCH(B35,祝日リスト!$B$2:$B$30,0))),"所休日",""))</f>
        <v/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>
        <f t="shared" si="3"/>
        <v>4.1666666666666664E-2</v>
      </c>
      <c r="W35" s="15" t="str">
        <f t="shared" si="12"/>
        <v/>
      </c>
    </row>
    <row r="36" spans="1:23">
      <c r="A36" s="16"/>
      <c r="B36" s="17" t="str">
        <f>IF($A$6+30&gt;DATE(YEAR($A$6),MONTH($A$6)+1,0),"",$A$6+30)</f>
        <v/>
      </c>
      <c r="C36" s="3" t="str">
        <f>IF(ISNUMBER(MATCH(B36,祝日リスト!$B$2:$B$33,0)),"(" &amp; TEXT(B36,"aaa") &amp; ")",TEXT(B36,"aaa"))</f>
        <v/>
      </c>
      <c r="D36" s="69"/>
      <c r="E36" s="69"/>
      <c r="F36" s="74" t="str">
        <f t="shared" si="4"/>
        <v/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/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 t="str">
        <f t="shared" si="3"/>
        <v/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30</v>
      </c>
      <c r="C37" s="92">
        <f>40/7*B37</f>
        <v>171.42857142857144</v>
      </c>
      <c r="D37" s="93"/>
      <c r="E37" s="93"/>
      <c r="F37" s="94">
        <f t="shared" ref="F37:N37" si="14">SUM(F6:F36)</f>
        <v>0.83333333333333304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20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171</v>
      </c>
      <c r="F39" s="137" t="s">
        <v>14</v>
      </c>
      <c r="G39" s="138"/>
      <c r="H39" s="108">
        <f>COUNTIF(O6:O36,"○")</f>
        <v>20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6.6666666666666661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137</v>
      </c>
      <c r="D41" s="133"/>
      <c r="E41" s="33">
        <f>H39*TIME(8,0,0)</f>
        <v>6.6666666666666661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6.6666666666666661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107</v>
      </c>
      <c r="Q45" s="5">
        <f>COUNTIF($Q$6:$Q$36,"有休")</f>
        <v>0</v>
      </c>
      <c r="R45" s="5" t="s">
        <v>133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139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149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125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150</v>
      </c>
      <c r="Q50" s="5">
        <f>COUNTIF($Q$6:$Q$36,"所休出張")</f>
        <v>0</v>
      </c>
      <c r="R50" s="5" t="s">
        <v>127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151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145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152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153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154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155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156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189" priority="44" stopIfTrue="1" operator="equal">
      <formula>""</formula>
    </cfRule>
  </conditionalFormatting>
  <conditionalFormatting sqref="T6:T36">
    <cfRule type="cellIs" dxfId="188" priority="45" stopIfTrue="1" operator="lessThan">
      <formula>0.375</formula>
    </cfRule>
  </conditionalFormatting>
  <conditionalFormatting sqref="U6:U36">
    <cfRule type="cellIs" dxfId="187" priority="46" stopIfTrue="1" operator="greaterThan">
      <formula>0.999305555555556</formula>
    </cfRule>
  </conditionalFormatting>
  <conditionalFormatting sqref="E6:E11">
    <cfRule type="cellIs" dxfId="186" priority="47" stopIfTrue="1" operator="greaterThan">
      <formula>0.916666667</formula>
    </cfRule>
  </conditionalFormatting>
  <conditionalFormatting sqref="C6:C36">
    <cfRule type="cellIs" dxfId="185" priority="48" stopIfTrue="1" operator="between">
      <formula>"土"</formula>
      <formula>"日"</formula>
    </cfRule>
    <cfRule type="cellIs" dxfId="184" priority="49" stopIfTrue="1" operator="equal">
      <formula>""</formula>
    </cfRule>
    <cfRule type="cellIs" dxfId="183" priority="50" stopIfTrue="1" operator="lessThan">
      <formula>"A"</formula>
    </cfRule>
  </conditionalFormatting>
  <conditionalFormatting sqref="P6:P36">
    <cfRule type="cellIs" dxfId="182" priority="40" stopIfTrue="1" operator="equal">
      <formula>"所休日"</formula>
    </cfRule>
    <cfRule type="cellIs" dxfId="181" priority="41" stopIfTrue="1" operator="equal">
      <formula>"法休日"</formula>
    </cfRule>
    <cfRule type="cellIs" dxfId="180" priority="42" stopIfTrue="1" operator="equal">
      <formula>"""休日"""</formula>
    </cfRule>
  </conditionalFormatting>
  <conditionalFormatting sqref="D6:D11">
    <cfRule type="containsBlanks" dxfId="179" priority="51">
      <formula>LEN(TRIM(D6))=0</formula>
    </cfRule>
  </conditionalFormatting>
  <conditionalFormatting sqref="E12:E17">
    <cfRule type="cellIs" dxfId="178" priority="38" stopIfTrue="1" operator="greaterThan">
      <formula>0.916666667</formula>
    </cfRule>
  </conditionalFormatting>
  <conditionalFormatting sqref="D12:D17">
    <cfRule type="containsBlanks" dxfId="177" priority="39">
      <formula>LEN(TRIM(D12))=0</formula>
    </cfRule>
  </conditionalFormatting>
  <conditionalFormatting sqref="Q6:Q36">
    <cfRule type="expression" dxfId="176" priority="35">
      <formula>OR($Q6="振休")</formula>
    </cfRule>
    <cfRule type="expression" dxfId="175" priority="36" stopIfTrue="1">
      <formula>OR($Q6="有休",$Q6="半休",$Q6="代休",$Q6="公休",$Q6="欠勤")</formula>
    </cfRule>
    <cfRule type="expression" dxfId="174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173" priority="34">
      <formula>AND(OR($Q6="所休出",$Q6="所休出→代",$Q6="所休出張",$Q6="所休出張→代"),$C6="日")</formula>
    </cfRule>
  </conditionalFormatting>
  <conditionalFormatting sqref="E18:E24">
    <cfRule type="cellIs" dxfId="172" priority="32" stopIfTrue="1" operator="greaterThan">
      <formula>0.916666667</formula>
    </cfRule>
  </conditionalFormatting>
  <conditionalFormatting sqref="D18:D24">
    <cfRule type="containsBlanks" dxfId="171" priority="33">
      <formula>LEN(TRIM(D18))=0</formula>
    </cfRule>
  </conditionalFormatting>
  <conditionalFormatting sqref="E25:E32">
    <cfRule type="cellIs" dxfId="170" priority="30" stopIfTrue="1" operator="greaterThan">
      <formula>0.916666667</formula>
    </cfRule>
  </conditionalFormatting>
  <conditionalFormatting sqref="D25:D32">
    <cfRule type="containsBlanks" dxfId="169" priority="31">
      <formula>LEN(TRIM(D25))=0</formula>
    </cfRule>
  </conditionalFormatting>
  <conditionalFormatting sqref="E33:E36">
    <cfRule type="cellIs" dxfId="168" priority="28" stopIfTrue="1" operator="greaterThan">
      <formula>0.916666667</formula>
    </cfRule>
  </conditionalFormatting>
  <conditionalFormatting sqref="D33:D36">
    <cfRule type="containsBlanks" dxfId="167" priority="29">
      <formula>LEN(TRIM(D33))=0</formula>
    </cfRule>
  </conditionalFormatting>
  <conditionalFormatting sqref="I37">
    <cfRule type="expression" dxfId="166" priority="24">
      <formula>IF(I37&gt;TIME(0,0,0),TRUE)</formula>
    </cfRule>
  </conditionalFormatting>
  <conditionalFormatting sqref="D6:D36">
    <cfRule type="expression" dxfId="165" priority="14">
      <formula>AND($D6="",$E6&gt;0)</formula>
    </cfRule>
  </conditionalFormatting>
  <conditionalFormatting sqref="E6:E36">
    <cfRule type="expression" dxfId="164" priority="13">
      <formula>AND($E6="",$D6&gt;0)</formula>
    </cfRule>
  </conditionalFormatting>
  <conditionalFormatting sqref="E43">
    <cfRule type="expression" dxfId="163" priority="12" stopIfTrue="1">
      <formula>$E$42-$E$40&lt;0</formula>
    </cfRule>
  </conditionalFormatting>
  <conditionalFormatting sqref="H40">
    <cfRule type="expression" dxfId="162" priority="11">
      <formula>H40+H45+H46+H47+H48+H50-H41-H42-H43-H44&lt;H39</formula>
    </cfRule>
  </conditionalFormatting>
  <conditionalFormatting sqref="H54">
    <cfRule type="expression" dxfId="161" priority="10">
      <formula>IF(H54&gt;TIME(0,0,0),TRUE)</formula>
    </cfRule>
  </conditionalFormatting>
  <conditionalFormatting sqref="H55">
    <cfRule type="expression" dxfId="160" priority="9">
      <formula>IF(H55&gt;TIME(0,0,0),TRUE)</formula>
    </cfRule>
  </conditionalFormatting>
  <conditionalFormatting sqref="H56">
    <cfRule type="expression" dxfId="159" priority="8">
      <formula>IF(H56&gt;TIME(0,0,0),TRUE)</formula>
    </cfRule>
  </conditionalFormatting>
  <conditionalFormatting sqref="H58">
    <cfRule type="expression" dxfId="158" priority="7">
      <formula>IF(H58&gt;TIME(0,0,0),TRUE)</formula>
    </cfRule>
  </conditionalFormatting>
  <conditionalFormatting sqref="H59">
    <cfRule type="expression" dxfId="157" priority="6">
      <formula>IF(H59&gt;TIME(0,0,0),TRUE)</formula>
    </cfRule>
  </conditionalFormatting>
  <conditionalFormatting sqref="H61">
    <cfRule type="expression" dxfId="156" priority="5">
      <formula>IF(H61&gt;TIME(0,0,0),TRUE)</formula>
    </cfRule>
  </conditionalFormatting>
  <conditionalFormatting sqref="I53">
    <cfRule type="expression" dxfId="155" priority="4">
      <formula>IF(OR(E54&gt;0,E55&gt;0),TRUE)</formula>
    </cfRule>
  </conditionalFormatting>
  <conditionalFormatting sqref="I54">
    <cfRule type="expression" dxfId="154" priority="3">
      <formula>IF(H54&gt;TIME(0,0,0),TRUE)</formula>
    </cfRule>
  </conditionalFormatting>
  <conditionalFormatting sqref="I55">
    <cfRule type="expression" dxfId="153" priority="2">
      <formula>IF(H55&gt;TIME(0,0,0),TRUE)</formula>
    </cfRule>
  </conditionalFormatting>
  <conditionalFormatting sqref="H6:H35">
    <cfRule type="cellIs" dxfId="152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106">
        <v>44896</v>
      </c>
      <c r="B6" s="6">
        <f>$A$6+0</f>
        <v>44896</v>
      </c>
      <c r="C6" s="2" t="str">
        <f>IF(ISNUMBER(MATCH(B6,祝日リスト!$B$2:$B$33,0)),"(" &amp; TEXT(B6,"aaa") &amp; ")",TEXT(B6,"aaa"))</f>
        <v>木</v>
      </c>
      <c r="D6" s="68"/>
      <c r="E6" s="68"/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>
        <f t="shared" ref="V6:V36" si="3">IF(OR(O6="○",Q6="法休出",Q6="法休出→代",Q6="所休出",Q6="所休出→代"),TIME(1,0,0),"")</f>
        <v>4.1666666666666664E-2</v>
      </c>
      <c r="W6" s="10" t="str">
        <f>IF(U6&gt;0,U6-T6-V6,"")</f>
        <v/>
      </c>
    </row>
    <row r="7" spans="1:23">
      <c r="A7" s="11"/>
      <c r="B7" s="12">
        <f>$A$6+1</f>
        <v>44897</v>
      </c>
      <c r="C7" s="2" t="str">
        <f>IF(ISNUMBER(MATCH(B7,祝日リスト!$B$2:$B$33,0)),"(" &amp; TEXT(B7,"aaa") &amp; ")",TEXT(B7,"aaa"))</f>
        <v>金</v>
      </c>
      <c r="D7" s="68"/>
      <c r="E7" s="68"/>
      <c r="F7" s="73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>4.1666666666666664E-2</v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>○</v>
      </c>
      <c r="P7" s="79" t="str">
        <f>IF(TEXT(B7,"aaa")="日","法休日",IF(OR(TEXT(B7,"aaa")="土",ISNUMBER(MATCH(B7,祝日リスト!$B$2:$B$30,0))),"所休日",""))</f>
        <v/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>
        <f t="shared" si="3"/>
        <v>4.1666666666666664E-2</v>
      </c>
      <c r="W7" s="15" t="str">
        <f t="shared" ref="W7:W36" si="12">IF(U7&gt;0,U7-T7-V7,"")</f>
        <v/>
      </c>
    </row>
    <row r="8" spans="1:23">
      <c r="A8" s="11"/>
      <c r="B8" s="12">
        <f>$A$6+2</f>
        <v>44898</v>
      </c>
      <c r="C8" s="2" t="str">
        <f>IF(ISNUMBER(MATCH(B8,祝日リスト!$B$2:$B$33,0)),"(" &amp; TEXT(B8,"aaa") &amp; ")",TEXT(B8,"aaa"))</f>
        <v>土</v>
      </c>
      <c r="D8" s="68"/>
      <c r="E8" s="68"/>
      <c r="F8" s="73" t="str">
        <f t="shared" si="4"/>
        <v/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/>
      </c>
      <c r="P8" s="79" t="str">
        <f>IF(TEXT(B8,"aaa")="日","法休日",IF(OR(TEXT(B8,"aaa")="土",ISNUMBER(MATCH(B8,祝日リスト!$B$2:$B$30,0))),"所休日",""))</f>
        <v>所休日</v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 t="str">
        <f t="shared" si="3"/>
        <v/>
      </c>
      <c r="W8" s="15" t="str">
        <f t="shared" si="12"/>
        <v/>
      </c>
    </row>
    <row r="9" spans="1:23">
      <c r="A9" s="11"/>
      <c r="B9" s="12">
        <f>$A$6+3</f>
        <v>44899</v>
      </c>
      <c r="C9" s="2" t="str">
        <f>IF(ISNUMBER(MATCH(B9,祝日リスト!$B$2:$B$33,0)),"(" &amp; TEXT(B9,"aaa") &amp; ")",TEXT(B9,"aaa"))</f>
        <v>日</v>
      </c>
      <c r="D9" s="68"/>
      <c r="E9" s="68"/>
      <c r="F9" s="73" t="str">
        <f t="shared" si="4"/>
        <v/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/>
      </c>
      <c r="P9" s="79" t="str">
        <f>IF(TEXT(B9,"aaa")="日","法休日",IF(OR(TEXT(B9,"aaa")="土",ISNUMBER(MATCH(B9,祝日リスト!$B$2:$B$30,0))),"所休日",""))</f>
        <v>法休日</v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 t="str">
        <f t="shared" si="3"/>
        <v/>
      </c>
      <c r="W9" s="15" t="str">
        <f t="shared" si="12"/>
        <v/>
      </c>
    </row>
    <row r="10" spans="1:23">
      <c r="A10" s="11"/>
      <c r="B10" s="12">
        <f>$A$6+4</f>
        <v>44900</v>
      </c>
      <c r="C10" s="2" t="str">
        <f>IF(ISNUMBER(MATCH(B10,祝日リスト!$B$2:$B$33,0)),"(" &amp; TEXT(B10,"aaa") &amp; ")",TEXT(B10,"aaa"))</f>
        <v>月</v>
      </c>
      <c r="D10" s="68"/>
      <c r="E10" s="68"/>
      <c r="F10" s="73">
        <f t="shared" si="4"/>
        <v>4.1666666666666664E-2</v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>○</v>
      </c>
      <c r="P10" s="79" t="str">
        <f>IF(TEXT(B10,"aaa")="日","法休日",IF(OR(TEXT(B10,"aaa")="土",ISNUMBER(MATCH(B10,祝日リスト!$B$2:$B$30,0))),"所休日",""))</f>
        <v/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>
        <f t="shared" si="3"/>
        <v>4.1666666666666664E-2</v>
      </c>
      <c r="W10" s="15" t="str">
        <f t="shared" si="12"/>
        <v/>
      </c>
    </row>
    <row r="11" spans="1:23">
      <c r="A11" s="11"/>
      <c r="B11" s="12">
        <f>$A$6+5</f>
        <v>44901</v>
      </c>
      <c r="C11" s="2" t="str">
        <f>IF(ISNUMBER(MATCH(B11,祝日リスト!$B$2:$B$33,0)),"(" &amp; TEXT(B11,"aaa") &amp; ")",TEXT(B11,"aaa"))</f>
        <v>火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44902</v>
      </c>
      <c r="C12" s="2" t="str">
        <f>IF(ISNUMBER(MATCH(B12,祝日リスト!$B$2:$B$33,0)),"(" &amp; TEXT(B12,"aaa") &amp; ")",TEXT(B12,"aaa"))</f>
        <v>水</v>
      </c>
      <c r="D12" s="68"/>
      <c r="E12" s="68"/>
      <c r="F12" s="73">
        <f t="shared" si="4"/>
        <v>4.1666666666666664E-2</v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>
        <f t="shared" si="3"/>
        <v>4.1666666666666664E-2</v>
      </c>
      <c r="W12" s="15" t="str">
        <f t="shared" si="12"/>
        <v/>
      </c>
    </row>
    <row r="13" spans="1:23">
      <c r="A13" s="11"/>
      <c r="B13" s="12">
        <f>$A$6+7</f>
        <v>44903</v>
      </c>
      <c r="C13" s="2" t="str">
        <f>IF(ISNUMBER(MATCH(B13,祝日リスト!$B$2:$B$33,0)),"(" &amp; TEXT(B13,"aaa") &amp; ")",TEXT(B13,"aaa"))</f>
        <v>木</v>
      </c>
      <c r="D13" s="68"/>
      <c r="E13" s="68"/>
      <c r="F13" s="73">
        <f t="shared" si="4"/>
        <v>4.1666666666666664E-2</v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>
        <f t="shared" si="3"/>
        <v>4.1666666666666664E-2</v>
      </c>
      <c r="W13" s="15" t="str">
        <f t="shared" si="12"/>
        <v/>
      </c>
    </row>
    <row r="14" spans="1:23">
      <c r="A14" s="11"/>
      <c r="B14" s="12">
        <f>$A$6+8</f>
        <v>44904</v>
      </c>
      <c r="C14" s="2" t="str">
        <f>IF(ISNUMBER(MATCH(B14,祝日リスト!$B$2:$B$33,0)),"(" &amp; TEXT(B14,"aaa") &amp; ")",TEXT(B14,"aaa"))</f>
        <v>金</v>
      </c>
      <c r="D14" s="68"/>
      <c r="E14" s="68"/>
      <c r="F14" s="73">
        <f t="shared" si="4"/>
        <v>4.1666666666666664E-2</v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>○</v>
      </c>
      <c r="P14" s="79" t="str">
        <f>IF(TEXT(B14,"aaa")="日","法休日",IF(OR(TEXT(B14,"aaa")="土",ISNUMBER(MATCH(B14,祝日リスト!$B$2:$B$30,0))),"所休日",""))</f>
        <v/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>
        <f t="shared" si="3"/>
        <v>4.1666666666666664E-2</v>
      </c>
      <c r="W14" s="15" t="str">
        <f t="shared" si="12"/>
        <v/>
      </c>
    </row>
    <row r="15" spans="1:23">
      <c r="A15" s="11"/>
      <c r="B15" s="12">
        <f>$A$6+9</f>
        <v>44905</v>
      </c>
      <c r="C15" s="2" t="str">
        <f>IF(ISNUMBER(MATCH(B15,祝日リスト!$B$2:$B$33,0)),"(" &amp; TEXT(B15,"aaa") &amp; ")",TEXT(B15,"aaa"))</f>
        <v>土</v>
      </c>
      <c r="D15" s="68"/>
      <c r="E15" s="68"/>
      <c r="F15" s="73" t="str">
        <f t="shared" si="4"/>
        <v/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/>
      </c>
      <c r="P15" s="79" t="str">
        <f>IF(TEXT(B15,"aaa")="日","法休日",IF(OR(TEXT(B15,"aaa")="土",ISNUMBER(MATCH(B15,祝日リスト!$B$2:$B$30,0))),"所休日",""))</f>
        <v>所休日</v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 t="str">
        <f t="shared" si="3"/>
        <v/>
      </c>
      <c r="W15" s="15" t="str">
        <f t="shared" si="12"/>
        <v/>
      </c>
    </row>
    <row r="16" spans="1:23">
      <c r="A16" s="11"/>
      <c r="B16" s="12">
        <f>$A$6+10</f>
        <v>44906</v>
      </c>
      <c r="C16" s="2" t="str">
        <f>IF(ISNUMBER(MATCH(B16,祝日リスト!$B$2:$B$33,0)),"(" &amp; TEXT(B16,"aaa") &amp; ")",TEXT(B16,"aaa"))</f>
        <v>日</v>
      </c>
      <c r="D16" s="68"/>
      <c r="E16" s="68"/>
      <c r="F16" s="73" t="str">
        <f t="shared" si="4"/>
        <v/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/>
      </c>
      <c r="P16" s="79" t="str">
        <f>IF(TEXT(B16,"aaa")="日","法休日",IF(OR(TEXT(B16,"aaa")="土",ISNUMBER(MATCH(B16,祝日リスト!$B$2:$B$30,0))),"所休日",""))</f>
        <v>法休日</v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 t="str">
        <f t="shared" si="3"/>
        <v/>
      </c>
      <c r="W16" s="15" t="str">
        <f t="shared" si="12"/>
        <v/>
      </c>
    </row>
    <row r="17" spans="1:23">
      <c r="A17" s="11"/>
      <c r="B17" s="12">
        <f>$A$6+11</f>
        <v>44907</v>
      </c>
      <c r="C17" s="2" t="str">
        <f>IF(ISNUMBER(MATCH(B17,祝日リスト!$B$2:$B$33,0)),"(" &amp; TEXT(B17,"aaa") &amp; ")",TEXT(B17,"aaa"))</f>
        <v>月</v>
      </c>
      <c r="D17" s="68"/>
      <c r="E17" s="68"/>
      <c r="F17" s="73">
        <f t="shared" si="4"/>
        <v>4.1666666666666664E-2</v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>○</v>
      </c>
      <c r="P17" s="79" t="str">
        <f>IF(TEXT(B17,"aaa")="日","法休日",IF(OR(TEXT(B17,"aaa")="土",ISNUMBER(MATCH(B17,祝日リスト!$B$2:$B$30,0))),"所休日",""))</f>
        <v/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>
        <f t="shared" si="3"/>
        <v>4.1666666666666664E-2</v>
      </c>
      <c r="W17" s="15" t="str">
        <f t="shared" si="12"/>
        <v/>
      </c>
    </row>
    <row r="18" spans="1:23">
      <c r="A18" s="11"/>
      <c r="B18" s="12">
        <f>$A$6+12</f>
        <v>44908</v>
      </c>
      <c r="C18" s="2" t="str">
        <f>IF(ISNUMBER(MATCH(B18,祝日リスト!$B$2:$B$33,0)),"(" &amp; TEXT(B18,"aaa") &amp; ")",TEXT(B18,"aaa"))</f>
        <v>火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44909</v>
      </c>
      <c r="C19" s="2" t="str">
        <f>IF(ISNUMBER(MATCH(B19,祝日リスト!$B$2:$B$33,0)),"(" &amp; TEXT(B19,"aaa") &amp; ")",TEXT(B19,"aaa"))</f>
        <v>水</v>
      </c>
      <c r="D19" s="68"/>
      <c r="E19" s="68"/>
      <c r="F19" s="73">
        <f t="shared" si="4"/>
        <v>4.1666666666666664E-2</v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>
        <f t="shared" si="3"/>
        <v>4.1666666666666664E-2</v>
      </c>
      <c r="W19" s="15" t="str">
        <f t="shared" si="12"/>
        <v/>
      </c>
    </row>
    <row r="20" spans="1:23">
      <c r="A20" s="11"/>
      <c r="B20" s="12">
        <f>$A$6+14</f>
        <v>44910</v>
      </c>
      <c r="C20" s="2" t="str">
        <f>IF(ISNUMBER(MATCH(B20,祝日リスト!$B$2:$B$33,0)),"(" &amp; TEXT(B20,"aaa") &amp; ")",TEXT(B20,"aaa"))</f>
        <v>木</v>
      </c>
      <c r="D20" s="68"/>
      <c r="E20" s="68"/>
      <c r="F20" s="73">
        <f t="shared" si="4"/>
        <v>4.1666666666666664E-2</v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>
        <f t="shared" si="3"/>
        <v>4.1666666666666664E-2</v>
      </c>
      <c r="W20" s="15" t="str">
        <f t="shared" si="12"/>
        <v/>
      </c>
    </row>
    <row r="21" spans="1:23">
      <c r="A21" s="11"/>
      <c r="B21" s="12">
        <f>$A$6+15</f>
        <v>44911</v>
      </c>
      <c r="C21" s="2" t="str">
        <f>IF(ISNUMBER(MATCH(B21,祝日リスト!$B$2:$B$33,0)),"(" &amp; TEXT(B21,"aaa") &amp; ")",TEXT(B21,"aaa"))</f>
        <v>金</v>
      </c>
      <c r="D21" s="68"/>
      <c r="E21" s="68"/>
      <c r="F21" s="73">
        <f t="shared" si="4"/>
        <v>4.1666666666666664E-2</v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>
        <f t="shared" si="3"/>
        <v>4.1666666666666664E-2</v>
      </c>
      <c r="W21" s="15" t="str">
        <f t="shared" si="12"/>
        <v/>
      </c>
    </row>
    <row r="22" spans="1:23">
      <c r="A22" s="11"/>
      <c r="B22" s="12">
        <f>$A$6+16</f>
        <v>44912</v>
      </c>
      <c r="C22" s="2" t="str">
        <f>IF(ISNUMBER(MATCH(B22,祝日リスト!$B$2:$B$33,0)),"(" &amp; TEXT(B22,"aaa") &amp; ")",TEXT(B22,"aaa"))</f>
        <v>土</v>
      </c>
      <c r="D22" s="68"/>
      <c r="E22" s="68"/>
      <c r="F22" s="73" t="str">
        <f t="shared" si="4"/>
        <v/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/>
      </c>
      <c r="P22" s="79" t="str">
        <f>IF(TEXT(B22,"aaa")="日","法休日",IF(OR(TEXT(B22,"aaa")="土",ISNUMBER(MATCH(B22,祝日リスト!$B$2:$B$30,0))),"所休日",""))</f>
        <v>所休日</v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 t="str">
        <f t="shared" si="3"/>
        <v/>
      </c>
      <c r="W22" s="15" t="str">
        <f t="shared" si="12"/>
        <v/>
      </c>
    </row>
    <row r="23" spans="1:23">
      <c r="A23" s="11"/>
      <c r="B23" s="12">
        <f>$A$6+17</f>
        <v>44913</v>
      </c>
      <c r="C23" s="2" t="str">
        <f>IF(ISNUMBER(MATCH(B23,祝日リスト!$B$2:$B$33,0)),"(" &amp; TEXT(B23,"aaa") &amp; ")",TEXT(B23,"aaa"))</f>
        <v>日</v>
      </c>
      <c r="D23" s="68"/>
      <c r="E23" s="68"/>
      <c r="F23" s="73" t="str">
        <f t="shared" si="4"/>
        <v/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/>
      </c>
      <c r="P23" s="79" t="str">
        <f>IF(TEXT(B23,"aaa")="日","法休日",IF(OR(TEXT(B23,"aaa")="土",ISNUMBER(MATCH(B23,祝日リスト!$B$2:$B$30,0))),"所休日",""))</f>
        <v>法休日</v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 t="str">
        <f t="shared" si="3"/>
        <v/>
      </c>
      <c r="W23" s="15" t="str">
        <f t="shared" si="12"/>
        <v/>
      </c>
    </row>
    <row r="24" spans="1:23">
      <c r="A24" s="11"/>
      <c r="B24" s="12">
        <f>$A$6+18</f>
        <v>44914</v>
      </c>
      <c r="C24" s="2" t="str">
        <f>IF(ISNUMBER(MATCH(B24,祝日リスト!$B$2:$B$33,0)),"(" &amp; TEXT(B24,"aaa") &amp; ")",TEXT(B24,"aaa"))</f>
        <v>月</v>
      </c>
      <c r="D24" s="68"/>
      <c r="E24" s="68"/>
      <c r="F24" s="73">
        <f t="shared" si="4"/>
        <v>4.1666666666666664E-2</v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>○</v>
      </c>
      <c r="P24" s="79" t="str">
        <f>IF(TEXT(B24,"aaa")="日","法休日",IF(OR(TEXT(B24,"aaa")="土",ISNUMBER(MATCH(B24,祝日リスト!$B$2:$B$30,0))),"所休日",""))</f>
        <v/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>
        <f t="shared" si="3"/>
        <v>4.1666666666666664E-2</v>
      </c>
      <c r="W24" s="15" t="str">
        <f t="shared" si="12"/>
        <v/>
      </c>
    </row>
    <row r="25" spans="1:23">
      <c r="A25" s="11"/>
      <c r="B25" s="12">
        <f>$A$6+19</f>
        <v>44915</v>
      </c>
      <c r="C25" s="2" t="str">
        <f>IF(ISNUMBER(MATCH(B25,祝日リスト!$B$2:$B$33,0)),"(" &amp; TEXT(B25,"aaa") &amp; ")",TEXT(B25,"aaa"))</f>
        <v>火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44916</v>
      </c>
      <c r="C26" s="2" t="str">
        <f>IF(ISNUMBER(MATCH(B26,祝日リスト!$B$2:$B$33,0)),"(" &amp; TEXT(B26,"aaa") &amp; ")",TEXT(B26,"aaa"))</f>
        <v>水</v>
      </c>
      <c r="D26" s="68"/>
      <c r="E26" s="68"/>
      <c r="F26" s="73">
        <f t="shared" si="4"/>
        <v>4.1666666666666664E-2</v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>○</v>
      </c>
      <c r="P26" s="79" t="str">
        <f>IF(TEXT(B26,"aaa")="日","法休日",IF(OR(TEXT(B26,"aaa")="土",ISNUMBER(MATCH(B26,祝日リスト!$B$2:$B$30,0))),"所休日",""))</f>
        <v/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>
        <f t="shared" si="3"/>
        <v>4.1666666666666664E-2</v>
      </c>
      <c r="W26" s="15" t="str">
        <f t="shared" si="12"/>
        <v/>
      </c>
    </row>
    <row r="27" spans="1:23">
      <c r="A27" s="11"/>
      <c r="B27" s="12">
        <f>$A$6+21</f>
        <v>44917</v>
      </c>
      <c r="C27" s="2" t="str">
        <f>IF(ISNUMBER(MATCH(B27,祝日リスト!$B$2:$B$33,0)),"(" &amp; TEXT(B27,"aaa") &amp; ")",TEXT(B27,"aaa"))</f>
        <v>木</v>
      </c>
      <c r="D27" s="68"/>
      <c r="E27" s="68"/>
      <c r="F27" s="73">
        <f t="shared" si="4"/>
        <v>4.1666666666666664E-2</v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>
        <f t="shared" si="3"/>
        <v>4.1666666666666664E-2</v>
      </c>
      <c r="W27" s="15" t="str">
        <f t="shared" si="12"/>
        <v/>
      </c>
    </row>
    <row r="28" spans="1:23">
      <c r="A28" s="11"/>
      <c r="B28" s="12">
        <f>$A$6+22</f>
        <v>44918</v>
      </c>
      <c r="C28" s="2" t="str">
        <f>IF(ISNUMBER(MATCH(B28,祝日リスト!$B$2:$B$33,0)),"(" &amp; TEXT(B28,"aaa") &amp; ")",TEXT(B28,"aaa"))</f>
        <v>金</v>
      </c>
      <c r="D28" s="68"/>
      <c r="E28" s="68"/>
      <c r="F28" s="73">
        <f t="shared" si="4"/>
        <v>4.1666666666666664E-2</v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>○</v>
      </c>
      <c r="P28" s="79" t="str">
        <f>IF(TEXT(B28,"aaa")="日","法休日",IF(OR(TEXT(B28,"aaa")="土",ISNUMBER(MATCH(B28,祝日リスト!$B$2:$B$30,0))),"所休日",""))</f>
        <v/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>
        <f t="shared" si="3"/>
        <v>4.1666666666666664E-2</v>
      </c>
      <c r="W28" s="15" t="str">
        <f t="shared" si="12"/>
        <v/>
      </c>
    </row>
    <row r="29" spans="1:23">
      <c r="A29" s="11"/>
      <c r="B29" s="12">
        <f>$A$6+23</f>
        <v>44919</v>
      </c>
      <c r="C29" s="2" t="str">
        <f>IF(ISNUMBER(MATCH(B29,祝日リスト!$B$2:$B$33,0)),"(" &amp; TEXT(B29,"aaa") &amp; ")",TEXT(B29,"aaa"))</f>
        <v>土</v>
      </c>
      <c r="D29" s="68"/>
      <c r="E29" s="68"/>
      <c r="F29" s="73" t="str">
        <f t="shared" si="4"/>
        <v/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/>
      </c>
      <c r="P29" s="79" t="str">
        <f>IF(TEXT(B29,"aaa")="日","法休日",IF(OR(TEXT(B29,"aaa")="土",ISNUMBER(MATCH(B29,祝日リスト!$B$2:$B$30,0))),"所休日",""))</f>
        <v>所休日</v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 t="str">
        <f t="shared" si="3"/>
        <v/>
      </c>
      <c r="W29" s="15" t="str">
        <f t="shared" si="12"/>
        <v/>
      </c>
    </row>
    <row r="30" spans="1:23">
      <c r="A30" s="11"/>
      <c r="B30" s="12">
        <f>$A$6+24</f>
        <v>44920</v>
      </c>
      <c r="C30" s="2" t="str">
        <f>IF(ISNUMBER(MATCH(B30,祝日リスト!$B$2:$B$33,0)),"(" &amp; TEXT(B30,"aaa") &amp; ")",TEXT(B30,"aaa"))</f>
        <v>日</v>
      </c>
      <c r="D30" s="68"/>
      <c r="E30" s="68"/>
      <c r="F30" s="73" t="str">
        <f t="shared" si="4"/>
        <v/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/>
      </c>
      <c r="P30" s="79" t="str">
        <f>IF(TEXT(B30,"aaa")="日","法休日",IF(OR(TEXT(B30,"aaa")="土",ISNUMBER(MATCH(B30,祝日リスト!$B$2:$B$30,0))),"所休日",""))</f>
        <v>法休日</v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 t="str">
        <f t="shared" si="3"/>
        <v/>
      </c>
      <c r="W30" s="15" t="str">
        <f t="shared" si="12"/>
        <v/>
      </c>
    </row>
    <row r="31" spans="1:23">
      <c r="A31" s="11"/>
      <c r="B31" s="12">
        <f>$A$6+25</f>
        <v>44921</v>
      </c>
      <c r="C31" s="2" t="str">
        <f>IF(ISNUMBER(MATCH(B31,祝日リスト!$B$2:$B$33,0)),"(" &amp; TEXT(B31,"aaa") &amp; ")",TEXT(B31,"aaa"))</f>
        <v>月</v>
      </c>
      <c r="D31" s="68"/>
      <c r="E31" s="68"/>
      <c r="F31" s="73">
        <f t="shared" si="4"/>
        <v>4.1666666666666664E-2</v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>○</v>
      </c>
      <c r="P31" s="79" t="str">
        <f>IF(TEXT(B31,"aaa")="日","法休日",IF(OR(TEXT(B31,"aaa")="土",ISNUMBER(MATCH(B31,祝日リスト!$B$2:$B$30,0))),"所休日",""))</f>
        <v/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>
        <f t="shared" si="3"/>
        <v>4.1666666666666664E-2</v>
      </c>
      <c r="W31" s="15" t="str">
        <f t="shared" si="12"/>
        <v/>
      </c>
    </row>
    <row r="32" spans="1:23">
      <c r="A32" s="11"/>
      <c r="B32" s="12">
        <f>$A$6+26</f>
        <v>44922</v>
      </c>
      <c r="C32" s="2" t="str">
        <f>IF(ISNUMBER(MATCH(B32,祝日リスト!$B$2:$B$33,0)),"(" &amp; TEXT(B32,"aaa") &amp; ")",TEXT(B32,"aaa"))</f>
        <v>火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44923</v>
      </c>
      <c r="C33" s="2" t="str">
        <f>IF(ISNUMBER(MATCH(B33,祝日リスト!$B$2:$B$33,0)),"(" &amp; TEXT(B33,"aaa") &amp; ")",TEXT(B33,"aaa"))</f>
        <v>水</v>
      </c>
      <c r="D33" s="68"/>
      <c r="E33" s="68"/>
      <c r="F33" s="73">
        <f t="shared" si="4"/>
        <v>4.1666666666666664E-2</v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>
        <f t="shared" si="3"/>
        <v>4.1666666666666664E-2</v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44924</v>
      </c>
      <c r="C34" s="2" t="str">
        <f>IF(ISNUMBER(MATCH(B34,祝日リスト!$B$2:$B$33,0)),"(" &amp; TEXT(B34,"aaa") &amp; ")",TEXT(B34,"aaa"))</f>
        <v>(木)</v>
      </c>
      <c r="D34" s="68"/>
      <c r="E34" s="68"/>
      <c r="F34" s="73" t="str">
        <f t="shared" si="4"/>
        <v/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/>
      </c>
      <c r="P34" s="79" t="str">
        <f>IF(TEXT(B34,"aaa")="日","法休日",IF(OR(TEXT(B34,"aaa")="土",ISNUMBER(MATCH(B34,祝日リスト!$B$2:$B$30,0))),"所休日",""))</f>
        <v>所休日</v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 t="str">
        <f t="shared" si="3"/>
        <v/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44925</v>
      </c>
      <c r="C35" s="2" t="str">
        <f>IF(ISNUMBER(MATCH(B35,祝日リスト!$B$2:$B$33,0)),"(" &amp; TEXT(B35,"aaa") &amp; ")",TEXT(B35,"aaa"))</f>
        <v>(金)</v>
      </c>
      <c r="D35" s="68"/>
      <c r="E35" s="68"/>
      <c r="F35" s="73" t="str">
        <f t="shared" si="4"/>
        <v/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/>
      </c>
      <c r="P35" s="79" t="str">
        <f>IF(TEXT(B35,"aaa")="日","法休日",IF(OR(TEXT(B35,"aaa")="土",ISNUMBER(MATCH(B35,祝日リスト!$B$2:$B$30,0))),"所休日",""))</f>
        <v>所休日</v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 t="str">
        <f t="shared" si="3"/>
        <v/>
      </c>
      <c r="W35" s="15" t="str">
        <f t="shared" si="12"/>
        <v/>
      </c>
    </row>
    <row r="36" spans="1:23">
      <c r="A36" s="16"/>
      <c r="B36" s="17">
        <f>IF($A$6+30&gt;DATE(YEAR($A$6),MONTH($A$6)+1,0),"",$A$6+30)</f>
        <v>44926</v>
      </c>
      <c r="C36" s="3" t="str">
        <f>IF(ISNUMBER(MATCH(B36,祝日リスト!$B$2:$B$33,0)),"(" &amp; TEXT(B36,"aaa") &amp; ")",TEXT(B36,"aaa"))</f>
        <v>(土)</v>
      </c>
      <c r="D36" s="69"/>
      <c r="E36" s="69"/>
      <c r="F36" s="74" t="str">
        <f t="shared" si="4"/>
        <v/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/>
      </c>
      <c r="P36" s="89" t="str">
        <f>IF(TEXT(B36,"aaa")="日","法休日",IF(OR(TEXT(B36,"aaa")="土",ISNUMBER(MATCH(B36,祝日リスト!$B$2:$B$30,0))),"所休日",""))</f>
        <v>所休日</v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 t="str">
        <f t="shared" si="3"/>
        <v/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31</v>
      </c>
      <c r="C37" s="92">
        <f>40/7*B37</f>
        <v>177.14285714285714</v>
      </c>
      <c r="D37" s="93"/>
      <c r="E37" s="93"/>
      <c r="F37" s="94">
        <f t="shared" ref="F37:N37" si="14">SUM(F6:F36)</f>
        <v>0.83333333333333304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20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177</v>
      </c>
      <c r="F39" s="137" t="s">
        <v>14</v>
      </c>
      <c r="G39" s="138"/>
      <c r="H39" s="108">
        <f>COUNTIF(O6:O36,"○")</f>
        <v>20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6.6666666666666661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105</v>
      </c>
      <c r="D41" s="133"/>
      <c r="E41" s="33">
        <f>H39*TIME(8,0,0)</f>
        <v>6.6666666666666661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6.6666666666666661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107</v>
      </c>
      <c r="Q45" s="5">
        <f>COUNTIF($Q$6:$Q$36,"有休")</f>
        <v>0</v>
      </c>
      <c r="R45" s="5" t="s">
        <v>108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109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112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144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87</v>
      </c>
      <c r="Q50" s="5">
        <f>COUNTIF($Q$6:$Q$36,"所休出張")</f>
        <v>0</v>
      </c>
      <c r="R50" s="5" t="s">
        <v>94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91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145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146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130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147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123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148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151" priority="44" stopIfTrue="1" operator="equal">
      <formula>""</formula>
    </cfRule>
  </conditionalFormatting>
  <conditionalFormatting sqref="T6:T36">
    <cfRule type="cellIs" dxfId="150" priority="45" stopIfTrue="1" operator="lessThan">
      <formula>0.375</formula>
    </cfRule>
  </conditionalFormatting>
  <conditionalFormatting sqref="U6:U36">
    <cfRule type="cellIs" dxfId="149" priority="46" stopIfTrue="1" operator="greaterThan">
      <formula>0.999305555555556</formula>
    </cfRule>
  </conditionalFormatting>
  <conditionalFormatting sqref="E6:E11">
    <cfRule type="cellIs" dxfId="148" priority="47" stopIfTrue="1" operator="greaterThan">
      <formula>0.916666667</formula>
    </cfRule>
  </conditionalFormatting>
  <conditionalFormatting sqref="C6:C36">
    <cfRule type="cellIs" dxfId="147" priority="48" stopIfTrue="1" operator="between">
      <formula>"土"</formula>
      <formula>"日"</formula>
    </cfRule>
    <cfRule type="cellIs" dxfId="146" priority="49" stopIfTrue="1" operator="equal">
      <formula>""</formula>
    </cfRule>
    <cfRule type="cellIs" dxfId="145" priority="50" stopIfTrue="1" operator="lessThan">
      <formula>"A"</formula>
    </cfRule>
  </conditionalFormatting>
  <conditionalFormatting sqref="P6:P36">
    <cfRule type="cellIs" dxfId="144" priority="40" stopIfTrue="1" operator="equal">
      <formula>"所休日"</formula>
    </cfRule>
    <cfRule type="cellIs" dxfId="143" priority="41" stopIfTrue="1" operator="equal">
      <formula>"法休日"</formula>
    </cfRule>
    <cfRule type="cellIs" dxfId="142" priority="42" stopIfTrue="1" operator="equal">
      <formula>"""休日"""</formula>
    </cfRule>
  </conditionalFormatting>
  <conditionalFormatting sqref="D6:D11">
    <cfRule type="containsBlanks" dxfId="141" priority="51">
      <formula>LEN(TRIM(D6))=0</formula>
    </cfRule>
  </conditionalFormatting>
  <conditionalFormatting sqref="E12:E17">
    <cfRule type="cellIs" dxfId="140" priority="38" stopIfTrue="1" operator="greaterThan">
      <formula>0.916666667</formula>
    </cfRule>
  </conditionalFormatting>
  <conditionalFormatting sqref="D12:D17">
    <cfRule type="containsBlanks" dxfId="139" priority="39">
      <formula>LEN(TRIM(D12))=0</formula>
    </cfRule>
  </conditionalFormatting>
  <conditionalFormatting sqref="Q6:Q36">
    <cfRule type="expression" dxfId="138" priority="35">
      <formula>OR($Q6="振休")</formula>
    </cfRule>
    <cfRule type="expression" dxfId="137" priority="36" stopIfTrue="1">
      <formula>OR($Q6="有休",$Q6="半休",$Q6="代休",$Q6="公休",$Q6="欠勤")</formula>
    </cfRule>
    <cfRule type="expression" dxfId="136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135" priority="34">
      <formula>AND(OR($Q6="所休出",$Q6="所休出→代",$Q6="所休出張",$Q6="所休出張→代"),$C6="日")</formula>
    </cfRule>
  </conditionalFormatting>
  <conditionalFormatting sqref="E18:E24">
    <cfRule type="cellIs" dxfId="134" priority="32" stopIfTrue="1" operator="greaterThan">
      <formula>0.916666667</formula>
    </cfRule>
  </conditionalFormatting>
  <conditionalFormatting sqref="D18:D24">
    <cfRule type="containsBlanks" dxfId="133" priority="33">
      <formula>LEN(TRIM(D18))=0</formula>
    </cfRule>
  </conditionalFormatting>
  <conditionalFormatting sqref="E25:E32">
    <cfRule type="cellIs" dxfId="132" priority="30" stopIfTrue="1" operator="greaterThan">
      <formula>0.916666667</formula>
    </cfRule>
  </conditionalFormatting>
  <conditionalFormatting sqref="D25:D32">
    <cfRule type="containsBlanks" dxfId="131" priority="31">
      <formula>LEN(TRIM(D25))=0</formula>
    </cfRule>
  </conditionalFormatting>
  <conditionalFormatting sqref="E33:E36">
    <cfRule type="cellIs" dxfId="130" priority="28" stopIfTrue="1" operator="greaterThan">
      <formula>0.916666667</formula>
    </cfRule>
  </conditionalFormatting>
  <conditionalFormatting sqref="D33:D36">
    <cfRule type="containsBlanks" dxfId="129" priority="29">
      <formula>LEN(TRIM(D33))=0</formula>
    </cfRule>
  </conditionalFormatting>
  <conditionalFormatting sqref="I37">
    <cfRule type="expression" dxfId="128" priority="24">
      <formula>IF(I37&gt;TIME(0,0,0),TRUE)</formula>
    </cfRule>
  </conditionalFormatting>
  <conditionalFormatting sqref="D6:D36">
    <cfRule type="expression" dxfId="127" priority="14">
      <formula>AND($D6="",$E6&gt;0)</formula>
    </cfRule>
  </conditionalFormatting>
  <conditionalFormatting sqref="E6:E36">
    <cfRule type="expression" dxfId="126" priority="13">
      <formula>AND($E6="",$D6&gt;0)</formula>
    </cfRule>
  </conditionalFormatting>
  <conditionalFormatting sqref="E43">
    <cfRule type="expression" dxfId="125" priority="12" stopIfTrue="1">
      <formula>$E$42-$E$40&lt;0</formula>
    </cfRule>
  </conditionalFormatting>
  <conditionalFormatting sqref="H40">
    <cfRule type="expression" dxfId="124" priority="11">
      <formula>H40+H45+H46+H47+H48+H50-H41-H42-H43-H44&lt;H39</formula>
    </cfRule>
  </conditionalFormatting>
  <conditionalFormatting sqref="H54">
    <cfRule type="expression" dxfId="123" priority="10">
      <formula>IF(H54&gt;TIME(0,0,0),TRUE)</formula>
    </cfRule>
  </conditionalFormatting>
  <conditionalFormatting sqref="H55">
    <cfRule type="expression" dxfId="122" priority="9">
      <formula>IF(H55&gt;TIME(0,0,0),TRUE)</formula>
    </cfRule>
  </conditionalFormatting>
  <conditionalFormatting sqref="H56">
    <cfRule type="expression" dxfId="121" priority="8">
      <formula>IF(H56&gt;TIME(0,0,0),TRUE)</formula>
    </cfRule>
  </conditionalFormatting>
  <conditionalFormatting sqref="H58">
    <cfRule type="expression" dxfId="120" priority="7">
      <formula>IF(H58&gt;TIME(0,0,0),TRUE)</formula>
    </cfRule>
  </conditionalFormatting>
  <conditionalFormatting sqref="H59">
    <cfRule type="expression" dxfId="119" priority="6">
      <formula>IF(H59&gt;TIME(0,0,0),TRUE)</formula>
    </cfRule>
  </conditionalFormatting>
  <conditionalFormatting sqref="H61">
    <cfRule type="expression" dxfId="118" priority="5">
      <formula>IF(H61&gt;TIME(0,0,0),TRUE)</formula>
    </cfRule>
  </conditionalFormatting>
  <conditionalFormatting sqref="I53">
    <cfRule type="expression" dxfId="117" priority="4">
      <formula>IF(OR(E54&gt;0,E55&gt;0),TRUE)</formula>
    </cfRule>
  </conditionalFormatting>
  <conditionalFormatting sqref="I54">
    <cfRule type="expression" dxfId="116" priority="3">
      <formula>IF(H54&gt;TIME(0,0,0),TRUE)</formula>
    </cfRule>
  </conditionalFormatting>
  <conditionalFormatting sqref="I55">
    <cfRule type="expression" dxfId="115" priority="2">
      <formula>IF(H55&gt;TIME(0,0,0),TRUE)</formula>
    </cfRule>
  </conditionalFormatting>
  <conditionalFormatting sqref="H6:H35">
    <cfRule type="cellIs" dxfId="114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106">
        <v>44927</v>
      </c>
      <c r="B6" s="6">
        <f>$A$6+0</f>
        <v>44927</v>
      </c>
      <c r="C6" s="2" t="str">
        <f>IF(ISNUMBER(MATCH(B6,祝日リスト!$B$2:$B$33,0)),"(" &amp; TEXT(B6,"aaa") &amp; ")",TEXT(B6,"aaa"))</f>
        <v>(日)</v>
      </c>
      <c r="D6" s="68"/>
      <c r="E6" s="68"/>
      <c r="F6" s="73" t="str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/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/>
      </c>
      <c r="P6" s="79" t="str">
        <f>IF(TEXT(B6,"aaa")="日","法休日",IF(OR(TEXT(B6,"aaa")="土",ISNUMBER(MATCH(B6,祝日リスト!$B$2:$B$30,0))),"所休日",""))</f>
        <v>法休日</v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 t="str">
        <f t="shared" ref="V6:V36" si="3">IF(OR(O6="○",Q6="法休出",Q6="法休出→代",Q6="所休出",Q6="所休出→代"),TIME(1,0,0),"")</f>
        <v/>
      </c>
      <c r="W6" s="10" t="str">
        <f>IF(U6&gt;0,U6-T6-V6,"")</f>
        <v/>
      </c>
    </row>
    <row r="7" spans="1:23">
      <c r="A7" s="11"/>
      <c r="B7" s="12">
        <f>$A$6+1</f>
        <v>44928</v>
      </c>
      <c r="C7" s="2" t="str">
        <f>IF(ISNUMBER(MATCH(B7,祝日リスト!$B$2:$B$33,0)),"(" &amp; TEXT(B7,"aaa") &amp; ")",TEXT(B7,"aaa"))</f>
        <v>(月)</v>
      </c>
      <c r="D7" s="68"/>
      <c r="E7" s="68"/>
      <c r="F7" s="73" t="str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/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/>
      </c>
      <c r="P7" s="79" t="str">
        <f>IF(TEXT(B7,"aaa")="日","法休日",IF(OR(TEXT(B7,"aaa")="土",ISNUMBER(MATCH(B7,祝日リスト!$B$2:$B$30,0))),"所休日",""))</f>
        <v>所休日</v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 t="str">
        <f t="shared" si="3"/>
        <v/>
      </c>
      <c r="W7" s="15" t="str">
        <f t="shared" ref="W7:W36" si="12">IF(U7&gt;0,U7-T7-V7,"")</f>
        <v/>
      </c>
    </row>
    <row r="8" spans="1:23">
      <c r="A8" s="11"/>
      <c r="B8" s="12">
        <f>$A$6+2</f>
        <v>44929</v>
      </c>
      <c r="C8" s="2" t="str">
        <f>IF(ISNUMBER(MATCH(B8,祝日リスト!$B$2:$B$33,0)),"(" &amp; TEXT(B8,"aaa") &amp; ")",TEXT(B8,"aaa"))</f>
        <v>(火)</v>
      </c>
      <c r="D8" s="68"/>
      <c r="E8" s="68"/>
      <c r="F8" s="73" t="str">
        <f t="shared" si="4"/>
        <v/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/>
      </c>
      <c r="P8" s="79" t="str">
        <f>IF(TEXT(B8,"aaa")="日","法休日",IF(OR(TEXT(B8,"aaa")="土",ISNUMBER(MATCH(B8,祝日リスト!$B$2:$B$30,0))),"所休日",""))</f>
        <v>所休日</v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 t="str">
        <f t="shared" si="3"/>
        <v/>
      </c>
      <c r="W8" s="15" t="str">
        <f t="shared" si="12"/>
        <v/>
      </c>
    </row>
    <row r="9" spans="1:23">
      <c r="A9" s="11"/>
      <c r="B9" s="12">
        <f>$A$6+3</f>
        <v>44930</v>
      </c>
      <c r="C9" s="2" t="str">
        <f>IF(ISNUMBER(MATCH(B9,祝日リスト!$B$2:$B$33,0)),"(" &amp; TEXT(B9,"aaa") &amp; ")",TEXT(B9,"aaa"))</f>
        <v>水</v>
      </c>
      <c r="D9" s="68"/>
      <c r="E9" s="68"/>
      <c r="F9" s="73">
        <f t="shared" si="4"/>
        <v>4.1666666666666664E-2</v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>○</v>
      </c>
      <c r="P9" s="79" t="str">
        <f>IF(TEXT(B9,"aaa")="日","法休日",IF(OR(TEXT(B9,"aaa")="土",ISNUMBER(MATCH(B9,祝日リスト!$B$2:$B$30,0))),"所休日",""))</f>
        <v/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>
        <f t="shared" si="3"/>
        <v>4.1666666666666664E-2</v>
      </c>
      <c r="W9" s="15" t="str">
        <f t="shared" si="12"/>
        <v/>
      </c>
    </row>
    <row r="10" spans="1:23">
      <c r="A10" s="11"/>
      <c r="B10" s="12">
        <f>$A$6+4</f>
        <v>44931</v>
      </c>
      <c r="C10" s="2" t="str">
        <f>IF(ISNUMBER(MATCH(B10,祝日リスト!$B$2:$B$33,0)),"(" &amp; TEXT(B10,"aaa") &amp; ")",TEXT(B10,"aaa"))</f>
        <v>木</v>
      </c>
      <c r="D10" s="68"/>
      <c r="E10" s="68"/>
      <c r="F10" s="73">
        <f t="shared" si="4"/>
        <v>4.1666666666666664E-2</v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>○</v>
      </c>
      <c r="P10" s="79" t="str">
        <f>IF(TEXT(B10,"aaa")="日","法休日",IF(OR(TEXT(B10,"aaa")="土",ISNUMBER(MATCH(B10,祝日リスト!$B$2:$B$30,0))),"所休日",""))</f>
        <v/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>
        <f t="shared" si="3"/>
        <v>4.1666666666666664E-2</v>
      </c>
      <c r="W10" s="15" t="str">
        <f t="shared" si="12"/>
        <v/>
      </c>
    </row>
    <row r="11" spans="1:23">
      <c r="A11" s="11"/>
      <c r="B11" s="12">
        <f>$A$6+5</f>
        <v>44932</v>
      </c>
      <c r="C11" s="2" t="str">
        <f>IF(ISNUMBER(MATCH(B11,祝日リスト!$B$2:$B$33,0)),"(" &amp; TEXT(B11,"aaa") &amp; ")",TEXT(B11,"aaa"))</f>
        <v>金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44933</v>
      </c>
      <c r="C12" s="2" t="str">
        <f>IF(ISNUMBER(MATCH(B12,祝日リスト!$B$2:$B$33,0)),"(" &amp; TEXT(B12,"aaa") &amp; ")",TEXT(B12,"aaa"))</f>
        <v>土</v>
      </c>
      <c r="D12" s="68"/>
      <c r="E12" s="68"/>
      <c r="F12" s="73" t="str">
        <f t="shared" si="4"/>
        <v/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/>
      </c>
      <c r="P12" s="79" t="str">
        <f>IF(TEXT(B12,"aaa")="日","法休日",IF(OR(TEXT(B12,"aaa")="土",ISNUMBER(MATCH(B12,祝日リスト!$B$2:$B$30,0))),"所休日",""))</f>
        <v>所休日</v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 t="str">
        <f t="shared" si="3"/>
        <v/>
      </c>
      <c r="W12" s="15" t="str">
        <f t="shared" si="12"/>
        <v/>
      </c>
    </row>
    <row r="13" spans="1:23">
      <c r="A13" s="11"/>
      <c r="B13" s="12">
        <f>$A$6+7</f>
        <v>44934</v>
      </c>
      <c r="C13" s="2" t="str">
        <f>IF(ISNUMBER(MATCH(B13,祝日リスト!$B$2:$B$33,0)),"(" &amp; TEXT(B13,"aaa") &amp; ")",TEXT(B13,"aaa"))</f>
        <v>日</v>
      </c>
      <c r="D13" s="68"/>
      <c r="E13" s="68"/>
      <c r="F13" s="73" t="str">
        <f t="shared" si="4"/>
        <v/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/>
      </c>
      <c r="P13" s="79" t="str">
        <f>IF(TEXT(B13,"aaa")="日","法休日",IF(OR(TEXT(B13,"aaa")="土",ISNUMBER(MATCH(B13,祝日リスト!$B$2:$B$30,0))),"所休日",""))</f>
        <v>法休日</v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 t="str">
        <f t="shared" si="3"/>
        <v/>
      </c>
      <c r="W13" s="15" t="str">
        <f t="shared" si="12"/>
        <v/>
      </c>
    </row>
    <row r="14" spans="1:23">
      <c r="A14" s="11"/>
      <c r="B14" s="12">
        <f>$A$6+8</f>
        <v>44935</v>
      </c>
      <c r="C14" s="2" t="str">
        <f>IF(ISNUMBER(MATCH(B14,祝日リスト!$B$2:$B$33,0)),"(" &amp; TEXT(B14,"aaa") &amp; ")",TEXT(B14,"aaa"))</f>
        <v>(月)</v>
      </c>
      <c r="D14" s="68"/>
      <c r="E14" s="68"/>
      <c r="F14" s="73" t="str">
        <f t="shared" si="4"/>
        <v/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/>
      </c>
      <c r="P14" s="79" t="str">
        <f>IF(TEXT(B14,"aaa")="日","法休日",IF(OR(TEXT(B14,"aaa")="土",ISNUMBER(MATCH(B14,祝日リスト!$B$2:$B$30,0))),"所休日",""))</f>
        <v>所休日</v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 t="str">
        <f t="shared" si="3"/>
        <v/>
      </c>
      <c r="W14" s="15" t="str">
        <f t="shared" si="12"/>
        <v/>
      </c>
    </row>
    <row r="15" spans="1:23">
      <c r="A15" s="11"/>
      <c r="B15" s="12">
        <f>$A$6+9</f>
        <v>44936</v>
      </c>
      <c r="C15" s="2" t="str">
        <f>IF(ISNUMBER(MATCH(B15,祝日リスト!$B$2:$B$33,0)),"(" &amp; TEXT(B15,"aaa") &amp; ")",TEXT(B15,"aaa"))</f>
        <v>火</v>
      </c>
      <c r="D15" s="68"/>
      <c r="E15" s="68"/>
      <c r="F15" s="73">
        <f t="shared" si="4"/>
        <v>4.1666666666666664E-2</v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>○</v>
      </c>
      <c r="P15" s="79" t="str">
        <f>IF(TEXT(B15,"aaa")="日","法休日",IF(OR(TEXT(B15,"aaa")="土",ISNUMBER(MATCH(B15,祝日リスト!$B$2:$B$30,0))),"所休日",""))</f>
        <v/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>
        <f t="shared" si="3"/>
        <v>4.1666666666666664E-2</v>
      </c>
      <c r="W15" s="15" t="str">
        <f t="shared" si="12"/>
        <v/>
      </c>
    </row>
    <row r="16" spans="1:23">
      <c r="A16" s="11"/>
      <c r="B16" s="12">
        <f>$A$6+10</f>
        <v>44937</v>
      </c>
      <c r="C16" s="2" t="str">
        <f>IF(ISNUMBER(MATCH(B16,祝日リスト!$B$2:$B$33,0)),"(" &amp; TEXT(B16,"aaa") &amp; ")",TEXT(B16,"aaa"))</f>
        <v>水</v>
      </c>
      <c r="D16" s="68"/>
      <c r="E16" s="68"/>
      <c r="F16" s="73">
        <f t="shared" si="4"/>
        <v>4.1666666666666664E-2</v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>○</v>
      </c>
      <c r="P16" s="79" t="str">
        <f>IF(TEXT(B16,"aaa")="日","法休日",IF(OR(TEXT(B16,"aaa")="土",ISNUMBER(MATCH(B16,祝日リスト!$B$2:$B$30,0))),"所休日",""))</f>
        <v/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>
        <f t="shared" si="3"/>
        <v>4.1666666666666664E-2</v>
      </c>
      <c r="W16" s="15" t="str">
        <f t="shared" si="12"/>
        <v/>
      </c>
    </row>
    <row r="17" spans="1:23">
      <c r="A17" s="11"/>
      <c r="B17" s="12">
        <f>$A$6+11</f>
        <v>44938</v>
      </c>
      <c r="C17" s="2" t="str">
        <f>IF(ISNUMBER(MATCH(B17,祝日リスト!$B$2:$B$33,0)),"(" &amp; TEXT(B17,"aaa") &amp; ")",TEXT(B17,"aaa"))</f>
        <v>木</v>
      </c>
      <c r="D17" s="68"/>
      <c r="E17" s="68"/>
      <c r="F17" s="73">
        <f t="shared" si="4"/>
        <v>4.1666666666666664E-2</v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>○</v>
      </c>
      <c r="P17" s="79" t="str">
        <f>IF(TEXT(B17,"aaa")="日","法休日",IF(OR(TEXT(B17,"aaa")="土",ISNUMBER(MATCH(B17,祝日リスト!$B$2:$B$30,0))),"所休日",""))</f>
        <v/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>
        <f t="shared" si="3"/>
        <v>4.1666666666666664E-2</v>
      </c>
      <c r="W17" s="15" t="str">
        <f t="shared" si="12"/>
        <v/>
      </c>
    </row>
    <row r="18" spans="1:23">
      <c r="A18" s="11"/>
      <c r="B18" s="12">
        <f>$A$6+12</f>
        <v>44939</v>
      </c>
      <c r="C18" s="2" t="str">
        <f>IF(ISNUMBER(MATCH(B18,祝日リスト!$B$2:$B$33,0)),"(" &amp; TEXT(B18,"aaa") &amp; ")",TEXT(B18,"aaa"))</f>
        <v>金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44940</v>
      </c>
      <c r="C19" s="2" t="str">
        <f>IF(ISNUMBER(MATCH(B19,祝日リスト!$B$2:$B$33,0)),"(" &amp; TEXT(B19,"aaa") &amp; ")",TEXT(B19,"aaa"))</f>
        <v>土</v>
      </c>
      <c r="D19" s="68"/>
      <c r="E19" s="68"/>
      <c r="F19" s="73" t="str">
        <f t="shared" si="4"/>
        <v/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/>
      </c>
      <c r="P19" s="79" t="str">
        <f>IF(TEXT(B19,"aaa")="日","法休日",IF(OR(TEXT(B19,"aaa")="土",ISNUMBER(MATCH(B19,祝日リスト!$B$2:$B$30,0))),"所休日",""))</f>
        <v>所休日</v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 t="str">
        <f t="shared" si="3"/>
        <v/>
      </c>
      <c r="W19" s="15" t="str">
        <f t="shared" si="12"/>
        <v/>
      </c>
    </row>
    <row r="20" spans="1:23">
      <c r="A20" s="11"/>
      <c r="B20" s="12">
        <f>$A$6+14</f>
        <v>44941</v>
      </c>
      <c r="C20" s="2" t="str">
        <f>IF(ISNUMBER(MATCH(B20,祝日リスト!$B$2:$B$33,0)),"(" &amp; TEXT(B20,"aaa") &amp; ")",TEXT(B20,"aaa"))</f>
        <v>日</v>
      </c>
      <c r="D20" s="68"/>
      <c r="E20" s="68"/>
      <c r="F20" s="73" t="str">
        <f t="shared" si="4"/>
        <v/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/>
      </c>
      <c r="P20" s="79" t="str">
        <f>IF(TEXT(B20,"aaa")="日","法休日",IF(OR(TEXT(B20,"aaa")="土",ISNUMBER(MATCH(B20,祝日リスト!$B$2:$B$30,0))),"所休日",""))</f>
        <v>法休日</v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 t="str">
        <f t="shared" si="3"/>
        <v/>
      </c>
      <c r="W20" s="15" t="str">
        <f t="shared" si="12"/>
        <v/>
      </c>
    </row>
    <row r="21" spans="1:23">
      <c r="A21" s="11"/>
      <c r="B21" s="12">
        <f>$A$6+15</f>
        <v>44942</v>
      </c>
      <c r="C21" s="2" t="str">
        <f>IF(ISNUMBER(MATCH(B21,祝日リスト!$B$2:$B$33,0)),"(" &amp; TEXT(B21,"aaa") &amp; ")",TEXT(B21,"aaa"))</f>
        <v>月</v>
      </c>
      <c r="D21" s="68"/>
      <c r="E21" s="68"/>
      <c r="F21" s="73">
        <f t="shared" si="4"/>
        <v>4.1666666666666664E-2</v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>
        <f t="shared" si="3"/>
        <v>4.1666666666666664E-2</v>
      </c>
      <c r="W21" s="15" t="str">
        <f t="shared" si="12"/>
        <v/>
      </c>
    </row>
    <row r="22" spans="1:23">
      <c r="A22" s="11"/>
      <c r="B22" s="12">
        <f>$A$6+16</f>
        <v>44943</v>
      </c>
      <c r="C22" s="2" t="str">
        <f>IF(ISNUMBER(MATCH(B22,祝日リスト!$B$2:$B$33,0)),"(" &amp; TEXT(B22,"aaa") &amp; ")",TEXT(B22,"aaa"))</f>
        <v>火</v>
      </c>
      <c r="D22" s="68"/>
      <c r="E22" s="68"/>
      <c r="F22" s="73">
        <f t="shared" si="4"/>
        <v>4.1666666666666664E-2</v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>○</v>
      </c>
      <c r="P22" s="79" t="str">
        <f>IF(TEXT(B22,"aaa")="日","法休日",IF(OR(TEXT(B22,"aaa")="土",ISNUMBER(MATCH(B22,祝日リスト!$B$2:$B$30,0))),"所休日",""))</f>
        <v/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>
        <f t="shared" si="3"/>
        <v>4.1666666666666664E-2</v>
      </c>
      <c r="W22" s="15" t="str">
        <f t="shared" si="12"/>
        <v/>
      </c>
    </row>
    <row r="23" spans="1:23">
      <c r="A23" s="11"/>
      <c r="B23" s="12">
        <f>$A$6+17</f>
        <v>44944</v>
      </c>
      <c r="C23" s="2" t="str">
        <f>IF(ISNUMBER(MATCH(B23,祝日リスト!$B$2:$B$33,0)),"(" &amp; TEXT(B23,"aaa") &amp; ")",TEXT(B23,"aaa"))</f>
        <v>水</v>
      </c>
      <c r="D23" s="68"/>
      <c r="E23" s="68"/>
      <c r="F23" s="73">
        <f t="shared" si="4"/>
        <v>4.1666666666666664E-2</v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>○</v>
      </c>
      <c r="P23" s="79" t="str">
        <f>IF(TEXT(B23,"aaa")="日","法休日",IF(OR(TEXT(B23,"aaa")="土",ISNUMBER(MATCH(B23,祝日リスト!$B$2:$B$30,0))),"所休日",""))</f>
        <v/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>
        <f t="shared" si="3"/>
        <v>4.1666666666666664E-2</v>
      </c>
      <c r="W23" s="15" t="str">
        <f t="shared" si="12"/>
        <v/>
      </c>
    </row>
    <row r="24" spans="1:23">
      <c r="A24" s="11"/>
      <c r="B24" s="12">
        <f>$A$6+18</f>
        <v>44945</v>
      </c>
      <c r="C24" s="2" t="str">
        <f>IF(ISNUMBER(MATCH(B24,祝日リスト!$B$2:$B$33,0)),"(" &amp; TEXT(B24,"aaa") &amp; ")",TEXT(B24,"aaa"))</f>
        <v>木</v>
      </c>
      <c r="D24" s="68"/>
      <c r="E24" s="68"/>
      <c r="F24" s="73">
        <f t="shared" si="4"/>
        <v>4.1666666666666664E-2</v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>○</v>
      </c>
      <c r="P24" s="79" t="str">
        <f>IF(TEXT(B24,"aaa")="日","法休日",IF(OR(TEXT(B24,"aaa")="土",ISNUMBER(MATCH(B24,祝日リスト!$B$2:$B$30,0))),"所休日",""))</f>
        <v/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>
        <f t="shared" si="3"/>
        <v>4.1666666666666664E-2</v>
      </c>
      <c r="W24" s="15" t="str">
        <f t="shared" si="12"/>
        <v/>
      </c>
    </row>
    <row r="25" spans="1:23">
      <c r="A25" s="11"/>
      <c r="B25" s="12">
        <f>$A$6+19</f>
        <v>44946</v>
      </c>
      <c r="C25" s="2" t="str">
        <f>IF(ISNUMBER(MATCH(B25,祝日リスト!$B$2:$B$33,0)),"(" &amp; TEXT(B25,"aaa") &amp; ")",TEXT(B25,"aaa"))</f>
        <v>金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44947</v>
      </c>
      <c r="C26" s="2" t="str">
        <f>IF(ISNUMBER(MATCH(B26,祝日リスト!$B$2:$B$33,0)),"(" &amp; TEXT(B26,"aaa") &amp; ")",TEXT(B26,"aaa"))</f>
        <v>土</v>
      </c>
      <c r="D26" s="68"/>
      <c r="E26" s="68"/>
      <c r="F26" s="73" t="str">
        <f t="shared" si="4"/>
        <v/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/>
      </c>
      <c r="P26" s="79" t="str">
        <f>IF(TEXT(B26,"aaa")="日","法休日",IF(OR(TEXT(B26,"aaa")="土",ISNUMBER(MATCH(B26,祝日リスト!$B$2:$B$30,0))),"所休日",""))</f>
        <v>所休日</v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 t="str">
        <f t="shared" si="3"/>
        <v/>
      </c>
      <c r="W26" s="15" t="str">
        <f t="shared" si="12"/>
        <v/>
      </c>
    </row>
    <row r="27" spans="1:23">
      <c r="A27" s="11"/>
      <c r="B27" s="12">
        <f>$A$6+21</f>
        <v>44948</v>
      </c>
      <c r="C27" s="2" t="str">
        <f>IF(ISNUMBER(MATCH(B27,祝日リスト!$B$2:$B$33,0)),"(" &amp; TEXT(B27,"aaa") &amp; ")",TEXT(B27,"aaa"))</f>
        <v>日</v>
      </c>
      <c r="D27" s="68"/>
      <c r="E27" s="68"/>
      <c r="F27" s="73" t="str">
        <f t="shared" si="4"/>
        <v/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/>
      </c>
      <c r="P27" s="79" t="str">
        <f>IF(TEXT(B27,"aaa")="日","法休日",IF(OR(TEXT(B27,"aaa")="土",ISNUMBER(MATCH(B27,祝日リスト!$B$2:$B$30,0))),"所休日",""))</f>
        <v>法休日</v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 t="str">
        <f t="shared" si="3"/>
        <v/>
      </c>
      <c r="W27" s="15" t="str">
        <f t="shared" si="12"/>
        <v/>
      </c>
    </row>
    <row r="28" spans="1:23">
      <c r="A28" s="11"/>
      <c r="B28" s="12">
        <f>$A$6+22</f>
        <v>44949</v>
      </c>
      <c r="C28" s="2" t="str">
        <f>IF(ISNUMBER(MATCH(B28,祝日リスト!$B$2:$B$33,0)),"(" &amp; TEXT(B28,"aaa") &amp; ")",TEXT(B28,"aaa"))</f>
        <v>月</v>
      </c>
      <c r="D28" s="68"/>
      <c r="E28" s="68"/>
      <c r="F28" s="73">
        <f t="shared" si="4"/>
        <v>4.1666666666666664E-2</v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>○</v>
      </c>
      <c r="P28" s="79" t="str">
        <f>IF(TEXT(B28,"aaa")="日","法休日",IF(OR(TEXT(B28,"aaa")="土",ISNUMBER(MATCH(B28,祝日リスト!$B$2:$B$30,0))),"所休日",""))</f>
        <v/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>
        <f t="shared" si="3"/>
        <v>4.1666666666666664E-2</v>
      </c>
      <c r="W28" s="15" t="str">
        <f t="shared" si="12"/>
        <v/>
      </c>
    </row>
    <row r="29" spans="1:23">
      <c r="A29" s="11"/>
      <c r="B29" s="12">
        <f>$A$6+23</f>
        <v>44950</v>
      </c>
      <c r="C29" s="2" t="str">
        <f>IF(ISNUMBER(MATCH(B29,祝日リスト!$B$2:$B$33,0)),"(" &amp; TEXT(B29,"aaa") &amp; ")",TEXT(B29,"aaa"))</f>
        <v>火</v>
      </c>
      <c r="D29" s="68"/>
      <c r="E29" s="68"/>
      <c r="F29" s="73">
        <f t="shared" si="4"/>
        <v>4.1666666666666664E-2</v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>○</v>
      </c>
      <c r="P29" s="79" t="str">
        <f>IF(TEXT(B29,"aaa")="日","法休日",IF(OR(TEXT(B29,"aaa")="土",ISNUMBER(MATCH(B29,祝日リスト!$B$2:$B$30,0))),"所休日",""))</f>
        <v/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>
        <f t="shared" si="3"/>
        <v>4.1666666666666664E-2</v>
      </c>
      <c r="W29" s="15" t="str">
        <f t="shared" si="12"/>
        <v/>
      </c>
    </row>
    <row r="30" spans="1:23">
      <c r="A30" s="11"/>
      <c r="B30" s="12">
        <f>$A$6+24</f>
        <v>44951</v>
      </c>
      <c r="C30" s="2" t="str">
        <f>IF(ISNUMBER(MATCH(B30,祝日リスト!$B$2:$B$33,0)),"(" &amp; TEXT(B30,"aaa") &amp; ")",TEXT(B30,"aaa"))</f>
        <v>水</v>
      </c>
      <c r="D30" s="68"/>
      <c r="E30" s="68"/>
      <c r="F30" s="73">
        <f t="shared" si="4"/>
        <v>4.1666666666666664E-2</v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>○</v>
      </c>
      <c r="P30" s="79" t="str">
        <f>IF(TEXT(B30,"aaa")="日","法休日",IF(OR(TEXT(B30,"aaa")="土",ISNUMBER(MATCH(B30,祝日リスト!$B$2:$B$30,0))),"所休日",""))</f>
        <v/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>
        <f t="shared" si="3"/>
        <v>4.1666666666666664E-2</v>
      </c>
      <c r="W30" s="15" t="str">
        <f t="shared" si="12"/>
        <v/>
      </c>
    </row>
    <row r="31" spans="1:23">
      <c r="A31" s="11"/>
      <c r="B31" s="12">
        <f>$A$6+25</f>
        <v>44952</v>
      </c>
      <c r="C31" s="2" t="str">
        <f>IF(ISNUMBER(MATCH(B31,祝日リスト!$B$2:$B$33,0)),"(" &amp; TEXT(B31,"aaa") &amp; ")",TEXT(B31,"aaa"))</f>
        <v>木</v>
      </c>
      <c r="D31" s="68"/>
      <c r="E31" s="68"/>
      <c r="F31" s="73">
        <f t="shared" si="4"/>
        <v>4.1666666666666664E-2</v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>○</v>
      </c>
      <c r="P31" s="79" t="str">
        <f>IF(TEXT(B31,"aaa")="日","法休日",IF(OR(TEXT(B31,"aaa")="土",ISNUMBER(MATCH(B31,祝日リスト!$B$2:$B$30,0))),"所休日",""))</f>
        <v/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>
        <f t="shared" si="3"/>
        <v>4.1666666666666664E-2</v>
      </c>
      <c r="W31" s="15" t="str">
        <f t="shared" si="12"/>
        <v/>
      </c>
    </row>
    <row r="32" spans="1:23">
      <c r="A32" s="11"/>
      <c r="B32" s="12">
        <f>$A$6+26</f>
        <v>44953</v>
      </c>
      <c r="C32" s="2" t="str">
        <f>IF(ISNUMBER(MATCH(B32,祝日リスト!$B$2:$B$33,0)),"(" &amp; TEXT(B32,"aaa") &amp; ")",TEXT(B32,"aaa"))</f>
        <v>金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44954</v>
      </c>
      <c r="C33" s="2" t="str">
        <f>IF(ISNUMBER(MATCH(B33,祝日リスト!$B$2:$B$33,0)),"(" &amp; TEXT(B33,"aaa") &amp; ")",TEXT(B33,"aaa"))</f>
        <v>土</v>
      </c>
      <c r="D33" s="68"/>
      <c r="E33" s="68"/>
      <c r="F33" s="73" t="str">
        <f t="shared" si="4"/>
        <v/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/>
      </c>
      <c r="P33" s="79" t="str">
        <f>IF(TEXT(B33,"aaa")="日","法休日",IF(OR(TEXT(B33,"aaa")="土",ISNUMBER(MATCH(B33,祝日リスト!$B$2:$B$30,0))),"所休日",""))</f>
        <v>所休日</v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 t="str">
        <f t="shared" si="3"/>
        <v/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44955</v>
      </c>
      <c r="C34" s="2" t="str">
        <f>IF(ISNUMBER(MATCH(B34,祝日リスト!$B$2:$B$33,0)),"(" &amp; TEXT(B34,"aaa") &amp; ")",TEXT(B34,"aaa"))</f>
        <v>日</v>
      </c>
      <c r="D34" s="68"/>
      <c r="E34" s="68"/>
      <c r="F34" s="73" t="str">
        <f t="shared" si="4"/>
        <v/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/>
      </c>
      <c r="P34" s="79" t="str">
        <f>IF(TEXT(B34,"aaa")="日","法休日",IF(OR(TEXT(B34,"aaa")="土",ISNUMBER(MATCH(B34,祝日リスト!$B$2:$B$30,0))),"所休日",""))</f>
        <v>法休日</v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 t="str">
        <f t="shared" si="3"/>
        <v/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44956</v>
      </c>
      <c r="C35" s="2" t="str">
        <f>IF(ISNUMBER(MATCH(B35,祝日リスト!$B$2:$B$33,0)),"(" &amp; TEXT(B35,"aaa") &amp; ")",TEXT(B35,"aaa"))</f>
        <v>月</v>
      </c>
      <c r="D35" s="68"/>
      <c r="E35" s="68"/>
      <c r="F35" s="73">
        <f t="shared" si="4"/>
        <v>4.1666666666666664E-2</v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>○</v>
      </c>
      <c r="P35" s="79" t="str">
        <f>IF(TEXT(B35,"aaa")="日","法休日",IF(OR(TEXT(B35,"aaa")="土",ISNUMBER(MATCH(B35,祝日リスト!$B$2:$B$30,0))),"所休日",""))</f>
        <v/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>
        <f t="shared" si="3"/>
        <v>4.1666666666666664E-2</v>
      </c>
      <c r="W35" s="15" t="str">
        <f t="shared" si="12"/>
        <v/>
      </c>
    </row>
    <row r="36" spans="1:23">
      <c r="A36" s="16"/>
      <c r="B36" s="17">
        <f>IF($A$6+30&gt;DATE(YEAR($A$6),MONTH($A$6)+1,0),"",$A$6+30)</f>
        <v>44957</v>
      </c>
      <c r="C36" s="3" t="str">
        <f>IF(ISNUMBER(MATCH(B36,祝日リスト!$B$2:$B$33,0)),"(" &amp; TEXT(B36,"aaa") &amp; ")",TEXT(B36,"aaa"))</f>
        <v>火</v>
      </c>
      <c r="D36" s="69"/>
      <c r="E36" s="69"/>
      <c r="F36" s="74">
        <f t="shared" si="4"/>
        <v>4.1666666666666664E-2</v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>○</v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>
        <f t="shared" si="3"/>
        <v>4.1666666666666664E-2</v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31</v>
      </c>
      <c r="C37" s="92">
        <f>40/7*B37</f>
        <v>177.14285714285714</v>
      </c>
      <c r="D37" s="93"/>
      <c r="E37" s="93"/>
      <c r="F37" s="94">
        <f t="shared" ref="F37:N37" si="14">SUM(F6:F36)</f>
        <v>0.79166666666666641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19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177</v>
      </c>
      <c r="F39" s="137" t="s">
        <v>14</v>
      </c>
      <c r="G39" s="138"/>
      <c r="H39" s="108">
        <f>COUNTIF(O6:O36,"○")</f>
        <v>19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6.333333333333333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137</v>
      </c>
      <c r="D41" s="133"/>
      <c r="E41" s="33">
        <f>H39*TIME(8,0,0)</f>
        <v>6.333333333333333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6.333333333333333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138</v>
      </c>
      <c r="Q45" s="5">
        <f>COUNTIF($Q$6:$Q$36,"有休")</f>
        <v>0</v>
      </c>
      <c r="R45" s="5" t="s">
        <v>133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139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111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125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87</v>
      </c>
      <c r="Q50" s="5">
        <f>COUNTIF($Q$6:$Q$36,"所休出張")</f>
        <v>0</v>
      </c>
      <c r="R50" s="5" t="s">
        <v>115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135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118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140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141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142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143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130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113" priority="44" stopIfTrue="1" operator="equal">
      <formula>""</formula>
    </cfRule>
  </conditionalFormatting>
  <conditionalFormatting sqref="T6:T36">
    <cfRule type="cellIs" dxfId="112" priority="45" stopIfTrue="1" operator="lessThan">
      <formula>0.375</formula>
    </cfRule>
  </conditionalFormatting>
  <conditionalFormatting sqref="U6:U36">
    <cfRule type="cellIs" dxfId="111" priority="46" stopIfTrue="1" operator="greaterThan">
      <formula>0.999305555555556</formula>
    </cfRule>
  </conditionalFormatting>
  <conditionalFormatting sqref="E6:E11">
    <cfRule type="cellIs" dxfId="110" priority="47" stopIfTrue="1" operator="greaterThan">
      <formula>0.916666667</formula>
    </cfRule>
  </conditionalFormatting>
  <conditionalFormatting sqref="C6:C36">
    <cfRule type="cellIs" dxfId="109" priority="48" stopIfTrue="1" operator="between">
      <formula>"土"</formula>
      <formula>"日"</formula>
    </cfRule>
    <cfRule type="cellIs" dxfId="108" priority="49" stopIfTrue="1" operator="equal">
      <formula>""</formula>
    </cfRule>
    <cfRule type="cellIs" dxfId="107" priority="50" stopIfTrue="1" operator="lessThan">
      <formula>"A"</formula>
    </cfRule>
  </conditionalFormatting>
  <conditionalFormatting sqref="P6:P36">
    <cfRule type="cellIs" dxfId="106" priority="40" stopIfTrue="1" operator="equal">
      <formula>"所休日"</formula>
    </cfRule>
    <cfRule type="cellIs" dxfId="105" priority="41" stopIfTrue="1" operator="equal">
      <formula>"法休日"</formula>
    </cfRule>
    <cfRule type="cellIs" dxfId="104" priority="42" stopIfTrue="1" operator="equal">
      <formula>"""休日"""</formula>
    </cfRule>
  </conditionalFormatting>
  <conditionalFormatting sqref="D6:D11">
    <cfRule type="containsBlanks" dxfId="103" priority="51">
      <formula>LEN(TRIM(D6))=0</formula>
    </cfRule>
  </conditionalFormatting>
  <conditionalFormatting sqref="E12:E17">
    <cfRule type="cellIs" dxfId="102" priority="38" stopIfTrue="1" operator="greaterThan">
      <formula>0.916666667</formula>
    </cfRule>
  </conditionalFormatting>
  <conditionalFormatting sqref="D12:D17">
    <cfRule type="containsBlanks" dxfId="101" priority="39">
      <formula>LEN(TRIM(D12))=0</formula>
    </cfRule>
  </conditionalFormatting>
  <conditionalFormatting sqref="Q6:Q36">
    <cfRule type="expression" dxfId="100" priority="35">
      <formula>OR($Q6="振休")</formula>
    </cfRule>
    <cfRule type="expression" dxfId="99" priority="36" stopIfTrue="1">
      <formula>OR($Q6="有休",$Q6="半休",$Q6="代休",$Q6="公休",$Q6="欠勤")</formula>
    </cfRule>
    <cfRule type="expression" dxfId="98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97" priority="34">
      <formula>AND(OR($Q6="所休出",$Q6="所休出→代",$Q6="所休出張",$Q6="所休出張→代"),$C6="日")</formula>
    </cfRule>
  </conditionalFormatting>
  <conditionalFormatting sqref="E18:E24">
    <cfRule type="cellIs" dxfId="96" priority="32" stopIfTrue="1" operator="greaterThan">
      <formula>0.916666667</formula>
    </cfRule>
  </conditionalFormatting>
  <conditionalFormatting sqref="D18:D24">
    <cfRule type="containsBlanks" dxfId="95" priority="33">
      <formula>LEN(TRIM(D18))=0</formula>
    </cfRule>
  </conditionalFormatting>
  <conditionalFormatting sqref="E25:E32">
    <cfRule type="cellIs" dxfId="94" priority="30" stopIfTrue="1" operator="greaterThan">
      <formula>0.916666667</formula>
    </cfRule>
  </conditionalFormatting>
  <conditionalFormatting sqref="D25:D32">
    <cfRule type="containsBlanks" dxfId="93" priority="31">
      <formula>LEN(TRIM(D25))=0</formula>
    </cfRule>
  </conditionalFormatting>
  <conditionalFormatting sqref="E33:E36">
    <cfRule type="cellIs" dxfId="92" priority="28" stopIfTrue="1" operator="greaterThan">
      <formula>0.916666667</formula>
    </cfRule>
  </conditionalFormatting>
  <conditionalFormatting sqref="D33:D36">
    <cfRule type="containsBlanks" dxfId="91" priority="29">
      <formula>LEN(TRIM(D33))=0</formula>
    </cfRule>
  </conditionalFormatting>
  <conditionalFormatting sqref="I37">
    <cfRule type="expression" dxfId="90" priority="24">
      <formula>IF(I37&gt;TIME(0,0,0),TRUE)</formula>
    </cfRule>
  </conditionalFormatting>
  <conditionalFormatting sqref="D6:D36">
    <cfRule type="expression" dxfId="89" priority="14">
      <formula>AND($D6="",$E6&gt;0)</formula>
    </cfRule>
  </conditionalFormatting>
  <conditionalFormatting sqref="E6:E36">
    <cfRule type="expression" dxfId="88" priority="13">
      <formula>AND($E6="",$D6&gt;0)</formula>
    </cfRule>
  </conditionalFormatting>
  <conditionalFormatting sqref="E43">
    <cfRule type="expression" dxfId="87" priority="12" stopIfTrue="1">
      <formula>$E$42-$E$40&lt;0</formula>
    </cfRule>
  </conditionalFormatting>
  <conditionalFormatting sqref="H40">
    <cfRule type="expression" dxfId="86" priority="11">
      <formula>H40+H45+H46+H47+H48+H50-H41-H42-H43-H44&lt;H39</formula>
    </cfRule>
  </conditionalFormatting>
  <conditionalFormatting sqref="H54">
    <cfRule type="expression" dxfId="85" priority="10">
      <formula>IF(H54&gt;TIME(0,0,0),TRUE)</formula>
    </cfRule>
  </conditionalFormatting>
  <conditionalFormatting sqref="H55">
    <cfRule type="expression" dxfId="84" priority="9">
      <formula>IF(H55&gt;TIME(0,0,0),TRUE)</formula>
    </cfRule>
  </conditionalFormatting>
  <conditionalFormatting sqref="H56">
    <cfRule type="expression" dxfId="83" priority="8">
      <formula>IF(H56&gt;TIME(0,0,0),TRUE)</formula>
    </cfRule>
  </conditionalFormatting>
  <conditionalFormatting sqref="H58">
    <cfRule type="expression" dxfId="82" priority="7">
      <formula>IF(H58&gt;TIME(0,0,0),TRUE)</formula>
    </cfRule>
  </conditionalFormatting>
  <conditionalFormatting sqref="H59">
    <cfRule type="expression" dxfId="81" priority="6">
      <formula>IF(H59&gt;TIME(0,0,0),TRUE)</formula>
    </cfRule>
  </conditionalFormatting>
  <conditionalFormatting sqref="H61">
    <cfRule type="expression" dxfId="80" priority="5">
      <formula>IF(H61&gt;TIME(0,0,0),TRUE)</formula>
    </cfRule>
  </conditionalFormatting>
  <conditionalFormatting sqref="I53">
    <cfRule type="expression" dxfId="79" priority="4">
      <formula>IF(OR(E54&gt;0,E55&gt;0),TRUE)</formula>
    </cfRule>
  </conditionalFormatting>
  <conditionalFormatting sqref="I54">
    <cfRule type="expression" dxfId="78" priority="3">
      <formula>IF(H54&gt;TIME(0,0,0),TRUE)</formula>
    </cfRule>
  </conditionalFormatting>
  <conditionalFormatting sqref="I55">
    <cfRule type="expression" dxfId="77" priority="2">
      <formula>IF(H55&gt;TIME(0,0,0),TRUE)</formula>
    </cfRule>
  </conditionalFormatting>
  <conditionalFormatting sqref="H6:H35">
    <cfRule type="cellIs" dxfId="76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106">
        <v>44958</v>
      </c>
      <c r="B6" s="6">
        <f>$A$6+0</f>
        <v>44958</v>
      </c>
      <c r="C6" s="2" t="str">
        <f>IF(ISNUMBER(MATCH(B6,祝日リスト!$B$2:$B$33,0)),"(" &amp; TEXT(B6,"aaa") &amp; ")",TEXT(B6,"aaa"))</f>
        <v>水</v>
      </c>
      <c r="D6" s="68"/>
      <c r="E6" s="68"/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>
        <f t="shared" ref="V6:V36" si="3">IF(OR(O6="○",Q6="法休出",Q6="法休出→代",Q6="所休出",Q6="所休出→代"),TIME(1,0,0),"")</f>
        <v>4.1666666666666664E-2</v>
      </c>
      <c r="W6" s="10" t="str">
        <f>IF(U6&gt;0,U6-T6-V6,"")</f>
        <v/>
      </c>
    </row>
    <row r="7" spans="1:23">
      <c r="A7" s="11"/>
      <c r="B7" s="12">
        <f>$A$6+1</f>
        <v>44959</v>
      </c>
      <c r="C7" s="2" t="str">
        <f>IF(ISNUMBER(MATCH(B7,祝日リスト!$B$2:$B$33,0)),"(" &amp; TEXT(B7,"aaa") &amp; ")",TEXT(B7,"aaa"))</f>
        <v>木</v>
      </c>
      <c r="D7" s="68"/>
      <c r="E7" s="68"/>
      <c r="F7" s="73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>4.1666666666666664E-2</v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>○</v>
      </c>
      <c r="P7" s="79" t="str">
        <f>IF(TEXT(B7,"aaa")="日","法休日",IF(OR(TEXT(B7,"aaa")="土",ISNUMBER(MATCH(B7,祝日リスト!$B$2:$B$30,0))),"所休日",""))</f>
        <v/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>
        <f t="shared" si="3"/>
        <v>4.1666666666666664E-2</v>
      </c>
      <c r="W7" s="15" t="str">
        <f t="shared" ref="W7:W36" si="12">IF(U7&gt;0,U7-T7-V7,"")</f>
        <v/>
      </c>
    </row>
    <row r="8" spans="1:23">
      <c r="A8" s="11"/>
      <c r="B8" s="12">
        <f>$A$6+2</f>
        <v>44960</v>
      </c>
      <c r="C8" s="2" t="str">
        <f>IF(ISNUMBER(MATCH(B8,祝日リスト!$B$2:$B$33,0)),"(" &amp; TEXT(B8,"aaa") &amp; ")",TEXT(B8,"aaa"))</f>
        <v>金</v>
      </c>
      <c r="D8" s="68"/>
      <c r="E8" s="68"/>
      <c r="F8" s="73">
        <f t="shared" si="4"/>
        <v>4.1666666666666664E-2</v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>○</v>
      </c>
      <c r="P8" s="79" t="str">
        <f>IF(TEXT(B8,"aaa")="日","法休日",IF(OR(TEXT(B8,"aaa")="土",ISNUMBER(MATCH(B8,祝日リスト!$B$2:$B$30,0))),"所休日",""))</f>
        <v/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>
        <f t="shared" si="3"/>
        <v>4.1666666666666664E-2</v>
      </c>
      <c r="W8" s="15" t="str">
        <f t="shared" si="12"/>
        <v/>
      </c>
    </row>
    <row r="9" spans="1:23">
      <c r="A9" s="11"/>
      <c r="B9" s="12">
        <f>$A$6+3</f>
        <v>44961</v>
      </c>
      <c r="C9" s="2" t="str">
        <f>IF(ISNUMBER(MATCH(B9,祝日リスト!$B$2:$B$33,0)),"(" &amp; TEXT(B9,"aaa") &amp; ")",TEXT(B9,"aaa"))</f>
        <v>土</v>
      </c>
      <c r="D9" s="68"/>
      <c r="E9" s="68"/>
      <c r="F9" s="73" t="str">
        <f t="shared" si="4"/>
        <v/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/>
      </c>
      <c r="P9" s="79" t="str">
        <f>IF(TEXT(B9,"aaa")="日","法休日",IF(OR(TEXT(B9,"aaa")="土",ISNUMBER(MATCH(B9,祝日リスト!$B$2:$B$30,0))),"所休日",""))</f>
        <v>所休日</v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 t="str">
        <f t="shared" si="3"/>
        <v/>
      </c>
      <c r="W9" s="15" t="str">
        <f t="shared" si="12"/>
        <v/>
      </c>
    </row>
    <row r="10" spans="1:23">
      <c r="A10" s="11"/>
      <c r="B10" s="12">
        <f>$A$6+4</f>
        <v>44962</v>
      </c>
      <c r="C10" s="2" t="str">
        <f>IF(ISNUMBER(MATCH(B10,祝日リスト!$B$2:$B$33,0)),"(" &amp; TEXT(B10,"aaa") &amp; ")",TEXT(B10,"aaa"))</f>
        <v>日</v>
      </c>
      <c r="D10" s="68"/>
      <c r="E10" s="68"/>
      <c r="F10" s="73" t="str">
        <f t="shared" si="4"/>
        <v/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/>
      </c>
      <c r="P10" s="79" t="str">
        <f>IF(TEXT(B10,"aaa")="日","法休日",IF(OR(TEXT(B10,"aaa")="土",ISNUMBER(MATCH(B10,祝日リスト!$B$2:$B$30,0))),"所休日",""))</f>
        <v>法休日</v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 t="str">
        <f t="shared" si="3"/>
        <v/>
      </c>
      <c r="W10" s="15" t="str">
        <f t="shared" si="12"/>
        <v/>
      </c>
    </row>
    <row r="11" spans="1:23">
      <c r="A11" s="11"/>
      <c r="B11" s="12">
        <f>$A$6+5</f>
        <v>44963</v>
      </c>
      <c r="C11" s="2" t="str">
        <f>IF(ISNUMBER(MATCH(B11,祝日リスト!$B$2:$B$33,0)),"(" &amp; TEXT(B11,"aaa") &amp; ")",TEXT(B11,"aaa"))</f>
        <v>月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44964</v>
      </c>
      <c r="C12" s="2" t="str">
        <f>IF(ISNUMBER(MATCH(B12,祝日リスト!$B$2:$B$33,0)),"(" &amp; TEXT(B12,"aaa") &amp; ")",TEXT(B12,"aaa"))</f>
        <v>火</v>
      </c>
      <c r="D12" s="68"/>
      <c r="E12" s="68"/>
      <c r="F12" s="73">
        <f t="shared" si="4"/>
        <v>4.1666666666666664E-2</v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>
        <f t="shared" si="3"/>
        <v>4.1666666666666664E-2</v>
      </c>
      <c r="W12" s="15" t="str">
        <f t="shared" si="12"/>
        <v/>
      </c>
    </row>
    <row r="13" spans="1:23">
      <c r="A13" s="11"/>
      <c r="B13" s="12">
        <f>$A$6+7</f>
        <v>44965</v>
      </c>
      <c r="C13" s="2" t="str">
        <f>IF(ISNUMBER(MATCH(B13,祝日リスト!$B$2:$B$33,0)),"(" &amp; TEXT(B13,"aaa") &amp; ")",TEXT(B13,"aaa"))</f>
        <v>水</v>
      </c>
      <c r="D13" s="68"/>
      <c r="E13" s="68"/>
      <c r="F13" s="73">
        <f t="shared" si="4"/>
        <v>4.1666666666666664E-2</v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>
        <f t="shared" si="3"/>
        <v>4.1666666666666664E-2</v>
      </c>
      <c r="W13" s="15" t="str">
        <f t="shared" si="12"/>
        <v/>
      </c>
    </row>
    <row r="14" spans="1:23">
      <c r="A14" s="11"/>
      <c r="B14" s="12">
        <f>$A$6+8</f>
        <v>44966</v>
      </c>
      <c r="C14" s="2" t="str">
        <f>IF(ISNUMBER(MATCH(B14,祝日リスト!$B$2:$B$33,0)),"(" &amp; TEXT(B14,"aaa") &amp; ")",TEXT(B14,"aaa"))</f>
        <v>木</v>
      </c>
      <c r="D14" s="68"/>
      <c r="E14" s="68"/>
      <c r="F14" s="73">
        <f t="shared" si="4"/>
        <v>4.1666666666666664E-2</v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>○</v>
      </c>
      <c r="P14" s="79" t="str">
        <f>IF(TEXT(B14,"aaa")="日","法休日",IF(OR(TEXT(B14,"aaa")="土",ISNUMBER(MATCH(B14,祝日リスト!$B$2:$B$30,0))),"所休日",""))</f>
        <v/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>
        <f t="shared" si="3"/>
        <v>4.1666666666666664E-2</v>
      </c>
      <c r="W14" s="15" t="str">
        <f t="shared" si="12"/>
        <v/>
      </c>
    </row>
    <row r="15" spans="1:23">
      <c r="A15" s="11"/>
      <c r="B15" s="12">
        <f>$A$6+9</f>
        <v>44967</v>
      </c>
      <c r="C15" s="2" t="str">
        <f>IF(ISNUMBER(MATCH(B15,祝日リスト!$B$2:$B$33,0)),"(" &amp; TEXT(B15,"aaa") &amp; ")",TEXT(B15,"aaa"))</f>
        <v>金</v>
      </c>
      <c r="D15" s="68"/>
      <c r="E15" s="68"/>
      <c r="F15" s="73">
        <f t="shared" si="4"/>
        <v>4.1666666666666664E-2</v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>○</v>
      </c>
      <c r="P15" s="79" t="str">
        <f>IF(TEXT(B15,"aaa")="日","法休日",IF(OR(TEXT(B15,"aaa")="土",ISNUMBER(MATCH(B15,祝日リスト!$B$2:$B$30,0))),"所休日",""))</f>
        <v/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>
        <f t="shared" si="3"/>
        <v>4.1666666666666664E-2</v>
      </c>
      <c r="W15" s="15" t="str">
        <f t="shared" si="12"/>
        <v/>
      </c>
    </row>
    <row r="16" spans="1:23">
      <c r="A16" s="11"/>
      <c r="B16" s="12">
        <f>$A$6+10</f>
        <v>44968</v>
      </c>
      <c r="C16" s="2" t="str">
        <f>IF(ISNUMBER(MATCH(B16,祝日リスト!$B$2:$B$33,0)),"(" &amp; TEXT(B16,"aaa") &amp; ")",TEXT(B16,"aaa"))</f>
        <v>(土)</v>
      </c>
      <c r="D16" s="68"/>
      <c r="E16" s="68"/>
      <c r="F16" s="73" t="str">
        <f t="shared" si="4"/>
        <v/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/>
      </c>
      <c r="P16" s="79" t="str">
        <f>IF(TEXT(B16,"aaa")="日","法休日",IF(OR(TEXT(B16,"aaa")="土",ISNUMBER(MATCH(B16,祝日リスト!$B$2:$B$30,0))),"所休日",""))</f>
        <v>所休日</v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 t="str">
        <f t="shared" si="3"/>
        <v/>
      </c>
      <c r="W16" s="15" t="str">
        <f t="shared" si="12"/>
        <v/>
      </c>
    </row>
    <row r="17" spans="1:23">
      <c r="A17" s="11"/>
      <c r="B17" s="12">
        <f>$A$6+11</f>
        <v>44969</v>
      </c>
      <c r="C17" s="2" t="str">
        <f>IF(ISNUMBER(MATCH(B17,祝日リスト!$B$2:$B$33,0)),"(" &amp; TEXT(B17,"aaa") &amp; ")",TEXT(B17,"aaa"))</f>
        <v>日</v>
      </c>
      <c r="D17" s="68"/>
      <c r="E17" s="68"/>
      <c r="F17" s="73" t="str">
        <f t="shared" si="4"/>
        <v/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/>
      </c>
      <c r="P17" s="79" t="str">
        <f>IF(TEXT(B17,"aaa")="日","法休日",IF(OR(TEXT(B17,"aaa")="土",ISNUMBER(MATCH(B17,祝日リスト!$B$2:$B$30,0))),"所休日",""))</f>
        <v>法休日</v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 t="str">
        <f t="shared" si="3"/>
        <v/>
      </c>
      <c r="W17" s="15" t="str">
        <f t="shared" si="12"/>
        <v/>
      </c>
    </row>
    <row r="18" spans="1:23">
      <c r="A18" s="11"/>
      <c r="B18" s="12">
        <f>$A$6+12</f>
        <v>44970</v>
      </c>
      <c r="C18" s="2" t="str">
        <f>IF(ISNUMBER(MATCH(B18,祝日リスト!$B$2:$B$33,0)),"(" &amp; TEXT(B18,"aaa") &amp; ")",TEXT(B18,"aaa"))</f>
        <v>月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44971</v>
      </c>
      <c r="C19" s="2" t="str">
        <f>IF(ISNUMBER(MATCH(B19,祝日リスト!$B$2:$B$33,0)),"(" &amp; TEXT(B19,"aaa") &amp; ")",TEXT(B19,"aaa"))</f>
        <v>火</v>
      </c>
      <c r="D19" s="68"/>
      <c r="E19" s="68"/>
      <c r="F19" s="73">
        <f t="shared" si="4"/>
        <v>4.1666666666666664E-2</v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>
        <f t="shared" si="3"/>
        <v>4.1666666666666664E-2</v>
      </c>
      <c r="W19" s="15" t="str">
        <f t="shared" si="12"/>
        <v/>
      </c>
    </row>
    <row r="20" spans="1:23">
      <c r="A20" s="11"/>
      <c r="B20" s="12">
        <f>$A$6+14</f>
        <v>44972</v>
      </c>
      <c r="C20" s="2" t="str">
        <f>IF(ISNUMBER(MATCH(B20,祝日リスト!$B$2:$B$33,0)),"(" &amp; TEXT(B20,"aaa") &amp; ")",TEXT(B20,"aaa"))</f>
        <v>水</v>
      </c>
      <c r="D20" s="68"/>
      <c r="E20" s="68"/>
      <c r="F20" s="73">
        <f t="shared" si="4"/>
        <v>4.1666666666666664E-2</v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>
        <f t="shared" si="3"/>
        <v>4.1666666666666664E-2</v>
      </c>
      <c r="W20" s="15" t="str">
        <f t="shared" si="12"/>
        <v/>
      </c>
    </row>
    <row r="21" spans="1:23">
      <c r="A21" s="11"/>
      <c r="B21" s="12">
        <f>$A$6+15</f>
        <v>44973</v>
      </c>
      <c r="C21" s="2" t="str">
        <f>IF(ISNUMBER(MATCH(B21,祝日リスト!$B$2:$B$33,0)),"(" &amp; TEXT(B21,"aaa") &amp; ")",TEXT(B21,"aaa"))</f>
        <v>木</v>
      </c>
      <c r="D21" s="68"/>
      <c r="E21" s="68"/>
      <c r="F21" s="73">
        <f t="shared" si="4"/>
        <v>4.1666666666666664E-2</v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>
        <f t="shared" si="3"/>
        <v>4.1666666666666664E-2</v>
      </c>
      <c r="W21" s="15" t="str">
        <f t="shared" si="12"/>
        <v/>
      </c>
    </row>
    <row r="22" spans="1:23">
      <c r="A22" s="11"/>
      <c r="B22" s="12">
        <f>$A$6+16</f>
        <v>44974</v>
      </c>
      <c r="C22" s="2" t="str">
        <f>IF(ISNUMBER(MATCH(B22,祝日リスト!$B$2:$B$33,0)),"(" &amp; TEXT(B22,"aaa") &amp; ")",TEXT(B22,"aaa"))</f>
        <v>金</v>
      </c>
      <c r="D22" s="68"/>
      <c r="E22" s="68"/>
      <c r="F22" s="73">
        <f t="shared" si="4"/>
        <v>4.1666666666666664E-2</v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>○</v>
      </c>
      <c r="P22" s="79" t="str">
        <f>IF(TEXT(B22,"aaa")="日","法休日",IF(OR(TEXT(B22,"aaa")="土",ISNUMBER(MATCH(B22,祝日リスト!$B$2:$B$30,0))),"所休日",""))</f>
        <v/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>
        <f t="shared" si="3"/>
        <v>4.1666666666666664E-2</v>
      </c>
      <c r="W22" s="15" t="str">
        <f t="shared" si="12"/>
        <v/>
      </c>
    </row>
    <row r="23" spans="1:23">
      <c r="A23" s="11"/>
      <c r="B23" s="12">
        <f>$A$6+17</f>
        <v>44975</v>
      </c>
      <c r="C23" s="2" t="str">
        <f>IF(ISNUMBER(MATCH(B23,祝日リスト!$B$2:$B$33,0)),"(" &amp; TEXT(B23,"aaa") &amp; ")",TEXT(B23,"aaa"))</f>
        <v>土</v>
      </c>
      <c r="D23" s="68"/>
      <c r="E23" s="68"/>
      <c r="F23" s="73" t="str">
        <f t="shared" si="4"/>
        <v/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/>
      </c>
      <c r="P23" s="79" t="str">
        <f>IF(TEXT(B23,"aaa")="日","法休日",IF(OR(TEXT(B23,"aaa")="土",ISNUMBER(MATCH(B23,祝日リスト!$B$2:$B$30,0))),"所休日",""))</f>
        <v>所休日</v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 t="str">
        <f t="shared" si="3"/>
        <v/>
      </c>
      <c r="W23" s="15" t="str">
        <f t="shared" si="12"/>
        <v/>
      </c>
    </row>
    <row r="24" spans="1:23">
      <c r="A24" s="11"/>
      <c r="B24" s="12">
        <f>$A$6+18</f>
        <v>44976</v>
      </c>
      <c r="C24" s="2" t="str">
        <f>IF(ISNUMBER(MATCH(B24,祝日リスト!$B$2:$B$33,0)),"(" &amp; TEXT(B24,"aaa") &amp; ")",TEXT(B24,"aaa"))</f>
        <v>日</v>
      </c>
      <c r="D24" s="68"/>
      <c r="E24" s="68"/>
      <c r="F24" s="73" t="str">
        <f t="shared" si="4"/>
        <v/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/>
      </c>
      <c r="P24" s="79" t="str">
        <f>IF(TEXT(B24,"aaa")="日","法休日",IF(OR(TEXT(B24,"aaa")="土",ISNUMBER(MATCH(B24,祝日リスト!$B$2:$B$30,0))),"所休日",""))</f>
        <v>法休日</v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 t="str">
        <f t="shared" si="3"/>
        <v/>
      </c>
      <c r="W24" s="15" t="str">
        <f t="shared" si="12"/>
        <v/>
      </c>
    </row>
    <row r="25" spans="1:23">
      <c r="A25" s="11"/>
      <c r="B25" s="12">
        <f>$A$6+19</f>
        <v>44977</v>
      </c>
      <c r="C25" s="2" t="str">
        <f>IF(ISNUMBER(MATCH(B25,祝日リスト!$B$2:$B$33,0)),"(" &amp; TEXT(B25,"aaa") &amp; ")",TEXT(B25,"aaa"))</f>
        <v>月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44978</v>
      </c>
      <c r="C26" s="2" t="str">
        <f>IF(ISNUMBER(MATCH(B26,祝日リスト!$B$2:$B$33,0)),"(" &amp; TEXT(B26,"aaa") &amp; ")",TEXT(B26,"aaa"))</f>
        <v>火</v>
      </c>
      <c r="D26" s="68"/>
      <c r="E26" s="68"/>
      <c r="F26" s="73">
        <f t="shared" si="4"/>
        <v>4.1666666666666664E-2</v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>○</v>
      </c>
      <c r="P26" s="79" t="str">
        <f>IF(TEXT(B26,"aaa")="日","法休日",IF(OR(TEXT(B26,"aaa")="土",ISNUMBER(MATCH(B26,祝日リスト!$B$2:$B$30,0))),"所休日",""))</f>
        <v/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>
        <f t="shared" si="3"/>
        <v>4.1666666666666664E-2</v>
      </c>
      <c r="W26" s="15" t="str">
        <f t="shared" si="12"/>
        <v/>
      </c>
    </row>
    <row r="27" spans="1:23">
      <c r="A27" s="11"/>
      <c r="B27" s="12">
        <f>$A$6+21</f>
        <v>44979</v>
      </c>
      <c r="C27" s="2" t="str">
        <f>IF(ISNUMBER(MATCH(B27,祝日リスト!$B$2:$B$33,0)),"(" &amp; TEXT(B27,"aaa") &amp; ")",TEXT(B27,"aaa"))</f>
        <v>水</v>
      </c>
      <c r="D27" s="68"/>
      <c r="E27" s="68"/>
      <c r="F27" s="73">
        <f t="shared" si="4"/>
        <v>4.1666666666666664E-2</v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>
        <f t="shared" si="3"/>
        <v>4.1666666666666664E-2</v>
      </c>
      <c r="W27" s="15" t="str">
        <f t="shared" si="12"/>
        <v/>
      </c>
    </row>
    <row r="28" spans="1:23">
      <c r="A28" s="11"/>
      <c r="B28" s="12">
        <f>$A$6+22</f>
        <v>44980</v>
      </c>
      <c r="C28" s="2" t="str">
        <f>IF(ISNUMBER(MATCH(B28,祝日リスト!$B$2:$B$33,0)),"(" &amp; TEXT(B28,"aaa") &amp; ")",TEXT(B28,"aaa"))</f>
        <v>(木)</v>
      </c>
      <c r="D28" s="68"/>
      <c r="E28" s="68"/>
      <c r="F28" s="73" t="str">
        <f t="shared" si="4"/>
        <v/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/>
      </c>
      <c r="P28" s="79" t="str">
        <f>IF(TEXT(B28,"aaa")="日","法休日",IF(OR(TEXT(B28,"aaa")="土",ISNUMBER(MATCH(B28,祝日リスト!$B$2:$B$30,0))),"所休日",""))</f>
        <v>所休日</v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 t="str">
        <f t="shared" si="3"/>
        <v/>
      </c>
      <c r="W28" s="15" t="str">
        <f t="shared" si="12"/>
        <v/>
      </c>
    </row>
    <row r="29" spans="1:23">
      <c r="A29" s="11"/>
      <c r="B29" s="12">
        <f>$A$6+23</f>
        <v>44981</v>
      </c>
      <c r="C29" s="2" t="str">
        <f>IF(ISNUMBER(MATCH(B29,祝日リスト!$B$2:$B$33,0)),"(" &amp; TEXT(B29,"aaa") &amp; ")",TEXT(B29,"aaa"))</f>
        <v>金</v>
      </c>
      <c r="D29" s="68"/>
      <c r="E29" s="68"/>
      <c r="F29" s="73">
        <f t="shared" si="4"/>
        <v>4.1666666666666664E-2</v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>○</v>
      </c>
      <c r="P29" s="79" t="str">
        <f>IF(TEXT(B29,"aaa")="日","法休日",IF(OR(TEXT(B29,"aaa")="土",ISNUMBER(MATCH(B29,祝日リスト!$B$2:$B$30,0))),"所休日",""))</f>
        <v/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>
        <f t="shared" si="3"/>
        <v>4.1666666666666664E-2</v>
      </c>
      <c r="W29" s="15" t="str">
        <f t="shared" si="12"/>
        <v/>
      </c>
    </row>
    <row r="30" spans="1:23">
      <c r="A30" s="11"/>
      <c r="B30" s="12">
        <f>$A$6+24</f>
        <v>44982</v>
      </c>
      <c r="C30" s="2" t="str">
        <f>IF(ISNUMBER(MATCH(B30,祝日リスト!$B$2:$B$33,0)),"(" &amp; TEXT(B30,"aaa") &amp; ")",TEXT(B30,"aaa"))</f>
        <v>土</v>
      </c>
      <c r="D30" s="68"/>
      <c r="E30" s="68"/>
      <c r="F30" s="73" t="str">
        <f t="shared" si="4"/>
        <v/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/>
      </c>
      <c r="P30" s="79" t="str">
        <f>IF(TEXT(B30,"aaa")="日","法休日",IF(OR(TEXT(B30,"aaa")="土",ISNUMBER(MATCH(B30,祝日リスト!$B$2:$B$30,0))),"所休日",""))</f>
        <v>所休日</v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 t="str">
        <f t="shared" si="3"/>
        <v/>
      </c>
      <c r="W30" s="15" t="str">
        <f t="shared" si="12"/>
        <v/>
      </c>
    </row>
    <row r="31" spans="1:23">
      <c r="A31" s="11"/>
      <c r="B31" s="12">
        <f>$A$6+25</f>
        <v>44983</v>
      </c>
      <c r="C31" s="2" t="str">
        <f>IF(ISNUMBER(MATCH(B31,祝日リスト!$B$2:$B$33,0)),"(" &amp; TEXT(B31,"aaa") &amp; ")",TEXT(B31,"aaa"))</f>
        <v>日</v>
      </c>
      <c r="D31" s="68"/>
      <c r="E31" s="68"/>
      <c r="F31" s="73" t="str">
        <f t="shared" si="4"/>
        <v/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/>
      </c>
      <c r="P31" s="79" t="str">
        <f>IF(TEXT(B31,"aaa")="日","法休日",IF(OR(TEXT(B31,"aaa")="土",ISNUMBER(MATCH(B31,祝日リスト!$B$2:$B$30,0))),"所休日",""))</f>
        <v>法休日</v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 t="str">
        <f t="shared" si="3"/>
        <v/>
      </c>
      <c r="W31" s="15" t="str">
        <f t="shared" si="12"/>
        <v/>
      </c>
    </row>
    <row r="32" spans="1:23">
      <c r="A32" s="11"/>
      <c r="B32" s="12">
        <f>$A$6+26</f>
        <v>44984</v>
      </c>
      <c r="C32" s="2" t="str">
        <f>IF(ISNUMBER(MATCH(B32,祝日リスト!$B$2:$B$33,0)),"(" &amp; TEXT(B32,"aaa") &amp; ")",TEXT(B32,"aaa"))</f>
        <v>月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44985</v>
      </c>
      <c r="C33" s="2" t="str">
        <f>IF(ISNUMBER(MATCH(B33,祝日リスト!$B$2:$B$33,0)),"(" &amp; TEXT(B33,"aaa") &amp; ")",TEXT(B33,"aaa"))</f>
        <v>火</v>
      </c>
      <c r="D33" s="68"/>
      <c r="E33" s="68"/>
      <c r="F33" s="73">
        <f t="shared" si="4"/>
        <v>4.1666666666666664E-2</v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>
        <f t="shared" si="3"/>
        <v>4.1666666666666664E-2</v>
      </c>
      <c r="W33" s="15" t="str">
        <f t="shared" si="12"/>
        <v/>
      </c>
    </row>
    <row r="34" spans="1:23">
      <c r="A34" s="11"/>
      <c r="B34" s="12" t="str">
        <f>IF($A$6+28&gt;DATE(YEAR($A$6),MONTH($A$6)+1,0),"",$A$6+28)</f>
        <v/>
      </c>
      <c r="C34" s="2" t="str">
        <f>IF(ISNUMBER(MATCH(B34,祝日リスト!$B$2:$B$33,0)),"(" &amp; TEXT(B34,"aaa") &amp; ")",TEXT(B34,"aaa"))</f>
        <v/>
      </c>
      <c r="D34" s="68"/>
      <c r="E34" s="68"/>
      <c r="F34" s="73" t="str">
        <f t="shared" si="4"/>
        <v/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/>
      </c>
      <c r="P34" s="79" t="str">
        <f>IF(TEXT(B34,"aaa")="日","法休日",IF(OR(TEXT(B34,"aaa")="土",ISNUMBER(MATCH(B34,祝日リスト!$B$2:$B$30,0))),"所休日",""))</f>
        <v/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 t="str">
        <f t="shared" si="3"/>
        <v/>
      </c>
      <c r="W34" s="15" t="str">
        <f t="shared" si="12"/>
        <v/>
      </c>
    </row>
    <row r="35" spans="1:23">
      <c r="A35" s="11"/>
      <c r="B35" s="12" t="str">
        <f>IF($A$6+29&gt;DATE(YEAR($A$6),MONTH($A$6)+1,0),"",$A$6+29)</f>
        <v/>
      </c>
      <c r="C35" s="2" t="str">
        <f>IF(ISNUMBER(MATCH(B35,祝日リスト!$B$2:$B$33,0)),"(" &amp; TEXT(B35,"aaa") &amp; ")",TEXT(B35,"aaa"))</f>
        <v/>
      </c>
      <c r="D35" s="68"/>
      <c r="E35" s="68"/>
      <c r="F35" s="73" t="str">
        <f t="shared" si="4"/>
        <v/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/>
      </c>
      <c r="P35" s="79" t="str">
        <f>IF(TEXT(B35,"aaa")="日","法休日",IF(OR(TEXT(B35,"aaa")="土",ISNUMBER(MATCH(B35,祝日リスト!$B$2:$B$30,0))),"所休日",""))</f>
        <v/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 t="str">
        <f t="shared" si="3"/>
        <v/>
      </c>
      <c r="W35" s="15" t="str">
        <f t="shared" si="12"/>
        <v/>
      </c>
    </row>
    <row r="36" spans="1:23">
      <c r="A36" s="16"/>
      <c r="B36" s="17" t="str">
        <f>IF($A$6+30&gt;DATE(YEAR($A$6),MONTH($A$6)+1,0),"",$A$6+30)</f>
        <v/>
      </c>
      <c r="C36" s="3" t="str">
        <f>IF(ISNUMBER(MATCH(B36,祝日リスト!$B$2:$B$33,0)),"(" &amp; TEXT(B36,"aaa") &amp; ")",TEXT(B36,"aaa"))</f>
        <v/>
      </c>
      <c r="D36" s="69"/>
      <c r="E36" s="69"/>
      <c r="F36" s="74" t="str">
        <f t="shared" si="4"/>
        <v/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/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 t="str">
        <f t="shared" si="3"/>
        <v/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28</v>
      </c>
      <c r="C37" s="92">
        <f>40/7*B37</f>
        <v>160</v>
      </c>
      <c r="D37" s="93"/>
      <c r="E37" s="93"/>
      <c r="F37" s="94">
        <f t="shared" ref="F37:N37" si="14">SUM(F6:F36)</f>
        <v>0.79166666666666641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19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160</v>
      </c>
      <c r="F39" s="137" t="s">
        <v>14</v>
      </c>
      <c r="G39" s="138"/>
      <c r="H39" s="108">
        <f>COUNTIF(O6:O36,"○")</f>
        <v>19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6.333333333333333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105</v>
      </c>
      <c r="D41" s="133"/>
      <c r="E41" s="33">
        <f>H39*TIME(8,0,0)</f>
        <v>6.333333333333333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6.333333333333333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107</v>
      </c>
      <c r="Q45" s="5">
        <f>COUNTIF($Q$6:$Q$36,"有休")</f>
        <v>0</v>
      </c>
      <c r="R45" s="5" t="s">
        <v>133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134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111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125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126</v>
      </c>
      <c r="Q50" s="5">
        <f>COUNTIF($Q$6:$Q$36,"所休出張")</f>
        <v>0</v>
      </c>
      <c r="R50" s="5" t="s">
        <v>94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135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136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74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120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66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123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120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75" priority="44" stopIfTrue="1" operator="equal">
      <formula>""</formula>
    </cfRule>
  </conditionalFormatting>
  <conditionalFormatting sqref="T6:T36">
    <cfRule type="cellIs" dxfId="74" priority="45" stopIfTrue="1" operator="lessThan">
      <formula>0.375</formula>
    </cfRule>
  </conditionalFormatting>
  <conditionalFormatting sqref="U6:U36">
    <cfRule type="cellIs" dxfId="73" priority="46" stopIfTrue="1" operator="greaterThan">
      <formula>0.999305555555556</formula>
    </cfRule>
  </conditionalFormatting>
  <conditionalFormatting sqref="E6:E11">
    <cfRule type="cellIs" dxfId="72" priority="47" stopIfTrue="1" operator="greaterThan">
      <formula>0.916666667</formula>
    </cfRule>
  </conditionalFormatting>
  <conditionalFormatting sqref="C6:C36">
    <cfRule type="cellIs" dxfId="71" priority="48" stopIfTrue="1" operator="between">
      <formula>"土"</formula>
      <formula>"日"</formula>
    </cfRule>
    <cfRule type="cellIs" dxfId="70" priority="49" stopIfTrue="1" operator="equal">
      <formula>""</formula>
    </cfRule>
    <cfRule type="cellIs" dxfId="69" priority="50" stopIfTrue="1" operator="lessThan">
      <formula>"A"</formula>
    </cfRule>
  </conditionalFormatting>
  <conditionalFormatting sqref="P6:P36">
    <cfRule type="cellIs" dxfId="68" priority="40" stopIfTrue="1" operator="equal">
      <formula>"所休日"</formula>
    </cfRule>
    <cfRule type="cellIs" dxfId="67" priority="41" stopIfTrue="1" operator="equal">
      <formula>"法休日"</formula>
    </cfRule>
    <cfRule type="cellIs" dxfId="66" priority="42" stopIfTrue="1" operator="equal">
      <formula>"""休日"""</formula>
    </cfRule>
  </conditionalFormatting>
  <conditionalFormatting sqref="D6:D11">
    <cfRule type="containsBlanks" dxfId="65" priority="51">
      <formula>LEN(TRIM(D6))=0</formula>
    </cfRule>
  </conditionalFormatting>
  <conditionalFormatting sqref="E12:E17">
    <cfRule type="cellIs" dxfId="64" priority="38" stopIfTrue="1" operator="greaterThan">
      <formula>0.916666667</formula>
    </cfRule>
  </conditionalFormatting>
  <conditionalFormatting sqref="D12:D17">
    <cfRule type="containsBlanks" dxfId="63" priority="39">
      <formula>LEN(TRIM(D12))=0</formula>
    </cfRule>
  </conditionalFormatting>
  <conditionalFormatting sqref="Q6:Q36">
    <cfRule type="expression" dxfId="62" priority="35">
      <formula>OR($Q6="振休")</formula>
    </cfRule>
    <cfRule type="expression" dxfId="61" priority="36" stopIfTrue="1">
      <formula>OR($Q6="有休",$Q6="半休",$Q6="代休",$Q6="公休",$Q6="欠勤")</formula>
    </cfRule>
    <cfRule type="expression" dxfId="60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59" priority="34">
      <formula>AND(OR($Q6="所休出",$Q6="所休出→代",$Q6="所休出張",$Q6="所休出張→代"),$C6="日")</formula>
    </cfRule>
  </conditionalFormatting>
  <conditionalFormatting sqref="E18:E24">
    <cfRule type="cellIs" dxfId="58" priority="32" stopIfTrue="1" operator="greaterThan">
      <formula>0.916666667</formula>
    </cfRule>
  </conditionalFormatting>
  <conditionalFormatting sqref="D18:D24">
    <cfRule type="containsBlanks" dxfId="57" priority="33">
      <formula>LEN(TRIM(D18))=0</formula>
    </cfRule>
  </conditionalFormatting>
  <conditionalFormatting sqref="E25:E32">
    <cfRule type="cellIs" dxfId="56" priority="30" stopIfTrue="1" operator="greaterThan">
      <formula>0.916666667</formula>
    </cfRule>
  </conditionalFormatting>
  <conditionalFormatting sqref="D25:D32">
    <cfRule type="containsBlanks" dxfId="55" priority="31">
      <formula>LEN(TRIM(D25))=0</formula>
    </cfRule>
  </conditionalFormatting>
  <conditionalFormatting sqref="E33:E36">
    <cfRule type="cellIs" dxfId="54" priority="28" stopIfTrue="1" operator="greaterThan">
      <formula>0.916666667</formula>
    </cfRule>
  </conditionalFormatting>
  <conditionalFormatting sqref="D33:D36">
    <cfRule type="containsBlanks" dxfId="53" priority="29">
      <formula>LEN(TRIM(D33))=0</formula>
    </cfRule>
  </conditionalFormatting>
  <conditionalFormatting sqref="I37">
    <cfRule type="expression" dxfId="52" priority="24">
      <formula>IF(I37&gt;TIME(0,0,0),TRUE)</formula>
    </cfRule>
  </conditionalFormatting>
  <conditionalFormatting sqref="D6:D36">
    <cfRule type="expression" dxfId="51" priority="14">
      <formula>AND($D6="",$E6&gt;0)</formula>
    </cfRule>
  </conditionalFormatting>
  <conditionalFormatting sqref="E6:E36">
    <cfRule type="expression" dxfId="50" priority="13">
      <formula>AND($E6="",$D6&gt;0)</formula>
    </cfRule>
  </conditionalFormatting>
  <conditionalFormatting sqref="E43">
    <cfRule type="expression" dxfId="49" priority="12" stopIfTrue="1">
      <formula>$E$42-$E$40&lt;0</formula>
    </cfRule>
  </conditionalFormatting>
  <conditionalFormatting sqref="H40">
    <cfRule type="expression" dxfId="48" priority="11">
      <formula>H40+H45+H46+H47+H48+H50-H41-H42-H43-H44&lt;H39</formula>
    </cfRule>
  </conditionalFormatting>
  <conditionalFormatting sqref="H54">
    <cfRule type="expression" dxfId="47" priority="10">
      <formula>IF(H54&gt;TIME(0,0,0),TRUE)</formula>
    </cfRule>
  </conditionalFormatting>
  <conditionalFormatting sqref="H55">
    <cfRule type="expression" dxfId="46" priority="9">
      <formula>IF(H55&gt;TIME(0,0,0),TRUE)</formula>
    </cfRule>
  </conditionalFormatting>
  <conditionalFormatting sqref="H56">
    <cfRule type="expression" dxfId="45" priority="8">
      <formula>IF(H56&gt;TIME(0,0,0),TRUE)</formula>
    </cfRule>
  </conditionalFormatting>
  <conditionalFormatting sqref="H58">
    <cfRule type="expression" dxfId="44" priority="7">
      <formula>IF(H58&gt;TIME(0,0,0),TRUE)</formula>
    </cfRule>
  </conditionalFormatting>
  <conditionalFormatting sqref="H59">
    <cfRule type="expression" dxfId="43" priority="6">
      <formula>IF(H59&gt;TIME(0,0,0),TRUE)</formula>
    </cfRule>
  </conditionalFormatting>
  <conditionalFormatting sqref="H61">
    <cfRule type="expression" dxfId="42" priority="5">
      <formula>IF(H61&gt;TIME(0,0,0),TRUE)</formula>
    </cfRule>
  </conditionalFormatting>
  <conditionalFormatting sqref="I53">
    <cfRule type="expression" dxfId="41" priority="4">
      <formula>IF(OR(E54&gt;0,E55&gt;0),TRUE)</formula>
    </cfRule>
  </conditionalFormatting>
  <conditionalFormatting sqref="I54">
    <cfRule type="expression" dxfId="40" priority="3">
      <formula>IF(H54&gt;TIME(0,0,0),TRUE)</formula>
    </cfRule>
  </conditionalFormatting>
  <conditionalFormatting sqref="I55">
    <cfRule type="expression" dxfId="39" priority="2">
      <formula>IF(H55&gt;TIME(0,0,0),TRUE)</formula>
    </cfRule>
  </conditionalFormatting>
  <conditionalFormatting sqref="H6:H35">
    <cfRule type="cellIs" dxfId="38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64"/>
  <sheetViews>
    <sheetView showGridLines="0" zoomScale="80" zoomScaleNormal="80" workbookViewId="0">
      <selection sqref="A1:R1"/>
    </sheetView>
  </sheetViews>
  <sheetFormatPr defaultColWidth="9" defaultRowHeight="12"/>
  <cols>
    <col min="1" max="1" width="10" style="5" customWidth="1"/>
    <col min="2" max="8" width="7.25" style="5" customWidth="1"/>
    <col min="9" max="9" width="9.25" style="5" customWidth="1"/>
    <col min="10" max="10" width="14" style="5" hidden="1" customWidth="1"/>
    <col min="11" max="12" width="11.125" style="5" hidden="1" customWidth="1"/>
    <col min="13" max="13" width="6.75" style="5" customWidth="1"/>
    <col min="14" max="14" width="7.625" style="5" customWidth="1"/>
    <col min="15" max="15" width="6.375" style="5" customWidth="1"/>
    <col min="16" max="17" width="9.625" style="5" customWidth="1"/>
    <col min="18" max="18" width="45.625" style="5" customWidth="1"/>
    <col min="19" max="19" width="8.625" style="5" customWidth="1"/>
    <col min="20" max="16384" width="9" style="5"/>
  </cols>
  <sheetData>
    <row r="1" spans="1:23">
      <c r="A1" s="134" t="s">
        <v>103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02"/>
    </row>
    <row r="2" spans="1:2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5"/>
      <c r="N2" s="55"/>
      <c r="O2" s="55"/>
      <c r="P2" s="55"/>
      <c r="Q2" s="55"/>
      <c r="R2" s="55"/>
      <c r="S2" s="55"/>
    </row>
    <row r="3" spans="1:23" ht="14.25" customHeight="1">
      <c r="A3" s="59" t="s">
        <v>96</v>
      </c>
      <c r="B3" s="59"/>
      <c r="C3" s="59"/>
      <c r="D3" s="100"/>
      <c r="E3" s="64" t="s">
        <v>97</v>
      </c>
      <c r="F3" s="59"/>
      <c r="G3" s="59" t="s">
        <v>98</v>
      </c>
      <c r="H3" s="59"/>
      <c r="I3" s="59"/>
      <c r="J3" s="58"/>
      <c r="K3" s="58"/>
      <c r="L3" s="58"/>
      <c r="M3" s="56"/>
      <c r="N3" s="56"/>
      <c r="O3" s="56"/>
      <c r="P3" s="56"/>
      <c r="Q3" s="56"/>
      <c r="R3" s="56"/>
      <c r="S3" s="56"/>
    </row>
    <row r="4" spans="1:23" ht="5.25" customHeight="1"/>
    <row r="5" spans="1:23" s="1" customFormat="1" ht="36">
      <c r="A5" s="61" t="s">
        <v>6</v>
      </c>
      <c r="B5" s="62" t="s">
        <v>7</v>
      </c>
      <c r="C5" s="62" t="s">
        <v>8</v>
      </c>
      <c r="D5" s="62" t="s">
        <v>0</v>
      </c>
      <c r="E5" s="62" t="s">
        <v>1</v>
      </c>
      <c r="F5" s="62" t="s">
        <v>2</v>
      </c>
      <c r="G5" s="62" t="s">
        <v>9</v>
      </c>
      <c r="H5" s="75" t="s">
        <v>4</v>
      </c>
      <c r="I5" s="75" t="s">
        <v>26</v>
      </c>
      <c r="J5" s="67" t="s">
        <v>80</v>
      </c>
      <c r="K5" s="67" t="s">
        <v>81</v>
      </c>
      <c r="L5" s="67" t="s">
        <v>82</v>
      </c>
      <c r="M5" s="75" t="s">
        <v>27</v>
      </c>
      <c r="N5" s="67" t="s">
        <v>83</v>
      </c>
      <c r="O5" s="75" t="s">
        <v>3</v>
      </c>
      <c r="P5" s="75" t="s">
        <v>49</v>
      </c>
      <c r="Q5" s="76" t="s">
        <v>50</v>
      </c>
      <c r="R5" s="101" t="s">
        <v>99</v>
      </c>
      <c r="S5" s="71" t="s">
        <v>100</v>
      </c>
      <c r="T5" s="61" t="s">
        <v>18</v>
      </c>
      <c r="U5" s="62" t="s">
        <v>19</v>
      </c>
      <c r="V5" s="62" t="s">
        <v>2</v>
      </c>
      <c r="W5" s="63" t="s">
        <v>9</v>
      </c>
    </row>
    <row r="6" spans="1:23">
      <c r="A6" s="106">
        <v>44986</v>
      </c>
      <c r="B6" s="6">
        <f>$A$6+0</f>
        <v>44986</v>
      </c>
      <c r="C6" s="2" t="str">
        <f>IF(ISNUMBER(MATCH(B6,祝日リスト!$B$2:$B$33,0)),"(" &amp; TEXT(B6,"aaa") &amp; ")",TEXT(B6,"aaa"))</f>
        <v>水</v>
      </c>
      <c r="D6" s="68"/>
      <c r="E6" s="68"/>
      <c r="F6" s="73">
        <f>IF(OR(O6="○",Q6="法休出",Q6="法休出→代",Q6="所休出",Q6="所休出→代",Q6="出張",Q6="法休出張",Q6="法休出張→代",Q6="所休出張",Q6="所休出張→代"),IF(OR(Q6="所休日",Q6="法休日",Q6="有休",Q6="半休",Q6="代休",Q6="振休",Q6="公休",Q6="特別休",Q6="欠勤"),"",TIME(1,0,0)),"")</f>
        <v>4.1666666666666664E-2</v>
      </c>
      <c r="G6" s="65" t="str">
        <f>IF(AND($D6&lt;&gt;"",$E6&lt;&gt;""),IF($F6&lt;&gt;"",$E6-$D6-$F6-$N6,$E6-$D6-$N6),"")</f>
        <v/>
      </c>
      <c r="H6" s="65" t="str">
        <f>IF(Q6="半休",G6+TIME(4,0,0),IF(Q6="有休",TIME(8,0,0),IF(Q6="代休","手入力",IF(Q6="特別休",TIME(8,0,0),IF(Q6="出張",TIME(8,0,0),IF(OR(Q6="法休出張",Q6="所休出張"),TIME(8,0,0),IF(OR(Q6="法休出張→代",Q6="所休出張→代"),TIME(0,0,0),IF(G6&gt;0,IF(AND(Q6&lt;&gt;"法休出→代",Q6&lt;&gt;"所休出→代"),G6,IF(G6&gt;=TIME(8,0,0),G6-TIME(8,0,0),IF(G6&gt;=TIME(5,0,0),TIME(0,0,0),"時間不足"))),""))))))))</f>
        <v/>
      </c>
      <c r="I6" s="65" t="str">
        <f>IF(ISBLANK(E6),"",IF(E6&gt;TIME(22,0,0),E6-TIME(22,0,0),0))</f>
        <v/>
      </c>
      <c r="J6" s="65" t="str">
        <f>IF(Q6="半休",E6-D6,IF(OR(Q6="有休",Q6="代休",Q6="特別休",Q6="出張",Q6="法休出張",Q6="法休出張→代",Q6="所休出張",Q6="所休出張→代"),0,IF(E6&gt;0,E6-D6-F6,"")))</f>
        <v/>
      </c>
      <c r="K6" s="65" t="str">
        <f>IF(Q6="法休出",G6,IF(Q6="法休出張",TIME(8,0,0),IF(Q6="法休出張→代",TIME(0,0,0),IF(Q6="法休出→代",IF(G6&gt;=TIME(8,0,0),G6-TIME(8,0,0),IF(G6&gt;=TIME(5,0,0),TIME(0,0,0),"")),""))))</f>
        <v/>
      </c>
      <c r="L6" s="65" t="str">
        <f>IF(Q6="法休出張→代",TIME(8,0,0),IF(Q6="法休出→代",IF(G6&gt;=TIME(8,0,0),TIME(8,0,0),IF(G6&gt;=TIME(5,0,0),G6,TIME(0,0,0))),""))</f>
        <v/>
      </c>
      <c r="M6" s="77" t="str">
        <f>IF(J6&lt;&gt;"",IF(J6&gt;TIME(8,0,0),"○",""),"")</f>
        <v/>
      </c>
      <c r="N6" s="78">
        <f>IF(M6="○",IF(J6&gt;=TIME(8,15,0),TIME(0,15,0),J6-TIME(8,0,0)),0)</f>
        <v>0</v>
      </c>
      <c r="O6" s="79" t="str">
        <f t="shared" ref="O6:O34" si="0">IF(B6="","",IF(OR(P6="所休日",P6="法休日",,Q6="公休"),"","○"))</f>
        <v>○</v>
      </c>
      <c r="P6" s="79" t="str">
        <f>IF(TEXT(B6,"aaa")="日","法休日",IF(OR(TEXT(B6,"aaa")="土",ISNUMBER(MATCH(B6,祝日リスト!$B$2:$B$30,0))),"所休日",""))</f>
        <v/>
      </c>
      <c r="Q6" s="80" t="s">
        <v>10</v>
      </c>
      <c r="R6" s="81"/>
      <c r="S6" s="103" t="str">
        <f t="shared" ref="S6:S36" si="1">IF(OR(Q6="法休出→代",Q6="所休出→代"),G6-H6,IF(OR(Q6="法休出張→代",Q6="所休出張→代"),TIME(8,0,0),""))</f>
        <v/>
      </c>
      <c r="T6" s="8">
        <f t="shared" ref="T6:U36" si="2">D6</f>
        <v>0</v>
      </c>
      <c r="U6" s="9">
        <f t="shared" si="2"/>
        <v>0</v>
      </c>
      <c r="V6" s="7">
        <f t="shared" ref="V6:V36" si="3">IF(OR(O6="○",Q6="法休出",Q6="法休出→代",Q6="所休出",Q6="所休出→代"),TIME(1,0,0),"")</f>
        <v>4.1666666666666664E-2</v>
      </c>
      <c r="W6" s="10" t="str">
        <f>IF(U6&gt;0,U6-T6-V6,"")</f>
        <v/>
      </c>
    </row>
    <row r="7" spans="1:23">
      <c r="A7" s="11"/>
      <c r="B7" s="12">
        <f>$A$6+1</f>
        <v>44987</v>
      </c>
      <c r="C7" s="2" t="str">
        <f>IF(ISNUMBER(MATCH(B7,祝日リスト!$B$2:$B$33,0)),"(" &amp; TEXT(B7,"aaa") &amp; ")",TEXT(B7,"aaa"))</f>
        <v>木</v>
      </c>
      <c r="D7" s="68"/>
      <c r="E7" s="68"/>
      <c r="F7" s="73">
        <f t="shared" ref="F7:F36" si="4">IF(OR(O7="○",Q7="法休出",Q7="法休出→代",Q7="所休出",Q7="所休出→代",Q7="出張",Q7="法休出張",Q7="法休出張→代",Q7="所休出張",Q7="所休出張→代"),IF(OR(Q7="所休日",Q7="法休日",Q7="有休",Q7="半休",Q7="代休",Q7="振休",Q7="公休",Q7="特別休",Q7="欠勤"),"",TIME(1,0,0)),"")</f>
        <v>4.1666666666666664E-2</v>
      </c>
      <c r="G7" s="65" t="str">
        <f t="shared" ref="G7:G36" si="5">IF(AND($D7&lt;&gt;"",$E7&lt;&gt;""),IF($F7&lt;&gt;"",$E7-$D7-$F7-$N7,$E7-$D7-$N7),"")</f>
        <v/>
      </c>
      <c r="H7" s="65" t="str">
        <f t="shared" ref="H7:H36" si="6">IF(Q7="半休",G7+TIME(4,0,0),IF(Q7="有休",TIME(8,0,0),IF(Q7="代休","手入力",IF(Q7="特別休",TIME(8,0,0),IF(Q7="出張",TIME(8,0,0),IF(OR(Q7="法休出張",Q7="所休出張"),TIME(8,0,0),IF(OR(Q7="法休出張→代",Q7="所休出張→代"),TIME(0,0,0),IF(G7&gt;0,IF(AND(Q7&lt;&gt;"法休出→代",Q7&lt;&gt;"所休出→代"),G7,IF(G7&gt;=TIME(8,0,0),G7-TIME(8,0,0),IF(G7&gt;=TIME(5,0,0),TIME(0,0,0),"時間不足"))),""))))))))</f>
        <v/>
      </c>
      <c r="I7" s="65" t="str">
        <f t="shared" ref="I7:I36" si="7">IF(ISBLANK(E7),"",IF(E7&gt;TIME(22,0,0),E7-TIME(22,0,0),0))</f>
        <v/>
      </c>
      <c r="J7" s="65" t="str">
        <f t="shared" ref="J7:J36" si="8">IF(Q7="半休",E7-D7,IF(OR(Q7="有休",Q7="代休",Q7="特別休",Q7="出張",Q7="法休出張",Q7="法休出張→代",Q7="所休出張",Q7="所休出張→代"),0,IF(E7&gt;0,E7-D7-F7,"")))</f>
        <v/>
      </c>
      <c r="K7" s="65" t="str">
        <f t="shared" ref="K7:K36" si="9">IF(Q7="法休出",G7,IF(Q7="法休出張",TIME(8,0,0),IF(Q7="法休出張→代",TIME(0,0,0),IF(Q7="法休出→代",IF(G7&gt;=TIME(8,0,0),G7-TIME(8,0,0),IF(G7&gt;=TIME(5,0,0),TIME(0,0,0),"")),""))))</f>
        <v/>
      </c>
      <c r="L7" s="65" t="str">
        <f t="shared" ref="L7:L36" si="10">IF(Q7="法休出張→代",TIME(8,0,0),IF(Q7="法休出→代",IF(G7&gt;=TIME(8,0,0),TIME(8,0,0),IF(G7&gt;=TIME(5,0,0),G7,TIME(0,0,0))),""))</f>
        <v/>
      </c>
      <c r="M7" s="77" t="str">
        <f t="shared" ref="M7:M36" si="11">IF(J7&lt;&gt;"",IF(J7&gt;TIME(8,0,0),"○",""),"")</f>
        <v/>
      </c>
      <c r="N7" s="78">
        <f>IF(M7="○",IF(J7&gt;=TIME(8,15,0),TIME(0,15,0),J7-TIME(8,0,0)),0)</f>
        <v>0</v>
      </c>
      <c r="O7" s="79" t="str">
        <f t="shared" si="0"/>
        <v>○</v>
      </c>
      <c r="P7" s="79" t="str">
        <f>IF(TEXT(B7,"aaa")="日","法休日",IF(OR(TEXT(B7,"aaa")="土",ISNUMBER(MATCH(B7,祝日リスト!$B$2:$B$30,0))),"所休日",""))</f>
        <v/>
      </c>
      <c r="Q7" s="80" t="s">
        <v>10</v>
      </c>
      <c r="R7" s="82"/>
      <c r="S7" s="104" t="str">
        <f t="shared" si="1"/>
        <v/>
      </c>
      <c r="T7" s="13">
        <f t="shared" si="2"/>
        <v>0</v>
      </c>
      <c r="U7" s="14">
        <f t="shared" si="2"/>
        <v>0</v>
      </c>
      <c r="V7" s="7">
        <f t="shared" si="3"/>
        <v>4.1666666666666664E-2</v>
      </c>
      <c r="W7" s="15" t="str">
        <f t="shared" ref="W7:W36" si="12">IF(U7&gt;0,U7-T7-V7,"")</f>
        <v/>
      </c>
    </row>
    <row r="8" spans="1:23">
      <c r="A8" s="11"/>
      <c r="B8" s="12">
        <f>$A$6+2</f>
        <v>44988</v>
      </c>
      <c r="C8" s="2" t="str">
        <f>IF(ISNUMBER(MATCH(B8,祝日リスト!$B$2:$B$33,0)),"(" &amp; TEXT(B8,"aaa") &amp; ")",TEXT(B8,"aaa"))</f>
        <v>金</v>
      </c>
      <c r="D8" s="68"/>
      <c r="E8" s="68"/>
      <c r="F8" s="73">
        <f t="shared" si="4"/>
        <v>4.1666666666666664E-2</v>
      </c>
      <c r="G8" s="65" t="str">
        <f t="shared" si="5"/>
        <v/>
      </c>
      <c r="H8" s="65" t="str">
        <f t="shared" si="6"/>
        <v/>
      </c>
      <c r="I8" s="65" t="str">
        <f t="shared" si="7"/>
        <v/>
      </c>
      <c r="J8" s="65" t="str">
        <f t="shared" si="8"/>
        <v/>
      </c>
      <c r="K8" s="65" t="str">
        <f t="shared" si="9"/>
        <v/>
      </c>
      <c r="L8" s="65" t="str">
        <f t="shared" si="10"/>
        <v/>
      </c>
      <c r="M8" s="77" t="str">
        <f t="shared" si="11"/>
        <v/>
      </c>
      <c r="N8" s="78">
        <f t="shared" ref="N8:N36" si="13">IF(M8="○",IF(J8&gt;=TIME(8,15,0),TIME(0,15,0),J8-TIME(8,0,0)),0)</f>
        <v>0</v>
      </c>
      <c r="O8" s="79" t="str">
        <f t="shared" si="0"/>
        <v>○</v>
      </c>
      <c r="P8" s="79" t="str">
        <f>IF(TEXT(B8,"aaa")="日","法休日",IF(OR(TEXT(B8,"aaa")="土",ISNUMBER(MATCH(B8,祝日リスト!$B$2:$B$30,0))),"所休日",""))</f>
        <v/>
      </c>
      <c r="Q8" s="80" t="s">
        <v>10</v>
      </c>
      <c r="R8" s="82"/>
      <c r="S8" s="104" t="str">
        <f t="shared" si="1"/>
        <v/>
      </c>
      <c r="T8" s="13">
        <f t="shared" si="2"/>
        <v>0</v>
      </c>
      <c r="U8" s="14">
        <f t="shared" si="2"/>
        <v>0</v>
      </c>
      <c r="V8" s="7">
        <f t="shared" si="3"/>
        <v>4.1666666666666664E-2</v>
      </c>
      <c r="W8" s="15" t="str">
        <f t="shared" si="12"/>
        <v/>
      </c>
    </row>
    <row r="9" spans="1:23">
      <c r="A9" s="11"/>
      <c r="B9" s="12">
        <f>$A$6+3</f>
        <v>44989</v>
      </c>
      <c r="C9" s="2" t="str">
        <f>IF(ISNUMBER(MATCH(B9,祝日リスト!$B$2:$B$33,0)),"(" &amp; TEXT(B9,"aaa") &amp; ")",TEXT(B9,"aaa"))</f>
        <v>土</v>
      </c>
      <c r="D9" s="68"/>
      <c r="E9" s="68"/>
      <c r="F9" s="73" t="str">
        <f t="shared" si="4"/>
        <v/>
      </c>
      <c r="G9" s="65" t="str">
        <f t="shared" si="5"/>
        <v/>
      </c>
      <c r="H9" s="65" t="str">
        <f t="shared" si="6"/>
        <v/>
      </c>
      <c r="I9" s="65" t="str">
        <f t="shared" si="7"/>
        <v/>
      </c>
      <c r="J9" s="65" t="str">
        <f t="shared" si="8"/>
        <v/>
      </c>
      <c r="K9" s="65" t="str">
        <f t="shared" si="9"/>
        <v/>
      </c>
      <c r="L9" s="65" t="str">
        <f t="shared" si="10"/>
        <v/>
      </c>
      <c r="M9" s="77" t="str">
        <f t="shared" si="11"/>
        <v/>
      </c>
      <c r="N9" s="78">
        <f t="shared" si="13"/>
        <v>0</v>
      </c>
      <c r="O9" s="79" t="str">
        <f t="shared" si="0"/>
        <v/>
      </c>
      <c r="P9" s="79" t="str">
        <f>IF(TEXT(B9,"aaa")="日","法休日",IF(OR(TEXT(B9,"aaa")="土",ISNUMBER(MATCH(B9,祝日リスト!$B$2:$B$30,0))),"所休日",""))</f>
        <v>所休日</v>
      </c>
      <c r="Q9" s="80" t="s">
        <v>10</v>
      </c>
      <c r="R9" s="82"/>
      <c r="S9" s="104" t="str">
        <f t="shared" si="1"/>
        <v/>
      </c>
      <c r="T9" s="13">
        <f t="shared" si="2"/>
        <v>0</v>
      </c>
      <c r="U9" s="14">
        <f t="shared" si="2"/>
        <v>0</v>
      </c>
      <c r="V9" s="7" t="str">
        <f t="shared" si="3"/>
        <v/>
      </c>
      <c r="W9" s="15" t="str">
        <f t="shared" si="12"/>
        <v/>
      </c>
    </row>
    <row r="10" spans="1:23">
      <c r="A10" s="11"/>
      <c r="B10" s="12">
        <f>$A$6+4</f>
        <v>44990</v>
      </c>
      <c r="C10" s="2" t="str">
        <f>IF(ISNUMBER(MATCH(B10,祝日リスト!$B$2:$B$33,0)),"(" &amp; TEXT(B10,"aaa") &amp; ")",TEXT(B10,"aaa"))</f>
        <v>日</v>
      </c>
      <c r="D10" s="68"/>
      <c r="E10" s="68"/>
      <c r="F10" s="73" t="str">
        <f t="shared" si="4"/>
        <v/>
      </c>
      <c r="G10" s="65" t="str">
        <f t="shared" si="5"/>
        <v/>
      </c>
      <c r="H10" s="65" t="str">
        <f t="shared" si="6"/>
        <v/>
      </c>
      <c r="I10" s="65" t="str">
        <f t="shared" si="7"/>
        <v/>
      </c>
      <c r="J10" s="65" t="str">
        <f t="shared" si="8"/>
        <v/>
      </c>
      <c r="K10" s="65" t="str">
        <f t="shared" si="9"/>
        <v/>
      </c>
      <c r="L10" s="65" t="str">
        <f t="shared" si="10"/>
        <v/>
      </c>
      <c r="M10" s="77" t="str">
        <f t="shared" si="11"/>
        <v/>
      </c>
      <c r="N10" s="78">
        <f t="shared" si="13"/>
        <v>0</v>
      </c>
      <c r="O10" s="79" t="str">
        <f t="shared" si="0"/>
        <v/>
      </c>
      <c r="P10" s="79" t="str">
        <f>IF(TEXT(B10,"aaa")="日","法休日",IF(OR(TEXT(B10,"aaa")="土",ISNUMBER(MATCH(B10,祝日リスト!$B$2:$B$30,0))),"所休日",""))</f>
        <v>法休日</v>
      </c>
      <c r="Q10" s="80" t="s">
        <v>10</v>
      </c>
      <c r="R10" s="82"/>
      <c r="S10" s="104" t="str">
        <f t="shared" si="1"/>
        <v/>
      </c>
      <c r="T10" s="13">
        <f t="shared" si="2"/>
        <v>0</v>
      </c>
      <c r="U10" s="14">
        <f t="shared" si="2"/>
        <v>0</v>
      </c>
      <c r="V10" s="7" t="str">
        <f t="shared" si="3"/>
        <v/>
      </c>
      <c r="W10" s="15" t="str">
        <f t="shared" si="12"/>
        <v/>
      </c>
    </row>
    <row r="11" spans="1:23">
      <c r="A11" s="11"/>
      <c r="B11" s="12">
        <f>$A$6+5</f>
        <v>44991</v>
      </c>
      <c r="C11" s="2" t="str">
        <f>IF(ISNUMBER(MATCH(B11,祝日リスト!$B$2:$B$33,0)),"(" &amp; TEXT(B11,"aaa") &amp; ")",TEXT(B11,"aaa"))</f>
        <v>月</v>
      </c>
      <c r="D11" s="68"/>
      <c r="E11" s="68"/>
      <c r="F11" s="73">
        <f t="shared" si="4"/>
        <v>4.1666666666666664E-2</v>
      </c>
      <c r="G11" s="65" t="str">
        <f t="shared" si="5"/>
        <v/>
      </c>
      <c r="H11" s="65" t="str">
        <f t="shared" si="6"/>
        <v/>
      </c>
      <c r="I11" s="65" t="str">
        <f t="shared" si="7"/>
        <v/>
      </c>
      <c r="J11" s="65" t="str">
        <f t="shared" si="8"/>
        <v/>
      </c>
      <c r="K11" s="65" t="str">
        <f t="shared" si="9"/>
        <v/>
      </c>
      <c r="L11" s="65" t="str">
        <f t="shared" si="10"/>
        <v/>
      </c>
      <c r="M11" s="77" t="str">
        <f t="shared" si="11"/>
        <v/>
      </c>
      <c r="N11" s="78">
        <f t="shared" si="13"/>
        <v>0</v>
      </c>
      <c r="O11" s="79" t="str">
        <f t="shared" si="0"/>
        <v>○</v>
      </c>
      <c r="P11" s="79" t="str">
        <f>IF(TEXT(B11,"aaa")="日","法休日",IF(OR(TEXT(B11,"aaa")="土",ISNUMBER(MATCH(B11,祝日リスト!$B$2:$B$30,0))),"所休日",""))</f>
        <v/>
      </c>
      <c r="Q11" s="80" t="s">
        <v>10</v>
      </c>
      <c r="R11" s="82"/>
      <c r="S11" s="104" t="str">
        <f t="shared" si="1"/>
        <v/>
      </c>
      <c r="T11" s="13">
        <f t="shared" si="2"/>
        <v>0</v>
      </c>
      <c r="U11" s="14">
        <f t="shared" si="2"/>
        <v>0</v>
      </c>
      <c r="V11" s="7">
        <f t="shared" si="3"/>
        <v>4.1666666666666664E-2</v>
      </c>
      <c r="W11" s="15" t="str">
        <f t="shared" si="12"/>
        <v/>
      </c>
    </row>
    <row r="12" spans="1:23">
      <c r="A12" s="11"/>
      <c r="B12" s="12">
        <f>$A$6+6</f>
        <v>44992</v>
      </c>
      <c r="C12" s="2" t="str">
        <f>IF(ISNUMBER(MATCH(B12,祝日リスト!$B$2:$B$33,0)),"(" &amp; TEXT(B12,"aaa") &amp; ")",TEXT(B12,"aaa"))</f>
        <v>火</v>
      </c>
      <c r="D12" s="68"/>
      <c r="E12" s="68"/>
      <c r="F12" s="73">
        <f t="shared" si="4"/>
        <v>4.1666666666666664E-2</v>
      </c>
      <c r="G12" s="65" t="str">
        <f t="shared" si="5"/>
        <v/>
      </c>
      <c r="H12" s="65" t="str">
        <f t="shared" si="6"/>
        <v/>
      </c>
      <c r="I12" s="65" t="str">
        <f t="shared" si="7"/>
        <v/>
      </c>
      <c r="J12" s="65" t="str">
        <f t="shared" si="8"/>
        <v/>
      </c>
      <c r="K12" s="65" t="str">
        <f t="shared" si="9"/>
        <v/>
      </c>
      <c r="L12" s="65" t="str">
        <f t="shared" si="10"/>
        <v/>
      </c>
      <c r="M12" s="77" t="str">
        <f t="shared" si="11"/>
        <v/>
      </c>
      <c r="N12" s="78">
        <f t="shared" si="13"/>
        <v>0</v>
      </c>
      <c r="O12" s="79" t="str">
        <f t="shared" si="0"/>
        <v>○</v>
      </c>
      <c r="P12" s="79" t="str">
        <f>IF(TEXT(B12,"aaa")="日","法休日",IF(OR(TEXT(B12,"aaa")="土",ISNUMBER(MATCH(B12,祝日リスト!$B$2:$B$30,0))),"所休日",""))</f>
        <v/>
      </c>
      <c r="Q12" s="80" t="s">
        <v>10</v>
      </c>
      <c r="R12" s="82"/>
      <c r="S12" s="104" t="str">
        <f t="shared" si="1"/>
        <v/>
      </c>
      <c r="T12" s="13">
        <f t="shared" si="2"/>
        <v>0</v>
      </c>
      <c r="U12" s="14">
        <f t="shared" si="2"/>
        <v>0</v>
      </c>
      <c r="V12" s="7">
        <f t="shared" si="3"/>
        <v>4.1666666666666664E-2</v>
      </c>
      <c r="W12" s="15" t="str">
        <f t="shared" si="12"/>
        <v/>
      </c>
    </row>
    <row r="13" spans="1:23">
      <c r="A13" s="11"/>
      <c r="B13" s="12">
        <f>$A$6+7</f>
        <v>44993</v>
      </c>
      <c r="C13" s="2" t="str">
        <f>IF(ISNUMBER(MATCH(B13,祝日リスト!$B$2:$B$33,0)),"(" &amp; TEXT(B13,"aaa") &amp; ")",TEXT(B13,"aaa"))</f>
        <v>水</v>
      </c>
      <c r="D13" s="68"/>
      <c r="E13" s="68"/>
      <c r="F13" s="73">
        <f t="shared" si="4"/>
        <v>4.1666666666666664E-2</v>
      </c>
      <c r="G13" s="65" t="str">
        <f t="shared" si="5"/>
        <v/>
      </c>
      <c r="H13" s="65" t="str">
        <f t="shared" si="6"/>
        <v/>
      </c>
      <c r="I13" s="65" t="str">
        <f t="shared" si="7"/>
        <v/>
      </c>
      <c r="J13" s="65" t="str">
        <f t="shared" si="8"/>
        <v/>
      </c>
      <c r="K13" s="65" t="str">
        <f t="shared" si="9"/>
        <v/>
      </c>
      <c r="L13" s="65" t="str">
        <f t="shared" si="10"/>
        <v/>
      </c>
      <c r="M13" s="77" t="str">
        <f t="shared" si="11"/>
        <v/>
      </c>
      <c r="N13" s="78">
        <f t="shared" si="13"/>
        <v>0</v>
      </c>
      <c r="O13" s="79" t="str">
        <f t="shared" si="0"/>
        <v>○</v>
      </c>
      <c r="P13" s="79" t="str">
        <f>IF(TEXT(B13,"aaa")="日","法休日",IF(OR(TEXT(B13,"aaa")="土",ISNUMBER(MATCH(B13,祝日リスト!$B$2:$B$30,0))),"所休日",""))</f>
        <v/>
      </c>
      <c r="Q13" s="80" t="s">
        <v>10</v>
      </c>
      <c r="R13" s="82"/>
      <c r="S13" s="104" t="str">
        <f t="shared" si="1"/>
        <v/>
      </c>
      <c r="T13" s="13">
        <f t="shared" si="2"/>
        <v>0</v>
      </c>
      <c r="U13" s="14">
        <f t="shared" si="2"/>
        <v>0</v>
      </c>
      <c r="V13" s="7">
        <f t="shared" si="3"/>
        <v>4.1666666666666664E-2</v>
      </c>
      <c r="W13" s="15" t="str">
        <f t="shared" si="12"/>
        <v/>
      </c>
    </row>
    <row r="14" spans="1:23">
      <c r="A14" s="11"/>
      <c r="B14" s="12">
        <f>$A$6+8</f>
        <v>44994</v>
      </c>
      <c r="C14" s="2" t="str">
        <f>IF(ISNUMBER(MATCH(B14,祝日リスト!$B$2:$B$33,0)),"(" &amp; TEXT(B14,"aaa") &amp; ")",TEXT(B14,"aaa"))</f>
        <v>木</v>
      </c>
      <c r="D14" s="68"/>
      <c r="E14" s="68"/>
      <c r="F14" s="73">
        <f t="shared" si="4"/>
        <v>4.1666666666666664E-2</v>
      </c>
      <c r="G14" s="65" t="str">
        <f t="shared" si="5"/>
        <v/>
      </c>
      <c r="H14" s="65" t="str">
        <f t="shared" si="6"/>
        <v/>
      </c>
      <c r="I14" s="65" t="str">
        <f t="shared" si="7"/>
        <v/>
      </c>
      <c r="J14" s="65" t="str">
        <f t="shared" si="8"/>
        <v/>
      </c>
      <c r="K14" s="65" t="str">
        <f t="shared" si="9"/>
        <v/>
      </c>
      <c r="L14" s="65" t="str">
        <f t="shared" si="10"/>
        <v/>
      </c>
      <c r="M14" s="77" t="str">
        <f t="shared" si="11"/>
        <v/>
      </c>
      <c r="N14" s="78">
        <f t="shared" si="13"/>
        <v>0</v>
      </c>
      <c r="O14" s="79" t="str">
        <f t="shared" si="0"/>
        <v>○</v>
      </c>
      <c r="P14" s="79" t="str">
        <f>IF(TEXT(B14,"aaa")="日","法休日",IF(OR(TEXT(B14,"aaa")="土",ISNUMBER(MATCH(B14,祝日リスト!$B$2:$B$30,0))),"所休日",""))</f>
        <v/>
      </c>
      <c r="Q14" s="80" t="s">
        <v>10</v>
      </c>
      <c r="R14" s="82"/>
      <c r="S14" s="104" t="str">
        <f t="shared" si="1"/>
        <v/>
      </c>
      <c r="T14" s="13">
        <f t="shared" si="2"/>
        <v>0</v>
      </c>
      <c r="U14" s="14">
        <f t="shared" si="2"/>
        <v>0</v>
      </c>
      <c r="V14" s="7">
        <f t="shared" si="3"/>
        <v>4.1666666666666664E-2</v>
      </c>
      <c r="W14" s="15" t="str">
        <f t="shared" si="12"/>
        <v/>
      </c>
    </row>
    <row r="15" spans="1:23">
      <c r="A15" s="11"/>
      <c r="B15" s="12">
        <f>$A$6+9</f>
        <v>44995</v>
      </c>
      <c r="C15" s="2" t="str">
        <f>IF(ISNUMBER(MATCH(B15,祝日リスト!$B$2:$B$33,0)),"(" &amp; TEXT(B15,"aaa") &amp; ")",TEXT(B15,"aaa"))</f>
        <v>金</v>
      </c>
      <c r="D15" s="68"/>
      <c r="E15" s="68"/>
      <c r="F15" s="73">
        <f t="shared" si="4"/>
        <v>4.1666666666666664E-2</v>
      </c>
      <c r="G15" s="65" t="str">
        <f t="shared" si="5"/>
        <v/>
      </c>
      <c r="H15" s="65" t="str">
        <f t="shared" si="6"/>
        <v/>
      </c>
      <c r="I15" s="65" t="str">
        <f t="shared" si="7"/>
        <v/>
      </c>
      <c r="J15" s="65" t="str">
        <f t="shared" si="8"/>
        <v/>
      </c>
      <c r="K15" s="65" t="str">
        <f t="shared" si="9"/>
        <v/>
      </c>
      <c r="L15" s="65" t="str">
        <f t="shared" si="10"/>
        <v/>
      </c>
      <c r="M15" s="77" t="str">
        <f t="shared" si="11"/>
        <v/>
      </c>
      <c r="N15" s="78">
        <f t="shared" si="13"/>
        <v>0</v>
      </c>
      <c r="O15" s="79" t="str">
        <f t="shared" si="0"/>
        <v>○</v>
      </c>
      <c r="P15" s="79" t="str">
        <f>IF(TEXT(B15,"aaa")="日","法休日",IF(OR(TEXT(B15,"aaa")="土",ISNUMBER(MATCH(B15,祝日リスト!$B$2:$B$30,0))),"所休日",""))</f>
        <v/>
      </c>
      <c r="Q15" s="80" t="s">
        <v>10</v>
      </c>
      <c r="R15" s="82"/>
      <c r="S15" s="104" t="str">
        <f t="shared" si="1"/>
        <v/>
      </c>
      <c r="T15" s="13">
        <f t="shared" si="2"/>
        <v>0</v>
      </c>
      <c r="U15" s="14">
        <f t="shared" si="2"/>
        <v>0</v>
      </c>
      <c r="V15" s="7">
        <f t="shared" si="3"/>
        <v>4.1666666666666664E-2</v>
      </c>
      <c r="W15" s="15" t="str">
        <f t="shared" si="12"/>
        <v/>
      </c>
    </row>
    <row r="16" spans="1:23">
      <c r="A16" s="11"/>
      <c r="B16" s="12">
        <f>$A$6+10</f>
        <v>44996</v>
      </c>
      <c r="C16" s="2" t="str">
        <f>IF(ISNUMBER(MATCH(B16,祝日リスト!$B$2:$B$33,0)),"(" &amp; TEXT(B16,"aaa") &amp; ")",TEXT(B16,"aaa"))</f>
        <v>土</v>
      </c>
      <c r="D16" s="68"/>
      <c r="E16" s="68"/>
      <c r="F16" s="73" t="str">
        <f t="shared" si="4"/>
        <v/>
      </c>
      <c r="G16" s="65" t="str">
        <f t="shared" si="5"/>
        <v/>
      </c>
      <c r="H16" s="65" t="str">
        <f t="shared" si="6"/>
        <v/>
      </c>
      <c r="I16" s="65" t="str">
        <f t="shared" si="7"/>
        <v/>
      </c>
      <c r="J16" s="65" t="str">
        <f t="shared" si="8"/>
        <v/>
      </c>
      <c r="K16" s="65" t="str">
        <f t="shared" si="9"/>
        <v/>
      </c>
      <c r="L16" s="65" t="str">
        <f t="shared" si="10"/>
        <v/>
      </c>
      <c r="M16" s="77" t="str">
        <f t="shared" si="11"/>
        <v/>
      </c>
      <c r="N16" s="78">
        <f t="shared" si="13"/>
        <v>0</v>
      </c>
      <c r="O16" s="79" t="str">
        <f t="shared" si="0"/>
        <v/>
      </c>
      <c r="P16" s="79" t="str">
        <f>IF(TEXT(B16,"aaa")="日","法休日",IF(OR(TEXT(B16,"aaa")="土",ISNUMBER(MATCH(B16,祝日リスト!$B$2:$B$30,0))),"所休日",""))</f>
        <v>所休日</v>
      </c>
      <c r="Q16" s="80" t="s">
        <v>10</v>
      </c>
      <c r="R16" s="82"/>
      <c r="S16" s="104" t="str">
        <f t="shared" si="1"/>
        <v/>
      </c>
      <c r="T16" s="13">
        <f t="shared" si="2"/>
        <v>0</v>
      </c>
      <c r="U16" s="14">
        <f t="shared" si="2"/>
        <v>0</v>
      </c>
      <c r="V16" s="7" t="str">
        <f t="shared" si="3"/>
        <v/>
      </c>
      <c r="W16" s="15" t="str">
        <f t="shared" si="12"/>
        <v/>
      </c>
    </row>
    <row r="17" spans="1:23">
      <c r="A17" s="11"/>
      <c r="B17" s="12">
        <f>$A$6+11</f>
        <v>44997</v>
      </c>
      <c r="C17" s="2" t="str">
        <f>IF(ISNUMBER(MATCH(B17,祝日リスト!$B$2:$B$33,0)),"(" &amp; TEXT(B17,"aaa") &amp; ")",TEXT(B17,"aaa"))</f>
        <v>日</v>
      </c>
      <c r="D17" s="68"/>
      <c r="E17" s="68"/>
      <c r="F17" s="73" t="str">
        <f t="shared" si="4"/>
        <v/>
      </c>
      <c r="G17" s="65" t="str">
        <f t="shared" si="5"/>
        <v/>
      </c>
      <c r="H17" s="65" t="str">
        <f t="shared" si="6"/>
        <v/>
      </c>
      <c r="I17" s="65" t="str">
        <f t="shared" si="7"/>
        <v/>
      </c>
      <c r="J17" s="65" t="str">
        <f t="shared" si="8"/>
        <v/>
      </c>
      <c r="K17" s="65" t="str">
        <f t="shared" si="9"/>
        <v/>
      </c>
      <c r="L17" s="65" t="str">
        <f t="shared" si="10"/>
        <v/>
      </c>
      <c r="M17" s="77" t="str">
        <f t="shared" si="11"/>
        <v/>
      </c>
      <c r="N17" s="78">
        <f t="shared" si="13"/>
        <v>0</v>
      </c>
      <c r="O17" s="79" t="str">
        <f t="shared" si="0"/>
        <v/>
      </c>
      <c r="P17" s="79" t="str">
        <f>IF(TEXT(B17,"aaa")="日","法休日",IF(OR(TEXT(B17,"aaa")="土",ISNUMBER(MATCH(B17,祝日リスト!$B$2:$B$30,0))),"所休日",""))</f>
        <v>法休日</v>
      </c>
      <c r="Q17" s="80" t="s">
        <v>10</v>
      </c>
      <c r="R17" s="82"/>
      <c r="S17" s="104" t="str">
        <f t="shared" si="1"/>
        <v/>
      </c>
      <c r="T17" s="13">
        <f t="shared" si="2"/>
        <v>0</v>
      </c>
      <c r="U17" s="14">
        <f t="shared" si="2"/>
        <v>0</v>
      </c>
      <c r="V17" s="7" t="str">
        <f t="shared" si="3"/>
        <v/>
      </c>
      <c r="W17" s="15" t="str">
        <f t="shared" si="12"/>
        <v/>
      </c>
    </row>
    <row r="18" spans="1:23">
      <c r="A18" s="11"/>
      <c r="B18" s="12">
        <f>$A$6+12</f>
        <v>44998</v>
      </c>
      <c r="C18" s="2" t="str">
        <f>IF(ISNUMBER(MATCH(B18,祝日リスト!$B$2:$B$33,0)),"(" &amp; TEXT(B18,"aaa") &amp; ")",TEXT(B18,"aaa"))</f>
        <v>月</v>
      </c>
      <c r="D18" s="68"/>
      <c r="E18" s="68"/>
      <c r="F18" s="73">
        <f t="shared" si="4"/>
        <v>4.1666666666666664E-2</v>
      </c>
      <c r="G18" s="65" t="str">
        <f t="shared" si="5"/>
        <v/>
      </c>
      <c r="H18" s="65" t="str">
        <f t="shared" si="6"/>
        <v/>
      </c>
      <c r="I18" s="65" t="str">
        <f t="shared" si="7"/>
        <v/>
      </c>
      <c r="J18" s="65" t="str">
        <f t="shared" si="8"/>
        <v/>
      </c>
      <c r="K18" s="65" t="str">
        <f t="shared" si="9"/>
        <v/>
      </c>
      <c r="L18" s="65" t="str">
        <f t="shared" si="10"/>
        <v/>
      </c>
      <c r="M18" s="77" t="str">
        <f t="shared" si="11"/>
        <v/>
      </c>
      <c r="N18" s="78">
        <f t="shared" si="13"/>
        <v>0</v>
      </c>
      <c r="O18" s="79" t="str">
        <f t="shared" si="0"/>
        <v>○</v>
      </c>
      <c r="P18" s="79" t="str">
        <f>IF(TEXT(B18,"aaa")="日","法休日",IF(OR(TEXT(B18,"aaa")="土",ISNUMBER(MATCH(B18,祝日リスト!$B$2:$B$30,0))),"所休日",""))</f>
        <v/>
      </c>
      <c r="Q18" s="80" t="s">
        <v>10</v>
      </c>
      <c r="R18" s="82"/>
      <c r="S18" s="104" t="str">
        <f t="shared" si="1"/>
        <v/>
      </c>
      <c r="T18" s="13">
        <f t="shared" si="2"/>
        <v>0</v>
      </c>
      <c r="U18" s="14">
        <f t="shared" si="2"/>
        <v>0</v>
      </c>
      <c r="V18" s="7">
        <f t="shared" si="3"/>
        <v>4.1666666666666664E-2</v>
      </c>
      <c r="W18" s="15" t="str">
        <f t="shared" si="12"/>
        <v/>
      </c>
    </row>
    <row r="19" spans="1:23">
      <c r="A19" s="11"/>
      <c r="B19" s="12">
        <f>$A$6+13</f>
        <v>44999</v>
      </c>
      <c r="C19" s="2" t="str">
        <f>IF(ISNUMBER(MATCH(B19,祝日リスト!$B$2:$B$33,0)),"(" &amp; TEXT(B19,"aaa") &amp; ")",TEXT(B19,"aaa"))</f>
        <v>火</v>
      </c>
      <c r="D19" s="68"/>
      <c r="E19" s="68"/>
      <c r="F19" s="73">
        <f t="shared" si="4"/>
        <v>4.1666666666666664E-2</v>
      </c>
      <c r="G19" s="65" t="str">
        <f t="shared" si="5"/>
        <v/>
      </c>
      <c r="H19" s="65" t="str">
        <f t="shared" si="6"/>
        <v/>
      </c>
      <c r="I19" s="65" t="str">
        <f t="shared" si="7"/>
        <v/>
      </c>
      <c r="J19" s="65" t="str">
        <f t="shared" si="8"/>
        <v/>
      </c>
      <c r="K19" s="65" t="str">
        <f t="shared" si="9"/>
        <v/>
      </c>
      <c r="L19" s="65" t="str">
        <f t="shared" si="10"/>
        <v/>
      </c>
      <c r="M19" s="77" t="str">
        <f t="shared" si="11"/>
        <v/>
      </c>
      <c r="N19" s="78">
        <f t="shared" si="13"/>
        <v>0</v>
      </c>
      <c r="O19" s="79" t="str">
        <f t="shared" si="0"/>
        <v>○</v>
      </c>
      <c r="P19" s="79" t="str">
        <f>IF(TEXT(B19,"aaa")="日","法休日",IF(OR(TEXT(B19,"aaa")="土",ISNUMBER(MATCH(B19,祝日リスト!$B$2:$B$30,0))),"所休日",""))</f>
        <v/>
      </c>
      <c r="Q19" s="80" t="s">
        <v>10</v>
      </c>
      <c r="R19" s="82"/>
      <c r="S19" s="104" t="str">
        <f t="shared" si="1"/>
        <v/>
      </c>
      <c r="T19" s="13">
        <f t="shared" si="2"/>
        <v>0</v>
      </c>
      <c r="U19" s="14">
        <f t="shared" si="2"/>
        <v>0</v>
      </c>
      <c r="V19" s="7">
        <f t="shared" si="3"/>
        <v>4.1666666666666664E-2</v>
      </c>
      <c r="W19" s="15" t="str">
        <f t="shared" si="12"/>
        <v/>
      </c>
    </row>
    <row r="20" spans="1:23">
      <c r="A20" s="11"/>
      <c r="B20" s="12">
        <f>$A$6+14</f>
        <v>45000</v>
      </c>
      <c r="C20" s="2" t="str">
        <f>IF(ISNUMBER(MATCH(B20,祝日リスト!$B$2:$B$33,0)),"(" &amp; TEXT(B20,"aaa") &amp; ")",TEXT(B20,"aaa"))</f>
        <v>水</v>
      </c>
      <c r="D20" s="68"/>
      <c r="E20" s="68"/>
      <c r="F20" s="73">
        <f t="shared" si="4"/>
        <v>4.1666666666666664E-2</v>
      </c>
      <c r="G20" s="65" t="str">
        <f t="shared" si="5"/>
        <v/>
      </c>
      <c r="H20" s="65" t="str">
        <f t="shared" si="6"/>
        <v/>
      </c>
      <c r="I20" s="65" t="str">
        <f t="shared" si="7"/>
        <v/>
      </c>
      <c r="J20" s="65" t="str">
        <f t="shared" si="8"/>
        <v/>
      </c>
      <c r="K20" s="65" t="str">
        <f t="shared" si="9"/>
        <v/>
      </c>
      <c r="L20" s="65" t="str">
        <f t="shared" si="10"/>
        <v/>
      </c>
      <c r="M20" s="77" t="str">
        <f t="shared" si="11"/>
        <v/>
      </c>
      <c r="N20" s="78">
        <f t="shared" si="13"/>
        <v>0</v>
      </c>
      <c r="O20" s="79" t="str">
        <f t="shared" si="0"/>
        <v>○</v>
      </c>
      <c r="P20" s="79" t="str">
        <f>IF(TEXT(B20,"aaa")="日","法休日",IF(OR(TEXT(B20,"aaa")="土",ISNUMBER(MATCH(B20,祝日リスト!$B$2:$B$30,0))),"所休日",""))</f>
        <v/>
      </c>
      <c r="Q20" s="80" t="s">
        <v>10</v>
      </c>
      <c r="R20" s="82"/>
      <c r="S20" s="104" t="str">
        <f t="shared" si="1"/>
        <v/>
      </c>
      <c r="T20" s="13">
        <f t="shared" si="2"/>
        <v>0</v>
      </c>
      <c r="U20" s="14">
        <f t="shared" si="2"/>
        <v>0</v>
      </c>
      <c r="V20" s="7">
        <f t="shared" si="3"/>
        <v>4.1666666666666664E-2</v>
      </c>
      <c r="W20" s="15" t="str">
        <f t="shared" si="12"/>
        <v/>
      </c>
    </row>
    <row r="21" spans="1:23">
      <c r="A21" s="11"/>
      <c r="B21" s="12">
        <f>$A$6+15</f>
        <v>45001</v>
      </c>
      <c r="C21" s="2" t="str">
        <f>IF(ISNUMBER(MATCH(B21,祝日リスト!$B$2:$B$33,0)),"(" &amp; TEXT(B21,"aaa") &amp; ")",TEXT(B21,"aaa"))</f>
        <v>木</v>
      </c>
      <c r="D21" s="68"/>
      <c r="E21" s="68"/>
      <c r="F21" s="73">
        <f t="shared" si="4"/>
        <v>4.1666666666666664E-2</v>
      </c>
      <c r="G21" s="65" t="str">
        <f t="shared" si="5"/>
        <v/>
      </c>
      <c r="H21" s="65" t="str">
        <f t="shared" si="6"/>
        <v/>
      </c>
      <c r="I21" s="65" t="str">
        <f t="shared" si="7"/>
        <v/>
      </c>
      <c r="J21" s="65" t="str">
        <f t="shared" si="8"/>
        <v/>
      </c>
      <c r="K21" s="65" t="str">
        <f t="shared" si="9"/>
        <v/>
      </c>
      <c r="L21" s="65" t="str">
        <f t="shared" si="10"/>
        <v/>
      </c>
      <c r="M21" s="77" t="str">
        <f t="shared" si="11"/>
        <v/>
      </c>
      <c r="N21" s="78">
        <f t="shared" si="13"/>
        <v>0</v>
      </c>
      <c r="O21" s="79" t="str">
        <f t="shared" si="0"/>
        <v>○</v>
      </c>
      <c r="P21" s="79" t="str">
        <f>IF(TEXT(B21,"aaa")="日","法休日",IF(OR(TEXT(B21,"aaa")="土",ISNUMBER(MATCH(B21,祝日リスト!$B$2:$B$30,0))),"所休日",""))</f>
        <v/>
      </c>
      <c r="Q21" s="80" t="s">
        <v>10</v>
      </c>
      <c r="R21" s="82"/>
      <c r="S21" s="104" t="str">
        <f t="shared" si="1"/>
        <v/>
      </c>
      <c r="T21" s="13">
        <f t="shared" si="2"/>
        <v>0</v>
      </c>
      <c r="U21" s="14">
        <f t="shared" si="2"/>
        <v>0</v>
      </c>
      <c r="V21" s="7">
        <f t="shared" si="3"/>
        <v>4.1666666666666664E-2</v>
      </c>
      <c r="W21" s="15" t="str">
        <f t="shared" si="12"/>
        <v/>
      </c>
    </row>
    <row r="22" spans="1:23">
      <c r="A22" s="11"/>
      <c r="B22" s="12">
        <f>$A$6+16</f>
        <v>45002</v>
      </c>
      <c r="C22" s="2" t="str">
        <f>IF(ISNUMBER(MATCH(B22,祝日リスト!$B$2:$B$33,0)),"(" &amp; TEXT(B22,"aaa") &amp; ")",TEXT(B22,"aaa"))</f>
        <v>金</v>
      </c>
      <c r="D22" s="68"/>
      <c r="E22" s="68"/>
      <c r="F22" s="73">
        <f t="shared" si="4"/>
        <v>4.1666666666666664E-2</v>
      </c>
      <c r="G22" s="65" t="str">
        <f t="shared" si="5"/>
        <v/>
      </c>
      <c r="H22" s="65" t="str">
        <f t="shared" si="6"/>
        <v/>
      </c>
      <c r="I22" s="65" t="str">
        <f t="shared" si="7"/>
        <v/>
      </c>
      <c r="J22" s="65" t="str">
        <f t="shared" si="8"/>
        <v/>
      </c>
      <c r="K22" s="65" t="str">
        <f t="shared" si="9"/>
        <v/>
      </c>
      <c r="L22" s="65" t="str">
        <f t="shared" si="10"/>
        <v/>
      </c>
      <c r="M22" s="77" t="str">
        <f t="shared" si="11"/>
        <v/>
      </c>
      <c r="N22" s="78">
        <f t="shared" si="13"/>
        <v>0</v>
      </c>
      <c r="O22" s="79" t="str">
        <f t="shared" si="0"/>
        <v>○</v>
      </c>
      <c r="P22" s="79" t="str">
        <f>IF(TEXT(B22,"aaa")="日","法休日",IF(OR(TEXT(B22,"aaa")="土",ISNUMBER(MATCH(B22,祝日リスト!$B$2:$B$30,0))),"所休日",""))</f>
        <v/>
      </c>
      <c r="Q22" s="80" t="s">
        <v>10</v>
      </c>
      <c r="R22" s="82"/>
      <c r="S22" s="104" t="str">
        <f t="shared" si="1"/>
        <v/>
      </c>
      <c r="T22" s="13">
        <f t="shared" si="2"/>
        <v>0</v>
      </c>
      <c r="U22" s="14">
        <f t="shared" si="2"/>
        <v>0</v>
      </c>
      <c r="V22" s="7">
        <f t="shared" si="3"/>
        <v>4.1666666666666664E-2</v>
      </c>
      <c r="W22" s="15" t="str">
        <f t="shared" si="12"/>
        <v/>
      </c>
    </row>
    <row r="23" spans="1:23">
      <c r="A23" s="11"/>
      <c r="B23" s="12">
        <f>$A$6+17</f>
        <v>45003</v>
      </c>
      <c r="C23" s="2" t="str">
        <f>IF(ISNUMBER(MATCH(B23,祝日リスト!$B$2:$B$33,0)),"(" &amp; TEXT(B23,"aaa") &amp; ")",TEXT(B23,"aaa"))</f>
        <v>土</v>
      </c>
      <c r="D23" s="68"/>
      <c r="E23" s="68"/>
      <c r="F23" s="73" t="str">
        <f t="shared" si="4"/>
        <v/>
      </c>
      <c r="G23" s="65" t="str">
        <f t="shared" si="5"/>
        <v/>
      </c>
      <c r="H23" s="65" t="str">
        <f t="shared" si="6"/>
        <v/>
      </c>
      <c r="I23" s="65" t="str">
        <f t="shared" si="7"/>
        <v/>
      </c>
      <c r="J23" s="65" t="str">
        <f t="shared" si="8"/>
        <v/>
      </c>
      <c r="K23" s="65" t="str">
        <f t="shared" si="9"/>
        <v/>
      </c>
      <c r="L23" s="65" t="str">
        <f t="shared" si="10"/>
        <v/>
      </c>
      <c r="M23" s="77" t="str">
        <f t="shared" si="11"/>
        <v/>
      </c>
      <c r="N23" s="78">
        <f t="shared" si="13"/>
        <v>0</v>
      </c>
      <c r="O23" s="79" t="str">
        <f t="shared" si="0"/>
        <v/>
      </c>
      <c r="P23" s="79" t="str">
        <f>IF(TEXT(B23,"aaa")="日","法休日",IF(OR(TEXT(B23,"aaa")="土",ISNUMBER(MATCH(B23,祝日リスト!$B$2:$B$30,0))),"所休日",""))</f>
        <v>所休日</v>
      </c>
      <c r="Q23" s="80" t="s">
        <v>10</v>
      </c>
      <c r="R23" s="82"/>
      <c r="S23" s="104" t="str">
        <f t="shared" si="1"/>
        <v/>
      </c>
      <c r="T23" s="13">
        <f t="shared" si="2"/>
        <v>0</v>
      </c>
      <c r="U23" s="14">
        <f t="shared" si="2"/>
        <v>0</v>
      </c>
      <c r="V23" s="7" t="str">
        <f t="shared" si="3"/>
        <v/>
      </c>
      <c r="W23" s="15" t="str">
        <f t="shared" si="12"/>
        <v/>
      </c>
    </row>
    <row r="24" spans="1:23">
      <c r="A24" s="11"/>
      <c r="B24" s="12">
        <f>$A$6+18</f>
        <v>45004</v>
      </c>
      <c r="C24" s="2" t="str">
        <f>IF(ISNUMBER(MATCH(B24,祝日リスト!$B$2:$B$33,0)),"(" &amp; TEXT(B24,"aaa") &amp; ")",TEXT(B24,"aaa"))</f>
        <v>日</v>
      </c>
      <c r="D24" s="68"/>
      <c r="E24" s="68"/>
      <c r="F24" s="73" t="str">
        <f t="shared" si="4"/>
        <v/>
      </c>
      <c r="G24" s="65" t="str">
        <f t="shared" si="5"/>
        <v/>
      </c>
      <c r="H24" s="65" t="str">
        <f t="shared" si="6"/>
        <v/>
      </c>
      <c r="I24" s="65" t="str">
        <f t="shared" si="7"/>
        <v/>
      </c>
      <c r="J24" s="65" t="str">
        <f t="shared" si="8"/>
        <v/>
      </c>
      <c r="K24" s="65" t="str">
        <f t="shared" si="9"/>
        <v/>
      </c>
      <c r="L24" s="65" t="str">
        <f t="shared" si="10"/>
        <v/>
      </c>
      <c r="M24" s="77" t="str">
        <f t="shared" si="11"/>
        <v/>
      </c>
      <c r="N24" s="78">
        <f t="shared" si="13"/>
        <v>0</v>
      </c>
      <c r="O24" s="79" t="str">
        <f t="shared" si="0"/>
        <v/>
      </c>
      <c r="P24" s="79" t="str">
        <f>IF(TEXT(B24,"aaa")="日","法休日",IF(OR(TEXT(B24,"aaa")="土",ISNUMBER(MATCH(B24,祝日リスト!$B$2:$B$30,0))),"所休日",""))</f>
        <v>法休日</v>
      </c>
      <c r="Q24" s="80" t="s">
        <v>10</v>
      </c>
      <c r="R24" s="82"/>
      <c r="S24" s="104" t="str">
        <f t="shared" si="1"/>
        <v/>
      </c>
      <c r="T24" s="13">
        <f t="shared" si="2"/>
        <v>0</v>
      </c>
      <c r="U24" s="14">
        <f t="shared" si="2"/>
        <v>0</v>
      </c>
      <c r="V24" s="7" t="str">
        <f t="shared" si="3"/>
        <v/>
      </c>
      <c r="W24" s="15" t="str">
        <f t="shared" si="12"/>
        <v/>
      </c>
    </row>
    <row r="25" spans="1:23">
      <c r="A25" s="11"/>
      <c r="B25" s="12">
        <f>$A$6+19</f>
        <v>45005</v>
      </c>
      <c r="C25" s="2" t="str">
        <f>IF(ISNUMBER(MATCH(B25,祝日リスト!$B$2:$B$33,0)),"(" &amp; TEXT(B25,"aaa") &amp; ")",TEXT(B25,"aaa"))</f>
        <v>月</v>
      </c>
      <c r="D25" s="68"/>
      <c r="E25" s="68"/>
      <c r="F25" s="73">
        <f t="shared" si="4"/>
        <v>4.1666666666666664E-2</v>
      </c>
      <c r="G25" s="65" t="str">
        <f t="shared" si="5"/>
        <v/>
      </c>
      <c r="H25" s="65" t="str">
        <f t="shared" si="6"/>
        <v/>
      </c>
      <c r="I25" s="65" t="str">
        <f t="shared" si="7"/>
        <v/>
      </c>
      <c r="J25" s="65" t="str">
        <f t="shared" si="8"/>
        <v/>
      </c>
      <c r="K25" s="65" t="str">
        <f t="shared" si="9"/>
        <v/>
      </c>
      <c r="L25" s="65" t="str">
        <f t="shared" si="10"/>
        <v/>
      </c>
      <c r="M25" s="77" t="str">
        <f t="shared" si="11"/>
        <v/>
      </c>
      <c r="N25" s="78">
        <f t="shared" si="13"/>
        <v>0</v>
      </c>
      <c r="O25" s="79" t="str">
        <f t="shared" si="0"/>
        <v>○</v>
      </c>
      <c r="P25" s="79" t="str">
        <f>IF(TEXT(B25,"aaa")="日","法休日",IF(OR(TEXT(B25,"aaa")="土",ISNUMBER(MATCH(B25,祝日リスト!$B$2:$B$30,0))),"所休日",""))</f>
        <v/>
      </c>
      <c r="Q25" s="80" t="s">
        <v>10</v>
      </c>
      <c r="R25" s="82"/>
      <c r="S25" s="104" t="str">
        <f t="shared" si="1"/>
        <v/>
      </c>
      <c r="T25" s="13">
        <f t="shared" si="2"/>
        <v>0</v>
      </c>
      <c r="U25" s="14">
        <f t="shared" si="2"/>
        <v>0</v>
      </c>
      <c r="V25" s="7">
        <f t="shared" si="3"/>
        <v>4.1666666666666664E-2</v>
      </c>
      <c r="W25" s="15" t="str">
        <f t="shared" si="12"/>
        <v/>
      </c>
    </row>
    <row r="26" spans="1:23">
      <c r="A26" s="11"/>
      <c r="B26" s="12">
        <f>$A$6+20</f>
        <v>45006</v>
      </c>
      <c r="C26" s="2" t="str">
        <f>IF(ISNUMBER(MATCH(B26,祝日リスト!$B$2:$B$33,0)),"(" &amp; TEXT(B26,"aaa") &amp; ")",TEXT(B26,"aaa"))</f>
        <v>(火)</v>
      </c>
      <c r="D26" s="68"/>
      <c r="E26" s="68"/>
      <c r="F26" s="73" t="str">
        <f t="shared" si="4"/>
        <v/>
      </c>
      <c r="G26" s="65" t="str">
        <f t="shared" si="5"/>
        <v/>
      </c>
      <c r="H26" s="65" t="str">
        <f t="shared" si="6"/>
        <v/>
      </c>
      <c r="I26" s="65" t="str">
        <f t="shared" si="7"/>
        <v/>
      </c>
      <c r="J26" s="65" t="str">
        <f t="shared" si="8"/>
        <v/>
      </c>
      <c r="K26" s="65" t="str">
        <f t="shared" si="9"/>
        <v/>
      </c>
      <c r="L26" s="65" t="str">
        <f t="shared" si="10"/>
        <v/>
      </c>
      <c r="M26" s="77" t="str">
        <f t="shared" si="11"/>
        <v/>
      </c>
      <c r="N26" s="78">
        <f t="shared" si="13"/>
        <v>0</v>
      </c>
      <c r="O26" s="79" t="str">
        <f t="shared" si="0"/>
        <v/>
      </c>
      <c r="P26" s="79" t="str">
        <f>IF(TEXT(B26,"aaa")="日","法休日",IF(OR(TEXT(B26,"aaa")="土",ISNUMBER(MATCH(B26,祝日リスト!$B$2:$B$30,0))),"所休日",""))</f>
        <v>所休日</v>
      </c>
      <c r="Q26" s="80" t="s">
        <v>10</v>
      </c>
      <c r="R26" s="82"/>
      <c r="S26" s="104" t="str">
        <f t="shared" si="1"/>
        <v/>
      </c>
      <c r="T26" s="13">
        <f t="shared" si="2"/>
        <v>0</v>
      </c>
      <c r="U26" s="14">
        <f t="shared" si="2"/>
        <v>0</v>
      </c>
      <c r="V26" s="7" t="str">
        <f t="shared" si="3"/>
        <v/>
      </c>
      <c r="W26" s="15" t="str">
        <f t="shared" si="12"/>
        <v/>
      </c>
    </row>
    <row r="27" spans="1:23">
      <c r="A27" s="11"/>
      <c r="B27" s="12">
        <f>$A$6+21</f>
        <v>45007</v>
      </c>
      <c r="C27" s="2" t="str">
        <f>IF(ISNUMBER(MATCH(B27,祝日リスト!$B$2:$B$33,0)),"(" &amp; TEXT(B27,"aaa") &amp; ")",TEXT(B27,"aaa"))</f>
        <v>水</v>
      </c>
      <c r="D27" s="68"/>
      <c r="E27" s="68"/>
      <c r="F27" s="73">
        <f t="shared" si="4"/>
        <v>4.1666666666666664E-2</v>
      </c>
      <c r="G27" s="65" t="str">
        <f t="shared" si="5"/>
        <v/>
      </c>
      <c r="H27" s="65" t="str">
        <f t="shared" si="6"/>
        <v/>
      </c>
      <c r="I27" s="65" t="str">
        <f t="shared" si="7"/>
        <v/>
      </c>
      <c r="J27" s="65" t="str">
        <f t="shared" si="8"/>
        <v/>
      </c>
      <c r="K27" s="65" t="str">
        <f t="shared" si="9"/>
        <v/>
      </c>
      <c r="L27" s="65" t="str">
        <f t="shared" si="10"/>
        <v/>
      </c>
      <c r="M27" s="77" t="str">
        <f t="shared" si="11"/>
        <v/>
      </c>
      <c r="N27" s="78">
        <f t="shared" si="13"/>
        <v>0</v>
      </c>
      <c r="O27" s="79" t="str">
        <f t="shared" si="0"/>
        <v>○</v>
      </c>
      <c r="P27" s="79" t="str">
        <f>IF(TEXT(B27,"aaa")="日","法休日",IF(OR(TEXT(B27,"aaa")="土",ISNUMBER(MATCH(B27,祝日リスト!$B$2:$B$30,0))),"所休日",""))</f>
        <v/>
      </c>
      <c r="Q27" s="80" t="s">
        <v>10</v>
      </c>
      <c r="R27" s="82"/>
      <c r="S27" s="104" t="str">
        <f t="shared" si="1"/>
        <v/>
      </c>
      <c r="T27" s="13">
        <f t="shared" si="2"/>
        <v>0</v>
      </c>
      <c r="U27" s="14">
        <f t="shared" si="2"/>
        <v>0</v>
      </c>
      <c r="V27" s="7">
        <f t="shared" si="3"/>
        <v>4.1666666666666664E-2</v>
      </c>
      <c r="W27" s="15" t="str">
        <f t="shared" si="12"/>
        <v/>
      </c>
    </row>
    <row r="28" spans="1:23">
      <c r="A28" s="11"/>
      <c r="B28" s="12">
        <f>$A$6+22</f>
        <v>45008</v>
      </c>
      <c r="C28" s="2" t="str">
        <f>IF(ISNUMBER(MATCH(B28,祝日リスト!$B$2:$B$33,0)),"(" &amp; TEXT(B28,"aaa") &amp; ")",TEXT(B28,"aaa"))</f>
        <v>木</v>
      </c>
      <c r="D28" s="68"/>
      <c r="E28" s="68"/>
      <c r="F28" s="73">
        <f t="shared" si="4"/>
        <v>4.1666666666666664E-2</v>
      </c>
      <c r="G28" s="65" t="str">
        <f t="shared" si="5"/>
        <v/>
      </c>
      <c r="H28" s="65" t="str">
        <f t="shared" si="6"/>
        <v/>
      </c>
      <c r="I28" s="65" t="str">
        <f t="shared" si="7"/>
        <v/>
      </c>
      <c r="J28" s="65" t="str">
        <f t="shared" si="8"/>
        <v/>
      </c>
      <c r="K28" s="65" t="str">
        <f t="shared" si="9"/>
        <v/>
      </c>
      <c r="L28" s="65" t="str">
        <f t="shared" si="10"/>
        <v/>
      </c>
      <c r="M28" s="77" t="str">
        <f t="shared" si="11"/>
        <v/>
      </c>
      <c r="N28" s="78">
        <f t="shared" si="13"/>
        <v>0</v>
      </c>
      <c r="O28" s="79" t="str">
        <f t="shared" si="0"/>
        <v>○</v>
      </c>
      <c r="P28" s="79" t="str">
        <f>IF(TEXT(B28,"aaa")="日","法休日",IF(OR(TEXT(B28,"aaa")="土",ISNUMBER(MATCH(B28,祝日リスト!$B$2:$B$30,0))),"所休日",""))</f>
        <v/>
      </c>
      <c r="Q28" s="80" t="s">
        <v>10</v>
      </c>
      <c r="R28" s="82"/>
      <c r="S28" s="104" t="str">
        <f t="shared" si="1"/>
        <v/>
      </c>
      <c r="T28" s="13">
        <f t="shared" si="2"/>
        <v>0</v>
      </c>
      <c r="U28" s="14">
        <f t="shared" si="2"/>
        <v>0</v>
      </c>
      <c r="V28" s="7">
        <f t="shared" si="3"/>
        <v>4.1666666666666664E-2</v>
      </c>
      <c r="W28" s="15" t="str">
        <f t="shared" si="12"/>
        <v/>
      </c>
    </row>
    <row r="29" spans="1:23">
      <c r="A29" s="11"/>
      <c r="B29" s="12">
        <f>$A$6+23</f>
        <v>45009</v>
      </c>
      <c r="C29" s="2" t="str">
        <f>IF(ISNUMBER(MATCH(B29,祝日リスト!$B$2:$B$33,0)),"(" &amp; TEXT(B29,"aaa") &amp; ")",TEXT(B29,"aaa"))</f>
        <v>金</v>
      </c>
      <c r="D29" s="68"/>
      <c r="E29" s="68"/>
      <c r="F29" s="73">
        <f t="shared" si="4"/>
        <v>4.1666666666666664E-2</v>
      </c>
      <c r="G29" s="65" t="str">
        <f t="shared" si="5"/>
        <v/>
      </c>
      <c r="H29" s="65" t="str">
        <f t="shared" si="6"/>
        <v/>
      </c>
      <c r="I29" s="65" t="str">
        <f t="shared" si="7"/>
        <v/>
      </c>
      <c r="J29" s="65" t="str">
        <f t="shared" si="8"/>
        <v/>
      </c>
      <c r="K29" s="65" t="str">
        <f t="shared" si="9"/>
        <v/>
      </c>
      <c r="L29" s="65" t="str">
        <f t="shared" si="10"/>
        <v/>
      </c>
      <c r="M29" s="77" t="str">
        <f t="shared" si="11"/>
        <v/>
      </c>
      <c r="N29" s="78">
        <f t="shared" si="13"/>
        <v>0</v>
      </c>
      <c r="O29" s="79" t="str">
        <f t="shared" si="0"/>
        <v>○</v>
      </c>
      <c r="P29" s="79" t="str">
        <f>IF(TEXT(B29,"aaa")="日","法休日",IF(OR(TEXT(B29,"aaa")="土",ISNUMBER(MATCH(B29,祝日リスト!$B$2:$B$30,0))),"所休日",""))</f>
        <v/>
      </c>
      <c r="Q29" s="80" t="s">
        <v>10</v>
      </c>
      <c r="R29" s="82"/>
      <c r="S29" s="104" t="str">
        <f t="shared" si="1"/>
        <v/>
      </c>
      <c r="T29" s="13">
        <f t="shared" si="2"/>
        <v>0</v>
      </c>
      <c r="U29" s="14">
        <f t="shared" si="2"/>
        <v>0</v>
      </c>
      <c r="V29" s="7">
        <f t="shared" si="3"/>
        <v>4.1666666666666664E-2</v>
      </c>
      <c r="W29" s="15" t="str">
        <f t="shared" si="12"/>
        <v/>
      </c>
    </row>
    <row r="30" spans="1:23">
      <c r="A30" s="11"/>
      <c r="B30" s="12">
        <f>$A$6+24</f>
        <v>45010</v>
      </c>
      <c r="C30" s="2" t="str">
        <f>IF(ISNUMBER(MATCH(B30,祝日リスト!$B$2:$B$33,0)),"(" &amp; TEXT(B30,"aaa") &amp; ")",TEXT(B30,"aaa"))</f>
        <v>土</v>
      </c>
      <c r="D30" s="68"/>
      <c r="E30" s="68"/>
      <c r="F30" s="73" t="str">
        <f t="shared" si="4"/>
        <v/>
      </c>
      <c r="G30" s="65" t="str">
        <f t="shared" si="5"/>
        <v/>
      </c>
      <c r="H30" s="65" t="str">
        <f t="shared" si="6"/>
        <v/>
      </c>
      <c r="I30" s="65" t="str">
        <f t="shared" si="7"/>
        <v/>
      </c>
      <c r="J30" s="65" t="str">
        <f t="shared" si="8"/>
        <v/>
      </c>
      <c r="K30" s="65" t="str">
        <f t="shared" si="9"/>
        <v/>
      </c>
      <c r="L30" s="65" t="str">
        <f t="shared" si="10"/>
        <v/>
      </c>
      <c r="M30" s="77" t="str">
        <f t="shared" si="11"/>
        <v/>
      </c>
      <c r="N30" s="78">
        <f t="shared" si="13"/>
        <v>0</v>
      </c>
      <c r="O30" s="79" t="str">
        <f t="shared" si="0"/>
        <v/>
      </c>
      <c r="P30" s="79" t="str">
        <f>IF(TEXT(B30,"aaa")="日","法休日",IF(OR(TEXT(B30,"aaa")="土",ISNUMBER(MATCH(B30,祝日リスト!$B$2:$B$30,0))),"所休日",""))</f>
        <v>所休日</v>
      </c>
      <c r="Q30" s="80" t="s">
        <v>10</v>
      </c>
      <c r="R30" s="82"/>
      <c r="S30" s="104" t="str">
        <f t="shared" si="1"/>
        <v/>
      </c>
      <c r="T30" s="13">
        <f t="shared" si="2"/>
        <v>0</v>
      </c>
      <c r="U30" s="14">
        <f t="shared" si="2"/>
        <v>0</v>
      </c>
      <c r="V30" s="7" t="str">
        <f t="shared" si="3"/>
        <v/>
      </c>
      <c r="W30" s="15" t="str">
        <f t="shared" si="12"/>
        <v/>
      </c>
    </row>
    <row r="31" spans="1:23">
      <c r="A31" s="11"/>
      <c r="B31" s="12">
        <f>$A$6+25</f>
        <v>45011</v>
      </c>
      <c r="C31" s="2" t="str">
        <f>IF(ISNUMBER(MATCH(B31,祝日リスト!$B$2:$B$33,0)),"(" &amp; TEXT(B31,"aaa") &amp; ")",TEXT(B31,"aaa"))</f>
        <v>日</v>
      </c>
      <c r="D31" s="68"/>
      <c r="E31" s="68"/>
      <c r="F31" s="73" t="str">
        <f t="shared" si="4"/>
        <v/>
      </c>
      <c r="G31" s="65" t="str">
        <f t="shared" si="5"/>
        <v/>
      </c>
      <c r="H31" s="65" t="str">
        <f t="shared" si="6"/>
        <v/>
      </c>
      <c r="I31" s="65" t="str">
        <f t="shared" si="7"/>
        <v/>
      </c>
      <c r="J31" s="65" t="str">
        <f t="shared" si="8"/>
        <v/>
      </c>
      <c r="K31" s="65" t="str">
        <f t="shared" si="9"/>
        <v/>
      </c>
      <c r="L31" s="65" t="str">
        <f t="shared" si="10"/>
        <v/>
      </c>
      <c r="M31" s="77" t="str">
        <f t="shared" si="11"/>
        <v/>
      </c>
      <c r="N31" s="78">
        <f t="shared" si="13"/>
        <v>0</v>
      </c>
      <c r="O31" s="79" t="str">
        <f t="shared" si="0"/>
        <v/>
      </c>
      <c r="P31" s="79" t="str">
        <f>IF(TEXT(B31,"aaa")="日","法休日",IF(OR(TEXT(B31,"aaa")="土",ISNUMBER(MATCH(B31,祝日リスト!$B$2:$B$30,0))),"所休日",""))</f>
        <v>法休日</v>
      </c>
      <c r="Q31" s="80" t="s">
        <v>10</v>
      </c>
      <c r="R31" s="82"/>
      <c r="S31" s="104" t="str">
        <f t="shared" si="1"/>
        <v/>
      </c>
      <c r="T31" s="13">
        <f t="shared" si="2"/>
        <v>0</v>
      </c>
      <c r="U31" s="14">
        <f t="shared" si="2"/>
        <v>0</v>
      </c>
      <c r="V31" s="7" t="str">
        <f t="shared" si="3"/>
        <v/>
      </c>
      <c r="W31" s="15" t="str">
        <f t="shared" si="12"/>
        <v/>
      </c>
    </row>
    <row r="32" spans="1:23">
      <c r="A32" s="11"/>
      <c r="B32" s="12">
        <f>$A$6+26</f>
        <v>45012</v>
      </c>
      <c r="C32" s="2" t="str">
        <f>IF(ISNUMBER(MATCH(B32,祝日リスト!$B$2:$B$33,0)),"(" &amp; TEXT(B32,"aaa") &amp; ")",TEXT(B32,"aaa"))</f>
        <v>月</v>
      </c>
      <c r="D32" s="68"/>
      <c r="E32" s="68"/>
      <c r="F32" s="73">
        <f t="shared" si="4"/>
        <v>4.1666666666666664E-2</v>
      </c>
      <c r="G32" s="65" t="str">
        <f t="shared" si="5"/>
        <v/>
      </c>
      <c r="H32" s="65" t="str">
        <f t="shared" si="6"/>
        <v/>
      </c>
      <c r="I32" s="65" t="str">
        <f t="shared" si="7"/>
        <v/>
      </c>
      <c r="J32" s="65" t="str">
        <f t="shared" si="8"/>
        <v/>
      </c>
      <c r="K32" s="65" t="str">
        <f t="shared" si="9"/>
        <v/>
      </c>
      <c r="L32" s="65" t="str">
        <f t="shared" si="10"/>
        <v/>
      </c>
      <c r="M32" s="77" t="str">
        <f t="shared" si="11"/>
        <v/>
      </c>
      <c r="N32" s="78">
        <f t="shared" si="13"/>
        <v>0</v>
      </c>
      <c r="O32" s="79" t="str">
        <f t="shared" si="0"/>
        <v>○</v>
      </c>
      <c r="P32" s="79" t="str">
        <f>IF(TEXT(B32,"aaa")="日","法休日",IF(OR(TEXT(B32,"aaa")="土",ISNUMBER(MATCH(B32,祝日リスト!$B$2:$B$30,0))),"所休日",""))</f>
        <v/>
      </c>
      <c r="Q32" s="80" t="s">
        <v>10</v>
      </c>
      <c r="R32" s="82"/>
      <c r="S32" s="104" t="str">
        <f t="shared" si="1"/>
        <v/>
      </c>
      <c r="T32" s="13">
        <f t="shared" si="2"/>
        <v>0</v>
      </c>
      <c r="U32" s="14">
        <f t="shared" si="2"/>
        <v>0</v>
      </c>
      <c r="V32" s="7">
        <f t="shared" si="3"/>
        <v>4.1666666666666664E-2</v>
      </c>
      <c r="W32" s="15" t="str">
        <f t="shared" si="12"/>
        <v/>
      </c>
    </row>
    <row r="33" spans="1:23">
      <c r="A33" s="11"/>
      <c r="B33" s="12">
        <f>$A$6+27</f>
        <v>45013</v>
      </c>
      <c r="C33" s="2" t="str">
        <f>IF(ISNUMBER(MATCH(B33,祝日リスト!$B$2:$B$33,0)),"(" &amp; TEXT(B33,"aaa") &amp; ")",TEXT(B33,"aaa"))</f>
        <v>火</v>
      </c>
      <c r="D33" s="68"/>
      <c r="E33" s="68"/>
      <c r="F33" s="73">
        <f t="shared" si="4"/>
        <v>4.1666666666666664E-2</v>
      </c>
      <c r="G33" s="65" t="str">
        <f t="shared" si="5"/>
        <v/>
      </c>
      <c r="H33" s="65" t="str">
        <f t="shared" si="6"/>
        <v/>
      </c>
      <c r="I33" s="65" t="str">
        <f t="shared" si="7"/>
        <v/>
      </c>
      <c r="J33" s="65" t="str">
        <f t="shared" si="8"/>
        <v/>
      </c>
      <c r="K33" s="65" t="str">
        <f t="shared" si="9"/>
        <v/>
      </c>
      <c r="L33" s="65" t="str">
        <f t="shared" si="10"/>
        <v/>
      </c>
      <c r="M33" s="77" t="str">
        <f t="shared" si="11"/>
        <v/>
      </c>
      <c r="N33" s="78">
        <f t="shared" si="13"/>
        <v>0</v>
      </c>
      <c r="O33" s="79" t="str">
        <f t="shared" si="0"/>
        <v>○</v>
      </c>
      <c r="P33" s="79" t="str">
        <f>IF(TEXT(B33,"aaa")="日","法休日",IF(OR(TEXT(B33,"aaa")="土",ISNUMBER(MATCH(B33,祝日リスト!$B$2:$B$30,0))),"所休日",""))</f>
        <v/>
      </c>
      <c r="Q33" s="80" t="s">
        <v>10</v>
      </c>
      <c r="R33" s="82"/>
      <c r="S33" s="104" t="str">
        <f t="shared" si="1"/>
        <v/>
      </c>
      <c r="T33" s="13">
        <f t="shared" si="2"/>
        <v>0</v>
      </c>
      <c r="U33" s="14">
        <f t="shared" si="2"/>
        <v>0</v>
      </c>
      <c r="V33" s="7">
        <f t="shared" si="3"/>
        <v>4.1666666666666664E-2</v>
      </c>
      <c r="W33" s="15" t="str">
        <f t="shared" si="12"/>
        <v/>
      </c>
    </row>
    <row r="34" spans="1:23">
      <c r="A34" s="11"/>
      <c r="B34" s="12">
        <f>IF($A$6+28&gt;DATE(YEAR($A$6),MONTH($A$6)+1,0),"",$A$6+28)</f>
        <v>45014</v>
      </c>
      <c r="C34" s="2" t="str">
        <f>IF(ISNUMBER(MATCH(B34,祝日リスト!$B$2:$B$33,0)),"(" &amp; TEXT(B34,"aaa") &amp; ")",TEXT(B34,"aaa"))</f>
        <v>水</v>
      </c>
      <c r="D34" s="68"/>
      <c r="E34" s="68"/>
      <c r="F34" s="73">
        <f t="shared" si="4"/>
        <v>4.1666666666666664E-2</v>
      </c>
      <c r="G34" s="65" t="str">
        <f t="shared" si="5"/>
        <v/>
      </c>
      <c r="H34" s="65" t="str">
        <f t="shared" si="6"/>
        <v/>
      </c>
      <c r="I34" s="65" t="str">
        <f t="shared" si="7"/>
        <v/>
      </c>
      <c r="J34" s="65" t="str">
        <f t="shared" si="8"/>
        <v/>
      </c>
      <c r="K34" s="65" t="str">
        <f t="shared" si="9"/>
        <v/>
      </c>
      <c r="L34" s="65" t="str">
        <f t="shared" si="10"/>
        <v/>
      </c>
      <c r="M34" s="77" t="str">
        <f t="shared" si="11"/>
        <v/>
      </c>
      <c r="N34" s="78">
        <f t="shared" si="13"/>
        <v>0</v>
      </c>
      <c r="O34" s="79" t="str">
        <f t="shared" si="0"/>
        <v>○</v>
      </c>
      <c r="P34" s="79" t="str">
        <f>IF(TEXT(B34,"aaa")="日","法休日",IF(OR(TEXT(B34,"aaa")="土",ISNUMBER(MATCH(B34,祝日リスト!$B$2:$B$30,0))),"所休日",""))</f>
        <v/>
      </c>
      <c r="Q34" s="80" t="s">
        <v>10</v>
      </c>
      <c r="R34" s="82"/>
      <c r="S34" s="104" t="str">
        <f t="shared" si="1"/>
        <v/>
      </c>
      <c r="T34" s="13">
        <f t="shared" si="2"/>
        <v>0</v>
      </c>
      <c r="U34" s="14">
        <f t="shared" si="2"/>
        <v>0</v>
      </c>
      <c r="V34" s="7">
        <f t="shared" si="3"/>
        <v>4.1666666666666664E-2</v>
      </c>
      <c r="W34" s="15" t="str">
        <f t="shared" si="12"/>
        <v/>
      </c>
    </row>
    <row r="35" spans="1:23">
      <c r="A35" s="11"/>
      <c r="B35" s="12">
        <f>IF($A$6+29&gt;DATE(YEAR($A$6),MONTH($A$6)+1,0),"",$A$6+29)</f>
        <v>45015</v>
      </c>
      <c r="C35" s="2" t="str">
        <f>IF(ISNUMBER(MATCH(B35,祝日リスト!$B$2:$B$33,0)),"(" &amp; TEXT(B35,"aaa") &amp; ")",TEXT(B35,"aaa"))</f>
        <v>木</v>
      </c>
      <c r="D35" s="68"/>
      <c r="E35" s="68"/>
      <c r="F35" s="73">
        <f t="shared" si="4"/>
        <v>4.1666666666666664E-2</v>
      </c>
      <c r="G35" s="65" t="str">
        <f t="shared" si="5"/>
        <v/>
      </c>
      <c r="H35" s="65" t="str">
        <f t="shared" si="6"/>
        <v/>
      </c>
      <c r="I35" s="65" t="str">
        <f t="shared" si="7"/>
        <v/>
      </c>
      <c r="J35" s="65" t="str">
        <f t="shared" si="8"/>
        <v/>
      </c>
      <c r="K35" s="65" t="str">
        <f t="shared" si="9"/>
        <v/>
      </c>
      <c r="L35" s="72" t="str">
        <f t="shared" si="10"/>
        <v/>
      </c>
      <c r="M35" s="83" t="str">
        <f t="shared" si="11"/>
        <v/>
      </c>
      <c r="N35" s="84">
        <f t="shared" si="13"/>
        <v>0</v>
      </c>
      <c r="O35" s="85" t="str">
        <f>IF(B35="","",IF(OR(P35="所休日",P35="法休日",,Q35="公休"),"","○"))</f>
        <v>○</v>
      </c>
      <c r="P35" s="79" t="str">
        <f>IF(TEXT(B35,"aaa")="日","法休日",IF(OR(TEXT(B35,"aaa")="土",ISNUMBER(MATCH(B35,祝日リスト!$B$2:$B$30,0))),"所休日",""))</f>
        <v/>
      </c>
      <c r="Q35" s="86" t="s">
        <v>10</v>
      </c>
      <c r="R35" s="82"/>
      <c r="S35" s="104" t="str">
        <f t="shared" si="1"/>
        <v/>
      </c>
      <c r="T35" s="13">
        <f t="shared" si="2"/>
        <v>0</v>
      </c>
      <c r="U35" s="14">
        <f t="shared" si="2"/>
        <v>0</v>
      </c>
      <c r="V35" s="7">
        <f t="shared" si="3"/>
        <v>4.1666666666666664E-2</v>
      </c>
      <c r="W35" s="15" t="str">
        <f t="shared" si="12"/>
        <v/>
      </c>
    </row>
    <row r="36" spans="1:23">
      <c r="A36" s="16"/>
      <c r="B36" s="17">
        <f>IF($A$6+30&gt;DATE(YEAR($A$6),MONTH($A$6)+1,0),"",$A$6+30)</f>
        <v>45016</v>
      </c>
      <c r="C36" s="3" t="str">
        <f>IF(ISNUMBER(MATCH(B36,祝日リスト!$B$2:$B$33,0)),"(" &amp; TEXT(B36,"aaa") &amp; ")",TEXT(B36,"aaa"))</f>
        <v>金</v>
      </c>
      <c r="D36" s="69"/>
      <c r="E36" s="69"/>
      <c r="F36" s="74">
        <f t="shared" si="4"/>
        <v>4.1666666666666664E-2</v>
      </c>
      <c r="G36" s="66" t="str">
        <f t="shared" si="5"/>
        <v/>
      </c>
      <c r="H36" s="66" t="str">
        <f t="shared" si="6"/>
        <v/>
      </c>
      <c r="I36" s="66" t="str">
        <f t="shared" si="7"/>
        <v/>
      </c>
      <c r="J36" s="66" t="str">
        <f t="shared" si="8"/>
        <v/>
      </c>
      <c r="K36" s="66" t="str">
        <f t="shared" si="9"/>
        <v/>
      </c>
      <c r="L36" s="66" t="str">
        <f t="shared" si="10"/>
        <v/>
      </c>
      <c r="M36" s="87" t="str">
        <f t="shared" si="11"/>
        <v/>
      </c>
      <c r="N36" s="88">
        <f t="shared" si="13"/>
        <v>0</v>
      </c>
      <c r="O36" s="89" t="str">
        <f>IF(B36="","",IF(OR(P36="所休日",P36="法休日",,Q36="公休"),"","○"))</f>
        <v>○</v>
      </c>
      <c r="P36" s="89" t="str">
        <f>IF(TEXT(B36,"aaa")="日","法休日",IF(OR(TEXT(B36,"aaa")="土",ISNUMBER(MATCH(B36,祝日リスト!$B$2:$B$30,0))),"所休日",""))</f>
        <v/>
      </c>
      <c r="Q36" s="90" t="s">
        <v>10</v>
      </c>
      <c r="R36" s="91"/>
      <c r="S36" s="105" t="str">
        <f t="shared" si="1"/>
        <v/>
      </c>
      <c r="T36" s="19">
        <f t="shared" si="2"/>
        <v>0</v>
      </c>
      <c r="U36" s="20">
        <f t="shared" si="2"/>
        <v>0</v>
      </c>
      <c r="V36" s="18">
        <f t="shared" si="3"/>
        <v>4.1666666666666664E-2</v>
      </c>
      <c r="W36" s="21" t="str">
        <f t="shared" si="12"/>
        <v/>
      </c>
    </row>
    <row r="37" spans="1:23" ht="12" customHeight="1">
      <c r="A37" s="22"/>
      <c r="B37" s="23">
        <f>DAY(DATE(YEAR($A$6),MONTH($A$6)+1,1)-1)</f>
        <v>31</v>
      </c>
      <c r="C37" s="92">
        <f>40/7*B37</f>
        <v>177.14285714285714</v>
      </c>
      <c r="D37" s="93"/>
      <c r="E37" s="93"/>
      <c r="F37" s="94">
        <f t="shared" ref="F37:N37" si="14">SUM(F6:F36)</f>
        <v>0.9166666666666663</v>
      </c>
      <c r="G37" s="94">
        <f t="shared" si="14"/>
        <v>0</v>
      </c>
      <c r="H37" s="94">
        <f t="shared" si="14"/>
        <v>0</v>
      </c>
      <c r="I37" s="94">
        <f t="shared" si="14"/>
        <v>0</v>
      </c>
      <c r="J37" s="94">
        <f t="shared" si="14"/>
        <v>0</v>
      </c>
      <c r="K37" s="94">
        <f t="shared" si="14"/>
        <v>0</v>
      </c>
      <c r="L37" s="94">
        <f t="shared" si="14"/>
        <v>0</v>
      </c>
      <c r="M37" s="95">
        <f>COUNTIF(M6:M36,"○")</f>
        <v>0</v>
      </c>
      <c r="N37" s="94">
        <f t="shared" si="14"/>
        <v>0</v>
      </c>
      <c r="O37" s="95">
        <f>COUNTIF(O6:O36,"○")</f>
        <v>22</v>
      </c>
      <c r="P37" s="96"/>
      <c r="Q37" s="96"/>
      <c r="R37" s="95"/>
      <c r="S37" s="95"/>
      <c r="T37" s="24"/>
      <c r="U37" s="24"/>
      <c r="V37" s="24" t="str">
        <f>IF(OR(O37="○",Z37="休出"),TIME(1,0,0),"")</f>
        <v/>
      </c>
      <c r="W37" s="25">
        <f>SUM(W6:W36)</f>
        <v>0</v>
      </c>
    </row>
    <row r="38" spans="1:23" ht="13.5" customHeight="1">
      <c r="A38" s="26"/>
      <c r="B38" s="26"/>
      <c r="C38" s="27"/>
      <c r="I38" s="28"/>
      <c r="J38" s="28"/>
      <c r="K38" s="28"/>
      <c r="L38" s="28"/>
      <c r="M38" s="29"/>
      <c r="N38" s="29"/>
      <c r="P38" s="28"/>
      <c r="Q38" s="28"/>
      <c r="W38" s="30">
        <f>SUM(W6:W36)</f>
        <v>0</v>
      </c>
    </row>
    <row r="39" spans="1:23" ht="13.5" customHeight="1">
      <c r="A39" s="26"/>
      <c r="B39" s="26"/>
      <c r="C39" s="135" t="s">
        <v>59</v>
      </c>
      <c r="D39" s="136"/>
      <c r="E39" s="31">
        <f>ROUND(C37,0)</f>
        <v>177</v>
      </c>
      <c r="F39" s="137" t="s">
        <v>14</v>
      </c>
      <c r="G39" s="138"/>
      <c r="H39" s="108">
        <f>COUNTIF(O6:O36,"○")</f>
        <v>22</v>
      </c>
      <c r="I39" s="28"/>
      <c r="J39" s="28"/>
      <c r="K39" s="28"/>
      <c r="L39" s="28"/>
      <c r="M39" s="28"/>
      <c r="N39" s="28"/>
      <c r="P39" s="32" t="s">
        <v>55</v>
      </c>
      <c r="Q39" s="32">
        <f>COUNTIF($Q$6:$Q$36,"法休日")</f>
        <v>0</v>
      </c>
      <c r="R39" s="32" t="s">
        <v>57</v>
      </c>
      <c r="S39" s="32"/>
    </row>
    <row r="40" spans="1:23" ht="13.5" customHeight="1">
      <c r="A40" s="26"/>
      <c r="B40" s="26"/>
      <c r="C40" s="132" t="s">
        <v>11</v>
      </c>
      <c r="D40" s="133"/>
      <c r="E40" s="33">
        <f>H39*TIME(8,0,0)</f>
        <v>7.333333333333333</v>
      </c>
      <c r="F40" s="118" t="s">
        <v>15</v>
      </c>
      <c r="G40" s="129"/>
      <c r="H40" s="45">
        <f>COUNTIF(G6:G36,"&gt;0")-(COUNTIF(Q6:Q36,"=半休")*0.5)-(COUNTIF(Q6:Q36,"=半公休")*0.5)</f>
        <v>0</v>
      </c>
      <c r="I40" s="34"/>
      <c r="J40" s="34"/>
      <c r="K40" s="34"/>
      <c r="L40" s="34"/>
      <c r="M40" s="34"/>
      <c r="N40" s="34"/>
      <c r="P40" s="32" t="s">
        <v>56</v>
      </c>
      <c r="Q40" s="32">
        <f>COUNTIF($Q$6:$Q$36,"所休日")</f>
        <v>0</v>
      </c>
      <c r="R40" s="32" t="s">
        <v>62</v>
      </c>
      <c r="S40" s="32"/>
    </row>
    <row r="41" spans="1:23" ht="13.5" customHeight="1">
      <c r="A41" s="26"/>
      <c r="B41" s="26"/>
      <c r="C41" s="132" t="s">
        <v>105</v>
      </c>
      <c r="D41" s="133"/>
      <c r="E41" s="33">
        <f>H39*TIME(8,0,0)</f>
        <v>7.333333333333333</v>
      </c>
      <c r="F41" s="140" t="s">
        <v>51</v>
      </c>
      <c r="G41" s="141"/>
      <c r="H41" s="41">
        <f>COUNTIF(Q6:Q36,"法休出*")-H43</f>
        <v>0</v>
      </c>
      <c r="I41" s="28"/>
      <c r="J41" s="28"/>
      <c r="K41" s="28"/>
      <c r="L41" s="28"/>
      <c r="M41" s="28"/>
      <c r="N41" s="28"/>
      <c r="P41" s="5" t="s">
        <v>29</v>
      </c>
      <c r="Q41" s="5">
        <f>COUNTIF($Q$6:$Q$36,"法休出")</f>
        <v>0</v>
      </c>
      <c r="R41" s="5" t="s">
        <v>33</v>
      </c>
    </row>
    <row r="42" spans="1:23" ht="13.5">
      <c r="A42" s="26"/>
      <c r="B42" s="26"/>
      <c r="C42" s="132" t="s">
        <v>76</v>
      </c>
      <c r="D42" s="133"/>
      <c r="E42" s="33">
        <f>SUM(H6:H36)</f>
        <v>0</v>
      </c>
      <c r="F42" s="140" t="s">
        <v>53</v>
      </c>
      <c r="G42" s="141"/>
      <c r="H42" s="41">
        <f>COUNTIF(Q6:Q36,"所休出*")-H44</f>
        <v>0</v>
      </c>
      <c r="I42" s="28"/>
      <c r="J42" s="28"/>
      <c r="K42" s="28"/>
      <c r="L42" s="28"/>
      <c r="M42" s="28"/>
      <c r="N42" s="28"/>
      <c r="P42" s="5" t="s">
        <v>30</v>
      </c>
      <c r="Q42" s="5">
        <f>COUNTIF($Q$6:$Q$36,"法休出→代")</f>
        <v>0</v>
      </c>
      <c r="R42" s="5" t="s">
        <v>89</v>
      </c>
    </row>
    <row r="43" spans="1:23" ht="13.5">
      <c r="C43" s="132" t="s">
        <v>12</v>
      </c>
      <c r="D43" s="133"/>
      <c r="E43" s="33">
        <f>IF(E42-E41&gt;0,E42-E41,E41-E42)</f>
        <v>7.333333333333333</v>
      </c>
      <c r="F43" s="118" t="s">
        <v>52</v>
      </c>
      <c r="G43" s="129"/>
      <c r="H43" s="41">
        <f>COUNTIF(Q6:Q36,"法*代")</f>
        <v>0</v>
      </c>
      <c r="P43" s="5" t="s">
        <v>31</v>
      </c>
      <c r="Q43" s="5">
        <f>COUNTIF($Q$6:$Q$36,"所休出")</f>
        <v>0</v>
      </c>
      <c r="R43" s="5" t="s">
        <v>34</v>
      </c>
    </row>
    <row r="44" spans="1:23" ht="13.5">
      <c r="C44" s="139" t="s">
        <v>58</v>
      </c>
      <c r="D44" s="133"/>
      <c r="E44" s="33">
        <f>SUM(H6:H36)-K37</f>
        <v>0</v>
      </c>
      <c r="F44" s="118" t="s">
        <v>54</v>
      </c>
      <c r="G44" s="129"/>
      <c r="H44" s="41">
        <f>COUNTIF(Q6:Q36,"所*代")</f>
        <v>0</v>
      </c>
      <c r="P44" s="5" t="s">
        <v>32</v>
      </c>
      <c r="Q44" s="5">
        <f>COUNTIF($Q$6:$Q$36,"所休出→代")</f>
        <v>0</v>
      </c>
      <c r="R44" s="5" t="s">
        <v>90</v>
      </c>
    </row>
    <row r="45" spans="1:23" ht="13.5">
      <c r="C45" s="132" t="s">
        <v>69</v>
      </c>
      <c r="D45" s="133"/>
      <c r="E45" s="33">
        <f>SUM(G6:G36)-K37-L37</f>
        <v>0</v>
      </c>
      <c r="F45" s="118" t="s">
        <v>13</v>
      </c>
      <c r="G45" s="129"/>
      <c r="H45" s="44">
        <f>COUNTIF(Q6:Q36,"有休")+(COUNTIF(Q6:Q36,"半休")*0.5)</f>
        <v>0</v>
      </c>
      <c r="P45" s="5" t="s">
        <v>107</v>
      </c>
      <c r="Q45" s="5">
        <f>COUNTIF($Q$6:$Q$36,"有休")</f>
        <v>0</v>
      </c>
      <c r="R45" s="5" t="s">
        <v>108</v>
      </c>
    </row>
    <row r="46" spans="1:23" ht="13.5">
      <c r="C46" s="126" t="s">
        <v>72</v>
      </c>
      <c r="D46" s="127"/>
      <c r="E46" s="33">
        <f>IF(E44&gt;E41,E44-E41,0)</f>
        <v>0</v>
      </c>
      <c r="F46" s="128" t="s">
        <v>28</v>
      </c>
      <c r="G46" s="129"/>
      <c r="H46" s="41">
        <f>COUNTIF(Q6:Q36,"代休")</f>
        <v>0</v>
      </c>
      <c r="P46" s="5" t="s">
        <v>124</v>
      </c>
      <c r="Q46" s="5">
        <f>COUNTIF($Q$6:$Q$36,"半休")</f>
        <v>0</v>
      </c>
      <c r="R46" s="5" t="s">
        <v>79</v>
      </c>
    </row>
    <row r="47" spans="1:23" ht="13.5">
      <c r="C47" s="126" t="s">
        <v>70</v>
      </c>
      <c r="D47" s="127"/>
      <c r="E47" s="33">
        <f>IF(E45&gt;E41,E45-E41,0)</f>
        <v>0</v>
      </c>
      <c r="F47" s="128" t="s">
        <v>110</v>
      </c>
      <c r="G47" s="129"/>
      <c r="H47" s="41">
        <f>COUNTIF(Q6:Q36,"特別休")</f>
        <v>0</v>
      </c>
      <c r="P47" s="5" t="s">
        <v>112</v>
      </c>
      <c r="Q47" s="5">
        <f>COUNTIF($Q$6:$Q$36,"出張")</f>
        <v>0</v>
      </c>
      <c r="R47" s="5" t="s">
        <v>78</v>
      </c>
    </row>
    <row r="48" spans="1:23" ht="13.5">
      <c r="C48" s="130" t="s">
        <v>77</v>
      </c>
      <c r="D48" s="131"/>
      <c r="E48" s="35">
        <f>SUM(G6:G36)</f>
        <v>0</v>
      </c>
      <c r="F48" s="128" t="s">
        <v>5</v>
      </c>
      <c r="G48" s="129"/>
      <c r="H48" s="41">
        <f>COUNTIF(Q6:Q36,"*出張*")</f>
        <v>0</v>
      </c>
      <c r="P48" s="5" t="s">
        <v>125</v>
      </c>
      <c r="Q48" s="5">
        <f>COUNTIF($Q$6:$Q$36,"法休出張")</f>
        <v>0</v>
      </c>
      <c r="R48" s="5" t="s">
        <v>88</v>
      </c>
    </row>
    <row r="49" spans="3:18">
      <c r="F49" s="117" t="s">
        <v>17</v>
      </c>
      <c r="G49" s="118"/>
      <c r="H49" s="42">
        <f>COUNTIF(Q6:Q36,"振休")</f>
        <v>0</v>
      </c>
      <c r="P49" s="5" t="s">
        <v>86</v>
      </c>
      <c r="Q49" s="5">
        <f>COUNTIF($Q$6:$Q$36,"法休出張→代")</f>
        <v>0</v>
      </c>
      <c r="R49" s="5" t="s">
        <v>92</v>
      </c>
    </row>
    <row r="50" spans="3:18">
      <c r="F50" s="124" t="s">
        <v>60</v>
      </c>
      <c r="G50" s="125"/>
      <c r="H50" s="45">
        <f>COUNTIF(Q6:Q36,"公休")+COUNTIF(Q6:Q36,"半公休")*0.5</f>
        <v>0</v>
      </c>
      <c r="P50" s="5" t="s">
        <v>126</v>
      </c>
      <c r="Q50" s="5">
        <f>COUNTIF($Q$6:$Q$36,"所休出張")</f>
        <v>0</v>
      </c>
      <c r="R50" s="5" t="s">
        <v>127</v>
      </c>
    </row>
    <row r="51" spans="3:18">
      <c r="F51" s="122" t="s">
        <v>73</v>
      </c>
      <c r="G51" s="123"/>
      <c r="H51" s="43">
        <f>COUNTIF(Q6:Q36,"欠勤")</f>
        <v>0</v>
      </c>
      <c r="P51" s="5" t="s">
        <v>85</v>
      </c>
      <c r="Q51" s="5">
        <f>COUNTIF($Q$6:$Q$36,"所休出張→代")</f>
        <v>0</v>
      </c>
      <c r="R51" s="5" t="s">
        <v>93</v>
      </c>
    </row>
    <row r="52" spans="3:18">
      <c r="C52" s="5" t="s">
        <v>20</v>
      </c>
      <c r="P52" s="5" t="s">
        <v>28</v>
      </c>
      <c r="Q52" s="5">
        <f>COUNTIF($Q$6:$Q$36,"代休")</f>
        <v>0</v>
      </c>
      <c r="R52" s="5" t="s">
        <v>91</v>
      </c>
    </row>
    <row r="53" spans="3:18">
      <c r="C53" s="119" t="s">
        <v>21</v>
      </c>
      <c r="D53" s="120"/>
      <c r="E53" s="107" t="s">
        <v>22</v>
      </c>
      <c r="F53" s="120" t="s">
        <v>23</v>
      </c>
      <c r="G53" s="121"/>
      <c r="I53" s="99" t="str">
        <f>IF(D3="AS","",IF(D3="SL","みなし３０ｈ","(―１５ｈ)"))</f>
        <v>(―１５ｈ)</v>
      </c>
      <c r="P53" s="5" t="s">
        <v>128</v>
      </c>
      <c r="Q53" s="5">
        <f>COUNTIF($Q$6:$Q$36,"振休")</f>
        <v>0</v>
      </c>
      <c r="R53" s="5" t="s">
        <v>63</v>
      </c>
    </row>
    <row r="54" spans="3:18" ht="13.5">
      <c r="C54" s="109" t="s">
        <v>67</v>
      </c>
      <c r="D54" s="110"/>
      <c r="E54" s="37">
        <f>DAY($E$46)*24+HOUR($E$46)+MINUTE($E$46)/60</f>
        <v>0</v>
      </c>
      <c r="F54" s="111" t="s">
        <v>68</v>
      </c>
      <c r="G54" s="112"/>
      <c r="H54" s="97">
        <f>E54*60/1440</f>
        <v>0</v>
      </c>
      <c r="I54" s="97">
        <f>IF(D3="AS",0,IF(D3="SL",IF(E54&gt;=30,(E54-30)*60/1440,0), IF(E54&gt;=15,(E54-15)*60/1440,0)))</f>
        <v>0</v>
      </c>
      <c r="P54" s="5" t="s">
        <v>60</v>
      </c>
      <c r="Q54" s="36">
        <f>COUNTIF($Q$6:$Q$36,"公休")</f>
        <v>0</v>
      </c>
      <c r="R54" s="5" t="s">
        <v>61</v>
      </c>
    </row>
    <row r="55" spans="3:18" ht="13.5">
      <c r="C55" s="109" t="s">
        <v>70</v>
      </c>
      <c r="D55" s="110"/>
      <c r="E55" s="37">
        <f>DAY($E$47)*24+HOUR($E$47)+MINUTE($E$47)/60</f>
        <v>0</v>
      </c>
      <c r="F55" s="111" t="s">
        <v>71</v>
      </c>
      <c r="G55" s="112"/>
      <c r="H55" s="97">
        <f>E55*60/1440</f>
        <v>0</v>
      </c>
      <c r="I55" s="97">
        <f>IF(D3="AS",0,IF(D3="SL",IF(E55&gt;=30,(E55-30)*60/1440,0), IF(E55&gt;=15,(E55-15)*60/1440,0)))</f>
        <v>0</v>
      </c>
      <c r="P55" s="5" t="s">
        <v>73</v>
      </c>
      <c r="Q55" s="36">
        <f>COUNTIF($Q$6:$Q$36,"欠勤")</f>
        <v>0</v>
      </c>
      <c r="R55" s="5" t="s">
        <v>129</v>
      </c>
    </row>
    <row r="56" spans="3:18" ht="13.5">
      <c r="C56" s="109" t="s">
        <v>24</v>
      </c>
      <c r="D56" s="110"/>
      <c r="E56" s="37">
        <f>IF((DAY($E$45)*24+HOUR($E$45)+MINUTE($E$45)/60)-$E$39&gt;60,(DAY($E$45)*24+HOUR($E$45)+MINUTE($E$45)/60)-$E$39-60,0)</f>
        <v>0</v>
      </c>
      <c r="F56" s="111" t="s">
        <v>130</v>
      </c>
      <c r="G56" s="112"/>
      <c r="H56" s="97">
        <f>E56*60/1440</f>
        <v>0</v>
      </c>
      <c r="P56" s="5" t="s">
        <v>110</v>
      </c>
      <c r="Q56" s="36">
        <f>COUNTIF($Q$6:$Q$36,"特別休")</f>
        <v>0</v>
      </c>
      <c r="R56" s="5" t="s">
        <v>122</v>
      </c>
    </row>
    <row r="57" spans="3:18" ht="2.25" customHeight="1">
      <c r="C57" s="4"/>
      <c r="D57" s="4"/>
      <c r="H57" s="97"/>
      <c r="Q57" s="38"/>
    </row>
    <row r="58" spans="3:18" ht="13.5">
      <c r="C58" s="109" t="s">
        <v>64</v>
      </c>
      <c r="D58" s="110"/>
      <c r="E58" s="37">
        <f>DAY($K$37)*24+HOUR($K$37)+MINUTE($K$37)/60</f>
        <v>0</v>
      </c>
      <c r="F58" s="111" t="s">
        <v>131</v>
      </c>
      <c r="G58" s="112"/>
      <c r="H58" s="97">
        <f>E58*60/1440</f>
        <v>0</v>
      </c>
    </row>
    <row r="59" spans="3:18" ht="13.5">
      <c r="C59" s="109" t="s">
        <v>65</v>
      </c>
      <c r="D59" s="110"/>
      <c r="E59" s="37">
        <f>DAY($L$37)*24+HOUR($L$37)+MINUTE($L$37)/60</f>
        <v>0</v>
      </c>
      <c r="F59" s="111" t="s">
        <v>132</v>
      </c>
      <c r="G59" s="112"/>
      <c r="H59" s="97">
        <f>E59*60/1440</f>
        <v>0</v>
      </c>
    </row>
    <row r="60" spans="3:18" ht="2.25" customHeight="1">
      <c r="C60" s="4"/>
      <c r="D60" s="4"/>
      <c r="H60" s="97"/>
    </row>
    <row r="61" spans="3:18" ht="13.5">
      <c r="C61" s="113" t="s">
        <v>25</v>
      </c>
      <c r="D61" s="114"/>
      <c r="E61" s="39">
        <f>DAY($I$37)*24+HOUR($I$37)+MINUTE($I$37)/60</f>
        <v>0</v>
      </c>
      <c r="F61" s="115" t="s">
        <v>120</v>
      </c>
      <c r="G61" s="116"/>
      <c r="H61" s="97">
        <f>E61*60/1440</f>
        <v>0</v>
      </c>
    </row>
    <row r="64" spans="3:18">
      <c r="J64" s="40"/>
    </row>
  </sheetData>
  <mergeCells count="38">
    <mergeCell ref="C41:D41"/>
    <mergeCell ref="F41:G41"/>
    <mergeCell ref="A1:R1"/>
    <mergeCell ref="C39:D39"/>
    <mergeCell ref="F39:G39"/>
    <mergeCell ref="C40:D40"/>
    <mergeCell ref="F40:G40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F49:G49"/>
    <mergeCell ref="F50:G50"/>
    <mergeCell ref="C53:D53"/>
    <mergeCell ref="F53:G53"/>
    <mergeCell ref="F51:G51"/>
    <mergeCell ref="C54:D54"/>
    <mergeCell ref="F54:G54"/>
    <mergeCell ref="C55:D55"/>
    <mergeCell ref="F55:G55"/>
    <mergeCell ref="C56:D56"/>
    <mergeCell ref="F56:G56"/>
    <mergeCell ref="C58:D58"/>
    <mergeCell ref="F58:G58"/>
    <mergeCell ref="C59:D59"/>
    <mergeCell ref="F59:G59"/>
    <mergeCell ref="C61:D61"/>
    <mergeCell ref="F61:G61"/>
  </mergeCells>
  <phoneticPr fontId="1"/>
  <conditionalFormatting sqref="B34:B36">
    <cfRule type="cellIs" dxfId="37" priority="44" stopIfTrue="1" operator="equal">
      <formula>""</formula>
    </cfRule>
  </conditionalFormatting>
  <conditionalFormatting sqref="T6:T36">
    <cfRule type="cellIs" dxfId="36" priority="45" stopIfTrue="1" operator="lessThan">
      <formula>0.375</formula>
    </cfRule>
  </conditionalFormatting>
  <conditionalFormatting sqref="U6:U36">
    <cfRule type="cellIs" dxfId="35" priority="46" stopIfTrue="1" operator="greaterThan">
      <formula>0.999305555555556</formula>
    </cfRule>
  </conditionalFormatting>
  <conditionalFormatting sqref="E6:E11">
    <cfRule type="cellIs" dxfId="34" priority="47" stopIfTrue="1" operator="greaterThan">
      <formula>0.916666667</formula>
    </cfRule>
  </conditionalFormatting>
  <conditionalFormatting sqref="C6:C36">
    <cfRule type="cellIs" dxfId="33" priority="48" stopIfTrue="1" operator="between">
      <formula>"土"</formula>
      <formula>"日"</formula>
    </cfRule>
    <cfRule type="cellIs" dxfId="32" priority="49" stopIfTrue="1" operator="equal">
      <formula>""</formula>
    </cfRule>
    <cfRule type="cellIs" dxfId="31" priority="50" stopIfTrue="1" operator="lessThan">
      <formula>"A"</formula>
    </cfRule>
  </conditionalFormatting>
  <conditionalFormatting sqref="P6:P36">
    <cfRule type="cellIs" dxfId="30" priority="40" stopIfTrue="1" operator="equal">
      <formula>"所休日"</formula>
    </cfRule>
    <cfRule type="cellIs" dxfId="29" priority="41" stopIfTrue="1" operator="equal">
      <formula>"法休日"</formula>
    </cfRule>
    <cfRule type="cellIs" dxfId="28" priority="42" stopIfTrue="1" operator="equal">
      <formula>"""休日"""</formula>
    </cfRule>
  </conditionalFormatting>
  <conditionalFormatting sqref="D6:D11">
    <cfRule type="containsBlanks" dxfId="27" priority="51">
      <formula>LEN(TRIM(D6))=0</formula>
    </cfRule>
  </conditionalFormatting>
  <conditionalFormatting sqref="E12:E17">
    <cfRule type="cellIs" dxfId="26" priority="38" stopIfTrue="1" operator="greaterThan">
      <formula>0.916666667</formula>
    </cfRule>
  </conditionalFormatting>
  <conditionalFormatting sqref="D12:D17">
    <cfRule type="containsBlanks" dxfId="25" priority="39">
      <formula>LEN(TRIM(D12))=0</formula>
    </cfRule>
  </conditionalFormatting>
  <conditionalFormatting sqref="Q6:Q36">
    <cfRule type="expression" dxfId="24" priority="35">
      <formula>OR($Q6="振休")</formula>
    </cfRule>
    <cfRule type="expression" dxfId="23" priority="36" stopIfTrue="1">
      <formula>OR($Q6="有休",$Q6="半休",$Q6="代休",$Q6="公休",$Q6="欠勤")</formula>
    </cfRule>
    <cfRule type="expression" dxfId="22" priority="37" stopIfTrue="1">
      <formula>OR($Q6="法休日",$Q6="所休日",$Q6="法休出",$Q6="所休出",$Q6="法休出→代",$Q6="所休出→代",$Q6="法休出張",$Q6="所休出張",$Q6="法休出張→代",$Q6="所休出張→代")</formula>
    </cfRule>
  </conditionalFormatting>
  <conditionalFormatting sqref="Q6:Q36">
    <cfRule type="expression" dxfId="21" priority="34">
      <formula>AND(OR($Q6="所休出",$Q6="所休出→代",$Q6="所休出張",$Q6="所休出張→代"),$C6="日")</formula>
    </cfRule>
  </conditionalFormatting>
  <conditionalFormatting sqref="E18:E24">
    <cfRule type="cellIs" dxfId="20" priority="32" stopIfTrue="1" operator="greaterThan">
      <formula>0.916666667</formula>
    </cfRule>
  </conditionalFormatting>
  <conditionalFormatting sqref="D18:D24">
    <cfRule type="containsBlanks" dxfId="19" priority="33">
      <formula>LEN(TRIM(D18))=0</formula>
    </cfRule>
  </conditionalFormatting>
  <conditionalFormatting sqref="E25:E32">
    <cfRule type="cellIs" dxfId="18" priority="30" stopIfTrue="1" operator="greaterThan">
      <formula>0.916666667</formula>
    </cfRule>
  </conditionalFormatting>
  <conditionalFormatting sqref="D25:D32">
    <cfRule type="containsBlanks" dxfId="17" priority="31">
      <formula>LEN(TRIM(D25))=0</formula>
    </cfRule>
  </conditionalFormatting>
  <conditionalFormatting sqref="E33:E36">
    <cfRule type="cellIs" dxfId="16" priority="28" stopIfTrue="1" operator="greaterThan">
      <formula>0.916666667</formula>
    </cfRule>
  </conditionalFormatting>
  <conditionalFormatting sqref="D33:D36">
    <cfRule type="containsBlanks" dxfId="15" priority="29">
      <formula>LEN(TRIM(D33))=0</formula>
    </cfRule>
  </conditionalFormatting>
  <conditionalFormatting sqref="I37">
    <cfRule type="expression" dxfId="14" priority="24">
      <formula>IF(I37&gt;TIME(0,0,0),TRUE)</formula>
    </cfRule>
  </conditionalFormatting>
  <conditionalFormatting sqref="D6:D36">
    <cfRule type="expression" dxfId="13" priority="14">
      <formula>AND($D6="",$E6&gt;0)</formula>
    </cfRule>
  </conditionalFormatting>
  <conditionalFormatting sqref="E6:E36">
    <cfRule type="expression" dxfId="12" priority="13">
      <formula>AND($E6="",$D6&gt;0)</formula>
    </cfRule>
  </conditionalFormatting>
  <conditionalFormatting sqref="E43">
    <cfRule type="expression" dxfId="11" priority="12" stopIfTrue="1">
      <formula>$E$42-$E$40&lt;0</formula>
    </cfRule>
  </conditionalFormatting>
  <conditionalFormatting sqref="H40">
    <cfRule type="expression" dxfId="10" priority="11">
      <formula>H40+H45+H46+H47+H48+H50-H41-H42-H43-H44&lt;H39</formula>
    </cfRule>
  </conditionalFormatting>
  <conditionalFormatting sqref="H54">
    <cfRule type="expression" dxfId="9" priority="10">
      <formula>IF(H54&gt;TIME(0,0,0),TRUE)</formula>
    </cfRule>
  </conditionalFormatting>
  <conditionalFormatting sqref="H55">
    <cfRule type="expression" dxfId="8" priority="9">
      <formula>IF(H55&gt;TIME(0,0,0),TRUE)</formula>
    </cfRule>
  </conditionalFormatting>
  <conditionalFormatting sqref="H56">
    <cfRule type="expression" dxfId="7" priority="8">
      <formula>IF(H56&gt;TIME(0,0,0),TRUE)</formula>
    </cfRule>
  </conditionalFormatting>
  <conditionalFormatting sqref="H58">
    <cfRule type="expression" dxfId="6" priority="7">
      <formula>IF(H58&gt;TIME(0,0,0),TRUE)</formula>
    </cfRule>
  </conditionalFormatting>
  <conditionalFormatting sqref="H59">
    <cfRule type="expression" dxfId="5" priority="6">
      <formula>IF(H59&gt;TIME(0,0,0),TRUE)</formula>
    </cfRule>
  </conditionalFormatting>
  <conditionalFormatting sqref="H61">
    <cfRule type="expression" dxfId="4" priority="5">
      <formula>IF(H61&gt;TIME(0,0,0),TRUE)</formula>
    </cfRule>
  </conditionalFormatting>
  <conditionalFormatting sqref="I53">
    <cfRule type="expression" dxfId="3" priority="4">
      <formula>IF(OR(E54&gt;0,E55&gt;0),TRUE)</formula>
    </cfRule>
  </conditionalFormatting>
  <conditionalFormatting sqref="I54">
    <cfRule type="expression" dxfId="2" priority="3">
      <formula>IF(H54&gt;TIME(0,0,0),TRUE)</formula>
    </cfRule>
  </conditionalFormatting>
  <conditionalFormatting sqref="I55">
    <cfRule type="expression" dxfId="1" priority="2">
      <formula>IF(H55&gt;TIME(0,0,0),TRUE)</formula>
    </cfRule>
  </conditionalFormatting>
  <conditionalFormatting sqref="H6:H35">
    <cfRule type="cellIs" dxfId="0" priority="1" stopIfTrue="1" operator="equal">
      <formula>"時間不足"</formula>
    </cfRule>
  </conditionalFormatting>
  <dataValidations count="1">
    <dataValidation type="list" allowBlank="1" showInputMessage="1" showErrorMessage="1" sqref="Q6:Q36">
      <formula1>"通常,法休出,法休出→代,所休出,所休出→代,有休,半休,出張,法休出張,法休出張→代,所休出張,所休出張→代,代休,振休,公休,欠勤"</formula1>
    </dataValidation>
  </dataValidations>
  <pageMargins left="0.39370078740157483" right="0.19685039370078741" top="0.19685039370078741" bottom="0.19685039370078741" header="0.19685039370078741" footer="0.19685039370078741"/>
  <pageSetup paperSize="9" scale="83" orientation="landscape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workbookViewId="0"/>
  </sheetViews>
  <sheetFormatPr defaultColWidth="9" defaultRowHeight="12"/>
  <cols>
    <col min="1" max="1" width="17" style="54" customWidth="1"/>
    <col min="2" max="2" width="11.625" style="48" bestFit="1" customWidth="1"/>
    <col min="3" max="16384" width="9" style="48"/>
  </cols>
  <sheetData>
    <row r="1" spans="1:2">
      <c r="A1" s="46" t="s">
        <v>35</v>
      </c>
      <c r="B1" s="47" t="s">
        <v>16</v>
      </c>
    </row>
    <row r="2" spans="1:2">
      <c r="A2" s="49" t="s">
        <v>39</v>
      </c>
      <c r="B2" s="50">
        <v>44680</v>
      </c>
    </row>
    <row r="3" spans="1:2">
      <c r="A3" s="49" t="s">
        <v>40</v>
      </c>
      <c r="B3" s="50">
        <v>44684</v>
      </c>
    </row>
    <row r="4" spans="1:2">
      <c r="A4" s="49" t="s">
        <v>41</v>
      </c>
      <c r="B4" s="50">
        <v>44685</v>
      </c>
    </row>
    <row r="5" spans="1:2">
      <c r="A5" s="49" t="s">
        <v>42</v>
      </c>
      <c r="B5" s="50">
        <v>44686</v>
      </c>
    </row>
    <row r="6" spans="1:2">
      <c r="A6" s="49" t="s">
        <v>43</v>
      </c>
      <c r="B6" s="50">
        <v>44760</v>
      </c>
    </row>
    <row r="7" spans="1:2">
      <c r="A7" s="49" t="s">
        <v>75</v>
      </c>
      <c r="B7" s="50">
        <v>44784</v>
      </c>
    </row>
    <row r="8" spans="1:2">
      <c r="A8" s="49" t="s">
        <v>44</v>
      </c>
      <c r="B8" s="50">
        <v>44823</v>
      </c>
    </row>
    <row r="9" spans="1:2">
      <c r="A9" s="49" t="s">
        <v>45</v>
      </c>
      <c r="B9" s="50">
        <v>44827</v>
      </c>
    </row>
    <row r="10" spans="1:2">
      <c r="A10" s="49" t="s">
        <v>101</v>
      </c>
      <c r="B10" s="50">
        <v>44844</v>
      </c>
    </row>
    <row r="11" spans="1:2">
      <c r="A11" s="49" t="s">
        <v>46</v>
      </c>
      <c r="B11" s="50">
        <v>44868</v>
      </c>
    </row>
    <row r="12" spans="1:2">
      <c r="A12" s="49" t="s">
        <v>47</v>
      </c>
      <c r="B12" s="50">
        <v>44888</v>
      </c>
    </row>
    <row r="13" spans="1:2">
      <c r="A13" s="49" t="s">
        <v>48</v>
      </c>
      <c r="B13" s="50">
        <v>44924</v>
      </c>
    </row>
    <row r="14" spans="1:2">
      <c r="A14" s="49" t="s">
        <v>48</v>
      </c>
      <c r="B14" s="50">
        <v>44925</v>
      </c>
    </row>
    <row r="15" spans="1:2">
      <c r="A15" s="49" t="s">
        <v>48</v>
      </c>
      <c r="B15" s="50">
        <v>44926</v>
      </c>
    </row>
    <row r="16" spans="1:2">
      <c r="A16" s="49" t="s">
        <v>102</v>
      </c>
      <c r="B16" s="50">
        <v>44927</v>
      </c>
    </row>
    <row r="17" spans="1:2">
      <c r="A17" s="49" t="s">
        <v>48</v>
      </c>
      <c r="B17" s="50">
        <v>44928</v>
      </c>
    </row>
    <row r="18" spans="1:2">
      <c r="A18" s="49" t="s">
        <v>48</v>
      </c>
      <c r="B18" s="98">
        <v>44929</v>
      </c>
    </row>
    <row r="19" spans="1:2">
      <c r="A19" s="49" t="s">
        <v>36</v>
      </c>
      <c r="B19" s="98">
        <v>44935</v>
      </c>
    </row>
    <row r="20" spans="1:2">
      <c r="A20" s="49" t="s">
        <v>37</v>
      </c>
      <c r="B20" s="98">
        <v>44968</v>
      </c>
    </row>
    <row r="21" spans="1:2">
      <c r="A21" s="49" t="s">
        <v>84</v>
      </c>
      <c r="B21" s="98">
        <v>44980</v>
      </c>
    </row>
    <row r="22" spans="1:2">
      <c r="A22" s="49" t="s">
        <v>38</v>
      </c>
      <c r="B22" s="98">
        <v>45006</v>
      </c>
    </row>
    <row r="23" spans="1:2">
      <c r="A23" s="49"/>
      <c r="B23" s="98"/>
    </row>
    <row r="24" spans="1:2">
      <c r="A24" s="49"/>
      <c r="B24" s="50"/>
    </row>
    <row r="25" spans="1:2">
      <c r="A25" s="49"/>
      <c r="B25" s="50"/>
    </row>
    <row r="26" spans="1:2">
      <c r="A26" s="49"/>
      <c r="B26" s="50"/>
    </row>
    <row r="27" spans="1:2">
      <c r="A27" s="49"/>
      <c r="B27" s="50"/>
    </row>
    <row r="28" spans="1:2">
      <c r="A28" s="49"/>
      <c r="B28" s="50"/>
    </row>
    <row r="29" spans="1:2">
      <c r="A29" s="49"/>
      <c r="B29" s="51"/>
    </row>
    <row r="30" spans="1:2">
      <c r="A30" s="49"/>
      <c r="B30" s="51"/>
    </row>
    <row r="31" spans="1:2">
      <c r="A31" s="49"/>
      <c r="B31" s="51"/>
    </row>
    <row r="32" spans="1:2">
      <c r="A32" s="49"/>
      <c r="B32" s="51"/>
    </row>
    <row r="33" spans="1:2">
      <c r="A33" s="52"/>
      <c r="B33" s="53"/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12</vt:i4>
      </vt:variant>
    </vt:vector>
  </HeadingPairs>
  <TitlesOfParts>
    <vt:vector size="25" baseType="lpstr">
      <vt:lpstr>４月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A1月</vt:lpstr>
      <vt:lpstr>A2月</vt:lpstr>
      <vt:lpstr>A3月</vt:lpstr>
      <vt:lpstr>祝日リスト</vt:lpstr>
      <vt:lpstr>'10月'!Print_Area</vt:lpstr>
      <vt:lpstr>'11月'!Print_Area</vt:lpstr>
      <vt:lpstr>'12月'!Print_Area</vt:lpstr>
      <vt:lpstr>'４月'!Print_Area</vt:lpstr>
      <vt:lpstr>'5月'!Print_Area</vt:lpstr>
      <vt:lpstr>'6月'!Print_Area</vt:lpstr>
      <vt:lpstr>'7月'!Print_Area</vt:lpstr>
      <vt:lpstr>'8月'!Print_Area</vt:lpstr>
      <vt:lpstr>'9月'!Print_Area</vt:lpstr>
      <vt:lpstr>A1月!Print_Area</vt:lpstr>
      <vt:lpstr>A2月!Print_Area</vt:lpstr>
      <vt:lpstr>A3月!Print_Area</vt:lpstr>
    </vt:vector>
  </TitlesOfParts>
  <Company>capa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業務報告書テンプレートV1.2</dc:title>
  <dc:subject>20090101</dc:subject>
  <dc:creator>小甲　健</dc:creator>
  <cp:lastModifiedBy>園田健吾</cp:lastModifiedBy>
  <cp:lastPrinted>2020-03-11T06:08:32Z</cp:lastPrinted>
  <dcterms:created xsi:type="dcterms:W3CDTF">2002-06-28T04:39:15Z</dcterms:created>
  <dcterms:modified xsi:type="dcterms:W3CDTF">2022-08-22T05:55:26Z</dcterms:modified>
</cp:coreProperties>
</file>