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Kythuatvang\tinh toan cau truc\"/>
    </mc:Choice>
  </mc:AlternateContent>
  <bookViews>
    <workbookView xWindow="6405" yWindow="90" windowWidth="5295" windowHeight="6795" tabRatio="601"/>
  </bookViews>
  <sheets>
    <sheet name="03tan1dam" sheetId="13" r:id="rId1"/>
    <sheet name="CONG TRUC5T" sheetId="12" state="hidden" r:id="rId2"/>
    <sheet name="CONG 6TL=10,5" sheetId="16" state="hidden" r:id="rId3"/>
    <sheet name="DAMI" sheetId="9" state="hidden" r:id="rId4"/>
    <sheet name="DAMDON V" sheetId="5" state="hidden" r:id="rId5"/>
    <sheet name="CONGTHUC" sheetId="8" state="hidden" r:id="rId6"/>
    <sheet name="00000000" sheetId="4" state="veryHidden" r:id="rId7"/>
  </sheets>
  <definedNames>
    <definedName name="_Fill" hidden="1">#REF!</definedName>
    <definedName name="bangchu">#REF!</definedName>
    <definedName name="bengam">#REF!</definedName>
    <definedName name="benuoc">#REF!</definedName>
    <definedName name="cao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coc">#REF!</definedName>
    <definedName name="cocbtct">#REF!</definedName>
    <definedName name="cocot">#REF!</definedName>
    <definedName name="cocott">#REF!</definedName>
    <definedName name="comong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ttron">#REF!</definedName>
    <definedName name="cotvuong">#REF!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dam">#REF!</definedName>
    <definedName name="_dan1">#REF!</definedName>
    <definedName name="_dan2">#REF!</definedName>
    <definedName name="danducsan">#REF!</definedName>
    <definedName name="dientichck">#REF!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cument_array">{"Book1.xls"}</definedName>
    <definedName name="Documents_array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lanhto">#REF!</definedName>
    <definedName name="mongbang">#REF!</definedName>
    <definedName name="mongdon">#REF!</definedName>
    <definedName name="panen">#REF!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san">#REF!</definedName>
    <definedName name="slg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tenck">#REF!</definedName>
    <definedName name="thang">#REF!</definedName>
    <definedName name="thanhtien">#REF!</definedName>
    <definedName name="thepban">#REF!</definedName>
    <definedName name="thetichck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ongbt">#REF!</definedName>
    <definedName name="tongcong">#REF!</definedName>
    <definedName name="tongdientich">#REF!</definedName>
    <definedName name="tongthep">#REF!</definedName>
    <definedName name="tongthetich">#REF!</definedName>
  </definedNames>
  <calcPr calcId="162913"/>
</workbook>
</file>

<file path=xl/calcChain.xml><?xml version="1.0" encoding="utf-8"?>
<calcChain xmlns="http://schemas.openxmlformats.org/spreadsheetml/2006/main">
  <c r="F94" i="13" l="1"/>
  <c r="F102" i="13"/>
  <c r="F105" i="13"/>
  <c r="H92" i="13"/>
  <c r="H93" i="13"/>
  <c r="G10" i="13"/>
  <c r="G11" i="13"/>
  <c r="E14" i="13"/>
  <c r="E17" i="13"/>
  <c r="G23" i="13"/>
  <c r="G24" i="13"/>
  <c r="F40" i="13"/>
  <c r="F41" i="13"/>
  <c r="G25" i="13"/>
  <c r="G26" i="13"/>
  <c r="G27" i="13"/>
  <c r="F34" i="13"/>
  <c r="F37" i="13"/>
  <c r="F35" i="13"/>
  <c r="F36" i="13"/>
  <c r="F38" i="13"/>
  <c r="F68" i="13"/>
  <c r="F69" i="13"/>
  <c r="F70" i="13"/>
  <c r="F71" i="13"/>
  <c r="B72" i="13"/>
  <c r="F72" i="13"/>
  <c r="E73" i="13"/>
  <c r="F73" i="13"/>
  <c r="G27" i="16"/>
  <c r="G26" i="16"/>
  <c r="G24" i="16"/>
  <c r="G23" i="16"/>
  <c r="F38" i="16"/>
  <c r="F39" i="16"/>
  <c r="H26" i="16"/>
  <c r="G24" i="12"/>
  <c r="G26" i="12"/>
  <c r="G27" i="12"/>
  <c r="H26" i="12"/>
  <c r="F36" i="16"/>
  <c r="F75" i="16"/>
  <c r="F77" i="16"/>
  <c r="F81" i="16"/>
  <c r="E13" i="16"/>
  <c r="E72" i="16"/>
  <c r="C93" i="16"/>
  <c r="E105" i="16"/>
  <c r="C92" i="16"/>
  <c r="F89" i="16"/>
  <c r="E132" i="16"/>
  <c r="E135" i="16"/>
  <c r="C140" i="16"/>
  <c r="F34" i="16"/>
  <c r="F37" i="16"/>
  <c r="F67" i="16"/>
  <c r="F69" i="16"/>
  <c r="F70" i="16"/>
  <c r="F79" i="16"/>
  <c r="F72" i="16"/>
  <c r="F71" i="16"/>
  <c r="B71" i="16"/>
  <c r="F68" i="16"/>
  <c r="B68" i="16"/>
  <c r="G62" i="16"/>
  <c r="E14" i="16"/>
  <c r="E17" i="16"/>
  <c r="H49" i="16"/>
  <c r="F40" i="16"/>
  <c r="F41" i="16"/>
  <c r="G25" i="16"/>
  <c r="G11" i="16"/>
  <c r="G10" i="16"/>
  <c r="F60" i="5"/>
  <c r="E17" i="5"/>
  <c r="B8" i="5"/>
  <c r="D7" i="5"/>
  <c r="D8" i="5"/>
  <c r="B92" i="5"/>
  <c r="F89" i="5"/>
  <c r="F90" i="5"/>
  <c r="F88" i="5"/>
  <c r="F100" i="5"/>
  <c r="D12" i="5"/>
  <c r="D13" i="5"/>
  <c r="C96" i="13"/>
  <c r="E116" i="13"/>
  <c r="C95" i="13"/>
  <c r="F92" i="13"/>
  <c r="C157" i="13"/>
  <c r="C159" i="13"/>
  <c r="C160" i="13"/>
  <c r="E135" i="13"/>
  <c r="E138" i="13"/>
  <c r="C143" i="13"/>
  <c r="C93" i="12"/>
  <c r="C92" i="12"/>
  <c r="F89" i="12"/>
  <c r="F34" i="12"/>
  <c r="F37" i="12"/>
  <c r="E13" i="12"/>
  <c r="F35" i="12"/>
  <c r="F51" i="12"/>
  <c r="F52" i="12"/>
  <c r="F36" i="12"/>
  <c r="H42" i="12"/>
  <c r="I42" i="12"/>
  <c r="G25" i="12"/>
  <c r="G23" i="12"/>
  <c r="F38" i="12"/>
  <c r="F39" i="12"/>
  <c r="H43" i="12"/>
  <c r="I43" i="12"/>
  <c r="H33" i="12"/>
  <c r="H41" i="12"/>
  <c r="H40" i="12"/>
  <c r="I40" i="12"/>
  <c r="H39" i="12"/>
  <c r="I39" i="12"/>
  <c r="H35" i="12"/>
  <c r="H36" i="12"/>
  <c r="F40" i="12"/>
  <c r="F41" i="12"/>
  <c r="E132" i="12"/>
  <c r="E135" i="12"/>
  <c r="C140" i="12"/>
  <c r="E105" i="12"/>
  <c r="E113" i="12"/>
  <c r="E116" i="12"/>
  <c r="E119" i="12"/>
  <c r="F67" i="12"/>
  <c r="F79" i="12"/>
  <c r="F69" i="12"/>
  <c r="F72" i="12"/>
  <c r="E72" i="12"/>
  <c r="F71" i="12"/>
  <c r="B71" i="12"/>
  <c r="F68" i="12"/>
  <c r="B68" i="12"/>
  <c r="G62" i="12"/>
  <c r="E14" i="12"/>
  <c r="E17" i="12"/>
  <c r="G11" i="12"/>
  <c r="G10" i="12"/>
  <c r="I89" i="9"/>
  <c r="I86" i="9"/>
  <c r="I85" i="9"/>
  <c r="F97" i="9"/>
  <c r="F54" i="9"/>
  <c r="F53" i="9"/>
  <c r="F61" i="9"/>
  <c r="G44" i="9"/>
  <c r="F52" i="9"/>
  <c r="F55" i="9"/>
  <c r="G40" i="9"/>
  <c r="F56" i="9"/>
  <c r="G43" i="9"/>
  <c r="G41" i="9"/>
  <c r="F58" i="9"/>
  <c r="F59" i="9"/>
  <c r="G42" i="9"/>
  <c r="C201" i="9"/>
  <c r="C154" i="9"/>
  <c r="C153" i="9"/>
  <c r="F150" i="9"/>
  <c r="E193" i="9"/>
  <c r="E196" i="9"/>
  <c r="E166" i="9"/>
  <c r="E177" i="9"/>
  <c r="E180" i="9"/>
  <c r="E174" i="9"/>
  <c r="I87" i="9"/>
  <c r="G80" i="9"/>
  <c r="I88" i="9"/>
  <c r="B8" i="9"/>
  <c r="G22" i="9"/>
  <c r="J44" i="9"/>
  <c r="G21" i="9"/>
  <c r="B89" i="9"/>
  <c r="F89" i="9"/>
  <c r="F87" i="9"/>
  <c r="F85" i="9"/>
  <c r="F90" i="9"/>
  <c r="E90" i="9"/>
  <c r="F88" i="9"/>
  <c r="F86" i="9"/>
  <c r="B86" i="9"/>
  <c r="G25" i="9"/>
  <c r="G33" i="9"/>
  <c r="M15" i="8"/>
  <c r="B15" i="5"/>
  <c r="D14" i="5"/>
  <c r="G40" i="5"/>
  <c r="G39" i="5"/>
  <c r="F91" i="5"/>
  <c r="B89" i="5"/>
  <c r="F93" i="5"/>
  <c r="E93" i="5"/>
  <c r="I61" i="5"/>
  <c r="F59" i="5"/>
  <c r="E21" i="5"/>
  <c r="E18" i="5"/>
  <c r="B134" i="5"/>
  <c r="D133" i="5"/>
  <c r="E137" i="5"/>
  <c r="D111" i="5"/>
  <c r="D112" i="5"/>
  <c r="B135" i="5"/>
  <c r="D132" i="5"/>
  <c r="B14" i="5"/>
  <c r="F27" i="9"/>
  <c r="D131" i="9"/>
  <c r="B132" i="9"/>
  <c r="B133" i="9"/>
  <c r="D130" i="9"/>
  <c r="D109" i="9"/>
  <c r="D110" i="9"/>
  <c r="D111" i="9"/>
  <c r="E115" i="9"/>
  <c r="E14" i="9"/>
  <c r="E17" i="9"/>
  <c r="F57" i="9"/>
  <c r="E135" i="9"/>
  <c r="F70" i="12"/>
  <c r="F84" i="16"/>
  <c r="F85" i="16"/>
  <c r="F42" i="12"/>
  <c r="F75" i="12"/>
  <c r="F77" i="12"/>
  <c r="F81" i="12"/>
  <c r="H37" i="12"/>
  <c r="I37" i="12"/>
  <c r="F42" i="16"/>
  <c r="F91" i="16"/>
  <c r="F99" i="16"/>
  <c r="E125" i="16"/>
  <c r="E128" i="16"/>
  <c r="E138" i="16"/>
  <c r="E142" i="16"/>
  <c r="E117" i="5"/>
  <c r="E125" i="12"/>
  <c r="E128" i="12"/>
  <c r="E138" i="12"/>
  <c r="E142" i="12"/>
  <c r="F91" i="12"/>
  <c r="F99" i="12"/>
  <c r="D15" i="5"/>
  <c r="D9" i="5"/>
  <c r="D10" i="5"/>
  <c r="F152" i="9"/>
  <c r="F160" i="9"/>
  <c r="E186" i="9"/>
  <c r="E189" i="9"/>
  <c r="E199" i="9"/>
  <c r="E203" i="9"/>
  <c r="F60" i="9"/>
  <c r="F69" i="9"/>
  <c r="F70" i="9"/>
  <c r="F93" i="9"/>
  <c r="F95" i="9"/>
  <c r="F99" i="9"/>
  <c r="E123" i="9"/>
  <c r="E113" i="9"/>
  <c r="G23" i="9"/>
  <c r="G30" i="9"/>
  <c r="F43" i="12"/>
  <c r="E113" i="16"/>
  <c r="E116" i="16"/>
  <c r="E119" i="16"/>
  <c r="D113" i="5"/>
  <c r="F67" i="5"/>
  <c r="G24" i="9"/>
  <c r="G26" i="9"/>
  <c r="F92" i="5"/>
  <c r="F35" i="16"/>
  <c r="G34" i="9"/>
  <c r="E119" i="9"/>
  <c r="E117" i="9"/>
  <c r="F102" i="9"/>
  <c r="F103" i="9"/>
  <c r="F84" i="12"/>
  <c r="F85" i="12"/>
  <c r="F51" i="16"/>
  <c r="F52" i="16"/>
  <c r="F43" i="16"/>
  <c r="G35" i="9"/>
  <c r="J43" i="9"/>
  <c r="G36" i="9"/>
  <c r="G37" i="9"/>
  <c r="J41" i="9"/>
  <c r="F44" i="12"/>
  <c r="F45" i="12"/>
  <c r="G29" i="5"/>
  <c r="D11" i="5"/>
  <c r="D16" i="5"/>
  <c r="B13" i="5"/>
  <c r="G26" i="5"/>
  <c r="C50" i="5"/>
  <c r="F58" i="5"/>
  <c r="F61" i="5"/>
  <c r="F44" i="16"/>
  <c r="F45" i="16"/>
  <c r="J42" i="9"/>
  <c r="G29" i="9"/>
  <c r="G31" i="9"/>
  <c r="J40" i="9"/>
  <c r="F62" i="9"/>
  <c r="F64" i="9"/>
  <c r="F63" i="9"/>
  <c r="G25" i="5"/>
  <c r="E121" i="9"/>
  <c r="E137" i="9"/>
  <c r="F66" i="9"/>
  <c r="F65" i="9"/>
  <c r="F66" i="5"/>
  <c r="E115" i="5"/>
  <c r="F96" i="5"/>
  <c r="F98" i="5"/>
  <c r="F102" i="5"/>
  <c r="G28" i="5"/>
  <c r="G30" i="5"/>
  <c r="G27" i="5"/>
  <c r="F46" i="12"/>
  <c r="F46" i="16"/>
  <c r="F68" i="5"/>
  <c r="F69" i="5"/>
  <c r="E119" i="5"/>
  <c r="E121" i="5"/>
  <c r="C49" i="5"/>
  <c r="G41" i="5"/>
  <c r="G42" i="5"/>
  <c r="G43" i="5"/>
  <c r="C47" i="5"/>
  <c r="F64" i="5"/>
  <c r="F65" i="5"/>
  <c r="F47" i="16"/>
  <c r="F48" i="16"/>
  <c r="F48" i="12"/>
  <c r="F47" i="12"/>
  <c r="G35" i="5"/>
  <c r="C48" i="5"/>
  <c r="G33" i="5"/>
  <c r="G34" i="5"/>
  <c r="G36" i="5"/>
  <c r="F104" i="5"/>
  <c r="F103" i="5"/>
  <c r="G37" i="5"/>
  <c r="C46" i="5"/>
  <c r="F62" i="5"/>
  <c r="E139" i="5"/>
  <c r="F63" i="5"/>
  <c r="E125" i="5"/>
  <c r="F75" i="5"/>
  <c r="F77" i="5"/>
  <c r="F76" i="5"/>
  <c r="E123" i="5"/>
  <c r="F70" i="5"/>
  <c r="F71" i="5"/>
  <c r="F72" i="5"/>
  <c r="F43" i="13"/>
  <c r="F80" i="13"/>
  <c r="E108" i="13"/>
  <c r="E119" i="13"/>
  <c r="E122" i="13"/>
  <c r="E149" i="13"/>
  <c r="E128" i="13"/>
  <c r="E131" i="13"/>
  <c r="E141" i="13"/>
  <c r="E145" i="13"/>
  <c r="E150" i="13"/>
  <c r="E154" i="13"/>
  <c r="E155" i="13"/>
  <c r="E156" i="13"/>
  <c r="F76" i="13"/>
  <c r="F78" i="13"/>
  <c r="F82" i="13"/>
  <c r="F42" i="13"/>
  <c r="H37" i="13"/>
  <c r="F51" i="13"/>
  <c r="F52" i="13"/>
  <c r="F39" i="13"/>
  <c r="C161" i="13"/>
  <c r="C162" i="13"/>
  <c r="F45" i="13"/>
  <c r="F44" i="13"/>
  <c r="F46" i="13"/>
  <c r="F85" i="13"/>
  <c r="F86" i="13"/>
  <c r="F47" i="13"/>
  <c r="F48" i="13"/>
</calcChain>
</file>

<file path=xl/comments1.xml><?xml version="1.0" encoding="utf-8"?>
<comments xmlns="http://schemas.openxmlformats.org/spreadsheetml/2006/main">
  <authors>
    <author>Xuan Thanh</author>
  </authors>
  <commentList>
    <comment ref="B5" authorId="0" shapeId="0">
      <text>
        <r>
          <rPr>
            <b/>
            <sz val="8"/>
            <color indexed="81"/>
            <rFont val="Tahoma"/>
            <family val="2"/>
          </rPr>
          <t>Xuan Thanh: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8"/>
            <color indexed="81"/>
            <rFont val="Tahoma"/>
            <family val="2"/>
          </rPr>
          <t>Xuan Thanh: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71" authorId="0" shapeId="0">
      <text>
        <r>
          <rPr>
            <i/>
            <sz val="16"/>
            <color indexed="81"/>
            <rFont val="Tahoma"/>
            <family val="2"/>
          </rPr>
          <t>Xc=b/2</t>
        </r>
      </text>
    </comment>
  </commentList>
</comments>
</file>

<file path=xl/comments2.xml><?xml version="1.0" encoding="utf-8"?>
<comments xmlns="http://schemas.openxmlformats.org/spreadsheetml/2006/main">
  <authors>
    <author>Xuan Thanh</author>
  </authors>
  <commentList>
    <comment ref="B5" authorId="0" shapeId="0">
      <text>
        <r>
          <rPr>
            <b/>
            <sz val="8"/>
            <color indexed="81"/>
            <rFont val="Tahoma"/>
            <family val="2"/>
          </rPr>
          <t>Xuan Thanh: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8"/>
            <color indexed="81"/>
            <rFont val="Tahoma"/>
            <family val="2"/>
          </rPr>
          <t>Xuan Thanh: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70" authorId="0" shapeId="0">
      <text>
        <r>
          <rPr>
            <i/>
            <sz val="16"/>
            <color indexed="81"/>
            <rFont val="Tahoma"/>
            <family val="2"/>
          </rPr>
          <t>Xc=b/2</t>
        </r>
      </text>
    </comment>
  </commentList>
</comments>
</file>

<file path=xl/comments3.xml><?xml version="1.0" encoding="utf-8"?>
<comments xmlns="http://schemas.openxmlformats.org/spreadsheetml/2006/main">
  <authors>
    <author>Xuan Thanh</author>
  </authors>
  <commentList>
    <comment ref="B5" authorId="0" shapeId="0">
      <text>
        <r>
          <rPr>
            <b/>
            <sz val="8"/>
            <color indexed="81"/>
            <rFont val="Tahoma"/>
            <family val="2"/>
          </rPr>
          <t>Xuan Thanh: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8"/>
            <color indexed="81"/>
            <rFont val="Tahoma"/>
            <family val="2"/>
          </rPr>
          <t>Xuan Thanh: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70" authorId="0" shapeId="0">
      <text>
        <r>
          <rPr>
            <i/>
            <sz val="16"/>
            <color indexed="81"/>
            <rFont val="Tahoma"/>
            <family val="2"/>
          </rPr>
          <t>Xc=b/2</t>
        </r>
      </text>
    </comment>
  </commentList>
</comments>
</file>

<file path=xl/comments4.xml><?xml version="1.0" encoding="utf-8"?>
<comments xmlns="http://schemas.openxmlformats.org/spreadsheetml/2006/main">
  <authors>
    <author>Xuan Thanh</author>
  </authors>
  <commentList>
    <comment ref="B5" authorId="0" shapeId="0">
      <text>
        <r>
          <rPr>
            <b/>
            <sz val="8"/>
            <color indexed="81"/>
            <rFont val="Tahoma"/>
            <family val="2"/>
          </rPr>
          <t>Xuan Thanh: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8"/>
            <color indexed="81"/>
            <rFont val="Tahoma"/>
            <family val="2"/>
          </rPr>
          <t>Xuan Thanh: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12"/>
            <color indexed="81"/>
            <rFont val="Tahoma"/>
            <family val="2"/>
          </rPr>
          <t>Xc= Lx</t>
        </r>
        <r>
          <rPr>
            <sz val="12"/>
            <color indexed="81"/>
            <rFont val="Tahoma"/>
            <family val="2"/>
          </rPr>
          <t xml:space="preserve">
</t>
        </r>
      </text>
    </comment>
    <comment ref="A45" authorId="0" shapeId="0">
      <text>
        <r>
          <rPr>
            <sz val="14"/>
            <color indexed="81"/>
            <rFont val="VNI-Helve"/>
          </rPr>
          <t>CHÖA CHÍNH XAÙC NHÖNG CHÖA XAÙC ÑÒNH ÑÖÔÏC NGUYEÂN NHAÂN</t>
        </r>
      </text>
    </comment>
    <comment ref="F88" authorId="0" shapeId="0">
      <text>
        <r>
          <rPr>
            <i/>
            <sz val="16"/>
            <color indexed="81"/>
            <rFont val="Tahoma"/>
            <family val="2"/>
          </rPr>
          <t>Xc=b/2</t>
        </r>
      </text>
    </comment>
    <comment ref="I88" authorId="0" shapeId="0">
      <text>
        <r>
          <rPr>
            <i/>
            <sz val="16"/>
            <color indexed="81"/>
            <rFont val="Tahoma"/>
            <family val="2"/>
          </rPr>
          <t>Xc=b/2</t>
        </r>
      </text>
    </comment>
  </commentList>
</comments>
</file>

<file path=xl/comments5.xml><?xml version="1.0" encoding="utf-8"?>
<comments xmlns="http://schemas.openxmlformats.org/spreadsheetml/2006/main">
  <authors>
    <author>Xuan Thanh</author>
  </authors>
  <commentList>
    <comment ref="B5" authorId="0" shapeId="0">
      <text>
        <r>
          <rPr>
            <b/>
            <sz val="8"/>
            <color indexed="81"/>
            <rFont val="Tahoma"/>
            <family val="2"/>
          </rPr>
          <t>Xuan Thanh: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8"/>
            <color indexed="81"/>
            <rFont val="Tahoma"/>
            <family val="2"/>
          </rPr>
          <t>Xuan Thanh: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9" authorId="0" shapeId="0">
      <text>
        <r>
          <rPr>
            <i/>
            <sz val="16"/>
            <color indexed="81"/>
            <rFont val="VNI-Helve"/>
          </rPr>
          <t>SOÁ NAØY BÒ SAI</t>
        </r>
      </text>
    </comment>
    <comment ref="B10" authorId="0" shapeId="0">
      <text>
        <r>
          <rPr>
            <i/>
            <sz val="12"/>
            <color indexed="81"/>
            <rFont val="VNI-Helve-Condense"/>
          </rPr>
          <t xml:space="preserve">CHÆ CAÀN THAY T3, H3, T4 LAØ ÑUÛ
</t>
        </r>
      </text>
    </comment>
    <comment ref="G30" authorId="0" shapeId="0">
      <text>
        <r>
          <rPr>
            <b/>
            <sz val="12"/>
            <color indexed="81"/>
            <rFont val="Tahoma"/>
            <family val="2"/>
          </rPr>
          <t>Xc= Lx</t>
        </r>
        <r>
          <rPr>
            <sz val="12"/>
            <color indexed="81"/>
            <rFont val="Tahoma"/>
            <family val="2"/>
          </rPr>
          <t xml:space="preserve">
</t>
        </r>
      </text>
    </comment>
    <comment ref="A51" authorId="0" shapeId="0">
      <text>
        <r>
          <rPr>
            <sz val="14"/>
            <color indexed="81"/>
            <rFont val="VNI-Helve"/>
          </rPr>
          <t>CHÖA CHÍNH XAÙC NHÖNG CHÖA XAÙC ÑÒNH ÑÖÔÏC NGUYEÂN NHAÂN</t>
        </r>
      </text>
    </comment>
    <comment ref="F91" authorId="0" shapeId="0">
      <text>
        <r>
          <rPr>
            <i/>
            <sz val="16"/>
            <color indexed="81"/>
            <rFont val="Tahoma"/>
            <family val="2"/>
          </rPr>
          <t>Xc=b/2</t>
        </r>
      </text>
    </comment>
  </commentList>
</comments>
</file>

<file path=xl/sharedStrings.xml><?xml version="1.0" encoding="utf-8"?>
<sst xmlns="http://schemas.openxmlformats.org/spreadsheetml/2006/main" count="1227" uniqueCount="314">
  <si>
    <t>F =</t>
  </si>
  <si>
    <r>
      <t>S</t>
    </r>
    <r>
      <rPr>
        <vertAlign val="subscript"/>
        <sz val="14"/>
        <rFont val="VNI-Helve"/>
      </rPr>
      <t>x</t>
    </r>
    <r>
      <rPr>
        <sz val="14"/>
        <rFont val="VNI-Helve"/>
      </rPr>
      <t xml:space="preserve"> =</t>
    </r>
  </si>
  <si>
    <r>
      <t>S</t>
    </r>
    <r>
      <rPr>
        <vertAlign val="subscript"/>
        <sz val="14"/>
        <rFont val="VNI-Helve"/>
      </rPr>
      <t>y</t>
    </r>
    <r>
      <rPr>
        <sz val="14"/>
        <rFont val="VNI-Helve"/>
      </rPr>
      <t>=</t>
    </r>
  </si>
  <si>
    <r>
      <t>mm</t>
    </r>
    <r>
      <rPr>
        <vertAlign val="superscript"/>
        <sz val="14"/>
        <rFont val="VNI-Helve"/>
      </rPr>
      <t>3</t>
    </r>
  </si>
  <si>
    <r>
      <t>mm</t>
    </r>
    <r>
      <rPr>
        <vertAlign val="superscript"/>
        <sz val="14"/>
        <rFont val="VNI-Helve"/>
      </rPr>
      <t>2</t>
    </r>
  </si>
  <si>
    <t>mm</t>
  </si>
  <si>
    <r>
      <t>Y</t>
    </r>
    <r>
      <rPr>
        <vertAlign val="subscript"/>
        <sz val="14"/>
        <color indexed="10"/>
        <rFont val="VNI-Helve"/>
      </rPr>
      <t>c</t>
    </r>
    <r>
      <rPr>
        <sz val="14"/>
        <color indexed="10"/>
        <rFont val="VNI-Helve"/>
      </rPr>
      <t xml:space="preserve"> =</t>
    </r>
  </si>
  <si>
    <r>
      <t>S</t>
    </r>
    <r>
      <rPr>
        <vertAlign val="subscript"/>
        <sz val="14"/>
        <color indexed="10"/>
        <rFont val="VNI-Helve"/>
      </rPr>
      <t>x</t>
    </r>
    <r>
      <rPr>
        <sz val="14"/>
        <color indexed="10"/>
        <rFont val="VNI-Helve"/>
      </rPr>
      <t>/F</t>
    </r>
  </si>
  <si>
    <r>
      <t>X</t>
    </r>
    <r>
      <rPr>
        <vertAlign val="subscript"/>
        <sz val="14"/>
        <color indexed="10"/>
        <rFont val="VNI-Helve"/>
      </rPr>
      <t>c</t>
    </r>
    <r>
      <rPr>
        <sz val="14"/>
        <color indexed="10"/>
        <rFont val="VNI-Helve"/>
      </rPr>
      <t xml:space="preserve"> =</t>
    </r>
  </si>
  <si>
    <r>
      <t>S</t>
    </r>
    <r>
      <rPr>
        <vertAlign val="subscript"/>
        <sz val="14"/>
        <color indexed="10"/>
        <rFont val="VNI-Helve"/>
      </rPr>
      <t>y</t>
    </r>
    <r>
      <rPr>
        <sz val="14"/>
        <color indexed="10"/>
        <rFont val="VNI-Helve"/>
      </rPr>
      <t>/F</t>
    </r>
  </si>
  <si>
    <r>
      <t>t</t>
    </r>
    <r>
      <rPr>
        <vertAlign val="subscript"/>
        <sz val="14"/>
        <rFont val="VNI-Helve"/>
      </rPr>
      <t>3</t>
    </r>
    <r>
      <rPr>
        <sz val="14"/>
        <rFont val="VNI-Helve"/>
      </rPr>
      <t>^3*H</t>
    </r>
    <r>
      <rPr>
        <vertAlign val="subscript"/>
        <sz val="14"/>
        <rFont val="VNI-Helve"/>
      </rPr>
      <t>1</t>
    </r>
    <r>
      <rPr>
        <sz val="14"/>
        <rFont val="VNI-Helve"/>
      </rPr>
      <t>/12+(Xc-b</t>
    </r>
    <r>
      <rPr>
        <vertAlign val="subscript"/>
        <sz val="14"/>
        <rFont val="VNI-Helve"/>
      </rPr>
      <t>1</t>
    </r>
    <r>
      <rPr>
        <sz val="14"/>
        <rFont val="VNI-Helve"/>
      </rPr>
      <t>-t</t>
    </r>
    <r>
      <rPr>
        <vertAlign val="subscript"/>
        <sz val="14"/>
        <rFont val="VNI-Helve"/>
      </rPr>
      <t>3</t>
    </r>
    <r>
      <rPr>
        <sz val="14"/>
        <rFont val="VNI-Helve"/>
      </rPr>
      <t>/2)^2*H</t>
    </r>
    <r>
      <rPr>
        <vertAlign val="subscript"/>
        <sz val="14"/>
        <rFont val="VNI-Helve"/>
      </rPr>
      <t>1</t>
    </r>
    <r>
      <rPr>
        <sz val="14"/>
        <rFont val="VNI-Helve"/>
      </rPr>
      <t>*t</t>
    </r>
    <r>
      <rPr>
        <vertAlign val="subscript"/>
        <sz val="14"/>
        <rFont val="VNI-Helve"/>
      </rPr>
      <t>3</t>
    </r>
  </si>
  <si>
    <r>
      <t>t</t>
    </r>
    <r>
      <rPr>
        <vertAlign val="subscript"/>
        <sz val="14"/>
        <rFont val="VNI-Helve"/>
      </rPr>
      <t>4</t>
    </r>
    <r>
      <rPr>
        <sz val="14"/>
        <rFont val="VNI-Helve"/>
      </rPr>
      <t>^3*H</t>
    </r>
    <r>
      <rPr>
        <vertAlign val="subscript"/>
        <sz val="14"/>
        <rFont val="VNI-Helve"/>
      </rPr>
      <t>1</t>
    </r>
    <r>
      <rPr>
        <sz val="14"/>
        <rFont val="VNI-Helve"/>
      </rPr>
      <t>/12+(Xc-b</t>
    </r>
    <r>
      <rPr>
        <vertAlign val="subscript"/>
        <sz val="14"/>
        <rFont val="VNI-Helve"/>
      </rPr>
      <t>1</t>
    </r>
    <r>
      <rPr>
        <sz val="14"/>
        <rFont val="VNI-Helve"/>
      </rPr>
      <t>-b</t>
    </r>
    <r>
      <rPr>
        <vertAlign val="subscript"/>
        <sz val="14"/>
        <rFont val="VNI-Helve"/>
      </rPr>
      <t>2</t>
    </r>
    <r>
      <rPr>
        <sz val="14"/>
        <rFont val="VNI-Helve"/>
      </rPr>
      <t>+t</t>
    </r>
    <r>
      <rPr>
        <vertAlign val="subscript"/>
        <sz val="14"/>
        <rFont val="VNI-Helve"/>
      </rPr>
      <t>4</t>
    </r>
    <r>
      <rPr>
        <sz val="14"/>
        <rFont val="VNI-Helve"/>
      </rPr>
      <t>/2)^2*H</t>
    </r>
    <r>
      <rPr>
        <vertAlign val="subscript"/>
        <sz val="14"/>
        <rFont val="VNI-Helve"/>
      </rPr>
      <t>1</t>
    </r>
    <r>
      <rPr>
        <sz val="14"/>
        <rFont val="VNI-Helve"/>
      </rPr>
      <t>*t</t>
    </r>
    <r>
      <rPr>
        <vertAlign val="subscript"/>
        <sz val="14"/>
        <rFont val="VNI-Helve"/>
      </rPr>
      <t>4</t>
    </r>
  </si>
  <si>
    <r>
      <t>J</t>
    </r>
    <r>
      <rPr>
        <vertAlign val="subscript"/>
        <sz val="14"/>
        <rFont val="VNI-Helve"/>
      </rPr>
      <t>x</t>
    </r>
    <r>
      <rPr>
        <sz val="14"/>
        <rFont val="VNI-Helve"/>
      </rPr>
      <t>=J</t>
    </r>
    <r>
      <rPr>
        <vertAlign val="superscript"/>
        <sz val="14"/>
        <rFont val="VNI-Helve"/>
      </rPr>
      <t>1</t>
    </r>
    <r>
      <rPr>
        <vertAlign val="subscript"/>
        <sz val="14"/>
        <rFont val="VNI-Helve"/>
      </rPr>
      <t>x</t>
    </r>
    <r>
      <rPr>
        <sz val="14"/>
        <rFont val="VNI-Helve"/>
      </rPr>
      <t>+J</t>
    </r>
    <r>
      <rPr>
        <vertAlign val="superscript"/>
        <sz val="14"/>
        <rFont val="VNI-Helve"/>
      </rPr>
      <t>2</t>
    </r>
    <r>
      <rPr>
        <vertAlign val="subscript"/>
        <sz val="14"/>
        <rFont val="VNI-Helve"/>
      </rPr>
      <t>x</t>
    </r>
    <r>
      <rPr>
        <sz val="14"/>
        <rFont val="VNI-Helve"/>
      </rPr>
      <t>+J</t>
    </r>
    <r>
      <rPr>
        <vertAlign val="superscript"/>
        <sz val="14"/>
        <rFont val="VNI-Helve"/>
      </rPr>
      <t>3</t>
    </r>
    <r>
      <rPr>
        <vertAlign val="subscript"/>
        <sz val="14"/>
        <rFont val="VNI-Helve"/>
      </rPr>
      <t>x</t>
    </r>
    <r>
      <rPr>
        <sz val="14"/>
        <rFont val="VNI-Helve"/>
      </rPr>
      <t>+J</t>
    </r>
    <r>
      <rPr>
        <vertAlign val="superscript"/>
        <sz val="14"/>
        <rFont val="VNI-Helve"/>
      </rPr>
      <t>4</t>
    </r>
    <r>
      <rPr>
        <vertAlign val="subscript"/>
        <sz val="14"/>
        <rFont val="VNI-Helve"/>
      </rPr>
      <t>x</t>
    </r>
  </si>
  <si>
    <r>
      <t>J</t>
    </r>
    <r>
      <rPr>
        <vertAlign val="superscript"/>
        <sz val="14"/>
        <rFont val="VNI-Helve"/>
      </rPr>
      <t>1</t>
    </r>
    <r>
      <rPr>
        <vertAlign val="subscript"/>
        <sz val="14"/>
        <rFont val="VNI-Helve"/>
      </rPr>
      <t>x</t>
    </r>
    <r>
      <rPr>
        <sz val="14"/>
        <rFont val="VNI-Helve"/>
      </rPr>
      <t>=</t>
    </r>
  </si>
  <si>
    <r>
      <t>J</t>
    </r>
    <r>
      <rPr>
        <vertAlign val="superscript"/>
        <sz val="14"/>
        <rFont val="VNI-Helve"/>
      </rPr>
      <t>2</t>
    </r>
    <r>
      <rPr>
        <vertAlign val="subscript"/>
        <sz val="14"/>
        <rFont val="VNI-Helve"/>
      </rPr>
      <t>x</t>
    </r>
    <r>
      <rPr>
        <sz val="14"/>
        <rFont val="VNI-Helve"/>
      </rPr>
      <t>=</t>
    </r>
  </si>
  <si>
    <r>
      <t>J</t>
    </r>
    <r>
      <rPr>
        <vertAlign val="superscript"/>
        <sz val="14"/>
        <rFont val="VNI-Helve"/>
      </rPr>
      <t>3</t>
    </r>
    <r>
      <rPr>
        <vertAlign val="subscript"/>
        <sz val="14"/>
        <rFont val="VNI-Helve"/>
      </rPr>
      <t>x</t>
    </r>
    <r>
      <rPr>
        <sz val="14"/>
        <rFont val="VNI-Helve"/>
      </rPr>
      <t>=</t>
    </r>
  </si>
  <si>
    <r>
      <t>J</t>
    </r>
    <r>
      <rPr>
        <vertAlign val="superscript"/>
        <sz val="14"/>
        <rFont val="VNI-Helve"/>
      </rPr>
      <t>4</t>
    </r>
    <r>
      <rPr>
        <vertAlign val="subscript"/>
        <sz val="14"/>
        <rFont val="VNI-Helve"/>
      </rPr>
      <t>x</t>
    </r>
    <r>
      <rPr>
        <sz val="14"/>
        <rFont val="VNI-Helve"/>
      </rPr>
      <t>=</t>
    </r>
  </si>
  <si>
    <r>
      <t>J</t>
    </r>
    <r>
      <rPr>
        <vertAlign val="subscript"/>
        <sz val="14"/>
        <rFont val="VNI-Helve"/>
      </rPr>
      <t>y</t>
    </r>
    <r>
      <rPr>
        <sz val="14"/>
        <rFont val="VNI-Helve"/>
      </rPr>
      <t>=J</t>
    </r>
    <r>
      <rPr>
        <vertAlign val="superscript"/>
        <sz val="14"/>
        <rFont val="VNI-Helve"/>
      </rPr>
      <t>1</t>
    </r>
    <r>
      <rPr>
        <vertAlign val="subscript"/>
        <sz val="14"/>
        <rFont val="VNI-Helve"/>
      </rPr>
      <t>y</t>
    </r>
    <r>
      <rPr>
        <sz val="14"/>
        <rFont val="VNI-Helve"/>
      </rPr>
      <t>+J</t>
    </r>
    <r>
      <rPr>
        <vertAlign val="superscript"/>
        <sz val="14"/>
        <rFont val="VNI-Helve"/>
      </rPr>
      <t>2</t>
    </r>
    <r>
      <rPr>
        <vertAlign val="subscript"/>
        <sz val="14"/>
        <rFont val="VNI-Helve"/>
      </rPr>
      <t>y</t>
    </r>
    <r>
      <rPr>
        <sz val="14"/>
        <rFont val="VNI-Helve"/>
      </rPr>
      <t>+J</t>
    </r>
    <r>
      <rPr>
        <vertAlign val="superscript"/>
        <sz val="14"/>
        <rFont val="VNI-Helve"/>
      </rPr>
      <t>3</t>
    </r>
    <r>
      <rPr>
        <vertAlign val="subscript"/>
        <sz val="14"/>
        <rFont val="VNI-Helve"/>
      </rPr>
      <t>y</t>
    </r>
    <r>
      <rPr>
        <sz val="14"/>
        <rFont val="VNI-Helve"/>
      </rPr>
      <t>+J</t>
    </r>
    <r>
      <rPr>
        <vertAlign val="superscript"/>
        <sz val="14"/>
        <rFont val="VNI-Helve"/>
      </rPr>
      <t>4</t>
    </r>
    <r>
      <rPr>
        <vertAlign val="subscript"/>
        <sz val="14"/>
        <rFont val="VNI-Helve"/>
      </rPr>
      <t>y</t>
    </r>
  </si>
  <si>
    <r>
      <t>J</t>
    </r>
    <r>
      <rPr>
        <vertAlign val="superscript"/>
        <sz val="14"/>
        <rFont val="VNI-Helve"/>
      </rPr>
      <t>1</t>
    </r>
    <r>
      <rPr>
        <vertAlign val="subscript"/>
        <sz val="14"/>
        <rFont val="VNI-Helve"/>
      </rPr>
      <t>y</t>
    </r>
    <r>
      <rPr>
        <sz val="14"/>
        <rFont val="VNI-Helve"/>
      </rPr>
      <t>=</t>
    </r>
  </si>
  <si>
    <r>
      <t>J</t>
    </r>
    <r>
      <rPr>
        <vertAlign val="superscript"/>
        <sz val="14"/>
        <rFont val="VNI-Helve"/>
      </rPr>
      <t>2</t>
    </r>
    <r>
      <rPr>
        <vertAlign val="subscript"/>
        <sz val="14"/>
        <rFont val="VNI-Helve"/>
      </rPr>
      <t>y</t>
    </r>
    <r>
      <rPr>
        <sz val="14"/>
        <rFont val="VNI-Helve"/>
      </rPr>
      <t>=</t>
    </r>
  </si>
  <si>
    <r>
      <t>J</t>
    </r>
    <r>
      <rPr>
        <vertAlign val="superscript"/>
        <sz val="14"/>
        <rFont val="VNI-Helve"/>
      </rPr>
      <t>3</t>
    </r>
    <r>
      <rPr>
        <vertAlign val="subscript"/>
        <sz val="14"/>
        <rFont val="VNI-Helve"/>
      </rPr>
      <t>y</t>
    </r>
    <r>
      <rPr>
        <sz val="14"/>
        <rFont val="VNI-Helve"/>
      </rPr>
      <t>=</t>
    </r>
  </si>
  <si>
    <r>
      <t>J</t>
    </r>
    <r>
      <rPr>
        <vertAlign val="superscript"/>
        <sz val="14"/>
        <rFont val="VNI-Helve"/>
      </rPr>
      <t>4</t>
    </r>
    <r>
      <rPr>
        <vertAlign val="subscript"/>
        <sz val="14"/>
        <rFont val="VNI-Helve"/>
      </rPr>
      <t>y</t>
    </r>
    <r>
      <rPr>
        <sz val="14"/>
        <rFont val="VNI-Helve"/>
      </rPr>
      <t>=</t>
    </r>
  </si>
  <si>
    <t>h</t>
  </si>
  <si>
    <r>
      <t>L</t>
    </r>
    <r>
      <rPr>
        <vertAlign val="subscript"/>
        <sz val="14"/>
        <rFont val="VNI-Helve"/>
      </rPr>
      <t>1</t>
    </r>
    <r>
      <rPr>
        <sz val="14"/>
        <rFont val="VNI-Helve"/>
      </rPr>
      <t>=</t>
    </r>
  </si>
  <si>
    <r>
      <t>H</t>
    </r>
    <r>
      <rPr>
        <vertAlign val="subscript"/>
        <sz val="14"/>
        <rFont val="VNI-Helve"/>
      </rPr>
      <t>3</t>
    </r>
    <r>
      <rPr>
        <sz val="14"/>
        <rFont val="VNI-Helve"/>
      </rPr>
      <t xml:space="preserve"> =</t>
    </r>
  </si>
  <si>
    <r>
      <t>L</t>
    </r>
    <r>
      <rPr>
        <vertAlign val="subscript"/>
        <sz val="14"/>
        <rFont val="VNI-Helve"/>
      </rPr>
      <t>2</t>
    </r>
    <r>
      <rPr>
        <sz val="14"/>
        <rFont val="VNI-Helve"/>
      </rPr>
      <t>=</t>
    </r>
  </si>
  <si>
    <t xml:space="preserve">L= </t>
  </si>
  <si>
    <r>
      <t>l</t>
    </r>
    <r>
      <rPr>
        <vertAlign val="subscript"/>
        <sz val="14"/>
        <rFont val="VNI-Helve"/>
      </rPr>
      <t>4</t>
    </r>
    <r>
      <rPr>
        <sz val="14"/>
        <rFont val="VNI-Helve"/>
      </rPr>
      <t>=L</t>
    </r>
    <r>
      <rPr>
        <vertAlign val="subscript"/>
        <sz val="14"/>
        <rFont val="VNI-Helve"/>
      </rPr>
      <t>2</t>
    </r>
  </si>
  <si>
    <r>
      <t>b</t>
    </r>
    <r>
      <rPr>
        <vertAlign val="subscript"/>
        <sz val="14"/>
        <rFont val="VNI-Helve"/>
      </rPr>
      <t>1</t>
    </r>
  </si>
  <si>
    <r>
      <t>t</t>
    </r>
    <r>
      <rPr>
        <vertAlign val="subscript"/>
        <sz val="14"/>
        <rFont val="VNI-Helve"/>
      </rPr>
      <t>1</t>
    </r>
  </si>
  <si>
    <r>
      <t>h</t>
    </r>
    <r>
      <rPr>
        <vertAlign val="subscript"/>
        <sz val="14"/>
        <rFont val="VNI-Helve"/>
      </rPr>
      <t>2</t>
    </r>
  </si>
  <si>
    <r>
      <t>t</t>
    </r>
    <r>
      <rPr>
        <vertAlign val="subscript"/>
        <sz val="14"/>
        <rFont val="VNI-Helve"/>
      </rPr>
      <t>2</t>
    </r>
  </si>
  <si>
    <r>
      <t>H</t>
    </r>
    <r>
      <rPr>
        <vertAlign val="subscript"/>
        <sz val="14"/>
        <rFont val="VNI-Helve"/>
      </rPr>
      <t>1</t>
    </r>
    <r>
      <rPr>
        <sz val="14"/>
        <rFont val="VNI-Helve"/>
      </rPr>
      <t xml:space="preserve"> =</t>
    </r>
  </si>
  <si>
    <r>
      <t>H</t>
    </r>
    <r>
      <rPr>
        <vertAlign val="subscript"/>
        <sz val="14"/>
        <rFont val="VNI-Helve"/>
      </rPr>
      <t>2</t>
    </r>
    <r>
      <rPr>
        <sz val="14"/>
        <rFont val="VNI-Helve"/>
      </rPr>
      <t xml:space="preserve"> =</t>
    </r>
  </si>
  <si>
    <r>
      <t>b</t>
    </r>
    <r>
      <rPr>
        <vertAlign val="subscript"/>
        <sz val="14"/>
        <rFont val="VNI-Helve"/>
      </rPr>
      <t>2</t>
    </r>
    <r>
      <rPr>
        <sz val="14"/>
        <rFont val="VNI-Helve"/>
      </rPr>
      <t>=</t>
    </r>
  </si>
  <si>
    <r>
      <t>b</t>
    </r>
    <r>
      <rPr>
        <vertAlign val="subscript"/>
        <sz val="14"/>
        <rFont val="VNI-Helve"/>
      </rPr>
      <t>3</t>
    </r>
    <r>
      <rPr>
        <sz val="14"/>
        <rFont val="VNI-Helve"/>
      </rPr>
      <t>=</t>
    </r>
  </si>
  <si>
    <r>
      <t>t</t>
    </r>
    <r>
      <rPr>
        <vertAlign val="subscript"/>
        <sz val="14"/>
        <rFont val="VNI-Helve"/>
      </rPr>
      <t>1</t>
    </r>
    <r>
      <rPr>
        <sz val="14"/>
        <rFont val="VNI-Helve"/>
      </rPr>
      <t>/2*t</t>
    </r>
    <r>
      <rPr>
        <vertAlign val="subscript"/>
        <sz val="14"/>
        <rFont val="VNI-Helve"/>
      </rPr>
      <t>1</t>
    </r>
    <r>
      <rPr>
        <sz val="14"/>
        <rFont val="VNI-Helve"/>
      </rPr>
      <t>*b1+(t</t>
    </r>
    <r>
      <rPr>
        <vertAlign val="subscript"/>
        <sz val="14"/>
        <rFont val="VNI-Helve"/>
      </rPr>
      <t>1</t>
    </r>
    <r>
      <rPr>
        <sz val="14"/>
        <rFont val="VNI-Helve"/>
      </rPr>
      <t>+h</t>
    </r>
    <r>
      <rPr>
        <vertAlign val="subscript"/>
        <sz val="14"/>
        <rFont val="VNI-Helve"/>
      </rPr>
      <t>2</t>
    </r>
    <r>
      <rPr>
        <sz val="14"/>
        <rFont val="VNI-Helve"/>
      </rPr>
      <t>/2)*t</t>
    </r>
    <r>
      <rPr>
        <vertAlign val="subscript"/>
        <sz val="14"/>
        <rFont val="VNI-Helve"/>
      </rPr>
      <t>2</t>
    </r>
    <r>
      <rPr>
        <sz val="14"/>
        <rFont val="VNI-Helve"/>
      </rPr>
      <t>*h</t>
    </r>
    <r>
      <rPr>
        <vertAlign val="subscript"/>
        <sz val="14"/>
        <rFont val="VNI-Helve"/>
      </rPr>
      <t>2</t>
    </r>
    <r>
      <rPr>
        <sz val="14"/>
        <rFont val="VNI-Helve"/>
      </rPr>
      <t>+((H</t>
    </r>
    <r>
      <rPr>
        <vertAlign val="subscript"/>
        <sz val="14"/>
        <rFont val="VNI-Helve"/>
      </rPr>
      <t>1</t>
    </r>
    <r>
      <rPr>
        <sz val="14"/>
        <rFont val="VNI-Helve"/>
      </rPr>
      <t>+H</t>
    </r>
    <r>
      <rPr>
        <vertAlign val="subscript"/>
        <sz val="14"/>
        <rFont val="VNI-Helve"/>
      </rPr>
      <t>2</t>
    </r>
    <r>
      <rPr>
        <sz val="14"/>
        <rFont val="VNI-Helve"/>
      </rPr>
      <t>/2)*t</t>
    </r>
    <r>
      <rPr>
        <vertAlign val="subscript"/>
        <sz val="14"/>
        <rFont val="VNI-Helve"/>
      </rPr>
      <t>3</t>
    </r>
    <r>
      <rPr>
        <sz val="14"/>
        <rFont val="VNI-Helve"/>
      </rPr>
      <t>*h</t>
    </r>
    <r>
      <rPr>
        <vertAlign val="subscript"/>
        <sz val="14"/>
        <rFont val="VNI-Helve"/>
      </rPr>
      <t>3</t>
    </r>
    <r>
      <rPr>
        <sz val="14"/>
        <rFont val="VNI-Helve"/>
      </rPr>
      <t>)*2+((H</t>
    </r>
    <r>
      <rPr>
        <vertAlign val="subscript"/>
        <sz val="14"/>
        <rFont val="VNI-Helve"/>
      </rPr>
      <t>1</t>
    </r>
    <r>
      <rPr>
        <sz val="14"/>
        <rFont val="VNI-Helve"/>
      </rPr>
      <t>+H</t>
    </r>
    <r>
      <rPr>
        <vertAlign val="subscript"/>
        <sz val="14"/>
        <rFont val="VNI-Helve"/>
      </rPr>
      <t>2</t>
    </r>
    <r>
      <rPr>
        <sz val="14"/>
        <rFont val="VNI-Helve"/>
      </rPr>
      <t>+H</t>
    </r>
    <r>
      <rPr>
        <vertAlign val="subscript"/>
        <sz val="14"/>
        <rFont val="VNI-Helve"/>
      </rPr>
      <t>3</t>
    </r>
    <r>
      <rPr>
        <sz val="14"/>
        <rFont val="VNI-Helve"/>
      </rPr>
      <t>/2)*t</t>
    </r>
    <r>
      <rPr>
        <vertAlign val="subscript"/>
        <sz val="14"/>
        <rFont val="VNI-Helve"/>
      </rPr>
      <t>4</t>
    </r>
    <r>
      <rPr>
        <sz val="14"/>
        <rFont val="VNI-Helve"/>
      </rPr>
      <t>*L</t>
    </r>
    <r>
      <rPr>
        <vertAlign val="subscript"/>
        <sz val="14"/>
        <rFont val="VNI-Helve"/>
      </rPr>
      <t>2</t>
    </r>
    <r>
      <rPr>
        <sz val="14"/>
        <rFont val="VNI-Helve"/>
      </rPr>
      <t>)*2</t>
    </r>
  </si>
  <si>
    <t>a=</t>
  </si>
  <si>
    <t>Lx=</t>
  </si>
  <si>
    <t xml:space="preserve">c = </t>
  </si>
  <si>
    <t>d =</t>
  </si>
  <si>
    <r>
      <t>t</t>
    </r>
    <r>
      <rPr>
        <vertAlign val="subscript"/>
        <sz val="14"/>
        <color indexed="10"/>
        <rFont val="VNI-Helve"/>
      </rPr>
      <t>3</t>
    </r>
  </si>
  <si>
    <r>
      <t>h</t>
    </r>
    <r>
      <rPr>
        <vertAlign val="subscript"/>
        <sz val="14"/>
        <color indexed="10"/>
        <rFont val="VNI-Helve"/>
      </rPr>
      <t>3</t>
    </r>
  </si>
  <si>
    <r>
      <t>t</t>
    </r>
    <r>
      <rPr>
        <vertAlign val="subscript"/>
        <sz val="14"/>
        <color indexed="10"/>
        <rFont val="VNI-Helve"/>
      </rPr>
      <t>4</t>
    </r>
    <r>
      <rPr>
        <sz val="14"/>
        <color indexed="10"/>
        <rFont val="VNI-Helve"/>
      </rPr>
      <t xml:space="preserve"> </t>
    </r>
  </si>
  <si>
    <r>
      <t>a</t>
    </r>
    <r>
      <rPr>
        <vertAlign val="subscript"/>
        <sz val="14"/>
        <color indexed="10"/>
        <rFont val="Symbol"/>
        <family val="1"/>
        <charset val="2"/>
      </rPr>
      <t>1</t>
    </r>
    <r>
      <rPr>
        <sz val="14"/>
        <color indexed="10"/>
        <rFont val="Symbol"/>
        <family val="1"/>
        <charset val="2"/>
      </rPr>
      <t xml:space="preserve"> = </t>
    </r>
  </si>
  <si>
    <r>
      <t>a</t>
    </r>
    <r>
      <rPr>
        <vertAlign val="subscript"/>
        <sz val="14"/>
        <color indexed="10"/>
        <rFont val="Symbol"/>
        <family val="1"/>
        <charset val="2"/>
      </rPr>
      <t>2</t>
    </r>
    <r>
      <rPr>
        <sz val="14"/>
        <color indexed="10"/>
        <rFont val="Symbol"/>
        <family val="1"/>
        <charset val="2"/>
      </rPr>
      <t xml:space="preserve"> = </t>
    </r>
  </si>
  <si>
    <r>
      <t>b</t>
    </r>
    <r>
      <rPr>
        <vertAlign val="subscript"/>
        <sz val="14"/>
        <rFont val="VNI-Helve"/>
      </rPr>
      <t>1</t>
    </r>
    <r>
      <rPr>
        <sz val="14"/>
        <rFont val="VNI-Helve"/>
      </rPr>
      <t>*t</t>
    </r>
    <r>
      <rPr>
        <vertAlign val="subscript"/>
        <sz val="14"/>
        <rFont val="VNI-Helve"/>
      </rPr>
      <t>1</t>
    </r>
    <r>
      <rPr>
        <sz val="14"/>
        <rFont val="VNI-Helve"/>
      </rPr>
      <t>^3/12+(Y</t>
    </r>
    <r>
      <rPr>
        <vertAlign val="subscript"/>
        <sz val="14"/>
        <rFont val="VNI-Helve"/>
      </rPr>
      <t>c</t>
    </r>
    <r>
      <rPr>
        <sz val="14"/>
        <rFont val="VNI-Helve"/>
      </rPr>
      <t>-t</t>
    </r>
    <r>
      <rPr>
        <vertAlign val="subscript"/>
        <sz val="14"/>
        <rFont val="VNI-Helve"/>
      </rPr>
      <t>1</t>
    </r>
    <r>
      <rPr>
        <sz val="14"/>
        <rFont val="VNI-Helve"/>
      </rPr>
      <t>/2)^2*t</t>
    </r>
    <r>
      <rPr>
        <vertAlign val="subscript"/>
        <sz val="14"/>
        <rFont val="VNI-Helve"/>
      </rPr>
      <t>1</t>
    </r>
    <r>
      <rPr>
        <sz val="14"/>
        <rFont val="VNI-Helve"/>
      </rPr>
      <t>*b</t>
    </r>
    <r>
      <rPr>
        <vertAlign val="subscript"/>
        <sz val="14"/>
        <rFont val="VNI-Helve"/>
      </rPr>
      <t>1</t>
    </r>
  </si>
  <si>
    <r>
      <t>t</t>
    </r>
    <r>
      <rPr>
        <vertAlign val="subscript"/>
        <sz val="14"/>
        <rFont val="VNI-Helve"/>
      </rPr>
      <t>2</t>
    </r>
    <r>
      <rPr>
        <sz val="14"/>
        <rFont val="VNI-Helve"/>
      </rPr>
      <t>*h</t>
    </r>
    <r>
      <rPr>
        <vertAlign val="subscript"/>
        <sz val="14"/>
        <rFont val="VNI-Helve"/>
      </rPr>
      <t>2</t>
    </r>
    <r>
      <rPr>
        <sz val="14"/>
        <rFont val="VNI-Helve"/>
      </rPr>
      <t>^3/12+(Y</t>
    </r>
    <r>
      <rPr>
        <vertAlign val="subscript"/>
        <sz val="14"/>
        <rFont val="VNI-Helve"/>
      </rPr>
      <t>c</t>
    </r>
    <r>
      <rPr>
        <sz val="14"/>
        <rFont val="VNI-Helve"/>
      </rPr>
      <t>-h</t>
    </r>
    <r>
      <rPr>
        <vertAlign val="subscript"/>
        <sz val="14"/>
        <rFont val="VNI-Helve"/>
      </rPr>
      <t>2</t>
    </r>
    <r>
      <rPr>
        <sz val="14"/>
        <rFont val="VNI-Helve"/>
      </rPr>
      <t>/2+t</t>
    </r>
    <r>
      <rPr>
        <vertAlign val="subscript"/>
        <sz val="14"/>
        <rFont val="VNI-Helve"/>
      </rPr>
      <t>1</t>
    </r>
    <r>
      <rPr>
        <sz val="14"/>
        <rFont val="VNI-Helve"/>
      </rPr>
      <t>)^2*t</t>
    </r>
    <r>
      <rPr>
        <vertAlign val="subscript"/>
        <sz val="14"/>
        <rFont val="VNI-Helve"/>
      </rPr>
      <t>2</t>
    </r>
    <r>
      <rPr>
        <sz val="14"/>
        <rFont val="VNI-Helve"/>
      </rPr>
      <t>*h</t>
    </r>
    <r>
      <rPr>
        <vertAlign val="subscript"/>
        <sz val="14"/>
        <rFont val="VNI-Helve"/>
      </rPr>
      <t>2</t>
    </r>
  </si>
  <si>
    <r>
      <t>[t</t>
    </r>
    <r>
      <rPr>
        <vertAlign val="subscript"/>
        <sz val="14"/>
        <rFont val="VNI-Helve"/>
      </rPr>
      <t>3</t>
    </r>
    <r>
      <rPr>
        <sz val="14"/>
        <rFont val="VNI-Helve"/>
      </rPr>
      <t>*H</t>
    </r>
    <r>
      <rPr>
        <vertAlign val="subscript"/>
        <sz val="14"/>
        <rFont val="VNI-Helve"/>
      </rPr>
      <t>2</t>
    </r>
    <r>
      <rPr>
        <sz val="14"/>
        <rFont val="VNI-Helve"/>
      </rPr>
      <t>^3/12+(Y</t>
    </r>
    <r>
      <rPr>
        <vertAlign val="subscript"/>
        <sz val="14"/>
        <rFont val="VNI-Helve"/>
      </rPr>
      <t>c</t>
    </r>
    <r>
      <rPr>
        <sz val="14"/>
        <rFont val="VNI-Helve"/>
      </rPr>
      <t>-H</t>
    </r>
    <r>
      <rPr>
        <vertAlign val="subscript"/>
        <sz val="14"/>
        <rFont val="VNI-Helve"/>
      </rPr>
      <t>2</t>
    </r>
    <r>
      <rPr>
        <sz val="14"/>
        <rFont val="VNI-Helve"/>
      </rPr>
      <t>/2-H</t>
    </r>
    <r>
      <rPr>
        <vertAlign val="subscript"/>
        <sz val="14"/>
        <rFont val="VNI-Helve"/>
      </rPr>
      <t>1</t>
    </r>
    <r>
      <rPr>
        <sz val="14"/>
        <rFont val="VNI-Helve"/>
      </rPr>
      <t>)^2*t</t>
    </r>
    <r>
      <rPr>
        <vertAlign val="subscript"/>
        <sz val="14"/>
        <rFont val="VNI-Helve"/>
      </rPr>
      <t>3</t>
    </r>
    <r>
      <rPr>
        <sz val="14"/>
        <rFont val="VNI-Helve"/>
      </rPr>
      <t>*h</t>
    </r>
    <r>
      <rPr>
        <vertAlign val="subscript"/>
        <sz val="14"/>
        <rFont val="VNI-Helve"/>
      </rPr>
      <t>3</t>
    </r>
    <r>
      <rPr>
        <sz val="14"/>
        <rFont val="VNI-Helve"/>
      </rPr>
      <t>]*2</t>
    </r>
  </si>
  <si>
    <r>
      <t>[t</t>
    </r>
    <r>
      <rPr>
        <vertAlign val="subscript"/>
        <sz val="14"/>
        <rFont val="VNI-Helve"/>
      </rPr>
      <t>4</t>
    </r>
    <r>
      <rPr>
        <sz val="14"/>
        <rFont val="VNI-Helve"/>
      </rPr>
      <t>*H</t>
    </r>
    <r>
      <rPr>
        <vertAlign val="subscript"/>
        <sz val="14"/>
        <rFont val="VNI-Helve"/>
      </rPr>
      <t>3</t>
    </r>
    <r>
      <rPr>
        <sz val="14"/>
        <rFont val="VNI-Helve"/>
      </rPr>
      <t>^3/12+(Y</t>
    </r>
    <r>
      <rPr>
        <vertAlign val="subscript"/>
        <sz val="14"/>
        <rFont val="VNI-Helve"/>
      </rPr>
      <t>c</t>
    </r>
    <r>
      <rPr>
        <sz val="14"/>
        <rFont val="VNI-Helve"/>
      </rPr>
      <t>-H</t>
    </r>
    <r>
      <rPr>
        <vertAlign val="subscript"/>
        <sz val="14"/>
        <rFont val="VNI-Helve"/>
      </rPr>
      <t>3</t>
    </r>
    <r>
      <rPr>
        <sz val="14"/>
        <rFont val="VNI-Helve"/>
      </rPr>
      <t>/2-H</t>
    </r>
    <r>
      <rPr>
        <vertAlign val="subscript"/>
        <sz val="14"/>
        <rFont val="VNI-Helve"/>
      </rPr>
      <t>2</t>
    </r>
    <r>
      <rPr>
        <sz val="14"/>
        <rFont val="VNI-Helve"/>
      </rPr>
      <t>-H</t>
    </r>
    <r>
      <rPr>
        <vertAlign val="subscript"/>
        <sz val="14"/>
        <rFont val="VNI-Helve"/>
      </rPr>
      <t>1</t>
    </r>
    <r>
      <rPr>
        <sz val="14"/>
        <rFont val="VNI-Helve"/>
      </rPr>
      <t>)^2*t</t>
    </r>
    <r>
      <rPr>
        <vertAlign val="subscript"/>
        <sz val="14"/>
        <rFont val="VNI-Helve"/>
      </rPr>
      <t>4</t>
    </r>
    <r>
      <rPr>
        <sz val="14"/>
        <rFont val="VNI-Helve"/>
      </rPr>
      <t>*l</t>
    </r>
    <r>
      <rPr>
        <vertAlign val="subscript"/>
        <sz val="14"/>
        <rFont val="VNI-Helve"/>
      </rPr>
      <t>4</t>
    </r>
    <r>
      <rPr>
        <sz val="14"/>
        <rFont val="VNI-Helve"/>
      </rPr>
      <t>]*2</t>
    </r>
  </si>
  <si>
    <t>H =</t>
  </si>
  <si>
    <r>
      <t>t</t>
    </r>
    <r>
      <rPr>
        <vertAlign val="subscript"/>
        <sz val="14"/>
        <rFont val="VNI-Helve"/>
      </rPr>
      <t>1</t>
    </r>
    <r>
      <rPr>
        <sz val="14"/>
        <rFont val="VNI-Helve"/>
      </rPr>
      <t>*b1+t</t>
    </r>
    <r>
      <rPr>
        <vertAlign val="subscript"/>
        <sz val="14"/>
        <rFont val="VNI-Helve"/>
      </rPr>
      <t>2</t>
    </r>
    <r>
      <rPr>
        <sz val="14"/>
        <rFont val="VNI-Helve"/>
      </rPr>
      <t>*h</t>
    </r>
    <r>
      <rPr>
        <vertAlign val="subscript"/>
        <sz val="14"/>
        <rFont val="VNI-Helve"/>
      </rPr>
      <t>2</t>
    </r>
    <r>
      <rPr>
        <sz val="14"/>
        <rFont val="VNI-Helve"/>
      </rPr>
      <t>+(t</t>
    </r>
    <r>
      <rPr>
        <vertAlign val="subscript"/>
        <sz val="14"/>
        <rFont val="VNI-Helve"/>
      </rPr>
      <t>3</t>
    </r>
    <r>
      <rPr>
        <sz val="14"/>
        <rFont val="VNI-Helve"/>
      </rPr>
      <t>*h</t>
    </r>
    <r>
      <rPr>
        <vertAlign val="subscript"/>
        <sz val="14"/>
        <rFont val="VNI-Helve"/>
      </rPr>
      <t>3</t>
    </r>
    <r>
      <rPr>
        <sz val="14"/>
        <rFont val="VNI-Helve"/>
      </rPr>
      <t>)*2+(t</t>
    </r>
    <r>
      <rPr>
        <vertAlign val="subscript"/>
        <sz val="14"/>
        <rFont val="VNI-Helve"/>
      </rPr>
      <t>4</t>
    </r>
    <r>
      <rPr>
        <sz val="14"/>
        <rFont val="VNI-Helve"/>
      </rPr>
      <t>*L</t>
    </r>
    <r>
      <rPr>
        <vertAlign val="subscript"/>
        <sz val="14"/>
        <rFont val="VNI-Helve"/>
      </rPr>
      <t>2</t>
    </r>
    <r>
      <rPr>
        <sz val="14"/>
        <rFont val="VNI-Helve"/>
      </rPr>
      <t>)*2</t>
    </r>
  </si>
  <si>
    <r>
      <t>J</t>
    </r>
    <r>
      <rPr>
        <vertAlign val="subscript"/>
        <sz val="14"/>
        <color indexed="10"/>
        <rFont val="VNI-Helve"/>
      </rPr>
      <t>x</t>
    </r>
    <r>
      <rPr>
        <sz val="14"/>
        <color indexed="10"/>
        <rFont val="VNI-Helve"/>
      </rPr>
      <t>=</t>
    </r>
  </si>
  <si>
    <r>
      <t>J</t>
    </r>
    <r>
      <rPr>
        <vertAlign val="subscript"/>
        <sz val="14"/>
        <color indexed="10"/>
        <rFont val="VNI-Helve"/>
      </rPr>
      <t>y</t>
    </r>
    <r>
      <rPr>
        <sz val="14"/>
        <color indexed="10"/>
        <rFont val="VNI-Helve"/>
      </rPr>
      <t>=</t>
    </r>
  </si>
  <si>
    <t>BAÛNG TOÅNG HÔÏP</t>
  </si>
  <si>
    <t>Xc(mm)</t>
  </si>
  <si>
    <r>
      <t>mm</t>
    </r>
    <r>
      <rPr>
        <vertAlign val="superscript"/>
        <sz val="14"/>
        <rFont val="VNI-Helve"/>
      </rPr>
      <t>4</t>
    </r>
  </si>
  <si>
    <t>II. TÍNH ÖÙNG SUAÁT UOÁN VAØ ÑOÄ VOÕNG CHO PHEÙP CUÛA DAÀM</t>
  </si>
  <si>
    <t>I. TÍNH MOMEN QUAÙN TÍNH CUÛA DAÀM</t>
  </si>
  <si>
    <t>* Rieâng ñoái vôùi caùc thoâng soá cuûa daàm chaïy I 550 phuï thuoäc vaøo vaät tö mua veà, nhöng ta coù theå taïm laáy theo caùc thoâng soá ñaõ cho ôû döôùi</t>
  </si>
  <si>
    <r>
      <t>* Ñeå tính daàm ñôn nhö hình veõ ta chæ caàn nhaäp 3 thoâng soá: t</t>
    </r>
    <r>
      <rPr>
        <vertAlign val="subscript"/>
        <sz val="12"/>
        <rFont val="VNI-Helve"/>
      </rPr>
      <t>3</t>
    </r>
    <r>
      <rPr>
        <sz val="12"/>
        <rFont val="VNI-Helve"/>
      </rPr>
      <t>, h</t>
    </r>
    <r>
      <rPr>
        <vertAlign val="subscript"/>
        <sz val="12"/>
        <rFont val="VNI-Helve"/>
      </rPr>
      <t>3</t>
    </r>
    <r>
      <rPr>
        <sz val="12"/>
        <rFont val="VNI-Helve"/>
      </rPr>
      <t xml:space="preserve"> vaø t</t>
    </r>
    <r>
      <rPr>
        <vertAlign val="subscript"/>
        <sz val="12"/>
        <rFont val="VNI-Helve"/>
      </rPr>
      <t>4</t>
    </r>
    <r>
      <rPr>
        <sz val="12"/>
        <rFont val="VNI-Helve"/>
      </rPr>
      <t xml:space="preserve"> caùc thoâng soá coøn laïi seõ thay ñoåi theo</t>
    </r>
  </si>
  <si>
    <t>cm</t>
  </si>
  <si>
    <r>
      <t>M</t>
    </r>
    <r>
      <rPr>
        <vertAlign val="subscript"/>
        <sz val="12"/>
        <rFont val="VNI-Helve"/>
      </rPr>
      <t>bt</t>
    </r>
    <r>
      <rPr>
        <sz val="12"/>
        <rFont val="VNI-Helve"/>
      </rPr>
      <t xml:space="preserve"> =</t>
    </r>
  </si>
  <si>
    <r>
      <t>qL</t>
    </r>
    <r>
      <rPr>
        <vertAlign val="superscript"/>
        <sz val="12"/>
        <rFont val="VNI-Helve"/>
      </rPr>
      <t>2</t>
    </r>
    <r>
      <rPr>
        <sz val="12"/>
        <rFont val="VNI-Helve"/>
      </rPr>
      <t>/8</t>
    </r>
  </si>
  <si>
    <t>kg.cm</t>
  </si>
  <si>
    <r>
      <t>M</t>
    </r>
    <r>
      <rPr>
        <vertAlign val="subscript"/>
        <sz val="12"/>
        <rFont val="VNI-Helve"/>
      </rPr>
      <t>vn</t>
    </r>
    <r>
      <rPr>
        <sz val="12"/>
        <rFont val="VNI-Helve"/>
      </rPr>
      <t xml:space="preserve"> = </t>
    </r>
  </si>
  <si>
    <r>
      <t>M</t>
    </r>
    <r>
      <rPr>
        <vertAlign val="subscript"/>
        <sz val="12"/>
        <rFont val="VNI-Helve"/>
      </rPr>
      <t>y</t>
    </r>
    <r>
      <rPr>
        <sz val="12"/>
        <rFont val="VNI-Helve"/>
      </rPr>
      <t xml:space="preserve"> =</t>
    </r>
  </si>
  <si>
    <r>
      <t>0.05*(M</t>
    </r>
    <r>
      <rPr>
        <vertAlign val="subscript"/>
        <sz val="12"/>
        <rFont val="VNI-Helve"/>
      </rPr>
      <t>bt</t>
    </r>
    <r>
      <rPr>
        <sz val="12"/>
        <rFont val="VNI-Helve"/>
      </rPr>
      <t xml:space="preserve"> + M</t>
    </r>
    <r>
      <rPr>
        <vertAlign val="subscript"/>
        <sz val="12"/>
        <rFont val="VNI-Helve"/>
      </rPr>
      <t>vn</t>
    </r>
    <r>
      <rPr>
        <sz val="12"/>
        <rFont val="VNI-Helve"/>
      </rPr>
      <t>)</t>
    </r>
  </si>
  <si>
    <r>
      <t>M</t>
    </r>
    <r>
      <rPr>
        <vertAlign val="subscript"/>
        <sz val="12"/>
        <rFont val="VNI-Helve"/>
      </rPr>
      <t>x</t>
    </r>
    <r>
      <rPr>
        <sz val="12"/>
        <rFont val="VNI-Helve"/>
      </rPr>
      <t>/W</t>
    </r>
    <r>
      <rPr>
        <vertAlign val="subscript"/>
        <sz val="12"/>
        <rFont val="VNI-Helve"/>
      </rPr>
      <t>x</t>
    </r>
    <r>
      <rPr>
        <sz val="12"/>
        <rFont val="VNI-Helve"/>
      </rPr>
      <t xml:space="preserve"> + M</t>
    </r>
    <r>
      <rPr>
        <vertAlign val="subscript"/>
        <sz val="12"/>
        <rFont val="VNI-Helve"/>
      </rPr>
      <t>y</t>
    </r>
    <r>
      <rPr>
        <sz val="12"/>
        <rFont val="VNI-Helve"/>
      </rPr>
      <t>/W</t>
    </r>
    <r>
      <rPr>
        <vertAlign val="subscript"/>
        <sz val="12"/>
        <rFont val="VNI-Helve"/>
      </rPr>
      <t>y</t>
    </r>
  </si>
  <si>
    <r>
      <t>kg/cm</t>
    </r>
    <r>
      <rPr>
        <vertAlign val="superscript"/>
        <sz val="12"/>
        <rFont val="VNI-Helve"/>
      </rPr>
      <t>2</t>
    </r>
  </si>
  <si>
    <t>Pab/L</t>
  </si>
  <si>
    <r>
      <t>Pb*sqrt((a^2+2ab)/3)^2/3LEJ</t>
    </r>
    <r>
      <rPr>
        <vertAlign val="subscript"/>
        <sz val="8"/>
        <rFont val="VNI-Helve"/>
      </rPr>
      <t>x</t>
    </r>
    <r>
      <rPr>
        <sz val="8"/>
        <rFont val="VNI-Helve"/>
      </rPr>
      <t xml:space="preserve"> + 5qL</t>
    </r>
    <r>
      <rPr>
        <vertAlign val="superscript"/>
        <sz val="8"/>
        <rFont val="VNI-Helve"/>
      </rPr>
      <t>4</t>
    </r>
    <r>
      <rPr>
        <sz val="8"/>
        <rFont val="VNI-Helve"/>
      </rPr>
      <t>/384EJ</t>
    </r>
    <r>
      <rPr>
        <vertAlign val="subscript"/>
        <sz val="8"/>
        <rFont val="VNI-Helve"/>
      </rPr>
      <t>x</t>
    </r>
  </si>
  <si>
    <t>a</t>
  </si>
  <si>
    <t>b</t>
  </si>
  <si>
    <t>III. TÍNH MOÁI NOÁI TAÏI VÒ TRÍ CAÉT DAÀM</t>
  </si>
  <si>
    <r>
      <t>[</t>
    </r>
    <r>
      <rPr>
        <sz val="14"/>
        <rFont val="Symbol"/>
        <family val="1"/>
        <charset val="2"/>
      </rPr>
      <t>t</t>
    </r>
    <r>
      <rPr>
        <sz val="14"/>
        <rFont val="VNI-Helve"/>
      </rPr>
      <t>]'</t>
    </r>
    <r>
      <rPr>
        <vertAlign val="subscript"/>
        <sz val="14"/>
        <rFont val="VNI-Helve"/>
      </rPr>
      <t>c</t>
    </r>
  </si>
  <si>
    <t>K</t>
  </si>
  <si>
    <t>chieàu cao moái haøn</t>
  </si>
  <si>
    <r>
      <t>[</t>
    </r>
    <r>
      <rPr>
        <sz val="14"/>
        <rFont val="Symbol"/>
        <family val="1"/>
        <charset val="2"/>
      </rPr>
      <t>t</t>
    </r>
    <r>
      <rPr>
        <sz val="14"/>
        <rFont val="VNI-Helve"/>
      </rPr>
      <t>]'</t>
    </r>
    <r>
      <rPr>
        <vertAlign val="subscript"/>
        <sz val="14"/>
        <rFont val="VNI-Helve"/>
      </rPr>
      <t>c</t>
    </r>
    <r>
      <rPr>
        <sz val="14"/>
        <rFont val="VNI-Helve"/>
      </rPr>
      <t>=</t>
    </r>
  </si>
  <si>
    <t>1450*0.6 =</t>
  </si>
  <si>
    <t>kg/cm2</t>
  </si>
  <si>
    <r>
      <t>0.6*[</t>
    </r>
    <r>
      <rPr>
        <sz val="14"/>
        <rFont val="Symbol"/>
        <family val="1"/>
        <charset val="2"/>
      </rPr>
      <t>s</t>
    </r>
    <r>
      <rPr>
        <sz val="14"/>
        <rFont val="VNI-Helve"/>
      </rPr>
      <t>]</t>
    </r>
    <r>
      <rPr>
        <vertAlign val="subscript"/>
        <sz val="14"/>
        <rFont val="VNI-Helve"/>
      </rPr>
      <t>k</t>
    </r>
  </si>
  <si>
    <r>
      <t>[</t>
    </r>
    <r>
      <rPr>
        <sz val="14"/>
        <rFont val="Symbol"/>
        <family val="1"/>
        <charset val="2"/>
      </rPr>
      <t>s</t>
    </r>
    <r>
      <rPr>
        <sz val="14"/>
        <rFont val="VNI-Helve"/>
      </rPr>
      <t>]</t>
    </r>
    <r>
      <rPr>
        <vertAlign val="subscript"/>
        <sz val="14"/>
        <rFont val="VNI-Helve"/>
      </rPr>
      <t>k</t>
    </r>
  </si>
  <si>
    <r>
      <t>1450 kg/cm</t>
    </r>
    <r>
      <rPr>
        <vertAlign val="superscript"/>
        <sz val="14"/>
        <rFont val="VNI-Helve"/>
      </rPr>
      <t>2</t>
    </r>
  </si>
  <si>
    <r>
      <t>t</t>
    </r>
    <r>
      <rPr>
        <sz val="14"/>
        <rFont val="VNI-Helve"/>
      </rPr>
      <t>=M</t>
    </r>
    <r>
      <rPr>
        <vertAlign val="subscript"/>
        <sz val="14"/>
        <rFont val="VNI-Helve"/>
      </rPr>
      <t>u</t>
    </r>
    <r>
      <rPr>
        <sz val="14"/>
        <rFont val="VNI-Helve"/>
      </rPr>
      <t xml:space="preserve">/(0.7*K*l*(h+K)+(0.7*K*h^2/6)) </t>
    </r>
    <r>
      <rPr>
        <sz val="14"/>
        <rFont val="Symbol"/>
        <family val="1"/>
        <charset val="2"/>
      </rPr>
      <t xml:space="preserve">£ </t>
    </r>
    <r>
      <rPr>
        <sz val="14"/>
        <rFont val="VNI-Helve"/>
      </rPr>
      <t>[</t>
    </r>
    <r>
      <rPr>
        <sz val="14"/>
        <rFont val="Symbol"/>
        <family val="1"/>
        <charset val="2"/>
      </rPr>
      <t>t</t>
    </r>
    <r>
      <rPr>
        <sz val="14"/>
        <rFont val="VNI-Helve"/>
      </rPr>
      <t>]'</t>
    </r>
    <r>
      <rPr>
        <vertAlign val="subscript"/>
        <sz val="14"/>
        <rFont val="VNI-Helve"/>
      </rPr>
      <t>c</t>
    </r>
  </si>
  <si>
    <t xml:space="preserve">h = </t>
  </si>
  <si>
    <t>b=</t>
  </si>
  <si>
    <t>}</t>
  </si>
  <si>
    <t>kg cm</t>
  </si>
  <si>
    <t>Momen uoán cuûa daàm khi coù taûi taïi vò trí caét daàm</t>
  </si>
  <si>
    <r>
      <t>t</t>
    </r>
    <r>
      <rPr>
        <vertAlign val="subscript"/>
        <sz val="14"/>
        <rFont val="VNI-Helve"/>
      </rPr>
      <t>1</t>
    </r>
    <r>
      <rPr>
        <sz val="14"/>
        <rFont val="VNI-Helve"/>
      </rPr>
      <t>*b</t>
    </r>
    <r>
      <rPr>
        <vertAlign val="subscript"/>
        <sz val="14"/>
        <rFont val="VNI-Helve"/>
      </rPr>
      <t>1</t>
    </r>
    <r>
      <rPr>
        <sz val="14"/>
        <rFont val="VNI-Helve"/>
      </rPr>
      <t>^3/12</t>
    </r>
  </si>
  <si>
    <r>
      <t>h</t>
    </r>
    <r>
      <rPr>
        <vertAlign val="subscript"/>
        <sz val="14"/>
        <rFont val="VNI-Helve"/>
      </rPr>
      <t>2</t>
    </r>
    <r>
      <rPr>
        <sz val="14"/>
        <rFont val="VNI-Helve"/>
      </rPr>
      <t>*t</t>
    </r>
    <r>
      <rPr>
        <vertAlign val="subscript"/>
        <sz val="14"/>
        <rFont val="VNI-Helve"/>
      </rPr>
      <t>2</t>
    </r>
    <r>
      <rPr>
        <sz val="14"/>
        <rFont val="VNI-Helve"/>
      </rPr>
      <t>^3/12</t>
    </r>
  </si>
  <si>
    <t>b1</t>
  </si>
  <si>
    <t>b2</t>
  </si>
  <si>
    <r>
      <t>J</t>
    </r>
    <r>
      <rPr>
        <vertAlign val="subscript"/>
        <sz val="14"/>
        <color indexed="10"/>
        <rFont val="VNI-Helve"/>
      </rPr>
      <t>x</t>
    </r>
    <r>
      <rPr>
        <sz val="14"/>
        <color indexed="10"/>
        <rFont val="VNI-Helve"/>
      </rPr>
      <t>(cm</t>
    </r>
    <r>
      <rPr>
        <vertAlign val="superscript"/>
        <sz val="14"/>
        <color indexed="10"/>
        <rFont val="VNI-Helve"/>
      </rPr>
      <t>4</t>
    </r>
    <r>
      <rPr>
        <sz val="14"/>
        <color indexed="10"/>
        <rFont val="VNI-Helve"/>
      </rPr>
      <t>)</t>
    </r>
  </si>
  <si>
    <r>
      <t>J</t>
    </r>
    <r>
      <rPr>
        <vertAlign val="subscript"/>
        <sz val="14"/>
        <color indexed="10"/>
        <rFont val="VNI-Helve"/>
      </rPr>
      <t>y</t>
    </r>
    <r>
      <rPr>
        <sz val="14"/>
        <color indexed="10"/>
        <rFont val="VNI-Helve"/>
      </rPr>
      <t>(cm</t>
    </r>
    <r>
      <rPr>
        <vertAlign val="superscript"/>
        <sz val="14"/>
        <color indexed="10"/>
        <rFont val="VNI-Helve"/>
      </rPr>
      <t>4</t>
    </r>
    <r>
      <rPr>
        <sz val="14"/>
        <color indexed="10"/>
        <rFont val="VNI-Helve"/>
      </rPr>
      <t>)</t>
    </r>
  </si>
  <si>
    <t>Yc(cm)</t>
  </si>
  <si>
    <r>
      <t>F (cm</t>
    </r>
    <r>
      <rPr>
        <vertAlign val="superscript"/>
        <sz val="14"/>
        <color indexed="10"/>
        <rFont val="VNI-Helve"/>
      </rPr>
      <t>2</t>
    </r>
    <r>
      <rPr>
        <sz val="14"/>
        <color indexed="10"/>
        <rFont val="VNI-Helve"/>
      </rPr>
      <t>)</t>
    </r>
  </si>
  <si>
    <t>Coâng thöùc tính moái haøn choàng chòu momen uoán</t>
  </si>
  <si>
    <t>Khaåu ñoä cuûa daàm L =</t>
  </si>
  <si>
    <t>(Tham khaûo saùch SÖÙC BEÀN VAÄT LIEÄU taäp I chöông : ÑAËC TRÖNG HÌNH HOÏC CUÛA HÌNH PHAÚNG)</t>
  </si>
  <si>
    <r>
      <t>b</t>
    </r>
    <r>
      <rPr>
        <vertAlign val="subscript"/>
        <sz val="14"/>
        <rFont val="VNI-Helve"/>
      </rPr>
      <t>2</t>
    </r>
    <r>
      <rPr>
        <sz val="14"/>
        <rFont val="VNI-Helve"/>
      </rPr>
      <t>=(1/40-:-1/50)L</t>
    </r>
  </si>
  <si>
    <t>C=(0.1-:-0.2)L</t>
  </si>
  <si>
    <t>C: Chieàu daøi ñoaïn nghieâng cuûa daàm ôû 2 ñaàu</t>
  </si>
  <si>
    <t>(Tham khaûo saùch TÍNH TOAÙN MAY TRUÏC ,chöông KEÁT CAÁU KIM LOAÏI CUÛA CAÙC MAÙY TRUÏC THOÂNG DUÏNG)</t>
  </si>
  <si>
    <t>cuûa taùc giaû: HUYØNH VAÊN HOAØNG - ÑAØO TROÏNG THÖÔØNG</t>
  </si>
  <si>
    <t>öùng suaát caét cho pheùp ñoái vôùi moái haøn khi caét</t>
  </si>
  <si>
    <t>Momen uoán cuûa daàm vôùi taûi troïng baûn thaân</t>
  </si>
  <si>
    <t>Momen uoán cuûa daàm vôùi taûi troïng taäp trung cuûa vaät naâng</t>
  </si>
  <si>
    <t>Momen uoán toång theo phöông x-x (coù caùc heä soá an toaøn)</t>
  </si>
  <si>
    <t xml:space="preserve">Momen uoán toång theo phöông y-y </t>
  </si>
  <si>
    <r>
      <t>s</t>
    </r>
    <r>
      <rPr>
        <vertAlign val="subscript"/>
        <sz val="12"/>
        <rFont val="VNI-Helve"/>
      </rPr>
      <t>u</t>
    </r>
    <r>
      <rPr>
        <sz val="12"/>
        <rFont val="Symbol"/>
        <family val="1"/>
        <charset val="2"/>
      </rPr>
      <t xml:space="preserve"> </t>
    </r>
    <r>
      <rPr>
        <sz val="12"/>
        <rFont val="VNI-Helve"/>
      </rPr>
      <t xml:space="preserve">    =</t>
    </r>
  </si>
  <si>
    <t xml:space="preserve">ÖÙng suaát uoán toång </t>
  </si>
  <si>
    <t>Ñoä voõng tính toaùn toång</t>
  </si>
  <si>
    <t>f    =</t>
  </si>
  <si>
    <t>Ñoä voõng cho pheùp [f] = L/700=</t>
  </si>
  <si>
    <r>
      <t xml:space="preserve">(Ñoä voõng cho pheùp tham khaûo saùch </t>
    </r>
    <r>
      <rPr>
        <b/>
        <sz val="14"/>
        <rFont val="VNI-Helve"/>
      </rPr>
      <t>TÍNH TOAÙN MAÙY TRUÏC</t>
    </r>
    <r>
      <rPr>
        <sz val="14"/>
        <rFont val="VNI-Helve"/>
      </rPr>
      <t xml:space="preserve"> )</t>
    </r>
  </si>
  <si>
    <t>2/ Tính momen tónh vaø truïc trung taâm</t>
  </si>
  <si>
    <t>3/ Momen quaùn tính (tính taùch rôøi töøng phaàn)</t>
  </si>
  <si>
    <t>Dieän tích maët caét ngang</t>
  </si>
  <si>
    <t>1/ caùc thoâng soá ban ñaàu ñaõ coù ôû treân</t>
  </si>
  <si>
    <r>
      <t>cm</t>
    </r>
    <r>
      <rPr>
        <vertAlign val="superscript"/>
        <sz val="12"/>
        <rFont val="VNI-Helve"/>
      </rPr>
      <t>2</t>
    </r>
  </si>
  <si>
    <t xml:space="preserve">Khaåu ñoä cuûa daàm </t>
  </si>
  <si>
    <t xml:space="preserve">L = </t>
  </si>
  <si>
    <t xml:space="preserve">Taûi troïng naâng vaø taûi troïng thieát bò naâng </t>
  </si>
  <si>
    <t xml:space="preserve">P = </t>
  </si>
  <si>
    <t>kg</t>
  </si>
  <si>
    <t>Luïc phaân boá theo chieàu daøi cuûa daàm</t>
  </si>
  <si>
    <t>q =</t>
  </si>
  <si>
    <t>kg/cm</t>
  </si>
  <si>
    <t>Momen quaùn tính theo phöông x</t>
  </si>
  <si>
    <r>
      <t>J</t>
    </r>
    <r>
      <rPr>
        <vertAlign val="subscript"/>
        <sz val="12"/>
        <rFont val="VNI-Helve"/>
      </rPr>
      <t xml:space="preserve">x </t>
    </r>
  </si>
  <si>
    <r>
      <t>cm</t>
    </r>
    <r>
      <rPr>
        <vertAlign val="superscript"/>
        <sz val="12"/>
        <rFont val="VNI-Helve"/>
      </rPr>
      <t>4</t>
    </r>
  </si>
  <si>
    <t>Momen choáng uoán theo phöông x</t>
  </si>
  <si>
    <r>
      <t>W</t>
    </r>
    <r>
      <rPr>
        <vertAlign val="subscript"/>
        <sz val="12"/>
        <rFont val="VNI-Helve"/>
      </rPr>
      <t xml:space="preserve">x </t>
    </r>
    <r>
      <rPr>
        <sz val="12"/>
        <rFont val="VNI-Helve"/>
      </rPr>
      <t>=J</t>
    </r>
    <r>
      <rPr>
        <vertAlign val="subscript"/>
        <sz val="12"/>
        <rFont val="VNI-Helve"/>
      </rPr>
      <t>x</t>
    </r>
    <r>
      <rPr>
        <sz val="12"/>
        <rFont val="VNI-Helve"/>
      </rPr>
      <t>/Y</t>
    </r>
    <r>
      <rPr>
        <vertAlign val="subscript"/>
        <sz val="12"/>
        <rFont val="VNI-Helve"/>
      </rPr>
      <t>c</t>
    </r>
  </si>
  <si>
    <r>
      <t>cm</t>
    </r>
    <r>
      <rPr>
        <vertAlign val="superscript"/>
        <sz val="12"/>
        <rFont val="VNI-Helve"/>
      </rPr>
      <t>3</t>
    </r>
  </si>
  <si>
    <t>Momen quaùn tính theo phöông y</t>
  </si>
  <si>
    <t>Momen choáng uoán theo phöông y</t>
  </si>
  <si>
    <r>
      <t>J</t>
    </r>
    <r>
      <rPr>
        <vertAlign val="subscript"/>
        <sz val="12"/>
        <rFont val="VNI-Helve"/>
      </rPr>
      <t xml:space="preserve">y </t>
    </r>
  </si>
  <si>
    <r>
      <t>W</t>
    </r>
    <r>
      <rPr>
        <vertAlign val="subscript"/>
        <sz val="12"/>
        <rFont val="VNI-Helve"/>
      </rPr>
      <t xml:space="preserve">y </t>
    </r>
    <r>
      <rPr>
        <sz val="12"/>
        <rFont val="VNI-Helve"/>
      </rPr>
      <t>=J</t>
    </r>
    <r>
      <rPr>
        <vertAlign val="subscript"/>
        <sz val="12"/>
        <rFont val="VNI-Helve"/>
      </rPr>
      <t>y</t>
    </r>
    <r>
      <rPr>
        <sz val="12"/>
        <rFont val="VNI-Helve"/>
      </rPr>
      <t>/X</t>
    </r>
    <r>
      <rPr>
        <vertAlign val="subscript"/>
        <sz val="12"/>
        <rFont val="VNI-Helve"/>
      </rPr>
      <t>c</t>
    </r>
  </si>
  <si>
    <t>Saùch SBVL</t>
  </si>
  <si>
    <r>
      <t>M</t>
    </r>
    <r>
      <rPr>
        <vertAlign val="subscript"/>
        <sz val="12"/>
        <rFont val="VNI-Helve"/>
      </rPr>
      <t>bt</t>
    </r>
    <r>
      <rPr>
        <sz val="12"/>
        <rFont val="VNI-Helve"/>
      </rPr>
      <t xml:space="preserve"> = qL</t>
    </r>
    <r>
      <rPr>
        <vertAlign val="superscript"/>
        <sz val="12"/>
        <rFont val="VNI-Helve"/>
      </rPr>
      <t>2</t>
    </r>
    <r>
      <rPr>
        <sz val="12"/>
        <rFont val="VNI-Helve"/>
      </rPr>
      <t>/8</t>
    </r>
  </si>
  <si>
    <r>
      <t>M</t>
    </r>
    <r>
      <rPr>
        <vertAlign val="subscript"/>
        <sz val="12"/>
        <rFont val="VNI-Helve"/>
      </rPr>
      <t>vn</t>
    </r>
    <r>
      <rPr>
        <sz val="12"/>
        <rFont val="VNI-Helve"/>
      </rPr>
      <t xml:space="preserve"> = PL/4 </t>
    </r>
  </si>
  <si>
    <r>
      <t>M</t>
    </r>
    <r>
      <rPr>
        <vertAlign val="subscript"/>
        <sz val="12"/>
        <rFont val="VNI-Helve"/>
      </rPr>
      <t>x</t>
    </r>
    <r>
      <rPr>
        <sz val="12"/>
        <rFont val="VNI-Helve"/>
      </rPr>
      <t xml:space="preserve"> =1.05*(M</t>
    </r>
    <r>
      <rPr>
        <vertAlign val="subscript"/>
        <sz val="12"/>
        <rFont val="VNI-Helve"/>
      </rPr>
      <t>bt</t>
    </r>
    <r>
      <rPr>
        <sz val="12"/>
        <rFont val="VNI-Helve"/>
      </rPr>
      <t xml:space="preserve"> + 1.25M</t>
    </r>
    <r>
      <rPr>
        <vertAlign val="subscript"/>
        <sz val="12"/>
        <rFont val="VNI-Helve"/>
      </rPr>
      <t>vn</t>
    </r>
    <r>
      <rPr>
        <sz val="12"/>
        <rFont val="VNI-Helve"/>
      </rPr>
      <t>)</t>
    </r>
  </si>
  <si>
    <r>
      <t>M</t>
    </r>
    <r>
      <rPr>
        <vertAlign val="subscript"/>
        <sz val="12"/>
        <rFont val="VNI-Helve"/>
      </rPr>
      <t>y</t>
    </r>
    <r>
      <rPr>
        <sz val="12"/>
        <rFont val="VNI-Helve"/>
      </rPr>
      <t xml:space="preserve"> = 0.05*(M</t>
    </r>
    <r>
      <rPr>
        <vertAlign val="subscript"/>
        <sz val="12"/>
        <rFont val="VNI-Helve"/>
      </rPr>
      <t>bt</t>
    </r>
    <r>
      <rPr>
        <sz val="12"/>
        <rFont val="VNI-Helve"/>
      </rPr>
      <t xml:space="preserve"> + M</t>
    </r>
    <r>
      <rPr>
        <vertAlign val="subscript"/>
        <sz val="12"/>
        <rFont val="VNI-Helve"/>
      </rPr>
      <t>vn</t>
    </r>
    <r>
      <rPr>
        <sz val="12"/>
        <rFont val="VNI-Helve"/>
      </rPr>
      <t>)</t>
    </r>
  </si>
  <si>
    <r>
      <t>s</t>
    </r>
    <r>
      <rPr>
        <vertAlign val="subscript"/>
        <sz val="12"/>
        <rFont val="VNI-Helve"/>
      </rPr>
      <t>u</t>
    </r>
    <r>
      <rPr>
        <sz val="12"/>
        <rFont val="Symbol"/>
        <family val="1"/>
        <charset val="2"/>
      </rPr>
      <t xml:space="preserve"> </t>
    </r>
    <r>
      <rPr>
        <sz val="12"/>
        <rFont val="VNI-Helve"/>
      </rPr>
      <t>= M</t>
    </r>
    <r>
      <rPr>
        <vertAlign val="subscript"/>
        <sz val="12"/>
        <rFont val="VNI-Helve"/>
      </rPr>
      <t>x</t>
    </r>
    <r>
      <rPr>
        <sz val="12"/>
        <rFont val="VNI-Helve"/>
      </rPr>
      <t>/W</t>
    </r>
    <r>
      <rPr>
        <vertAlign val="subscript"/>
        <sz val="12"/>
        <rFont val="VNI-Helve"/>
      </rPr>
      <t>x</t>
    </r>
    <r>
      <rPr>
        <sz val="12"/>
        <rFont val="VNI-Helve"/>
      </rPr>
      <t xml:space="preserve"> + M</t>
    </r>
    <r>
      <rPr>
        <vertAlign val="subscript"/>
        <sz val="12"/>
        <rFont val="VNI-Helve"/>
      </rPr>
      <t>y</t>
    </r>
    <r>
      <rPr>
        <sz val="12"/>
        <rFont val="VNI-Helve"/>
      </rPr>
      <t>/W</t>
    </r>
    <r>
      <rPr>
        <vertAlign val="subscript"/>
        <sz val="12"/>
        <rFont val="VNI-Helve"/>
      </rPr>
      <t>y</t>
    </r>
  </si>
  <si>
    <t>Saùch TÍNH TOAÙN MAÙY TRUÏC</t>
  </si>
  <si>
    <r>
      <t>Heä soá K =  [</t>
    </r>
    <r>
      <rPr>
        <sz val="12"/>
        <rFont val="Symbol"/>
        <family val="1"/>
        <charset val="2"/>
      </rPr>
      <t>s</t>
    </r>
    <r>
      <rPr>
        <sz val="12"/>
        <rFont val="VNI-Helve"/>
      </rPr>
      <t>]</t>
    </r>
    <r>
      <rPr>
        <vertAlign val="subscript"/>
        <sz val="12"/>
        <rFont val="VNI-Helve"/>
      </rPr>
      <t>u</t>
    </r>
    <r>
      <rPr>
        <sz val="12"/>
        <rFont val="VNI-Helve"/>
      </rPr>
      <t>/</t>
    </r>
    <r>
      <rPr>
        <sz val="12"/>
        <rFont val="Symbol"/>
        <family val="1"/>
        <charset val="2"/>
      </rPr>
      <t xml:space="preserve"> s</t>
    </r>
    <r>
      <rPr>
        <vertAlign val="subscript"/>
        <sz val="12"/>
        <rFont val="VNI-Helve"/>
      </rPr>
      <t>u</t>
    </r>
  </si>
  <si>
    <t>K =</t>
  </si>
  <si>
    <r>
      <t>ÖÙng suaát uoán cho pheùp cuûa theùp CT3 : [</t>
    </r>
    <r>
      <rPr>
        <sz val="14"/>
        <rFont val="Symbol"/>
        <family val="1"/>
        <charset val="2"/>
      </rPr>
      <t>s</t>
    </r>
    <r>
      <rPr>
        <sz val="14"/>
        <rFont val="VNI-Helve"/>
      </rPr>
      <t>]</t>
    </r>
    <r>
      <rPr>
        <vertAlign val="subscript"/>
        <sz val="14"/>
        <rFont val="VNI-Helve"/>
      </rPr>
      <t xml:space="preserve">u </t>
    </r>
    <r>
      <rPr>
        <sz val="14"/>
        <rFont val="VNI-Helve"/>
      </rPr>
      <t>=</t>
    </r>
  </si>
  <si>
    <r>
      <t>Moñun ñaøn hoài cuûa theùp E = 2.1*10</t>
    </r>
    <r>
      <rPr>
        <vertAlign val="superscript"/>
        <sz val="14"/>
        <rFont val="VNI-Helve"/>
      </rPr>
      <t>6</t>
    </r>
    <r>
      <rPr>
        <sz val="14"/>
        <rFont val="VNI-Helve"/>
      </rPr>
      <t>(kg/cm</t>
    </r>
    <r>
      <rPr>
        <vertAlign val="superscript"/>
        <sz val="14"/>
        <rFont val="VNI-Helve"/>
      </rPr>
      <t>2</t>
    </r>
    <r>
      <rPr>
        <sz val="14"/>
        <rFont val="VNI-Helve"/>
      </rPr>
      <t>) =</t>
    </r>
  </si>
  <si>
    <r>
      <t>(kg/cm</t>
    </r>
    <r>
      <rPr>
        <vertAlign val="superscript"/>
        <sz val="14"/>
        <rFont val="VNI-Helve"/>
      </rPr>
      <t>2</t>
    </r>
    <r>
      <rPr>
        <sz val="14"/>
        <rFont val="VNI-Helve"/>
      </rPr>
      <t>)</t>
    </r>
  </si>
  <si>
    <t>f  =</t>
  </si>
  <si>
    <r>
      <t>PL</t>
    </r>
    <r>
      <rPr>
        <vertAlign val="superscript"/>
        <sz val="12"/>
        <rFont val="VNI-Helve"/>
      </rPr>
      <t>3</t>
    </r>
    <r>
      <rPr>
        <sz val="12"/>
        <rFont val="VNI-Helve"/>
      </rPr>
      <t>/48EJ</t>
    </r>
    <r>
      <rPr>
        <vertAlign val="subscript"/>
        <sz val="12"/>
        <rFont val="VNI-Helve"/>
      </rPr>
      <t>x</t>
    </r>
    <r>
      <rPr>
        <sz val="12"/>
        <rFont val="VNI-Helve"/>
      </rPr>
      <t xml:space="preserve"> + 5qL</t>
    </r>
    <r>
      <rPr>
        <vertAlign val="superscript"/>
        <sz val="12"/>
        <rFont val="VNI-Helve"/>
      </rPr>
      <t>4</t>
    </r>
    <r>
      <rPr>
        <sz val="12"/>
        <rFont val="VNI-Helve"/>
      </rPr>
      <t>/384EJ</t>
    </r>
    <r>
      <rPr>
        <vertAlign val="subscript"/>
        <sz val="12"/>
        <rFont val="VNI-Helve"/>
      </rPr>
      <t xml:space="preserve">x </t>
    </r>
    <r>
      <rPr>
        <sz val="12"/>
        <rFont val="VNI-Helve"/>
      </rPr>
      <t xml:space="preserve">= </t>
    </r>
  </si>
  <si>
    <t xml:space="preserve">Heä soá an toaøn  n = [f]/f = </t>
  </si>
  <si>
    <t>KEÁT  LUAÄN</t>
  </si>
  <si>
    <r>
      <t xml:space="preserve">* Khi heä soá an toaøn n </t>
    </r>
    <r>
      <rPr>
        <sz val="12"/>
        <rFont val="Symbol"/>
        <family val="1"/>
        <charset val="2"/>
      </rPr>
      <t>&lt;</t>
    </r>
    <r>
      <rPr>
        <sz val="12"/>
        <rFont val="VNI-Helve"/>
      </rPr>
      <t xml:space="preserve"> 1 ñieàu kieän chöa thoaû maõn</t>
    </r>
  </si>
  <si>
    <r>
      <t xml:space="preserve">* Khi heä soá an toaøn n </t>
    </r>
    <r>
      <rPr>
        <sz val="12"/>
        <rFont val="Symbol"/>
        <family val="1"/>
        <charset val="2"/>
      </rPr>
      <t>³</t>
    </r>
    <r>
      <rPr>
        <sz val="12"/>
        <rFont val="VNI-Helve"/>
      </rPr>
      <t xml:space="preserve"> 1 ñieàu kieän thoaû maõn (caùc thoâng soá ban ñaàu cuûa daàm hôïp lyù)</t>
    </r>
  </si>
  <si>
    <t>(Tính momen uoán taïi vò trí caét daàm)</t>
  </si>
  <si>
    <r>
      <t>H</t>
    </r>
    <r>
      <rPr>
        <sz val="14"/>
        <rFont val="VNI-Helve"/>
      </rPr>
      <t>=(1/14-:-1/18)L</t>
    </r>
  </si>
  <si>
    <t>b=(0.33-:-0.5)H</t>
  </si>
  <si>
    <r>
      <t xml:space="preserve">* Ñieàu kieän öùng suaát uoán </t>
    </r>
    <r>
      <rPr>
        <sz val="12"/>
        <color indexed="10"/>
        <rFont val="Symbol"/>
        <family val="1"/>
        <charset val="2"/>
      </rPr>
      <t>s</t>
    </r>
    <r>
      <rPr>
        <vertAlign val="subscript"/>
        <sz val="12"/>
        <color indexed="10"/>
        <rFont val="VNI-Helve"/>
      </rPr>
      <t>u</t>
    </r>
    <r>
      <rPr>
        <sz val="12"/>
        <color indexed="10"/>
        <rFont val="VNI-Helve"/>
      </rPr>
      <t xml:space="preserve"> =M</t>
    </r>
    <r>
      <rPr>
        <vertAlign val="subscript"/>
        <sz val="12"/>
        <color indexed="10"/>
        <rFont val="VNI-Helve"/>
      </rPr>
      <t>max</t>
    </r>
    <r>
      <rPr>
        <sz val="12"/>
        <color indexed="10"/>
        <rFont val="VNI-Helve"/>
      </rPr>
      <t>/W</t>
    </r>
    <r>
      <rPr>
        <sz val="12"/>
        <color indexed="10"/>
        <rFont val="Symbol"/>
        <family val="1"/>
        <charset val="2"/>
      </rPr>
      <t>£</t>
    </r>
    <r>
      <rPr>
        <sz val="12"/>
        <color indexed="10"/>
        <rFont val="VNI-Helve"/>
      </rPr>
      <t xml:space="preserve"> [</t>
    </r>
    <r>
      <rPr>
        <sz val="12"/>
        <color indexed="10"/>
        <rFont val="Symbol"/>
        <family val="1"/>
        <charset val="2"/>
      </rPr>
      <t>s</t>
    </r>
    <r>
      <rPr>
        <sz val="12"/>
        <color indexed="10"/>
        <rFont val="VNI-Helve"/>
      </rPr>
      <t>]</t>
    </r>
    <r>
      <rPr>
        <vertAlign val="subscript"/>
        <sz val="12"/>
        <color indexed="10"/>
        <rFont val="VNI-Helve"/>
      </rPr>
      <t>u</t>
    </r>
    <r>
      <rPr>
        <sz val="12"/>
        <color indexed="10"/>
        <rFont val="VNI-Helve"/>
      </rPr>
      <t xml:space="preserve"> </t>
    </r>
  </si>
  <si>
    <r>
      <t>* Ñieàu kieän ñoä voõng f</t>
    </r>
    <r>
      <rPr>
        <sz val="12"/>
        <color indexed="10"/>
        <rFont val="Symbol"/>
        <family val="1"/>
        <charset val="2"/>
      </rPr>
      <t>£</t>
    </r>
    <r>
      <rPr>
        <sz val="12"/>
        <color indexed="10"/>
        <rFont val="VNI-Helve"/>
      </rPr>
      <t xml:space="preserve"> [</t>
    </r>
    <r>
      <rPr>
        <sz val="12"/>
        <color indexed="10"/>
        <rFont val="vni-hevle"/>
      </rPr>
      <t>f</t>
    </r>
    <r>
      <rPr>
        <sz val="12"/>
        <color indexed="10"/>
        <rFont val="VNI-Helve"/>
      </rPr>
      <t xml:space="preserve">] </t>
    </r>
  </si>
  <si>
    <t xml:space="preserve">Khaåu ñoä daàm </t>
  </si>
  <si>
    <t>Choïn a = L/3</t>
  </si>
  <si>
    <r>
      <t>M</t>
    </r>
    <r>
      <rPr>
        <vertAlign val="subscript"/>
        <sz val="12"/>
        <color indexed="10"/>
        <rFont val="VNI-Helve"/>
      </rPr>
      <t>x</t>
    </r>
    <r>
      <rPr>
        <sz val="12"/>
        <color indexed="10"/>
        <rFont val="VNI-Helve"/>
      </rPr>
      <t xml:space="preserve"> =</t>
    </r>
  </si>
  <si>
    <r>
      <t>1.05*(M</t>
    </r>
    <r>
      <rPr>
        <vertAlign val="subscript"/>
        <sz val="12"/>
        <color indexed="10"/>
        <rFont val="VNI-Helve"/>
      </rPr>
      <t>bt</t>
    </r>
    <r>
      <rPr>
        <sz val="12"/>
        <color indexed="10"/>
        <rFont val="VNI-Helve"/>
      </rPr>
      <t xml:space="preserve"> + 1.25M</t>
    </r>
    <r>
      <rPr>
        <vertAlign val="subscript"/>
        <sz val="12"/>
        <color indexed="10"/>
        <rFont val="VNI-Helve"/>
      </rPr>
      <t>vn</t>
    </r>
    <r>
      <rPr>
        <sz val="12"/>
        <color indexed="10"/>
        <rFont val="VNI-Helve"/>
      </rPr>
      <t>)</t>
    </r>
  </si>
  <si>
    <t>1/</t>
  </si>
  <si>
    <t>(Tính momen uoán cuûa moái haøn taïi vò trí noái daàm)</t>
  </si>
  <si>
    <t>2/</t>
  </si>
  <si>
    <t>(Coâng thöùc tham khaûo saùch SOÅ TAY THIEÁT KEÁ CÔ KHÍ TAÄP I chöông 8 : HAØN)</t>
  </si>
  <si>
    <t>Momen uoán cuûa moái haøn taïi vò trí noái daàm</t>
  </si>
  <si>
    <r>
      <t>M</t>
    </r>
    <r>
      <rPr>
        <vertAlign val="subscript"/>
        <sz val="14"/>
        <rFont val="VNI-Helve"/>
      </rPr>
      <t>uh</t>
    </r>
    <r>
      <rPr>
        <sz val="14"/>
        <rFont val="VNI-Helve"/>
      </rPr>
      <t>=(0.7*K*l*(h+K)+(0.7*K*h^2/6))*</t>
    </r>
    <r>
      <rPr>
        <sz val="14"/>
        <rFont val="Symbol"/>
        <family val="1"/>
        <charset val="2"/>
      </rPr>
      <t xml:space="preserve"> </t>
    </r>
    <r>
      <rPr>
        <sz val="14"/>
        <rFont val="VNI-Helve"/>
      </rPr>
      <t>[</t>
    </r>
    <r>
      <rPr>
        <sz val="14"/>
        <rFont val="Symbol"/>
        <family val="1"/>
        <charset val="2"/>
      </rPr>
      <t>t</t>
    </r>
    <r>
      <rPr>
        <sz val="14"/>
        <rFont val="VNI-Helve"/>
      </rPr>
      <t>]'</t>
    </r>
    <r>
      <rPr>
        <vertAlign val="subscript"/>
        <sz val="14"/>
        <rFont val="VNI-Helve"/>
      </rPr>
      <t>c</t>
    </r>
  </si>
  <si>
    <r>
      <t>t</t>
    </r>
    <r>
      <rPr>
        <sz val="14"/>
        <rFont val="VNI-Helve"/>
      </rPr>
      <t>=M</t>
    </r>
    <r>
      <rPr>
        <vertAlign val="subscript"/>
        <sz val="14"/>
        <rFont val="VNI-Helve"/>
      </rPr>
      <t>uh</t>
    </r>
    <r>
      <rPr>
        <sz val="14"/>
        <rFont val="VNI-Helve"/>
      </rPr>
      <t xml:space="preserve">/(0.7*K*l*(h+K)+(0.7*K*h^2/6)) </t>
    </r>
    <r>
      <rPr>
        <sz val="14"/>
        <rFont val="Symbol"/>
        <family val="1"/>
        <charset val="2"/>
      </rPr>
      <t xml:space="preserve">£ </t>
    </r>
    <r>
      <rPr>
        <sz val="14"/>
        <rFont val="VNI-Helve"/>
      </rPr>
      <t>[</t>
    </r>
    <r>
      <rPr>
        <sz val="14"/>
        <rFont val="Symbol"/>
        <family val="1"/>
        <charset val="2"/>
      </rPr>
      <t>t</t>
    </r>
    <r>
      <rPr>
        <sz val="14"/>
        <rFont val="VNI-Helve"/>
      </rPr>
      <t>]'</t>
    </r>
    <r>
      <rPr>
        <vertAlign val="subscript"/>
        <sz val="14"/>
        <rFont val="VNI-Helve"/>
      </rPr>
      <t>c</t>
    </r>
  </si>
  <si>
    <r>
      <t>M</t>
    </r>
    <r>
      <rPr>
        <vertAlign val="subscript"/>
        <sz val="14"/>
        <rFont val="VNI-Helve"/>
      </rPr>
      <t>uh</t>
    </r>
    <r>
      <rPr>
        <sz val="14"/>
        <rFont val="VNI-Helve"/>
      </rPr>
      <t xml:space="preserve">= </t>
    </r>
  </si>
  <si>
    <r>
      <t xml:space="preserve">Þ </t>
    </r>
    <r>
      <rPr>
        <sz val="14"/>
        <rFont val="VNI-Helve"/>
      </rPr>
      <t>Ñieàu kieän thoûa maõn khi tæ soá giöõa M</t>
    </r>
    <r>
      <rPr>
        <vertAlign val="subscript"/>
        <sz val="14"/>
        <rFont val="VNI-Helve"/>
      </rPr>
      <t>u</t>
    </r>
    <r>
      <rPr>
        <sz val="14"/>
        <rFont val="VNI-Helve"/>
      </rPr>
      <t>/M</t>
    </r>
    <r>
      <rPr>
        <vertAlign val="subscript"/>
        <sz val="14"/>
        <rFont val="VNI-Helve"/>
      </rPr>
      <t>ud</t>
    </r>
    <r>
      <rPr>
        <sz val="14"/>
        <rFont val="VNI-Helve"/>
      </rPr>
      <t xml:space="preserve"> </t>
    </r>
    <r>
      <rPr>
        <sz val="14"/>
        <rFont val="Symbol"/>
        <family val="1"/>
        <charset val="2"/>
      </rPr>
      <t>³</t>
    </r>
    <r>
      <rPr>
        <sz val="14"/>
        <rFont val="VNI-Helve"/>
      </rPr>
      <t xml:space="preserve"> 1</t>
    </r>
  </si>
  <si>
    <r>
      <t xml:space="preserve">Þ </t>
    </r>
    <r>
      <rPr>
        <sz val="14"/>
        <color indexed="10"/>
        <rFont val="VNI-Helve"/>
      </rPr>
      <t>M</t>
    </r>
    <r>
      <rPr>
        <vertAlign val="subscript"/>
        <sz val="14"/>
        <color indexed="10"/>
        <rFont val="VNI-Helve"/>
      </rPr>
      <t>uh</t>
    </r>
    <r>
      <rPr>
        <sz val="14"/>
        <color indexed="10"/>
        <rFont val="VNI-Helve"/>
      </rPr>
      <t>/M</t>
    </r>
    <r>
      <rPr>
        <vertAlign val="subscript"/>
        <sz val="14"/>
        <color indexed="10"/>
        <rFont val="VNI-Helve"/>
      </rPr>
      <t>xd</t>
    </r>
    <r>
      <rPr>
        <sz val="14"/>
        <color indexed="10"/>
        <rFont val="VNI-Helve"/>
      </rPr>
      <t xml:space="preserve"> </t>
    </r>
    <r>
      <rPr>
        <sz val="14"/>
        <color indexed="10"/>
        <rFont val="Symbol"/>
        <family val="1"/>
        <charset val="2"/>
      </rPr>
      <t>=</t>
    </r>
  </si>
  <si>
    <r>
      <t>M</t>
    </r>
    <r>
      <rPr>
        <vertAlign val="subscript"/>
        <sz val="14"/>
        <rFont val="VNI-Helve"/>
      </rPr>
      <t>uh</t>
    </r>
    <r>
      <rPr>
        <sz val="14"/>
        <rFont val="VNI-Helve"/>
      </rPr>
      <t xml:space="preserve">: </t>
    </r>
  </si>
  <si>
    <r>
      <t>M</t>
    </r>
    <r>
      <rPr>
        <vertAlign val="subscript"/>
        <sz val="14"/>
        <rFont val="VNI-Helve"/>
      </rPr>
      <t>xd</t>
    </r>
    <r>
      <rPr>
        <sz val="14"/>
        <rFont val="VNI-Helve"/>
      </rPr>
      <t xml:space="preserve">: </t>
    </r>
  </si>
  <si>
    <r>
      <t xml:space="preserve">* Tuy nhieân vì kinh teá cho neân thöôøng choïn 1&lt; n </t>
    </r>
    <r>
      <rPr>
        <sz val="12"/>
        <rFont val="Symbol"/>
        <family val="1"/>
        <charset val="2"/>
      </rPr>
      <t xml:space="preserve">£ </t>
    </r>
    <r>
      <rPr>
        <sz val="12"/>
        <rFont val="VNI-Helve"/>
      </rPr>
      <t>1.25</t>
    </r>
  </si>
  <si>
    <t xml:space="preserve">Caùc taøi lieäu tham khaûo: </t>
  </si>
  <si>
    <t>1/ SÖÙC BEÀN VAÄT LIEÄU TAÄP 1</t>
  </si>
  <si>
    <t>2/ KEÁT CAÁU THEÙP</t>
  </si>
  <si>
    <t xml:space="preserve">3/ TÍNH TOAÙN MAÙY TRUÏC </t>
  </si>
  <si>
    <t>5/ SOÅ TAY THIEÁT KEÁ CÔ KHÍ TAÄP 1</t>
  </si>
  <si>
    <t>4/ MAÙY NAÂNG CHUYEÅN</t>
  </si>
  <si>
    <t>TÍNH TOAÙN CAÀU TRUÏC 1DAÀM 8 TAÁN DAÏNG HOÄP CHÖÕ V</t>
  </si>
  <si>
    <t>Xc(cm)</t>
  </si>
  <si>
    <t>soå tay thieát keá maùy cô khí taäp 1 chöông 8 trang: (461-:-504)</t>
  </si>
  <si>
    <t xml:space="preserve">Coâng thöùc tính ñoä voõng </t>
  </si>
  <si>
    <r>
      <t>Pb*sqrt((a^2+2ab)/3)^2/3LEJ</t>
    </r>
    <r>
      <rPr>
        <vertAlign val="subscript"/>
        <sz val="14"/>
        <rFont val="VNI-Helve"/>
      </rPr>
      <t>x</t>
    </r>
    <r>
      <rPr>
        <sz val="14"/>
        <rFont val="VNI-Helve"/>
      </rPr>
      <t xml:space="preserve"> + 5qL</t>
    </r>
    <r>
      <rPr>
        <vertAlign val="superscript"/>
        <sz val="14"/>
        <rFont val="VNI-Helve"/>
      </rPr>
      <t>4</t>
    </r>
    <r>
      <rPr>
        <sz val="14"/>
        <rFont val="VNI-Helve"/>
      </rPr>
      <t>/384EJ</t>
    </r>
    <r>
      <rPr>
        <vertAlign val="subscript"/>
        <sz val="14"/>
        <rFont val="VNI-Helve"/>
      </rPr>
      <t>x</t>
    </r>
  </si>
  <si>
    <t>Tham khaûo saùch keát caáu theùp</t>
  </si>
  <si>
    <t>[f] = L/700</t>
  </si>
  <si>
    <t>Tham khaûo saùch tính toaùn maùy truïc</t>
  </si>
  <si>
    <t>Ñoä voõng cho pheùp vaø choïn sô boä caùc thoâng soá ban ñaàu cuûa daàm</t>
  </si>
  <si>
    <t>Tính momen quaùn tính, momen uoán vaø öùng suaát uoán</t>
  </si>
  <si>
    <t>Tham khaûo saùch söùc beàn vaät lieäu vaø tham khaûo ví duï treân saùch tính toaùn maùy truïc</t>
  </si>
  <si>
    <t xml:space="preserve">So saùch baûng toång hôïp tay vaø baûng tính cuûa chöông trình MACHANICAL DESKTOP sai leäch giöõa 2 baûng tính laø (1-: 2)/100 </t>
  </si>
  <si>
    <t>1 / Choïn sô boä caùc thoâng soá ban ñaàu</t>
  </si>
  <si>
    <r>
      <t>h</t>
    </r>
    <r>
      <rPr>
        <vertAlign val="subscript"/>
        <sz val="14"/>
        <rFont val="VNI-Helve"/>
      </rPr>
      <t>1</t>
    </r>
  </si>
  <si>
    <r>
      <t>t</t>
    </r>
    <r>
      <rPr>
        <vertAlign val="subscript"/>
        <sz val="14"/>
        <rFont val="VNI-Helve"/>
      </rPr>
      <t>1</t>
    </r>
    <r>
      <rPr>
        <sz val="14"/>
        <rFont val="VNI-Helve"/>
      </rPr>
      <t>/2*t</t>
    </r>
    <r>
      <rPr>
        <vertAlign val="subscript"/>
        <sz val="14"/>
        <rFont val="VNI-Helve"/>
      </rPr>
      <t>1</t>
    </r>
    <r>
      <rPr>
        <sz val="14"/>
        <rFont val="VNI-Helve"/>
      </rPr>
      <t>*b1*2+(t</t>
    </r>
    <r>
      <rPr>
        <vertAlign val="subscript"/>
        <sz val="14"/>
        <rFont val="VNI-Helve"/>
      </rPr>
      <t>1</t>
    </r>
    <r>
      <rPr>
        <sz val="14"/>
        <rFont val="VNI-Helve"/>
      </rPr>
      <t>+h</t>
    </r>
    <r>
      <rPr>
        <vertAlign val="subscript"/>
        <sz val="14"/>
        <rFont val="VNI-Helve"/>
      </rPr>
      <t>2</t>
    </r>
    <r>
      <rPr>
        <sz val="14"/>
        <rFont val="VNI-Helve"/>
      </rPr>
      <t>/2)*t</t>
    </r>
    <r>
      <rPr>
        <vertAlign val="subscript"/>
        <sz val="14"/>
        <rFont val="VNI-Helve"/>
      </rPr>
      <t>2</t>
    </r>
    <r>
      <rPr>
        <sz val="14"/>
        <rFont val="VNI-Helve"/>
      </rPr>
      <t>*h</t>
    </r>
    <r>
      <rPr>
        <vertAlign val="subscript"/>
        <sz val="14"/>
        <rFont val="VNI-Helve"/>
      </rPr>
      <t>2</t>
    </r>
  </si>
  <si>
    <r>
      <t>t</t>
    </r>
    <r>
      <rPr>
        <vertAlign val="subscript"/>
        <sz val="14"/>
        <rFont val="VNI-Helve"/>
      </rPr>
      <t>1</t>
    </r>
    <r>
      <rPr>
        <sz val="14"/>
        <rFont val="VNI-Helve"/>
      </rPr>
      <t>*b1*2+t</t>
    </r>
    <r>
      <rPr>
        <vertAlign val="subscript"/>
        <sz val="14"/>
        <rFont val="VNI-Helve"/>
      </rPr>
      <t>2</t>
    </r>
    <r>
      <rPr>
        <sz val="14"/>
        <rFont val="VNI-Helve"/>
      </rPr>
      <t>*h</t>
    </r>
    <r>
      <rPr>
        <vertAlign val="subscript"/>
        <sz val="14"/>
        <rFont val="VNI-Helve"/>
      </rPr>
      <t>2</t>
    </r>
  </si>
  <si>
    <r>
      <t>=IF(</t>
    </r>
    <r>
      <rPr>
        <sz val="12"/>
        <color indexed="10"/>
        <rFont val="Symbol"/>
        <family val="1"/>
        <charset val="2"/>
      </rPr>
      <t>s</t>
    </r>
    <r>
      <rPr>
        <vertAlign val="subscript"/>
        <sz val="12"/>
        <color indexed="10"/>
        <rFont val="VNI-Helve"/>
      </rPr>
      <t>u</t>
    </r>
    <r>
      <rPr>
        <sz val="12"/>
        <color indexed="10"/>
        <rFont val="VNI-Helve"/>
      </rPr>
      <t>&lt;[</t>
    </r>
    <r>
      <rPr>
        <sz val="12"/>
        <color indexed="10"/>
        <rFont val="Symbol"/>
        <family val="1"/>
        <charset val="2"/>
      </rPr>
      <t>s</t>
    </r>
    <r>
      <rPr>
        <sz val="12"/>
        <color indexed="10"/>
        <rFont val="VNI-Helve"/>
      </rPr>
      <t>]</t>
    </r>
    <r>
      <rPr>
        <vertAlign val="subscript"/>
        <sz val="12"/>
        <color indexed="10"/>
        <rFont val="VNI-Helve"/>
      </rPr>
      <t xml:space="preserve">u </t>
    </r>
    <r>
      <rPr>
        <sz val="12"/>
        <color indexed="10"/>
        <rFont val="VNI-Helve"/>
      </rPr>
      <t xml:space="preserve"> "ÑAÏT", KHOÂNG ÑAÏT")</t>
    </r>
  </si>
  <si>
    <r>
      <t>=IF(f&lt;[f</t>
    </r>
    <r>
      <rPr>
        <sz val="12"/>
        <color indexed="10"/>
        <rFont val="VNI-Helve"/>
      </rPr>
      <t>]</t>
    </r>
    <r>
      <rPr>
        <vertAlign val="subscript"/>
        <sz val="12"/>
        <color indexed="10"/>
        <rFont val="VNI-Helve"/>
      </rPr>
      <t xml:space="preserve"> </t>
    </r>
    <r>
      <rPr>
        <sz val="12"/>
        <color indexed="10"/>
        <rFont val="VNI-Helve"/>
      </rPr>
      <t xml:space="preserve"> "ÑAÏT", KHOÂNG ÑAÏT")</t>
    </r>
  </si>
  <si>
    <t>III. TÍNH DAÀM BEÂN</t>
  </si>
  <si>
    <r>
      <t>P</t>
    </r>
    <r>
      <rPr>
        <vertAlign val="subscript"/>
        <sz val="12"/>
        <rFont val="VNI-Helve"/>
      </rPr>
      <t>b</t>
    </r>
    <r>
      <rPr>
        <sz val="12"/>
        <rFont val="VNI-Helve"/>
      </rPr>
      <t>=P*(L-m)/L+q*L*1.5/2</t>
    </r>
  </si>
  <si>
    <t>Taûi troïng taùc duïng leân daàm beân</t>
  </si>
  <si>
    <t>Khoaûng caùch töø ray ñeán ñieåm moùc caåu gaàn nhaát m =</t>
  </si>
  <si>
    <t xml:space="preserve">cm </t>
  </si>
  <si>
    <r>
      <t>P</t>
    </r>
    <r>
      <rPr>
        <vertAlign val="subscript"/>
        <sz val="12"/>
        <rFont val="VNI-Helve"/>
      </rPr>
      <t>b</t>
    </r>
    <r>
      <rPr>
        <sz val="12"/>
        <rFont val="VNI-Helve"/>
      </rPr>
      <t xml:space="preserve"> = </t>
    </r>
  </si>
  <si>
    <t>Khoaûng caùch taâm 2 baùnh xe A = (1/7-:-1/5)L =</t>
  </si>
  <si>
    <t>Momen uoán lôùn nhaát taïi tieát dieän I-I</t>
  </si>
  <si>
    <t>kgcm</t>
  </si>
  <si>
    <t>Momen choáng uoán cuûa tieát dieän</t>
  </si>
  <si>
    <t>h1</t>
  </si>
  <si>
    <t>h2</t>
  </si>
  <si>
    <r>
      <t>W</t>
    </r>
    <r>
      <rPr>
        <vertAlign val="subscript"/>
        <sz val="12"/>
        <rFont val="VNI-Helve"/>
      </rPr>
      <t>x</t>
    </r>
    <r>
      <rPr>
        <sz val="12"/>
        <rFont val="VNI-Helve"/>
      </rPr>
      <t xml:space="preserve"> = Jx/Yc =</t>
    </r>
  </si>
  <si>
    <t>cm3</t>
  </si>
  <si>
    <t>ÖÙng suaát uoán döôùi taùc duïng cuûa taûi troïng chính</t>
  </si>
  <si>
    <r>
      <t>s</t>
    </r>
    <r>
      <rPr>
        <vertAlign val="subscript"/>
        <sz val="12"/>
        <rFont val="VNI-Helve"/>
      </rPr>
      <t>u</t>
    </r>
    <r>
      <rPr>
        <sz val="12"/>
        <rFont val="VNI-Helve"/>
      </rPr>
      <t xml:space="preserve"> = M</t>
    </r>
    <r>
      <rPr>
        <vertAlign val="subscript"/>
        <sz val="12"/>
        <rFont val="VNI-Helve"/>
      </rPr>
      <t>u</t>
    </r>
    <r>
      <rPr>
        <sz val="12"/>
        <rFont val="VNI-Helve"/>
      </rPr>
      <t>/ W</t>
    </r>
    <r>
      <rPr>
        <vertAlign val="subscript"/>
        <sz val="12"/>
        <rFont val="VNI-Helve"/>
      </rPr>
      <t>x</t>
    </r>
  </si>
  <si>
    <r>
      <t>M</t>
    </r>
    <r>
      <rPr>
        <vertAlign val="subscript"/>
        <sz val="12"/>
        <rFont val="VNI-Helve"/>
      </rPr>
      <t>u</t>
    </r>
    <r>
      <rPr>
        <sz val="12"/>
        <rFont val="VNI-Helve"/>
      </rPr>
      <t xml:space="preserve"> = P</t>
    </r>
    <r>
      <rPr>
        <vertAlign val="subscript"/>
        <sz val="12"/>
        <rFont val="VNI-Helve"/>
      </rPr>
      <t>b</t>
    </r>
    <r>
      <rPr>
        <sz val="12"/>
        <rFont val="VNI-Helve"/>
      </rPr>
      <t>*A/4 =</t>
    </r>
  </si>
  <si>
    <t>BAÛNG TÍNH EXCEL</t>
  </si>
  <si>
    <t xml:space="preserve">BAÛNG TÍNH MACHANICAL DESKTOP </t>
  </si>
  <si>
    <r>
      <t>Pb*sqrt((a^2+2ab)/3)^2/3LEJ</t>
    </r>
    <r>
      <rPr>
        <vertAlign val="subscript"/>
        <sz val="12"/>
        <rFont val="VNI-Helve"/>
      </rPr>
      <t>x</t>
    </r>
    <r>
      <rPr>
        <sz val="12"/>
        <rFont val="VNI-Helve"/>
      </rPr>
      <t xml:space="preserve"> + 5qL</t>
    </r>
    <r>
      <rPr>
        <vertAlign val="superscript"/>
        <sz val="12"/>
        <rFont val="VNI-Helve"/>
      </rPr>
      <t>4</t>
    </r>
    <r>
      <rPr>
        <sz val="12"/>
        <rFont val="VNI-Helve"/>
      </rPr>
      <t>/384EJ</t>
    </r>
    <r>
      <rPr>
        <vertAlign val="subscript"/>
        <sz val="12"/>
        <rFont val="VNI-Helve"/>
      </rPr>
      <t>x</t>
    </r>
  </si>
  <si>
    <t>St(cm)</t>
  </si>
  <si>
    <t>BAÛNG TOÅNG HÔÏP (MAÙY TÍNH )</t>
  </si>
  <si>
    <t>800 - - 1000</t>
  </si>
  <si>
    <r>
      <t xml:space="preserve"> [</t>
    </r>
    <r>
      <rPr>
        <sz val="14"/>
        <rFont val="Symbol"/>
        <family val="1"/>
        <charset val="2"/>
      </rPr>
      <t>s</t>
    </r>
    <r>
      <rPr>
        <sz val="14"/>
        <rFont val="VNI-Helve"/>
      </rPr>
      <t>]</t>
    </r>
    <r>
      <rPr>
        <vertAlign val="subscript"/>
        <sz val="14"/>
        <rFont val="VNI-Helve"/>
      </rPr>
      <t xml:space="preserve">u </t>
    </r>
    <r>
      <rPr>
        <sz val="14"/>
        <rFont val="VNI-Helve"/>
      </rPr>
      <t>=</t>
    </r>
  </si>
  <si>
    <t>choïn</t>
  </si>
  <si>
    <t>IV. TÍNH CÔ CAÁU DI CHUYEÅN</t>
  </si>
  <si>
    <t>1, Tính baùnh xe caàu truïc</t>
  </si>
  <si>
    <t>taûi troïng tính cuûa baùnh xe taùc duïng leân ray</t>
  </si>
  <si>
    <t>Nmax laø aùp löïc lôùn nhaát taùc duïng leân baùnh xe</t>
  </si>
  <si>
    <r>
      <t>N</t>
    </r>
    <r>
      <rPr>
        <sz val="12"/>
        <rFont val="VNI-Helve"/>
      </rPr>
      <t>max</t>
    </r>
    <r>
      <rPr>
        <sz val="14"/>
        <rFont val="VNI-Helve"/>
      </rPr>
      <t xml:space="preserve"> = Gc/4+(Gx/4+Gx*a/(2(2*L/2))+Q/4+Q*a/(2*(2*L/2)</t>
    </r>
  </si>
  <si>
    <t>Gc</t>
  </si>
  <si>
    <t>Gx</t>
  </si>
  <si>
    <t>Q</t>
  </si>
  <si>
    <t>*</t>
  </si>
  <si>
    <t>K=1,2</t>
  </si>
  <si>
    <r>
      <t>N</t>
    </r>
    <r>
      <rPr>
        <sz val="12"/>
        <rFont val="VNI-Helve"/>
      </rPr>
      <t>t</t>
    </r>
    <r>
      <rPr>
        <sz val="14"/>
        <rFont val="VNI-Helve"/>
      </rPr>
      <t>=K*</t>
    </r>
    <r>
      <rPr>
        <sz val="14"/>
        <rFont val="Symbol"/>
        <family val="1"/>
        <charset val="2"/>
      </rPr>
      <t>g</t>
    </r>
    <r>
      <rPr>
        <sz val="14"/>
        <rFont val="VNI-Helve"/>
      </rPr>
      <t>*N</t>
    </r>
    <r>
      <rPr>
        <sz val="12"/>
        <rFont val="VNI-Helve"/>
      </rPr>
      <t>max</t>
    </r>
  </si>
  <si>
    <t>b = 5,6</t>
  </si>
  <si>
    <t>r = 20</t>
  </si>
  <si>
    <r>
      <t xml:space="preserve">g </t>
    </r>
    <r>
      <rPr>
        <sz val="14"/>
        <rFont val="VNI-Helve"/>
      </rPr>
      <t>= 0.8</t>
    </r>
  </si>
  <si>
    <t>KG</t>
  </si>
  <si>
    <r>
      <t>d</t>
    </r>
    <r>
      <rPr>
        <sz val="14"/>
        <rFont val="VNI-Helve"/>
      </rPr>
      <t xml:space="preserve"> = 600*SQRT(N</t>
    </r>
    <r>
      <rPr>
        <sz val="12"/>
        <rFont val="VNI-Helve"/>
      </rPr>
      <t>t</t>
    </r>
    <r>
      <rPr>
        <sz val="14"/>
        <rFont val="VNI-Helve"/>
      </rPr>
      <t>/b*r) &lt; [</t>
    </r>
    <r>
      <rPr>
        <sz val="14"/>
        <rFont val="Symbol"/>
        <family val="1"/>
        <charset val="2"/>
      </rPr>
      <t>d</t>
    </r>
    <r>
      <rPr>
        <sz val="14"/>
        <rFont val="VNI-Helve"/>
      </rPr>
      <t>]</t>
    </r>
  </si>
  <si>
    <t xml:space="preserve">kg </t>
  </si>
  <si>
    <t>2 , Tính ñoäng cô ñieän</t>
  </si>
  <si>
    <t>löïc caûn chuyeån ñoäng do ma saùt</t>
  </si>
  <si>
    <r>
      <t xml:space="preserve">W1 = </t>
    </r>
    <r>
      <rPr>
        <sz val="14"/>
        <rFont val="Symbol"/>
        <family val="1"/>
        <charset val="2"/>
      </rPr>
      <t>b</t>
    </r>
    <r>
      <rPr>
        <sz val="14"/>
        <rFont val="VNI-Helve"/>
      </rPr>
      <t>*(Q+G)*(2*</t>
    </r>
    <r>
      <rPr>
        <sz val="14"/>
        <rFont val="Symbol"/>
        <family val="1"/>
        <charset val="2"/>
      </rPr>
      <t>m</t>
    </r>
    <r>
      <rPr>
        <sz val="14"/>
        <rFont val="VNI-Helve"/>
      </rPr>
      <t>+f*d)/Dbx</t>
    </r>
  </si>
  <si>
    <t>m</t>
  </si>
  <si>
    <t>f</t>
  </si>
  <si>
    <t>d</t>
  </si>
  <si>
    <t>D</t>
  </si>
  <si>
    <t>Löïc caûn do doác ñöôøng ray</t>
  </si>
  <si>
    <r>
      <t xml:space="preserve">W2 = </t>
    </r>
    <r>
      <rPr>
        <sz val="14"/>
        <rFont val="Symbol"/>
        <family val="1"/>
        <charset val="2"/>
      </rPr>
      <t>a</t>
    </r>
    <r>
      <rPr>
        <sz val="14"/>
        <rFont val="VNI-Helve"/>
      </rPr>
      <t>*(Q+G)</t>
    </r>
  </si>
  <si>
    <t>Toång löïc caûn</t>
  </si>
  <si>
    <t>W = W1 + W2</t>
  </si>
  <si>
    <t>COÂNG SUAÁT CAÀN THIEÁT ÑOÄNG CÔ</t>
  </si>
  <si>
    <t>v</t>
  </si>
  <si>
    <r>
      <t>h</t>
    </r>
    <r>
      <rPr>
        <sz val="14"/>
        <rFont val="VNI-Helve"/>
      </rPr>
      <t>dc</t>
    </r>
  </si>
  <si>
    <t>m/ph</t>
  </si>
  <si>
    <t>KW</t>
  </si>
  <si>
    <r>
      <t>Ndc = W*v/(60*102*</t>
    </r>
    <r>
      <rPr>
        <sz val="14"/>
        <rFont val="Symbol"/>
        <family val="1"/>
        <charset val="2"/>
      </rPr>
      <t>h</t>
    </r>
    <r>
      <rPr>
        <sz val="14"/>
        <rFont val="VNI-Helve"/>
      </rPr>
      <t>dc)</t>
    </r>
  </si>
  <si>
    <t>3, Tính truïc baùnh xe caàu truïc</t>
  </si>
  <si>
    <t>Taûi troïng ñoäng lôùn nhaát taùc duïng leân truïc</t>
  </si>
  <si>
    <t>Pt = Nmax*k</t>
  </si>
  <si>
    <t>k</t>
  </si>
  <si>
    <t>Momen uoán lôùn nhaát taùc duïng leân truïc</t>
  </si>
  <si>
    <t>Mu = Pt*l/4</t>
  </si>
  <si>
    <t>l</t>
  </si>
  <si>
    <t>Momen xoaén lôùn nhaát do ñoäng cô sinh ra</t>
  </si>
  <si>
    <t>Momen danh nghóa ñoäng cô</t>
  </si>
  <si>
    <t>Mdn = 9550*Ndc/ndc</t>
  </si>
  <si>
    <t>Mmax = 1.8*Mdn</t>
  </si>
  <si>
    <t>Momen töông ñöông</t>
  </si>
  <si>
    <t>Mtd = sqrt(M2u + (h*Mx)2</t>
  </si>
  <si>
    <t>ÑÖÔØNG  KÍNH TRUÏC TAÏI VÒ TRÍ LAÉP BAÙNH XE</t>
  </si>
  <si>
    <r>
      <t>[</t>
    </r>
    <r>
      <rPr>
        <sz val="14"/>
        <rFont val="Symbol"/>
        <family val="1"/>
        <charset val="2"/>
      </rPr>
      <t>d</t>
    </r>
    <r>
      <rPr>
        <sz val="14"/>
        <rFont val="VNI-Helve"/>
      </rPr>
      <t xml:space="preserve">] = 4500--7500  </t>
    </r>
  </si>
  <si>
    <r>
      <t>[</t>
    </r>
    <r>
      <rPr>
        <sz val="14"/>
        <rFont val="Symbol"/>
        <family val="1"/>
        <charset val="2"/>
      </rPr>
      <t>d</t>
    </r>
    <r>
      <rPr>
        <sz val="14"/>
        <rFont val="VNI-Helve"/>
      </rPr>
      <t>]</t>
    </r>
  </si>
  <si>
    <r>
      <t>d &gt;= Mtd/0.1/[</t>
    </r>
    <r>
      <rPr>
        <sz val="14"/>
        <rFont val="Symbol"/>
        <family val="1"/>
        <charset val="2"/>
      </rPr>
      <t>d</t>
    </r>
    <r>
      <rPr>
        <sz val="14"/>
        <rFont val="VNI-Helve"/>
      </rPr>
      <t>]</t>
    </r>
  </si>
  <si>
    <t xml:space="preserve"> ÑAËC TRÖNG HÌNH HOÏC CUÛA HÌNH PHAÚNG)</t>
  </si>
  <si>
    <t>Nmax = Gc/4+(Gx/4+Gx*a/(2(2*L/2))+Q/4+Q*a/(2*(2*L/2)</t>
  </si>
  <si>
    <r>
      <t>Nt=K*</t>
    </r>
    <r>
      <rPr>
        <sz val="12"/>
        <rFont val="Symbol"/>
        <family val="1"/>
        <charset val="2"/>
      </rPr>
      <t>g</t>
    </r>
    <r>
      <rPr>
        <sz val="12"/>
        <rFont val="VNI-Helve"/>
      </rPr>
      <t>*Nmax</t>
    </r>
  </si>
  <si>
    <r>
      <t xml:space="preserve">g </t>
    </r>
    <r>
      <rPr>
        <sz val="12"/>
        <rFont val="VNI-Helve"/>
      </rPr>
      <t>= 0.8</t>
    </r>
  </si>
  <si>
    <r>
      <t>d</t>
    </r>
    <r>
      <rPr>
        <sz val="12"/>
        <rFont val="VNI-Helve"/>
      </rPr>
      <t xml:space="preserve"> = 600*SQRT(Nt/b*r) &lt; [</t>
    </r>
    <r>
      <rPr>
        <sz val="12"/>
        <rFont val="Symbol"/>
        <family val="1"/>
        <charset val="2"/>
      </rPr>
      <t>d</t>
    </r>
    <r>
      <rPr>
        <sz val="12"/>
        <rFont val="VNI-Helve"/>
      </rPr>
      <t>]</t>
    </r>
  </si>
  <si>
    <r>
      <t>[</t>
    </r>
    <r>
      <rPr>
        <sz val="12"/>
        <rFont val="Symbol"/>
        <family val="1"/>
        <charset val="2"/>
      </rPr>
      <t>d</t>
    </r>
    <r>
      <rPr>
        <sz val="12"/>
        <rFont val="VNI-Helve"/>
      </rPr>
      <t xml:space="preserve">] = 4500--7500  </t>
    </r>
  </si>
  <si>
    <r>
      <t xml:space="preserve">W1 = </t>
    </r>
    <r>
      <rPr>
        <sz val="12"/>
        <rFont val="Symbol"/>
        <family val="1"/>
        <charset val="2"/>
      </rPr>
      <t>b</t>
    </r>
    <r>
      <rPr>
        <sz val="12"/>
        <rFont val="VNI-Helve"/>
      </rPr>
      <t>*(Q+G)*(2*</t>
    </r>
    <r>
      <rPr>
        <sz val="12"/>
        <rFont val="Symbol"/>
        <family val="1"/>
        <charset val="2"/>
      </rPr>
      <t>m</t>
    </r>
    <r>
      <rPr>
        <sz val="12"/>
        <rFont val="VNI-Helve"/>
      </rPr>
      <t>+f*d)/Dbx</t>
    </r>
  </si>
  <si>
    <r>
      <t xml:space="preserve">W2 = </t>
    </r>
    <r>
      <rPr>
        <sz val="12"/>
        <rFont val="Symbol"/>
        <family val="1"/>
        <charset val="2"/>
      </rPr>
      <t>a</t>
    </r>
    <r>
      <rPr>
        <sz val="12"/>
        <rFont val="VNI-Helve"/>
      </rPr>
      <t>*(Q+G)</t>
    </r>
  </si>
  <si>
    <r>
      <t>Ndc = W*v/(60*102*</t>
    </r>
    <r>
      <rPr>
        <sz val="12"/>
        <rFont val="Symbol"/>
        <family val="1"/>
        <charset val="2"/>
      </rPr>
      <t>h</t>
    </r>
    <r>
      <rPr>
        <sz val="12"/>
        <rFont val="VNI-Helve"/>
      </rPr>
      <t>dc)</t>
    </r>
  </si>
  <si>
    <r>
      <t>h</t>
    </r>
    <r>
      <rPr>
        <sz val="12"/>
        <rFont val="VNI-Helve"/>
      </rPr>
      <t>dc</t>
    </r>
  </si>
  <si>
    <t>[d]</t>
  </si>
  <si>
    <t>d &gt;= Mtd/0.1/[d]</t>
  </si>
  <si>
    <t>choïn N = 1,5 Kw, n = 1450v/ph</t>
  </si>
  <si>
    <t xml:space="preserve">choïn </t>
  </si>
  <si>
    <t>n</t>
  </si>
  <si>
    <t>4 , Tính oå laên</t>
  </si>
  <si>
    <t>Taûi troïng höôùng kính</t>
  </si>
  <si>
    <t>Pr =  Nmax/2</t>
  </si>
  <si>
    <t>Taûi troïng doïc truïc</t>
  </si>
  <si>
    <t>Pa = 0.1*Pr</t>
  </si>
  <si>
    <t>caùch khaùc</t>
  </si>
  <si>
    <t>Taûi troïng töông ñöông taùc duïng leân oå</t>
  </si>
  <si>
    <t xml:space="preserve">P </t>
  </si>
  <si>
    <t>v/ph</t>
  </si>
  <si>
    <t>gio</t>
  </si>
  <si>
    <t>N</t>
  </si>
  <si>
    <t>C = 0,1*P*(n*h)^0.3</t>
  </si>
  <si>
    <t xml:space="preserve">r </t>
  </si>
  <si>
    <t xml:space="preserve">b </t>
  </si>
  <si>
    <t>Tâm bánh xe A</t>
  </si>
  <si>
    <t>Rộng bánh xe b</t>
  </si>
  <si>
    <t>Bán kính bánh xe r</t>
  </si>
  <si>
    <t>g</t>
  </si>
  <si>
    <t>Nmax = Gc/4+(Gx/4+Gx*A/(2(2*L/2))+Q/4+Q*A/(2*(2*L/2)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</si>
</sst>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1" formatCode="_(* #,##0_);_(* \(#,##0\);_(* &quot;-&quot;_);_(@_)"/>
    <numFmt numFmtId="43" formatCode="_(* #,##0.00_);_(* \(#,##0.00\);_(* &quot;-&quot;??_);_(@_)"/>
    <numFmt numFmtId="172" formatCode="_-&quot;\&quot;* #,##0_-;\-&quot;\&quot;* #,##0_-;_-&quot;\&quot;* &quot;-&quot;_-;_-@_-"/>
    <numFmt numFmtId="173" formatCode="_-&quot;\&quot;* #,##0.00_-;\-&quot;\&quot;* #,##0.00_-;_-&quot;\&quot;* &quot;-&quot;??_-;_-@_-"/>
    <numFmt numFmtId="174" formatCode="_ * #,##0_ ;_ * \-#,##0_ ;_ * &quot;-&quot;_ ;_ @_ "/>
    <numFmt numFmtId="175" formatCode="_ * #,##0.00_ ;_ * \-#,##0.00_ ;_ * &quot;-&quot;??_ ;_ @_ "/>
    <numFmt numFmtId="176" formatCode="\$#,##0\ ;\(\$#,##0\)"/>
    <numFmt numFmtId="177" formatCode="&quot;\&quot;#,##0;[Red]&quot;\&quot;&quot;\&quot;\-#,##0"/>
    <numFmt numFmtId="178" formatCode="&quot;\&quot;#,##0.00;[Red]&quot;\&quot;&quot;\&quot;&quot;\&quot;&quot;\&quot;&quot;\&quot;&quot;\&quot;\-#,##0.00"/>
    <numFmt numFmtId="179" formatCode="0.0000"/>
    <numFmt numFmtId="180" formatCode="0.000"/>
    <numFmt numFmtId="181" formatCode="0.0"/>
    <numFmt numFmtId="182" formatCode="#,##0.0_);\(#,##0.0\)"/>
    <numFmt numFmtId="183" formatCode="0.00000"/>
    <numFmt numFmtId="185" formatCode="0.0000000"/>
  </numFmts>
  <fonts count="55">
    <font>
      <sz val="10"/>
      <name val="Arial"/>
    </font>
    <font>
      <sz val="10"/>
      <name val="Arial"/>
    </font>
    <font>
      <sz val="10"/>
      <name val="Arial"/>
      <family val="2"/>
    </font>
    <font>
      <sz val="14"/>
      <name val="??"/>
      <family val="3"/>
      <charset val="129"/>
    </font>
    <font>
      <sz val="10"/>
      <name val="???"/>
      <family val="3"/>
      <charset val="129"/>
    </font>
    <font>
      <sz val="12"/>
      <color indexed="8"/>
      <name val="¹ÙÅÁÃ¼"/>
      <family val="1"/>
      <charset val="129"/>
    </font>
    <font>
      <sz val="11"/>
      <name val="µ¸¿ò"/>
      <charset val="129"/>
    </font>
    <font>
      <sz val="12"/>
      <name val="¹ÙÅÁÃ¼"/>
      <charset val="129"/>
    </font>
    <font>
      <sz val="10"/>
      <name val="Times New Roman"/>
      <family val="1"/>
    </font>
    <font>
      <b/>
      <sz val="10"/>
      <name val="Helv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b/>
      <sz val="11"/>
      <name val="Helv"/>
    </font>
    <font>
      <sz val="14"/>
      <name val="Symbol"/>
      <family val="1"/>
      <charset val="2"/>
    </font>
    <font>
      <sz val="14"/>
      <name val="VNI-Helve"/>
    </font>
    <font>
      <sz val="14"/>
      <color indexed="10"/>
      <name val="VNI-Helve"/>
    </font>
    <font>
      <vertAlign val="subscript"/>
      <sz val="14"/>
      <name val="VNI-Helve"/>
    </font>
    <font>
      <vertAlign val="superscript"/>
      <sz val="14"/>
      <name val="VNI-Helve"/>
    </font>
    <font>
      <vertAlign val="subscript"/>
      <sz val="14"/>
      <color indexed="10"/>
      <name val="VNI-Helve"/>
    </font>
    <font>
      <u/>
      <sz val="14"/>
      <color indexed="10"/>
      <name val="VNI-Helve"/>
    </font>
    <font>
      <sz val="14"/>
      <color indexed="12"/>
      <name val="VNI-Helve"/>
    </font>
    <font>
      <sz val="14"/>
      <color indexed="10"/>
      <name val="Symbol"/>
      <family val="1"/>
      <charset val="2"/>
    </font>
    <font>
      <vertAlign val="subscript"/>
      <sz val="14"/>
      <color indexed="10"/>
      <name val="Symbol"/>
      <family val="1"/>
      <charset val="2"/>
    </font>
    <font>
      <vertAlign val="superscript"/>
      <sz val="14"/>
      <color indexed="10"/>
      <name val="VNI-Helve"/>
    </font>
    <font>
      <sz val="12"/>
      <name val="VNI-Helve"/>
    </font>
    <font>
      <vertAlign val="subscript"/>
      <sz val="12"/>
      <name val="VNI-Helve"/>
    </font>
    <font>
      <sz val="16"/>
      <name val="VNI-Helve"/>
    </font>
    <font>
      <vertAlign val="superscript"/>
      <sz val="12"/>
      <name val="VNI-Helve"/>
    </font>
    <font>
      <sz val="11"/>
      <name val="VNI-Helve"/>
    </font>
    <font>
      <sz val="12"/>
      <name val="Symbol"/>
      <family val="1"/>
      <charset val="2"/>
    </font>
    <font>
      <sz val="12"/>
      <color indexed="10"/>
      <name val="VNI-Helve"/>
    </font>
    <font>
      <sz val="8"/>
      <name val="VNI-Helve"/>
    </font>
    <font>
      <vertAlign val="subscript"/>
      <sz val="8"/>
      <name val="VNI-Helve"/>
    </font>
    <font>
      <vertAlign val="superscript"/>
      <sz val="8"/>
      <name val="VNI-Helve"/>
    </font>
    <font>
      <sz val="30"/>
      <name val="VNI-Helve"/>
    </font>
    <font>
      <u/>
      <sz val="14"/>
      <name val="VNI-Helve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6"/>
      <color indexed="81"/>
      <name val="VNI-Helve"/>
    </font>
    <font>
      <i/>
      <sz val="12"/>
      <color indexed="81"/>
      <name val="VNI-Helve-Condense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i/>
      <sz val="16"/>
      <color indexed="81"/>
      <name val="Tahoma"/>
      <family val="2"/>
    </font>
    <font>
      <b/>
      <sz val="14"/>
      <name val="VNI-Helve"/>
    </font>
    <font>
      <sz val="12"/>
      <color indexed="10"/>
      <name val="Symbol"/>
      <family val="1"/>
      <charset val="2"/>
    </font>
    <font>
      <sz val="12"/>
      <color indexed="12"/>
      <name val="VNI-Helve"/>
    </font>
    <font>
      <vertAlign val="subscript"/>
      <sz val="12"/>
      <color indexed="10"/>
      <name val="VNI-Helve"/>
    </font>
    <font>
      <sz val="12"/>
      <color indexed="10"/>
      <name val="vni-hevle"/>
    </font>
    <font>
      <sz val="14"/>
      <color indexed="81"/>
      <name val="VNI-Helve"/>
    </font>
    <font>
      <sz val="10"/>
      <name val="VNI-Helve"/>
    </font>
    <font>
      <sz val="14"/>
      <color indexed="10"/>
      <name val="VNI-Times"/>
    </font>
    <font>
      <b/>
      <sz val="16"/>
      <name val="VNI-Helve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3">
    <xf numFmtId="0" fontId="0" fillId="0" borderId="0"/>
    <xf numFmtId="178" fontId="2" fillId="0" borderId="0" applyFont="0" applyFill="0" applyBorder="0" applyAlignment="0" applyProtection="0"/>
    <xf numFmtId="0" fontId="3" fillId="0" borderId="0" applyFont="0" applyFill="0" applyBorder="0" applyAlignment="0" applyProtection="0"/>
    <xf numFmtId="177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4" fillId="0" borderId="0"/>
    <xf numFmtId="0" fontId="2" fillId="0" borderId="0"/>
    <xf numFmtId="9" fontId="5" fillId="0" borderId="0" applyBorder="0" applyAlignment="0" applyProtection="0"/>
    <xf numFmtId="17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0" fontId="8" fillId="0" borderId="0"/>
    <xf numFmtId="0" fontId="9" fillId="0" borderId="0"/>
    <xf numFmtId="43" fontId="1" fillId="0" borderId="0" applyFont="0" applyFill="0" applyBorder="0" applyAlignment="0" applyProtection="0"/>
    <xf numFmtId="3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38" fontId="10" fillId="2" borderId="0" applyNumberFormat="0" applyBorder="0" applyAlignment="0" applyProtection="0"/>
    <xf numFmtId="0" fontId="11" fillId="0" borderId="0">
      <alignment horizontal="left"/>
    </xf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0" fontId="10" fillId="2" borderId="3" applyNumberFormat="0" applyBorder="0" applyAlignment="0" applyProtection="0"/>
    <xf numFmtId="0" fontId="14" fillId="0" borderId="4"/>
    <xf numFmtId="0" fontId="1" fillId="0" borderId="0"/>
    <xf numFmtId="10" fontId="1" fillId="0" borderId="0" applyFont="0" applyFill="0" applyBorder="0" applyAlignment="0" applyProtection="0"/>
    <xf numFmtId="0" fontId="14" fillId="0" borderId="0"/>
    <xf numFmtId="0" fontId="2" fillId="0" borderId="5" applyNumberFormat="0" applyFont="0" applyFill="0" applyAlignment="0" applyProtection="0"/>
  </cellStyleXfs>
  <cellXfs count="85">
    <xf numFmtId="0" fontId="0" fillId="0" borderId="0" xfId="0"/>
    <xf numFmtId="0" fontId="2" fillId="0" borderId="0" xfId="8"/>
    <xf numFmtId="0" fontId="0" fillId="0" borderId="0" xfId="0" applyProtection="1">
      <protection locked="0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1" fontId="16" fillId="0" borderId="0" xfId="0" applyNumberFormat="1" applyFont="1"/>
    <xf numFmtId="0" fontId="21" fillId="0" borderId="0" xfId="0" applyFont="1"/>
    <xf numFmtId="0" fontId="15" fillId="0" borderId="0" xfId="0" applyFont="1"/>
    <xf numFmtId="1" fontId="17" fillId="0" borderId="0" xfId="0" applyNumberFormat="1" applyFont="1"/>
    <xf numFmtId="1" fontId="17" fillId="0" borderId="0" xfId="0" applyNumberFormat="1" applyFont="1" applyAlignment="1">
      <alignment horizontal="center"/>
    </xf>
    <xf numFmtId="1" fontId="22" fillId="0" borderId="0" xfId="0" applyNumberFormat="1" applyFont="1"/>
    <xf numFmtId="0" fontId="23" fillId="0" borderId="0" xfId="0" applyFont="1"/>
    <xf numFmtId="41" fontId="16" fillId="0" borderId="0" xfId="16" applyNumberFormat="1" applyFont="1"/>
    <xf numFmtId="41" fontId="17" fillId="0" borderId="0" xfId="16" applyNumberFormat="1" applyFont="1"/>
    <xf numFmtId="41" fontId="16" fillId="0" borderId="0" xfId="0" applyNumberFormat="1" applyFont="1"/>
    <xf numFmtId="2" fontId="16" fillId="0" borderId="0" xfId="0" applyNumberFormat="1" applyFont="1"/>
    <xf numFmtId="0" fontId="17" fillId="0" borderId="3" xfId="0" applyFont="1" applyBorder="1"/>
    <xf numFmtId="1" fontId="17" fillId="0" borderId="3" xfId="0" applyNumberFormat="1" applyFont="1" applyBorder="1"/>
    <xf numFmtId="0" fontId="17" fillId="3" borderId="0" xfId="0" applyFont="1" applyFill="1"/>
    <xf numFmtId="0" fontId="26" fillId="0" borderId="0" xfId="0" applyFont="1"/>
    <xf numFmtId="0" fontId="28" fillId="0" borderId="0" xfId="0" applyFont="1"/>
    <xf numFmtId="0" fontId="26" fillId="0" borderId="0" xfId="0" applyFont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 applyAlignment="1">
      <alignment horizontal="center"/>
    </xf>
    <xf numFmtId="181" fontId="32" fillId="0" borderId="0" xfId="0" applyNumberFormat="1" applyFont="1" applyAlignment="1">
      <alignment horizontal="center"/>
    </xf>
    <xf numFmtId="0" fontId="32" fillId="0" borderId="0" xfId="0" applyFont="1"/>
    <xf numFmtId="179" fontId="32" fillId="0" borderId="0" xfId="0" applyNumberFormat="1" applyFont="1" applyAlignment="1">
      <alignment horizontal="center"/>
    </xf>
    <xf numFmtId="0" fontId="33" fillId="0" borderId="0" xfId="0" applyFont="1"/>
    <xf numFmtId="1" fontId="26" fillId="0" borderId="0" xfId="0" applyNumberFormat="1" applyFont="1"/>
    <xf numFmtId="1" fontId="32" fillId="0" borderId="0" xfId="0" applyNumberFormat="1" applyFont="1"/>
    <xf numFmtId="0" fontId="16" fillId="0" borderId="0" xfId="0" applyFont="1" applyAlignment="1">
      <alignment horizontal="left"/>
    </xf>
    <xf numFmtId="49" fontId="16" fillId="0" borderId="0" xfId="0" applyNumberFormat="1" applyFont="1"/>
    <xf numFmtId="182" fontId="17" fillId="0" borderId="0" xfId="16" applyNumberFormat="1" applyFont="1"/>
    <xf numFmtId="0" fontId="16" fillId="0" borderId="0" xfId="0" applyNumberFormat="1" applyFont="1"/>
    <xf numFmtId="0" fontId="16" fillId="0" borderId="0" xfId="0" applyFont="1" applyProtection="1">
      <protection locked="0"/>
    </xf>
    <xf numFmtId="1" fontId="37" fillId="0" borderId="0" xfId="0" applyNumberFormat="1" applyFont="1"/>
    <xf numFmtId="180" fontId="26" fillId="0" borderId="0" xfId="0" applyNumberFormat="1" applyFont="1"/>
    <xf numFmtId="180" fontId="17" fillId="0" borderId="0" xfId="0" applyNumberFormat="1" applyFont="1"/>
    <xf numFmtId="0" fontId="47" fillId="0" borderId="0" xfId="0" applyFont="1"/>
    <xf numFmtId="2" fontId="26" fillId="0" borderId="0" xfId="0" applyNumberFormat="1" applyFont="1"/>
    <xf numFmtId="0" fontId="32" fillId="3" borderId="0" xfId="0" applyFont="1" applyFill="1"/>
    <xf numFmtId="0" fontId="16" fillId="0" borderId="0" xfId="0" applyFont="1" applyAlignment="1">
      <alignment horizontal="right"/>
    </xf>
    <xf numFmtId="0" fontId="26" fillId="3" borderId="0" xfId="0" applyFont="1" applyFill="1"/>
    <xf numFmtId="181" fontId="22" fillId="0" borderId="0" xfId="0" applyNumberFormat="1" applyFont="1"/>
    <xf numFmtId="0" fontId="51" fillId="0" borderId="0" xfId="0" applyFont="1"/>
    <xf numFmtId="0" fontId="32" fillId="0" borderId="0" xfId="0" quotePrefix="1" applyFont="1"/>
    <xf numFmtId="181" fontId="17" fillId="0" borderId="0" xfId="0" applyNumberFormat="1" applyFont="1"/>
    <xf numFmtId="1" fontId="26" fillId="0" borderId="0" xfId="0" applyNumberFormat="1" applyFont="1" applyAlignment="1">
      <alignment horizontal="center"/>
    </xf>
    <xf numFmtId="0" fontId="28" fillId="0" borderId="3" xfId="0" applyFont="1" applyBorder="1"/>
    <xf numFmtId="1" fontId="17" fillId="0" borderId="6" xfId="0" applyNumberFormat="1" applyFont="1" applyBorder="1"/>
    <xf numFmtId="0" fontId="16" fillId="0" borderId="0" xfId="0" applyFont="1" applyBorder="1"/>
    <xf numFmtId="0" fontId="17" fillId="0" borderId="0" xfId="0" applyFont="1" applyBorder="1"/>
    <xf numFmtId="1" fontId="17" fillId="0" borderId="0" xfId="0" applyNumberFormat="1" applyFont="1" applyBorder="1"/>
    <xf numFmtId="185" fontId="32" fillId="0" borderId="0" xfId="0" applyNumberFormat="1" applyFont="1"/>
    <xf numFmtId="0" fontId="52" fillId="0" borderId="0" xfId="0" applyFont="1"/>
    <xf numFmtId="183" fontId="16" fillId="0" borderId="0" xfId="0" applyNumberFormat="1" applyFont="1"/>
    <xf numFmtId="181" fontId="17" fillId="0" borderId="3" xfId="0" applyNumberFormat="1" applyFont="1" applyBorder="1"/>
    <xf numFmtId="181" fontId="26" fillId="0" borderId="0" xfId="0" applyNumberFormat="1" applyFont="1"/>
    <xf numFmtId="1" fontId="17" fillId="0" borderId="0" xfId="0" applyNumberFormat="1" applyFont="1" applyAlignment="1">
      <alignment horizontal="right"/>
    </xf>
    <xf numFmtId="1" fontId="53" fillId="0" borderId="0" xfId="0" applyNumberFormat="1" applyFont="1"/>
    <xf numFmtId="0" fontId="16" fillId="3" borderId="0" xfId="0" applyFont="1" applyFill="1"/>
    <xf numFmtId="0" fontId="16" fillId="0" borderId="0" xfId="0" applyFont="1" applyFill="1"/>
    <xf numFmtId="1" fontId="28" fillId="0" borderId="3" xfId="0" applyNumberFormat="1" applyFont="1" applyBorder="1"/>
    <xf numFmtId="0" fontId="26" fillId="0" borderId="0" xfId="0" applyFont="1" applyBorder="1"/>
    <xf numFmtId="0" fontId="26" fillId="0" borderId="0" xfId="0" applyFont="1" applyAlignment="1">
      <alignment horizontal="right"/>
    </xf>
    <xf numFmtId="0" fontId="26" fillId="0" borderId="0" xfId="0" applyFont="1" applyFill="1"/>
    <xf numFmtId="181" fontId="32" fillId="0" borderId="0" xfId="0" applyNumberFormat="1" applyFont="1"/>
    <xf numFmtId="2" fontId="28" fillId="0" borderId="3" xfId="0" applyNumberFormat="1" applyFont="1" applyBorder="1"/>
    <xf numFmtId="2" fontId="17" fillId="0" borderId="3" xfId="0" applyNumberFormat="1" applyFont="1" applyBorder="1"/>
    <xf numFmtId="0" fontId="32" fillId="0" borderId="0" xfId="0" applyFont="1" applyAlignment="1">
      <alignment horizontal="right"/>
    </xf>
    <xf numFmtId="183" fontId="26" fillId="0" borderId="0" xfId="0" applyNumberFormat="1" applyFont="1"/>
    <xf numFmtId="183" fontId="32" fillId="3" borderId="0" xfId="0" applyNumberFormat="1" applyFont="1" applyFill="1"/>
    <xf numFmtId="0" fontId="54" fillId="0" borderId="0" xfId="0" applyFont="1"/>
    <xf numFmtId="0" fontId="54" fillId="0" borderId="0" xfId="0" applyFont="1" applyAlignment="1"/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26" fillId="3" borderId="8" xfId="0" applyFont="1" applyFill="1" applyBorder="1" applyAlignment="1">
      <alignment horizontal="center" vertical="center" wrapText="1"/>
    </xf>
    <xf numFmtId="0" fontId="26" fillId="3" borderId="9" xfId="0" applyFont="1" applyFill="1" applyBorder="1" applyAlignment="1">
      <alignment horizontal="center" vertical="center" wrapText="1"/>
    </xf>
    <xf numFmtId="0" fontId="26" fillId="3" borderId="10" xfId="0" applyFont="1" applyFill="1" applyBorder="1" applyAlignment="1">
      <alignment horizontal="center" vertical="center" wrapText="1"/>
    </xf>
    <xf numFmtId="0" fontId="26" fillId="3" borderId="11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left" vertical="center"/>
    </xf>
    <xf numFmtId="0" fontId="16" fillId="0" borderId="2" xfId="0" applyFont="1" applyBorder="1" applyAlignment="1">
      <alignment horizontal="center"/>
    </xf>
  </cellXfs>
  <cellStyles count="33">
    <cellStyle name="??" xfId="1"/>
    <cellStyle name="?? [0.00]_PRODUCT DETAIL Q1" xfId="2"/>
    <cellStyle name="?? [0]" xfId="3"/>
    <cellStyle name="???? [0.00]_PRODUCT DETAIL Q1" xfId="4"/>
    <cellStyle name="????_PRODUCT DETAIL Q1" xfId="5"/>
    <cellStyle name="???_HOBONG" xfId="6"/>
    <cellStyle name="??_(????)??????" xfId="7"/>
    <cellStyle name="??_kc-elec system check list" xfId="8"/>
    <cellStyle name="¹éºÐÀ²_      " xfId="9"/>
    <cellStyle name="ÅëÈ­ [0]_      " xfId="10"/>
    <cellStyle name="ÅëÈ­_      " xfId="11"/>
    <cellStyle name="ÄÞ¸¶ [0]_      " xfId="12"/>
    <cellStyle name="ÄÞ¸¶_      " xfId="13"/>
    <cellStyle name="Ç¥ÁØ_      " xfId="14"/>
    <cellStyle name="category" xfId="15"/>
    <cellStyle name="Comma" xfId="16" builtinId="3"/>
    <cellStyle name="Comma0" xfId="17"/>
    <cellStyle name="Currency0" xfId="18"/>
    <cellStyle name="Date" xfId="19"/>
    <cellStyle name="Fixed" xfId="20"/>
    <cellStyle name="Grey" xfId="21"/>
    <cellStyle name="HEADER" xfId="22"/>
    <cellStyle name="Header1" xfId="23"/>
    <cellStyle name="Header2" xfId="24"/>
    <cellStyle name="Heading 1" xfId="25" builtinId="16" customBuiltin="1"/>
    <cellStyle name="Heading 2" xfId="26" builtinId="17" customBuiltin="1"/>
    <cellStyle name="Input [yellow]" xfId="27"/>
    <cellStyle name="Model" xfId="28"/>
    <cellStyle name="Normal" xfId="0" builtinId="0"/>
    <cellStyle name="Normal - Style1" xfId="29"/>
    <cellStyle name="Percent [2]" xfId="30"/>
    <cellStyle name="subhead" xfId="31"/>
    <cellStyle name="Total" xfId="3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4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57</xdr:row>
          <xdr:rowOff>133350</xdr:rowOff>
        </xdr:from>
        <xdr:to>
          <xdr:col>5</xdr:col>
          <xdr:colOff>2019300</xdr:colOff>
          <xdr:row>64</xdr:row>
          <xdr:rowOff>95250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895350</xdr:colOff>
          <xdr:row>3</xdr:row>
          <xdr:rowOff>171450</xdr:rowOff>
        </xdr:from>
        <xdr:to>
          <xdr:col>5</xdr:col>
          <xdr:colOff>1295400</xdr:colOff>
          <xdr:row>11</xdr:row>
          <xdr:rowOff>95250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895350</xdr:colOff>
          <xdr:row>3</xdr:row>
          <xdr:rowOff>171450</xdr:rowOff>
        </xdr:from>
        <xdr:to>
          <xdr:col>5</xdr:col>
          <xdr:colOff>1295400</xdr:colOff>
          <xdr:row>11</xdr:row>
          <xdr:rowOff>95250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57</xdr:row>
          <xdr:rowOff>161925</xdr:rowOff>
        </xdr:from>
        <xdr:to>
          <xdr:col>5</xdr:col>
          <xdr:colOff>1409700</xdr:colOff>
          <xdr:row>63</xdr:row>
          <xdr:rowOff>200025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895350</xdr:colOff>
          <xdr:row>3</xdr:row>
          <xdr:rowOff>171450</xdr:rowOff>
        </xdr:from>
        <xdr:to>
          <xdr:col>5</xdr:col>
          <xdr:colOff>1295400</xdr:colOff>
          <xdr:row>11</xdr:row>
          <xdr:rowOff>95250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57</xdr:row>
          <xdr:rowOff>161925</xdr:rowOff>
        </xdr:from>
        <xdr:to>
          <xdr:col>5</xdr:col>
          <xdr:colOff>1409700</xdr:colOff>
          <xdr:row>63</xdr:row>
          <xdr:rowOff>200025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895350</xdr:colOff>
          <xdr:row>3</xdr:row>
          <xdr:rowOff>171450</xdr:rowOff>
        </xdr:from>
        <xdr:to>
          <xdr:col>5</xdr:col>
          <xdr:colOff>1295400</xdr:colOff>
          <xdr:row>11</xdr:row>
          <xdr:rowOff>95250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125</xdr:row>
          <xdr:rowOff>123825</xdr:rowOff>
        </xdr:from>
        <xdr:to>
          <xdr:col>6</xdr:col>
          <xdr:colOff>1228725</xdr:colOff>
          <xdr:row>134</xdr:row>
          <xdr:rowOff>66675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</xdr:row>
          <xdr:rowOff>161925</xdr:rowOff>
        </xdr:from>
        <xdr:to>
          <xdr:col>5</xdr:col>
          <xdr:colOff>1390650</xdr:colOff>
          <xdr:row>81</xdr:row>
          <xdr:rowOff>200025</xdr:rowOff>
        </xdr:to>
        <xdr:sp macro="" textlink="">
          <xdr:nvSpPr>
            <xdr:cNvPr id="4105" name="Object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1009650</xdr:colOff>
          <xdr:row>4</xdr:row>
          <xdr:rowOff>133350</xdr:rowOff>
        </xdr:from>
        <xdr:to>
          <xdr:col>6</xdr:col>
          <xdr:colOff>638175</xdr:colOff>
          <xdr:row>16</xdr:row>
          <xdr:rowOff>76200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127</xdr:row>
          <xdr:rowOff>123825</xdr:rowOff>
        </xdr:from>
        <xdr:to>
          <xdr:col>6</xdr:col>
          <xdr:colOff>1228725</xdr:colOff>
          <xdr:row>136</xdr:row>
          <xdr:rowOff>66675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</xdr:row>
          <xdr:rowOff>161925</xdr:rowOff>
        </xdr:from>
        <xdr:to>
          <xdr:col>5</xdr:col>
          <xdr:colOff>1390650</xdr:colOff>
          <xdr:row>84</xdr:row>
          <xdr:rowOff>200025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44</xdr:row>
          <xdr:rowOff>28575</xdr:rowOff>
        </xdr:from>
        <xdr:to>
          <xdr:col>5</xdr:col>
          <xdr:colOff>504825</xdr:colOff>
          <xdr:row>50</xdr:row>
          <xdr:rowOff>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7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3.emf"/><Relationship Id="rId5" Type="http://schemas.openxmlformats.org/officeDocument/2006/relationships/oleObject" Target="../embeddings/oleObject4.bin"/><Relationship Id="rId4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7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3.emf"/><Relationship Id="rId5" Type="http://schemas.openxmlformats.org/officeDocument/2006/relationships/oleObject" Target="../embeddings/oleObject6.bin"/><Relationship Id="rId4" Type="http://schemas.openxmlformats.org/officeDocument/2006/relationships/image" Target="../media/image2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4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2.emf"/><Relationship Id="rId10" Type="http://schemas.openxmlformats.org/officeDocument/2006/relationships/comments" Target="../comments4.xml"/><Relationship Id="rId4" Type="http://schemas.openxmlformats.org/officeDocument/2006/relationships/oleObject" Target="../embeddings/oleObject7.bin"/><Relationship Id="rId9" Type="http://schemas.openxmlformats.org/officeDocument/2006/relationships/image" Target="../media/image3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3" Type="http://schemas.openxmlformats.org/officeDocument/2006/relationships/vmlDrawing" Target="../drawings/vmlDrawing5.vml"/><Relationship Id="rId7" Type="http://schemas.openxmlformats.org/officeDocument/2006/relationships/image" Target="../media/image4.emf"/><Relationship Id="rId12" Type="http://schemas.openxmlformats.org/officeDocument/2006/relationships/comments" Target="../comments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1.bin"/><Relationship Id="rId11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oleObject" Target="../embeddings/oleObject13.bin"/><Relationship Id="rId4" Type="http://schemas.openxmlformats.org/officeDocument/2006/relationships/oleObject" Target="../embeddings/oleObject10.bin"/><Relationship Id="rId9" Type="http://schemas.openxmlformats.org/officeDocument/2006/relationships/image" Target="../media/image3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4"/>
  <sheetViews>
    <sheetView tabSelected="1" topLeftCell="A87" zoomScale="85" zoomScaleNormal="85" workbookViewId="0">
      <selection activeCell="H100" sqref="H100"/>
    </sheetView>
  </sheetViews>
  <sheetFormatPr defaultRowHeight="17.100000000000001" customHeight="1"/>
  <cols>
    <col min="1" max="1" width="7.7109375" style="3" customWidth="1"/>
    <col min="2" max="2" width="23.140625" style="3" customWidth="1"/>
    <col min="3" max="3" width="20.42578125" style="3" customWidth="1"/>
    <col min="4" max="4" width="16" style="3" customWidth="1"/>
    <col min="5" max="5" width="27.7109375" style="3" customWidth="1"/>
    <col min="6" max="6" width="31.140625" style="3" customWidth="1"/>
    <col min="7" max="7" width="18.85546875" style="3" customWidth="1"/>
    <col min="8" max="8" width="30.7109375" style="3" customWidth="1"/>
    <col min="9" max="9" width="26.5703125" style="3" customWidth="1"/>
    <col min="10" max="10" width="13.42578125" style="3" customWidth="1"/>
    <col min="11" max="11" width="9.140625" style="3"/>
    <col min="12" max="12" width="17.140625" style="3" bestFit="1" customWidth="1"/>
    <col min="13" max="13" width="19.28515625" style="3" bestFit="1" customWidth="1"/>
    <col min="14" max="16384" width="9.140625" style="3"/>
  </cols>
  <sheetData>
    <row r="1" spans="1:7" ht="17.100000000000001" customHeight="1">
      <c r="C1" s="3" t="s">
        <v>186</v>
      </c>
    </row>
    <row r="2" spans="1:7" ht="20.100000000000001" customHeight="1">
      <c r="C2" s="3" t="s">
        <v>58</v>
      </c>
    </row>
    <row r="3" spans="1:7" ht="17.100000000000001" customHeight="1">
      <c r="A3" s="20"/>
    </row>
    <row r="4" spans="1:7" ht="17.100000000000001" customHeight="1">
      <c r="A4" s="20"/>
    </row>
    <row r="5" spans="1:7" ht="27.95" customHeight="1">
      <c r="B5" s="45"/>
      <c r="C5" s="56"/>
      <c r="D5" s="10"/>
    </row>
    <row r="6" spans="1:7" ht="27.95" customHeight="1">
      <c r="B6" s="45"/>
      <c r="C6" s="56"/>
      <c r="D6" s="10"/>
    </row>
    <row r="7" spans="1:7" ht="27.95" customHeight="1">
      <c r="B7" s="45"/>
      <c r="C7" s="56"/>
      <c r="E7" s="32"/>
    </row>
    <row r="8" spans="1:7" ht="27.95" customHeight="1">
      <c r="B8" s="45"/>
      <c r="C8" s="56"/>
      <c r="D8" s="16"/>
    </row>
    <row r="9" spans="1:7" ht="27.95" customHeight="1">
      <c r="B9" s="45"/>
      <c r="C9" s="56"/>
      <c r="D9" s="37"/>
    </row>
    <row r="10" spans="1:7" ht="27.95" customHeight="1">
      <c r="B10" s="11"/>
      <c r="D10" s="37"/>
      <c r="G10" s="3">
        <f>12000-1400</f>
        <v>10600</v>
      </c>
    </row>
    <row r="11" spans="1:7" ht="27.95" customHeight="1">
      <c r="B11" s="11"/>
      <c r="D11" s="37"/>
      <c r="G11" s="3">
        <f>10000-1400</f>
        <v>8600</v>
      </c>
    </row>
    <row r="12" spans="1:7" ht="27.95" customHeight="1">
      <c r="B12" s="11"/>
      <c r="D12" s="37"/>
    </row>
    <row r="13" spans="1:7" ht="21">
      <c r="A13" s="3" t="s">
        <v>99</v>
      </c>
      <c r="E13" s="5">
        <v>880</v>
      </c>
      <c r="F13" s="3" t="s">
        <v>61</v>
      </c>
    </row>
    <row r="14" spans="1:7" ht="21">
      <c r="A14" s="3" t="s">
        <v>115</v>
      </c>
      <c r="E14" s="39">
        <f>E13/700</f>
        <v>1.2571428571428571</v>
      </c>
      <c r="F14" s="3" t="s">
        <v>61</v>
      </c>
    </row>
    <row r="15" spans="1:7" ht="21">
      <c r="A15" s="3" t="s">
        <v>207</v>
      </c>
      <c r="E15" s="39"/>
      <c r="F15" s="3">
        <v>50</v>
      </c>
      <c r="G15" s="3" t="s">
        <v>208</v>
      </c>
    </row>
    <row r="16" spans="1:7" ht="22.5">
      <c r="A16" s="3" t="s">
        <v>116</v>
      </c>
      <c r="E16" s="39"/>
    </row>
    <row r="17" spans="1:11" ht="23.25">
      <c r="A17" s="3" t="s">
        <v>150</v>
      </c>
      <c r="E17" s="9">
        <f>2.1*10^6</f>
        <v>2100000</v>
      </c>
      <c r="F17" s="3" t="s">
        <v>151</v>
      </c>
      <c r="G17" s="3" t="s">
        <v>140</v>
      </c>
    </row>
    <row r="18" spans="1:11" ht="23.25">
      <c r="A18" s="3" t="s">
        <v>149</v>
      </c>
      <c r="E18" s="9">
        <v>1600</v>
      </c>
      <c r="F18" s="3" t="s">
        <v>151</v>
      </c>
      <c r="G18" s="3" t="s">
        <v>140</v>
      </c>
    </row>
    <row r="19" spans="1:11" ht="21">
      <c r="A19" s="3" t="s">
        <v>117</v>
      </c>
    </row>
    <row r="20" spans="1:11" ht="21">
      <c r="A20" s="3" t="s">
        <v>280</v>
      </c>
    </row>
    <row r="21" spans="1:11" ht="20.100000000000001" customHeight="1">
      <c r="A21" s="5"/>
      <c r="F21" s="7"/>
      <c r="G21" s="5"/>
      <c r="H21" s="4"/>
      <c r="J21" s="53"/>
      <c r="K21" s="54"/>
    </row>
    <row r="22" spans="1:11" ht="24.95" customHeight="1">
      <c r="F22" s="76" t="s">
        <v>225</v>
      </c>
      <c r="G22" s="77"/>
      <c r="I22" s="78"/>
      <c r="J22" s="78"/>
    </row>
    <row r="23" spans="1:11" ht="20.100000000000001" customHeight="1">
      <c r="A23" s="5"/>
      <c r="F23" s="17" t="s">
        <v>94</v>
      </c>
      <c r="G23" s="18">
        <f>215300000/10000</f>
        <v>21530</v>
      </c>
      <c r="I23" s="53"/>
      <c r="J23" s="54"/>
    </row>
    <row r="24" spans="1:11" ht="20.100000000000001" customHeight="1">
      <c r="F24" s="17" t="s">
        <v>95</v>
      </c>
      <c r="G24" s="58">
        <f>14395000/10000</f>
        <v>1439.5</v>
      </c>
      <c r="H24" s="6"/>
      <c r="I24" s="53"/>
      <c r="J24" s="54"/>
    </row>
    <row r="25" spans="1:11" ht="20.100000000000001" customHeight="1">
      <c r="F25" s="17" t="s">
        <v>96</v>
      </c>
      <c r="G25" s="58">
        <f>209.7/10</f>
        <v>20.97</v>
      </c>
      <c r="I25" s="53"/>
      <c r="J25" s="54"/>
    </row>
    <row r="26" spans="1:11" ht="20.100000000000001" customHeight="1">
      <c r="F26" s="17" t="s">
        <v>224</v>
      </c>
      <c r="G26" s="58">
        <f>G25</f>
        <v>20.97</v>
      </c>
      <c r="H26" s="32">
        <v>10</v>
      </c>
      <c r="I26" s="53"/>
      <c r="J26" s="54"/>
    </row>
    <row r="27" spans="1:11" ht="20.100000000000001" customHeight="1">
      <c r="F27" s="17" t="s">
        <v>97</v>
      </c>
      <c r="G27" s="70">
        <f>7832/100</f>
        <v>78.319999999999993</v>
      </c>
      <c r="I27" s="53"/>
      <c r="J27" s="54"/>
    </row>
    <row r="28" spans="1:11" ht="27.75" customHeight="1">
      <c r="C28" s="3" t="s">
        <v>57</v>
      </c>
      <c r="E28" s="6"/>
    </row>
    <row r="29" spans="1:11" ht="21">
      <c r="A29" s="3" t="s">
        <v>104</v>
      </c>
      <c r="E29" s="6"/>
    </row>
    <row r="30" spans="1:11" s="20" customFormat="1" ht="18.75">
      <c r="B30" s="20" t="s">
        <v>105</v>
      </c>
      <c r="H30" s="30"/>
      <c r="I30" s="22"/>
      <c r="J30" s="22"/>
      <c r="K30" s="22"/>
    </row>
    <row r="31" spans="1:11" s="20" customFormat="1" ht="18.75">
      <c r="A31" s="20" t="s">
        <v>120</v>
      </c>
      <c r="H31" s="31"/>
      <c r="I31" s="22"/>
      <c r="J31" s="22"/>
      <c r="K31" s="22"/>
    </row>
    <row r="32" spans="1:11" s="20" customFormat="1" ht="18.75">
      <c r="B32" s="27" t="s">
        <v>161</v>
      </c>
      <c r="E32" s="20" t="s">
        <v>146</v>
      </c>
      <c r="H32" s="31"/>
      <c r="I32" s="22"/>
      <c r="J32" s="22"/>
      <c r="K32" s="22"/>
    </row>
    <row r="33" spans="1:11" s="20" customFormat="1" ht="18.75">
      <c r="B33" s="27" t="s">
        <v>162</v>
      </c>
      <c r="E33" s="20" t="s">
        <v>146</v>
      </c>
      <c r="H33" s="31"/>
      <c r="I33" s="22"/>
      <c r="J33" s="22"/>
      <c r="K33" s="22"/>
    </row>
    <row r="34" spans="1:11" s="20" customFormat="1" ht="20.25">
      <c r="A34" s="20" t="s">
        <v>119</v>
      </c>
      <c r="E34" s="20" t="s">
        <v>0</v>
      </c>
      <c r="F34" s="59">
        <f>G27</f>
        <v>78.319999999999993</v>
      </c>
      <c r="G34" s="20" t="s">
        <v>121</v>
      </c>
      <c r="H34" s="31"/>
      <c r="I34" s="22"/>
      <c r="J34" s="22"/>
      <c r="K34" s="22"/>
    </row>
    <row r="35" spans="1:11" s="20" customFormat="1" ht="18.75">
      <c r="A35" s="20" t="s">
        <v>122</v>
      </c>
      <c r="B35" s="30"/>
      <c r="E35" s="20" t="s">
        <v>123</v>
      </c>
      <c r="F35" s="30">
        <f>E13</f>
        <v>880</v>
      </c>
      <c r="G35" s="30" t="s">
        <v>61</v>
      </c>
      <c r="H35" s="31"/>
      <c r="I35" s="22"/>
      <c r="J35" s="22"/>
      <c r="K35" s="22"/>
    </row>
    <row r="36" spans="1:11" s="20" customFormat="1" ht="18.75">
      <c r="A36" s="20" t="s">
        <v>124</v>
      </c>
      <c r="B36" s="30"/>
      <c r="E36" s="20" t="s">
        <v>125</v>
      </c>
      <c r="F36" s="30">
        <f>(3.2+0.5)*1000</f>
        <v>3700</v>
      </c>
      <c r="G36" s="20" t="s">
        <v>126</v>
      </c>
      <c r="H36" s="31"/>
      <c r="I36" s="22"/>
      <c r="J36" s="22"/>
      <c r="K36" s="22"/>
    </row>
    <row r="37" spans="1:11" s="20" customFormat="1" ht="18.75">
      <c r="A37" s="20" t="s">
        <v>127</v>
      </c>
      <c r="B37" s="30"/>
      <c r="E37" s="20" t="s">
        <v>128</v>
      </c>
      <c r="F37" s="38">
        <f>F34*0.000001*7850</f>
        <v>0.61481199999999991</v>
      </c>
      <c r="G37" s="20" t="s">
        <v>129</v>
      </c>
      <c r="H37" s="31">
        <f>F37*890</f>
        <v>547.18267999999989</v>
      </c>
      <c r="I37" s="22"/>
      <c r="J37" s="22"/>
      <c r="K37" s="22"/>
    </row>
    <row r="38" spans="1:11" s="20" customFormat="1" ht="20.25">
      <c r="A38" s="20" t="s">
        <v>130</v>
      </c>
      <c r="B38" s="30"/>
      <c r="E38" s="20" t="s">
        <v>131</v>
      </c>
      <c r="F38" s="30">
        <f>G23</f>
        <v>21530</v>
      </c>
      <c r="G38" s="20" t="s">
        <v>132</v>
      </c>
      <c r="H38" s="31"/>
      <c r="I38" s="22"/>
      <c r="J38" s="22"/>
      <c r="K38" s="22"/>
    </row>
    <row r="39" spans="1:11" s="20" customFormat="1" ht="20.25">
      <c r="A39" s="20" t="s">
        <v>133</v>
      </c>
      <c r="B39" s="30"/>
      <c r="E39" s="20" t="s">
        <v>134</v>
      </c>
      <c r="F39" s="59">
        <f>F38/G26</f>
        <v>1026.7048164043872</v>
      </c>
      <c r="G39" s="20" t="s">
        <v>135</v>
      </c>
      <c r="H39" s="31"/>
      <c r="I39" s="22"/>
      <c r="J39" s="22"/>
      <c r="K39" s="22"/>
    </row>
    <row r="40" spans="1:11" s="20" customFormat="1" ht="20.25">
      <c r="A40" s="20" t="s">
        <v>136</v>
      </c>
      <c r="B40" s="30"/>
      <c r="E40" s="20" t="s">
        <v>138</v>
      </c>
      <c r="F40" s="59">
        <f>G24</f>
        <v>1439.5</v>
      </c>
      <c r="G40" s="20" t="s">
        <v>132</v>
      </c>
      <c r="H40" s="31"/>
      <c r="I40" s="22"/>
      <c r="J40" s="22"/>
      <c r="K40" s="22"/>
    </row>
    <row r="41" spans="1:11" s="20" customFormat="1" ht="20.25">
      <c r="A41" s="20" t="s">
        <v>137</v>
      </c>
      <c r="B41" s="30"/>
      <c r="E41" s="20" t="s">
        <v>139</v>
      </c>
      <c r="F41" s="59">
        <f>F40/H26</f>
        <v>143.94999999999999</v>
      </c>
      <c r="G41" s="20" t="s">
        <v>135</v>
      </c>
      <c r="H41" s="31"/>
      <c r="I41" s="22"/>
      <c r="J41" s="22"/>
      <c r="K41" s="22"/>
    </row>
    <row r="42" spans="1:11" s="20" customFormat="1" ht="20.25">
      <c r="A42" s="20" t="s">
        <v>107</v>
      </c>
      <c r="B42" s="30"/>
      <c r="E42" s="20" t="s">
        <v>141</v>
      </c>
      <c r="F42" s="59">
        <f>F37*F35^2/8</f>
        <v>59513.801599999992</v>
      </c>
      <c r="G42" s="20" t="s">
        <v>64</v>
      </c>
      <c r="H42" s="31"/>
      <c r="I42" s="22"/>
      <c r="J42" s="22"/>
      <c r="K42" s="22"/>
    </row>
    <row r="43" spans="1:11" s="20" customFormat="1" ht="18.75">
      <c r="A43" s="20" t="s">
        <v>108</v>
      </c>
      <c r="E43" s="20" t="s">
        <v>142</v>
      </c>
      <c r="F43" s="20">
        <f>F36*F35/4</f>
        <v>814000</v>
      </c>
      <c r="G43" s="20" t="s">
        <v>64</v>
      </c>
      <c r="H43" s="30"/>
      <c r="I43" s="22"/>
      <c r="J43" s="22"/>
      <c r="K43" s="22"/>
    </row>
    <row r="44" spans="1:11" s="20" customFormat="1" ht="18.75">
      <c r="A44" s="20" t="s">
        <v>109</v>
      </c>
      <c r="E44" s="20" t="s">
        <v>143</v>
      </c>
      <c r="F44" s="59">
        <f>1.05*(F42+1.25*F43)</f>
        <v>1130864.49168</v>
      </c>
      <c r="G44" s="20" t="s">
        <v>64</v>
      </c>
      <c r="H44" s="30"/>
      <c r="I44" s="22"/>
      <c r="J44" s="22"/>
      <c r="K44" s="22"/>
    </row>
    <row r="45" spans="1:11" s="20" customFormat="1" ht="18.75">
      <c r="A45" s="20" t="s">
        <v>110</v>
      </c>
      <c r="E45" s="20" t="s">
        <v>144</v>
      </c>
      <c r="F45" s="59">
        <f>0.05*(F42+F43)</f>
        <v>43675.69008</v>
      </c>
      <c r="G45" s="20" t="s">
        <v>64</v>
      </c>
      <c r="H45" s="30"/>
      <c r="I45" s="22"/>
      <c r="J45" s="22"/>
      <c r="K45" s="22"/>
    </row>
    <row r="46" spans="1:11" s="20" customFormat="1" ht="20.25">
      <c r="A46" s="20" t="s">
        <v>112</v>
      </c>
      <c r="E46" s="24" t="s">
        <v>145</v>
      </c>
      <c r="F46" s="59">
        <f>F44/F39+F45/F41</f>
        <v>1404.8592129786302</v>
      </c>
      <c r="G46" s="20" t="s">
        <v>69</v>
      </c>
      <c r="H46" s="30"/>
      <c r="I46" s="22"/>
      <c r="J46" s="22"/>
      <c r="K46" s="22"/>
    </row>
    <row r="47" spans="1:11" s="20" customFormat="1" ht="18.75">
      <c r="A47" s="20" t="s">
        <v>147</v>
      </c>
      <c r="E47" s="40" t="s">
        <v>148</v>
      </c>
      <c r="F47" s="73">
        <f>ROUND((E18/F46),2)</f>
        <v>1.1399999999999999</v>
      </c>
      <c r="H47" s="30"/>
      <c r="I47" s="22"/>
      <c r="J47" s="22"/>
      <c r="K47" s="22"/>
    </row>
    <row r="48" spans="1:11" s="20" customFormat="1" ht="18.75" customHeight="1">
      <c r="A48" s="79" t="s">
        <v>155</v>
      </c>
      <c r="B48" s="80"/>
      <c r="C48" s="47" t="s">
        <v>202</v>
      </c>
      <c r="F48" s="25" t="str">
        <f>IF(F46&lt;E18,"ÑAÏT","KHOÂNGÑAÏT")</f>
        <v>ÑAÏT</v>
      </c>
      <c r="H48" s="30"/>
      <c r="I48" s="22"/>
      <c r="J48" s="22"/>
      <c r="K48" s="22"/>
    </row>
    <row r="49" spans="1:11" s="20" customFormat="1" ht="18.75">
      <c r="A49" s="81"/>
      <c r="B49" s="82"/>
      <c r="C49" s="27"/>
      <c r="H49" s="30"/>
      <c r="I49" s="22"/>
      <c r="J49" s="22"/>
      <c r="K49" s="22"/>
    </row>
    <row r="50" spans="1:11" s="20" customFormat="1" ht="18.75">
      <c r="A50" s="20" t="s">
        <v>113</v>
      </c>
      <c r="B50" s="27"/>
      <c r="H50" s="30"/>
      <c r="I50" s="22"/>
      <c r="J50" s="22"/>
      <c r="K50" s="22"/>
    </row>
    <row r="51" spans="1:11" s="20" customFormat="1" ht="20.25">
      <c r="A51" s="20" t="s">
        <v>152</v>
      </c>
      <c r="B51" s="20" t="s">
        <v>153</v>
      </c>
      <c r="F51" s="41">
        <f>F36*F35^3/(48*E17*F38)+5*F37*F35^4/(384*E17*F38)</f>
        <v>1.2680183427126417</v>
      </c>
      <c r="G51" s="20" t="s">
        <v>61</v>
      </c>
      <c r="H51" s="30"/>
      <c r="I51" s="22"/>
      <c r="J51" s="22"/>
      <c r="K51" s="22"/>
    </row>
    <row r="52" spans="1:11" s="20" customFormat="1" ht="18.75">
      <c r="B52" s="20" t="s">
        <v>154</v>
      </c>
      <c r="E52" s="24"/>
      <c r="F52" s="42">
        <f>ROUND((E14/F51),2)</f>
        <v>0.99</v>
      </c>
      <c r="I52" s="22"/>
      <c r="J52" s="22"/>
      <c r="K52" s="22"/>
    </row>
    <row r="53" spans="1:11" s="20" customFormat="1" ht="18.75" customHeight="1">
      <c r="A53" s="79" t="s">
        <v>155</v>
      </c>
      <c r="B53" s="80"/>
      <c r="D53" s="20" t="s">
        <v>157</v>
      </c>
    </row>
    <row r="54" spans="1:11" s="20" customFormat="1" ht="18.75">
      <c r="A54" s="81"/>
      <c r="B54" s="82"/>
      <c r="D54" s="20" t="s">
        <v>156</v>
      </c>
      <c r="G54" s="25"/>
      <c r="H54" s="26"/>
    </row>
    <row r="55" spans="1:11" s="20" customFormat="1" ht="18.75">
      <c r="D55" s="20" t="s">
        <v>179</v>
      </c>
      <c r="F55" s="27"/>
      <c r="G55" s="25"/>
      <c r="H55" s="28"/>
      <c r="I55" s="25"/>
    </row>
    <row r="56" spans="1:11" s="20" customFormat="1" ht="18.75">
      <c r="F56" s="27"/>
      <c r="G56" s="25"/>
      <c r="H56" s="28"/>
      <c r="I56" s="25"/>
    </row>
    <row r="57" spans="1:11" s="20" customFormat="1" ht="24.75">
      <c r="C57" s="21" t="s">
        <v>204</v>
      </c>
      <c r="G57" s="25"/>
      <c r="H57" s="28"/>
      <c r="I57" s="25"/>
    </row>
    <row r="58" spans="1:11" s="20" customFormat="1" ht="24.75">
      <c r="C58" s="21"/>
      <c r="G58" s="25"/>
      <c r="H58" s="28"/>
      <c r="I58" s="25"/>
    </row>
    <row r="59" spans="1:11" s="20" customFormat="1" ht="24.75">
      <c r="C59" s="21"/>
      <c r="G59" s="25"/>
      <c r="H59" s="28"/>
      <c r="I59" s="25"/>
    </row>
    <row r="60" spans="1:11" s="20" customFormat="1" ht="24.75">
      <c r="C60" s="21"/>
      <c r="G60" s="25"/>
      <c r="H60" s="28"/>
      <c r="I60" s="25"/>
    </row>
    <row r="61" spans="1:11" s="20" customFormat="1" ht="24.75">
      <c r="C61" s="21"/>
      <c r="G61" s="25"/>
      <c r="H61" s="28"/>
      <c r="I61" s="25"/>
    </row>
    <row r="62" spans="1:11" s="20" customFormat="1" ht="24.75">
      <c r="C62" s="21"/>
      <c r="G62" s="25"/>
      <c r="H62" s="28"/>
      <c r="I62" s="25"/>
    </row>
    <row r="63" spans="1:11" s="20" customFormat="1" ht="24.75">
      <c r="C63" s="21"/>
      <c r="G63" s="25"/>
      <c r="H63" s="28"/>
      <c r="I63" s="25"/>
    </row>
    <row r="64" spans="1:11" s="20" customFormat="1" ht="24.75">
      <c r="C64" s="21"/>
      <c r="G64" s="25"/>
      <c r="H64" s="28"/>
      <c r="I64" s="25"/>
    </row>
    <row r="65" spans="1:9" s="20" customFormat="1" ht="24.75">
      <c r="C65" s="21"/>
      <c r="G65" s="25"/>
      <c r="H65" s="28"/>
      <c r="I65" s="25"/>
    </row>
    <row r="66" spans="1:9" s="20" customFormat="1" ht="24.75">
      <c r="A66" s="3" t="s">
        <v>198</v>
      </c>
      <c r="B66" s="3"/>
      <c r="C66" s="21"/>
      <c r="G66" s="25"/>
      <c r="H66" s="28"/>
      <c r="I66" s="25"/>
    </row>
    <row r="67" spans="1:9" s="20" customFormat="1" ht="24.75">
      <c r="A67" s="3" t="s">
        <v>73</v>
      </c>
      <c r="B67" s="5">
        <v>260</v>
      </c>
      <c r="C67" s="21"/>
      <c r="D67" s="65"/>
      <c r="E67" s="76" t="s">
        <v>225</v>
      </c>
      <c r="F67" s="77"/>
      <c r="G67" s="25"/>
    </row>
    <row r="68" spans="1:9" s="20" customFormat="1" ht="24.75">
      <c r="A68" s="3" t="s">
        <v>92</v>
      </c>
      <c r="B68" s="5">
        <v>6</v>
      </c>
      <c r="C68" s="21"/>
      <c r="D68" s="65"/>
      <c r="E68" s="17" t="s">
        <v>94</v>
      </c>
      <c r="F68" s="18">
        <f>117960000/10000</f>
        <v>11796</v>
      </c>
      <c r="G68" s="25"/>
    </row>
    <row r="69" spans="1:9" s="20" customFormat="1" ht="24.75">
      <c r="A69" s="3" t="s">
        <v>93</v>
      </c>
      <c r="B69" s="3">
        <v>246</v>
      </c>
      <c r="C69" s="21"/>
      <c r="D69" s="65"/>
      <c r="E69" s="17" t="s">
        <v>95</v>
      </c>
      <c r="F69" s="18">
        <f>99450000/10000</f>
        <v>9945</v>
      </c>
      <c r="G69" s="25"/>
    </row>
    <row r="70" spans="1:9" s="20" customFormat="1" ht="24.75">
      <c r="A70" s="3" t="s">
        <v>22</v>
      </c>
      <c r="B70" s="3">
        <v>320</v>
      </c>
      <c r="C70" s="21"/>
      <c r="D70" s="65"/>
      <c r="E70" s="17" t="s">
        <v>96</v>
      </c>
      <c r="F70" s="50">
        <f>160/10</f>
        <v>16</v>
      </c>
      <c r="G70" s="25"/>
    </row>
    <row r="71" spans="1:9" s="20" customFormat="1" ht="24.75">
      <c r="A71" s="3" t="s">
        <v>214</v>
      </c>
      <c r="B71" s="5">
        <v>6</v>
      </c>
      <c r="C71" s="21"/>
      <c r="D71" s="65"/>
      <c r="E71" s="17" t="s">
        <v>55</v>
      </c>
      <c r="F71" s="18">
        <f>F70</f>
        <v>16</v>
      </c>
      <c r="G71" s="25"/>
    </row>
    <row r="72" spans="1:9" s="20" customFormat="1" ht="24.75">
      <c r="A72" s="3" t="s">
        <v>215</v>
      </c>
      <c r="B72" s="5">
        <f>B70-B71*2</f>
        <v>308</v>
      </c>
      <c r="C72" s="21"/>
      <c r="D72" s="65"/>
      <c r="E72" s="17" t="s">
        <v>97</v>
      </c>
      <c r="F72" s="69">
        <f>7296/100</f>
        <v>72.959999999999994</v>
      </c>
      <c r="G72" s="25"/>
      <c r="H72" s="72"/>
    </row>
    <row r="73" spans="1:9" s="20" customFormat="1" ht="24.75">
      <c r="A73" s="20" t="s">
        <v>210</v>
      </c>
      <c r="C73" s="21"/>
      <c r="E73" s="22">
        <f>E13/7</f>
        <v>125.71428571428571</v>
      </c>
      <c r="F73" s="22">
        <f>E13/5</f>
        <v>176</v>
      </c>
      <c r="G73" s="25" t="s">
        <v>61</v>
      </c>
      <c r="H73" s="28"/>
      <c r="I73" s="25"/>
    </row>
    <row r="74" spans="1:9" s="20" customFormat="1" ht="24.75">
      <c r="C74" s="21"/>
      <c r="E74" s="22"/>
      <c r="F74" s="22">
        <v>260</v>
      </c>
      <c r="G74" s="25"/>
      <c r="H74" s="28"/>
      <c r="I74" s="25"/>
    </row>
    <row r="75" spans="1:9" s="20" customFormat="1" ht="18.75">
      <c r="A75" s="20" t="s">
        <v>206</v>
      </c>
      <c r="G75" s="25"/>
      <c r="H75" s="28"/>
      <c r="I75" s="25"/>
    </row>
    <row r="76" spans="1:9" s="20" customFormat="1" ht="18.75">
      <c r="B76" s="20" t="s">
        <v>205</v>
      </c>
      <c r="E76" s="20" t="s">
        <v>209</v>
      </c>
      <c r="F76" s="20">
        <f>F36*(E13-F15)/E13+F37*E13*1.5/2</f>
        <v>3895.5486472727275</v>
      </c>
      <c r="G76" s="25" t="s">
        <v>126</v>
      </c>
      <c r="H76" s="28"/>
      <c r="I76" s="25"/>
    </row>
    <row r="77" spans="1:9" s="20" customFormat="1" ht="18.75">
      <c r="A77" s="20" t="s">
        <v>211</v>
      </c>
      <c r="G77" s="25"/>
      <c r="H77" s="28"/>
      <c r="I77" s="25"/>
    </row>
    <row r="78" spans="1:9" s="20" customFormat="1" ht="18.75">
      <c r="A78" s="20" t="s">
        <v>220</v>
      </c>
      <c r="F78" s="20">
        <f>F76*F74/4</f>
        <v>253210.66207272728</v>
      </c>
      <c r="G78" s="25" t="s">
        <v>212</v>
      </c>
      <c r="H78" s="28"/>
      <c r="I78" s="25"/>
    </row>
    <row r="79" spans="1:9" s="20" customFormat="1" ht="18.75">
      <c r="A79" s="20" t="s">
        <v>213</v>
      </c>
      <c r="G79" s="25"/>
      <c r="H79" s="28"/>
      <c r="I79" s="25"/>
    </row>
    <row r="80" spans="1:9" s="20" customFormat="1" ht="18.75">
      <c r="A80" s="20" t="s">
        <v>216</v>
      </c>
      <c r="F80" s="20">
        <f>F68/F70</f>
        <v>737.25</v>
      </c>
      <c r="G80" s="25" t="s">
        <v>217</v>
      </c>
      <c r="H80" s="28"/>
      <c r="I80" s="25"/>
    </row>
    <row r="81" spans="1:9" s="20" customFormat="1" ht="18.75">
      <c r="A81" s="20" t="s">
        <v>218</v>
      </c>
      <c r="G81" s="25"/>
      <c r="H81" s="28"/>
      <c r="I81" s="25"/>
    </row>
    <row r="82" spans="1:9" s="20" customFormat="1" ht="18.75">
      <c r="A82" s="24" t="s">
        <v>219</v>
      </c>
      <c r="F82" s="20">
        <f>F78/F80</f>
        <v>343.45291566324488</v>
      </c>
      <c r="G82" s="25" t="s">
        <v>80</v>
      </c>
      <c r="H82" s="28"/>
      <c r="I82" s="25"/>
    </row>
    <row r="83" spans="1:9" s="20" customFormat="1" ht="23.25">
      <c r="A83" s="3" t="s">
        <v>149</v>
      </c>
      <c r="B83" s="3"/>
      <c r="C83" s="3"/>
      <c r="D83" s="3"/>
      <c r="E83" s="60" t="s">
        <v>226</v>
      </c>
      <c r="F83" s="3" t="s">
        <v>151</v>
      </c>
      <c r="G83" s="25"/>
      <c r="H83" s="28"/>
      <c r="I83" s="25"/>
    </row>
    <row r="84" spans="1:9" s="20" customFormat="1" ht="23.25">
      <c r="B84" s="3"/>
      <c r="C84" s="3" t="s">
        <v>228</v>
      </c>
      <c r="D84" s="4" t="s">
        <v>227</v>
      </c>
      <c r="E84" s="60">
        <v>800</v>
      </c>
      <c r="F84" s="3" t="s">
        <v>151</v>
      </c>
      <c r="G84" s="25"/>
      <c r="H84" s="28"/>
      <c r="I84" s="25"/>
    </row>
    <row r="85" spans="1:9" s="20" customFormat="1" ht="18.75">
      <c r="A85" s="46" t="s">
        <v>155</v>
      </c>
      <c r="B85"/>
      <c r="C85" s="47" t="s">
        <v>202</v>
      </c>
      <c r="F85" s="25" t="str">
        <f>IF(F82&lt;E84,"ÑAÏT","KHOÂNGÑAÏT")</f>
        <v>ÑAÏT</v>
      </c>
      <c r="G85" s="25"/>
      <c r="H85" s="28"/>
      <c r="I85" s="25"/>
    </row>
    <row r="86" spans="1:9" s="20" customFormat="1" ht="18.75">
      <c r="A86" s="46"/>
      <c r="B86"/>
      <c r="C86" s="47"/>
      <c r="F86" s="25">
        <f>E84/F82</f>
        <v>2.3292858016800153</v>
      </c>
      <c r="G86" s="25"/>
      <c r="H86" s="28"/>
      <c r="I86" s="25"/>
    </row>
    <row r="87" spans="1:9" s="20" customFormat="1" ht="18.75">
      <c r="A87" s="46"/>
      <c r="B87"/>
      <c r="C87" s="47"/>
      <c r="F87" s="25"/>
      <c r="G87" s="25"/>
      <c r="H87" s="28"/>
      <c r="I87" s="25"/>
    </row>
    <row r="88" spans="1:9" ht="21">
      <c r="E88" s="6"/>
    </row>
    <row r="89" spans="1:9" ht="26.25">
      <c r="E89" s="61" t="s">
        <v>229</v>
      </c>
    </row>
    <row r="90" spans="1:9" ht="21">
      <c r="A90" s="3" t="s">
        <v>230</v>
      </c>
      <c r="E90" s="6"/>
    </row>
    <row r="91" spans="1:9" ht="21">
      <c r="A91" s="20" t="s">
        <v>237</v>
      </c>
      <c r="B91" s="20" t="s">
        <v>232</v>
      </c>
      <c r="C91" s="20"/>
      <c r="D91" s="20"/>
      <c r="E91" s="30"/>
      <c r="F91" s="20"/>
      <c r="G91" s="20"/>
      <c r="H91" s="3" t="s">
        <v>300</v>
      </c>
    </row>
    <row r="92" spans="1:9" ht="21">
      <c r="A92" s="20"/>
      <c r="B92" s="20" t="s">
        <v>313</v>
      </c>
      <c r="C92" s="20"/>
      <c r="D92" s="20"/>
      <c r="E92" s="30"/>
      <c r="F92" s="20">
        <f>C96/4+C97/4+C97/2/860*C95+C98/4+C98*C95/2/860</f>
        <v>2980.4430232558143</v>
      </c>
      <c r="G92" s="66" t="s">
        <v>126</v>
      </c>
      <c r="H92" s="3">
        <f>(C97+C98)*(E13-40)/E13+C96/2</f>
        <v>5966.7</v>
      </c>
    </row>
    <row r="93" spans="1:9" ht="21">
      <c r="A93" s="20"/>
      <c r="B93" s="20" t="s">
        <v>231</v>
      </c>
      <c r="C93" s="20"/>
      <c r="D93" s="20"/>
      <c r="E93" s="30"/>
      <c r="F93" s="20"/>
      <c r="G93" s="66"/>
      <c r="H93" s="3">
        <f>H92/2</f>
        <v>2983.35</v>
      </c>
    </row>
    <row r="94" spans="1:9" ht="21">
      <c r="A94" s="20"/>
      <c r="B94" s="20" t="s">
        <v>282</v>
      </c>
      <c r="C94" s="20"/>
      <c r="D94" s="66"/>
      <c r="E94" s="30"/>
      <c r="F94" s="20">
        <f>C100*C99*F92</f>
        <v>2861.2253023255817</v>
      </c>
      <c r="G94" s="66" t="s">
        <v>245</v>
      </c>
    </row>
    <row r="95" spans="1:9" ht="17.100000000000001" customHeight="1">
      <c r="A95" s="20"/>
      <c r="B95" s="74" t="s">
        <v>309</v>
      </c>
      <c r="C95" s="20">
        <f xml:space="preserve"> 860/2-40</f>
        <v>390</v>
      </c>
      <c r="D95" s="66" t="s">
        <v>61</v>
      </c>
      <c r="E95" s="20"/>
      <c r="F95" s="20"/>
      <c r="G95" s="66"/>
    </row>
    <row r="96" spans="1:9" ht="17.100000000000001" customHeight="1">
      <c r="A96" s="20"/>
      <c r="B96" s="20" t="s">
        <v>234</v>
      </c>
      <c r="C96" s="30">
        <f>92.6*9+300*2</f>
        <v>1433.4</v>
      </c>
      <c r="D96" s="66" t="s">
        <v>243</v>
      </c>
      <c r="E96" s="20"/>
      <c r="F96" s="20"/>
      <c r="G96" s="66"/>
    </row>
    <row r="97" spans="1:7" ht="17.100000000000001" customHeight="1">
      <c r="A97" s="20"/>
      <c r="B97" s="20" t="s">
        <v>235</v>
      </c>
      <c r="C97" s="20">
        <v>500</v>
      </c>
      <c r="D97" s="66" t="s">
        <v>243</v>
      </c>
      <c r="E97" s="20"/>
      <c r="F97" s="20"/>
      <c r="G97" s="66"/>
    </row>
    <row r="98" spans="1:7" ht="17.100000000000001" customHeight="1">
      <c r="A98" s="20"/>
      <c r="B98" s="20" t="s">
        <v>236</v>
      </c>
      <c r="C98" s="20">
        <v>5000</v>
      </c>
      <c r="D98" s="66" t="s">
        <v>243</v>
      </c>
      <c r="E98" s="20"/>
      <c r="F98" s="20"/>
      <c r="G98" s="66"/>
    </row>
    <row r="99" spans="1:7" ht="17.100000000000001" customHeight="1">
      <c r="A99" s="20" t="s">
        <v>237</v>
      </c>
      <c r="B99" s="24" t="s">
        <v>312</v>
      </c>
      <c r="C99" s="20">
        <v>0.8</v>
      </c>
      <c r="D99" s="20"/>
      <c r="E99" s="20"/>
      <c r="F99" s="20"/>
      <c r="G99" s="66"/>
    </row>
    <row r="100" spans="1:7" ht="17.100000000000001" customHeight="1">
      <c r="A100" s="20" t="s">
        <v>237</v>
      </c>
      <c r="B100" s="20" t="s">
        <v>76</v>
      </c>
      <c r="C100" s="20">
        <v>1.2</v>
      </c>
      <c r="D100" s="20"/>
      <c r="E100" s="20"/>
      <c r="F100" s="20"/>
      <c r="G100" s="66"/>
    </row>
    <row r="101" spans="1:7" ht="17.100000000000001" customHeight="1">
      <c r="A101" s="20"/>
      <c r="B101" s="20"/>
      <c r="C101" s="20"/>
      <c r="D101" s="20"/>
      <c r="E101" s="20"/>
      <c r="F101" s="20"/>
      <c r="G101" s="66"/>
    </row>
    <row r="102" spans="1:7" ht="17.100000000000001" customHeight="1">
      <c r="A102" s="20"/>
      <c r="B102" s="24" t="s">
        <v>284</v>
      </c>
      <c r="C102" s="20"/>
      <c r="D102" s="66" t="s">
        <v>80</v>
      </c>
      <c r="E102" s="20"/>
      <c r="F102" s="44">
        <f>600*SQRT(F94/C104/C105)</f>
        <v>3835.996999919148</v>
      </c>
      <c r="G102" s="66" t="s">
        <v>80</v>
      </c>
    </row>
    <row r="103" spans="1:7" ht="17.100000000000001" customHeight="1">
      <c r="A103" s="20"/>
      <c r="B103" s="20" t="s">
        <v>285</v>
      </c>
      <c r="C103" s="20"/>
      <c r="D103" s="66" t="s">
        <v>80</v>
      </c>
      <c r="E103" s="20" t="s">
        <v>293</v>
      </c>
      <c r="F103" s="20">
        <v>4500</v>
      </c>
      <c r="G103" s="66" t="s">
        <v>80</v>
      </c>
    </row>
    <row r="104" spans="1:7" ht="17.100000000000001" customHeight="1">
      <c r="A104" s="20"/>
      <c r="B104" s="75" t="s">
        <v>310</v>
      </c>
      <c r="C104" s="20">
        <v>5</v>
      </c>
      <c r="D104" s="66" t="s">
        <v>61</v>
      </c>
      <c r="E104" s="20"/>
      <c r="F104" s="20"/>
      <c r="G104" s="20"/>
    </row>
    <row r="105" spans="1:7" ht="17.100000000000001" customHeight="1">
      <c r="A105" s="20"/>
      <c r="B105" s="74" t="s">
        <v>311</v>
      </c>
      <c r="C105" s="20">
        <v>14</v>
      </c>
      <c r="D105" s="66" t="s">
        <v>61</v>
      </c>
      <c r="E105" s="71" t="s">
        <v>294</v>
      </c>
      <c r="F105" s="27">
        <f>F103/F102</f>
        <v>1.173097893479804</v>
      </c>
      <c r="G105" s="20"/>
    </row>
    <row r="106" spans="1:7" ht="17.100000000000001" customHeight="1">
      <c r="A106" s="3" t="s">
        <v>246</v>
      </c>
    </row>
    <row r="107" spans="1:7" ht="20.25" customHeight="1">
      <c r="A107" s="20"/>
      <c r="B107" s="20" t="s">
        <v>247</v>
      </c>
      <c r="C107" s="20"/>
      <c r="D107" s="20"/>
      <c r="E107" s="20"/>
      <c r="F107" s="20"/>
    </row>
    <row r="108" spans="1:7" ht="24" customHeight="1">
      <c r="A108" s="20"/>
      <c r="B108" s="20" t="s">
        <v>286</v>
      </c>
      <c r="C108" s="20"/>
      <c r="D108" s="20"/>
      <c r="E108" s="20">
        <f>C109*(C96+C97+C98)*(2*C110+C111*C112)/C113</f>
        <v>97.067599999999999</v>
      </c>
      <c r="F108" s="66" t="s">
        <v>126</v>
      </c>
    </row>
    <row r="109" spans="1:7" ht="17.100000000000001" customHeight="1">
      <c r="A109" s="20"/>
      <c r="B109" s="24" t="s">
        <v>73</v>
      </c>
      <c r="C109" s="20">
        <v>2</v>
      </c>
      <c r="D109" s="20"/>
      <c r="E109" s="20"/>
      <c r="F109" s="20"/>
    </row>
    <row r="110" spans="1:7" ht="17.100000000000001" customHeight="1">
      <c r="A110" s="20"/>
      <c r="B110" s="24" t="s">
        <v>249</v>
      </c>
      <c r="C110" s="20">
        <v>0.05</v>
      </c>
      <c r="D110" s="20"/>
      <c r="E110" s="20"/>
      <c r="F110" s="20"/>
    </row>
    <row r="111" spans="1:7" ht="17.100000000000001" customHeight="1">
      <c r="A111" s="20"/>
      <c r="B111" s="20" t="s">
        <v>250</v>
      </c>
      <c r="C111" s="20">
        <v>0.02</v>
      </c>
      <c r="D111" s="66"/>
      <c r="E111" s="20"/>
      <c r="F111" s="20"/>
    </row>
    <row r="112" spans="1:7" ht="17.100000000000001" customHeight="1">
      <c r="A112" s="20"/>
      <c r="B112" s="20" t="s">
        <v>251</v>
      </c>
      <c r="C112" s="20">
        <v>9</v>
      </c>
      <c r="D112" s="66" t="s">
        <v>61</v>
      </c>
      <c r="E112" s="20"/>
      <c r="F112" s="20"/>
    </row>
    <row r="113" spans="1:6" ht="17.100000000000001" customHeight="1">
      <c r="A113" s="20"/>
      <c r="B113" s="20" t="s">
        <v>252</v>
      </c>
      <c r="C113" s="20">
        <v>40</v>
      </c>
      <c r="D113" s="66" t="s">
        <v>61</v>
      </c>
      <c r="E113" s="20"/>
      <c r="F113" s="20"/>
    </row>
    <row r="114" spans="1:6" ht="17.100000000000001" customHeight="1">
      <c r="A114" s="20"/>
      <c r="B114" s="20"/>
      <c r="C114" s="20"/>
      <c r="D114" s="20"/>
      <c r="E114" s="20"/>
      <c r="F114" s="20"/>
    </row>
    <row r="115" spans="1:6" ht="17.100000000000001" customHeight="1">
      <c r="A115" s="20"/>
      <c r="B115" s="20" t="s">
        <v>253</v>
      </c>
      <c r="C115" s="20"/>
      <c r="D115" s="20"/>
      <c r="E115" s="20"/>
      <c r="F115" s="20"/>
    </row>
    <row r="116" spans="1:6" ht="17.100000000000001" customHeight="1">
      <c r="A116" s="20"/>
      <c r="B116" s="20" t="s">
        <v>287</v>
      </c>
      <c r="C116" s="20"/>
      <c r="D116" s="20"/>
      <c r="E116" s="20">
        <f>C117*(C96+C97+C98)</f>
        <v>20.8002</v>
      </c>
      <c r="F116" s="66" t="s">
        <v>126</v>
      </c>
    </row>
    <row r="117" spans="1:6" ht="17.100000000000001" customHeight="1">
      <c r="A117" s="20"/>
      <c r="B117" s="24" t="s">
        <v>72</v>
      </c>
      <c r="C117" s="20">
        <v>3.0000000000000001E-3</v>
      </c>
      <c r="D117" s="20"/>
      <c r="E117" s="20"/>
      <c r="F117" s="20"/>
    </row>
    <row r="118" spans="1:6" ht="21.75" customHeight="1">
      <c r="A118" s="20"/>
      <c r="B118" s="20" t="s">
        <v>255</v>
      </c>
      <c r="C118" s="20"/>
      <c r="D118" s="20"/>
      <c r="E118" s="20"/>
      <c r="F118" s="20"/>
    </row>
    <row r="119" spans="1:6" ht="21" customHeight="1">
      <c r="A119" s="20"/>
      <c r="B119" s="20" t="s">
        <v>256</v>
      </c>
      <c r="C119" s="20"/>
      <c r="D119" s="20"/>
      <c r="E119" s="67">
        <f>E108+E116</f>
        <v>117.8678</v>
      </c>
      <c r="F119" s="66" t="s">
        <v>126</v>
      </c>
    </row>
    <row r="120" spans="1:6" ht="17.100000000000001" customHeight="1">
      <c r="A120" s="20"/>
      <c r="B120" s="20"/>
      <c r="C120" s="20"/>
      <c r="D120" s="20"/>
      <c r="E120" s="20"/>
      <c r="F120" s="20"/>
    </row>
    <row r="121" spans="1:6" ht="24.75" customHeight="1">
      <c r="B121" s="3" t="s">
        <v>257</v>
      </c>
    </row>
    <row r="122" spans="1:6" ht="25.5" customHeight="1">
      <c r="A122" s="20"/>
      <c r="B122" s="20" t="s">
        <v>288</v>
      </c>
      <c r="C122" s="20"/>
      <c r="D122" s="20"/>
      <c r="E122" s="44">
        <f>E119*C123/(60*102*C124)</f>
        <v>0.90632679738562105</v>
      </c>
      <c r="F122" s="66" t="s">
        <v>261</v>
      </c>
    </row>
    <row r="123" spans="1:6" ht="17.100000000000001" customHeight="1">
      <c r="A123" s="20"/>
      <c r="B123" s="20" t="s">
        <v>258</v>
      </c>
      <c r="C123" s="20">
        <v>40</v>
      </c>
      <c r="D123" s="66" t="s">
        <v>260</v>
      </c>
      <c r="E123" s="20"/>
      <c r="F123" s="20" t="s">
        <v>292</v>
      </c>
    </row>
    <row r="124" spans="1:6" ht="17.100000000000001" customHeight="1">
      <c r="A124" s="20"/>
      <c r="B124" s="24" t="s">
        <v>289</v>
      </c>
      <c r="C124" s="20">
        <v>0.85</v>
      </c>
      <c r="D124" s="20"/>
      <c r="E124" s="20"/>
      <c r="F124" s="20"/>
    </row>
    <row r="125" spans="1:6" ht="17.100000000000001" customHeight="1">
      <c r="A125" s="20"/>
      <c r="B125" s="20"/>
      <c r="C125" s="20"/>
      <c r="D125" s="20"/>
      <c r="E125" s="20"/>
      <c r="F125" s="20"/>
    </row>
    <row r="126" spans="1:6" ht="17.100000000000001" customHeight="1">
      <c r="A126" s="3" t="s">
        <v>263</v>
      </c>
    </row>
    <row r="127" spans="1:6" ht="20.100000000000001" customHeight="1">
      <c r="A127" s="20"/>
      <c r="B127" s="20" t="s">
        <v>264</v>
      </c>
      <c r="C127" s="20"/>
      <c r="D127" s="20"/>
      <c r="E127" s="20"/>
      <c r="F127" s="20"/>
    </row>
    <row r="128" spans="1:6" ht="20.100000000000001" customHeight="1">
      <c r="A128" s="20"/>
      <c r="B128" s="20" t="s">
        <v>265</v>
      </c>
      <c r="C128" s="20"/>
      <c r="D128" s="20"/>
      <c r="E128" s="20">
        <f>F92*C129</f>
        <v>4470.664534883721</v>
      </c>
      <c r="F128" s="66" t="s">
        <v>126</v>
      </c>
    </row>
    <row r="129" spans="1:6" ht="20.100000000000001" customHeight="1">
      <c r="A129" s="20"/>
      <c r="B129" s="20" t="s">
        <v>266</v>
      </c>
      <c r="C129" s="20">
        <v>1.5</v>
      </c>
      <c r="D129" s="20"/>
      <c r="E129" s="20"/>
      <c r="F129" s="20"/>
    </row>
    <row r="130" spans="1:6" ht="20.100000000000001" customHeight="1">
      <c r="A130" s="20"/>
      <c r="B130" s="20" t="s">
        <v>267</v>
      </c>
      <c r="C130" s="20"/>
      <c r="D130" s="20"/>
      <c r="E130" s="20"/>
      <c r="F130" s="20"/>
    </row>
    <row r="131" spans="1:6" ht="20.100000000000001" customHeight="1">
      <c r="A131" s="20"/>
      <c r="B131" s="20" t="s">
        <v>268</v>
      </c>
      <c r="C131" s="20"/>
      <c r="D131" s="20"/>
      <c r="E131" s="44">
        <f>E128*C132/4</f>
        <v>27382.820276162791</v>
      </c>
      <c r="F131" s="66" t="s">
        <v>64</v>
      </c>
    </row>
    <row r="132" spans="1:6" ht="20.100000000000001" customHeight="1">
      <c r="A132" s="20"/>
      <c r="B132" s="20" t="s">
        <v>269</v>
      </c>
      <c r="C132" s="20">
        <v>24.5</v>
      </c>
      <c r="D132" s="66" t="s">
        <v>61</v>
      </c>
      <c r="E132" s="20"/>
      <c r="F132" s="20"/>
    </row>
    <row r="133" spans="1:6" ht="20.100000000000001" customHeight="1">
      <c r="A133" s="20"/>
      <c r="B133" s="20"/>
      <c r="C133" s="20"/>
      <c r="D133" s="20"/>
      <c r="E133" s="20"/>
      <c r="F133" s="20"/>
    </row>
    <row r="134" spans="1:6" ht="20.100000000000001" customHeight="1">
      <c r="A134" s="20"/>
      <c r="B134" s="20" t="s">
        <v>271</v>
      </c>
      <c r="C134" s="20"/>
      <c r="D134" s="20"/>
      <c r="E134" s="20"/>
      <c r="F134" s="20"/>
    </row>
    <row r="135" spans="1:6" ht="25.5" customHeight="1">
      <c r="A135" s="20"/>
      <c r="B135" s="20" t="s">
        <v>272</v>
      </c>
      <c r="C135" s="20"/>
      <c r="D135" s="20"/>
      <c r="E135" s="20">
        <f>9550*1.5/1450</f>
        <v>9.8793103448275854</v>
      </c>
      <c r="F135" s="66" t="s">
        <v>64</v>
      </c>
    </row>
    <row r="136" spans="1:6" ht="20.100000000000001" customHeight="1">
      <c r="A136" s="20"/>
      <c r="B136" s="20"/>
      <c r="C136" s="20"/>
      <c r="D136" s="20"/>
      <c r="E136" s="20"/>
      <c r="F136" s="20"/>
    </row>
    <row r="137" spans="1:6" ht="20.100000000000001" customHeight="1">
      <c r="A137" s="20"/>
      <c r="B137" s="20" t="s">
        <v>270</v>
      </c>
      <c r="C137" s="20"/>
      <c r="D137" s="20"/>
      <c r="E137" s="20"/>
      <c r="F137" s="20"/>
    </row>
    <row r="138" spans="1:6" ht="20.100000000000001" customHeight="1">
      <c r="A138" s="20"/>
      <c r="B138" s="20" t="s">
        <v>273</v>
      </c>
      <c r="C138" s="20"/>
      <c r="D138" s="20"/>
      <c r="E138" s="44">
        <f>1.8*E135</f>
        <v>17.782758620689656</v>
      </c>
      <c r="F138" s="66" t="s">
        <v>64</v>
      </c>
    </row>
    <row r="139" spans="1:6" ht="20.100000000000001" customHeight="1">
      <c r="A139" s="20"/>
      <c r="B139" s="20"/>
      <c r="C139" s="20"/>
      <c r="D139" s="20"/>
      <c r="E139" s="20"/>
      <c r="F139" s="20"/>
    </row>
    <row r="140" spans="1:6" ht="20.100000000000001" customHeight="1">
      <c r="A140" s="20"/>
      <c r="B140" s="27" t="s">
        <v>274</v>
      </c>
      <c r="C140" s="27"/>
      <c r="D140" s="27"/>
      <c r="E140" s="27"/>
      <c r="F140" s="20"/>
    </row>
    <row r="141" spans="1:6" ht="20.100000000000001" customHeight="1">
      <c r="A141" s="20"/>
      <c r="B141" s="27" t="s">
        <v>275</v>
      </c>
      <c r="C141" s="27"/>
      <c r="D141" s="27"/>
      <c r="E141" s="27">
        <f>SQRT(E131^2+1*E138^2)</f>
        <v>27382.826050339223</v>
      </c>
      <c r="F141" s="66" t="s">
        <v>64</v>
      </c>
    </row>
    <row r="142" spans="1:6" ht="20.100000000000001" customHeight="1">
      <c r="A142" s="20"/>
      <c r="B142" s="20" t="s">
        <v>276</v>
      </c>
      <c r="C142" s="20"/>
      <c r="D142" s="20"/>
      <c r="E142" s="20"/>
      <c r="F142" s="20"/>
    </row>
    <row r="143" spans="1:6" ht="20.100000000000001" customHeight="1">
      <c r="A143" s="20"/>
      <c r="B143" s="20" t="s">
        <v>290</v>
      </c>
      <c r="C143" s="20">
        <f>2500/1.5/2.5</f>
        <v>666.66666666666674</v>
      </c>
      <c r="D143" s="66" t="s">
        <v>80</v>
      </c>
      <c r="E143" s="20"/>
      <c r="F143" s="20"/>
    </row>
    <row r="144" spans="1:6" ht="17.100000000000001" customHeight="1">
      <c r="A144" s="20"/>
      <c r="B144" s="20"/>
      <c r="C144" s="20"/>
      <c r="D144" s="20"/>
      <c r="E144" s="20"/>
      <c r="F144" s="20"/>
    </row>
    <row r="145" spans="1:6" ht="17.100000000000001" customHeight="1">
      <c r="A145" s="20"/>
      <c r="B145" s="20" t="s">
        <v>291</v>
      </c>
      <c r="C145" s="20"/>
      <c r="D145" s="20"/>
      <c r="E145" s="20">
        <f>E141/0.1/C143</f>
        <v>410.74239075508825</v>
      </c>
      <c r="F145" s="20"/>
    </row>
    <row r="146" spans="1:6" ht="17.100000000000001" customHeight="1">
      <c r="A146" s="20"/>
      <c r="B146" s="20"/>
      <c r="C146" s="20"/>
      <c r="D146" s="20"/>
      <c r="E146" s="44">
        <v>7.4329999999999998</v>
      </c>
      <c r="F146" s="66" t="s">
        <v>61</v>
      </c>
    </row>
    <row r="147" spans="1:6" ht="17.100000000000001" customHeight="1">
      <c r="A147" s="3" t="s">
        <v>295</v>
      </c>
    </row>
    <row r="148" spans="1:6" ht="19.5" customHeight="1">
      <c r="B148" s="20" t="s">
        <v>296</v>
      </c>
      <c r="C148" s="20"/>
      <c r="D148" s="20"/>
      <c r="E148" s="20"/>
    </row>
    <row r="149" spans="1:6" ht="17.100000000000001" customHeight="1">
      <c r="B149" s="20" t="s">
        <v>297</v>
      </c>
      <c r="C149" s="20"/>
      <c r="D149" s="20"/>
      <c r="E149" s="20">
        <f>F92/2</f>
        <v>1490.2215116279071</v>
      </c>
      <c r="F149" s="66" t="s">
        <v>126</v>
      </c>
    </row>
    <row r="150" spans="1:6" ht="17.100000000000001" customHeight="1">
      <c r="B150" s="20" t="s">
        <v>298</v>
      </c>
      <c r="C150" s="20"/>
      <c r="D150" s="20"/>
      <c r="E150" s="20">
        <f>0.1*E149</f>
        <v>149.02215116279072</v>
      </c>
      <c r="F150" s="66" t="s">
        <v>126</v>
      </c>
    </row>
    <row r="151" spans="1:6" ht="17.100000000000001" customHeight="1">
      <c r="B151" s="20" t="s">
        <v>299</v>
      </c>
      <c r="C151" s="20"/>
      <c r="D151" s="20"/>
      <c r="E151" s="20"/>
    </row>
    <row r="152" spans="1:6" ht="17.100000000000001" customHeight="1">
      <c r="B152" s="20"/>
      <c r="C152" s="20"/>
      <c r="D152" s="20"/>
      <c r="E152" s="20"/>
    </row>
    <row r="153" spans="1:6" ht="17.100000000000001" customHeight="1">
      <c r="A153" s="20"/>
      <c r="B153" s="20" t="s">
        <v>301</v>
      </c>
      <c r="C153" s="20"/>
      <c r="D153" s="20"/>
      <c r="E153" s="20"/>
      <c r="F153" s="20"/>
    </row>
    <row r="154" spans="1:6" ht="17.100000000000001" customHeight="1">
      <c r="A154" s="20"/>
      <c r="B154" s="20" t="s">
        <v>302</v>
      </c>
      <c r="C154" s="20"/>
      <c r="D154" s="20"/>
      <c r="E154" s="20">
        <f>E149</f>
        <v>1490.2215116279071</v>
      </c>
      <c r="F154" s="66" t="s">
        <v>126</v>
      </c>
    </row>
    <row r="155" spans="1:6" ht="17.100000000000001" customHeight="1">
      <c r="A155" s="20"/>
      <c r="B155" s="20" t="s">
        <v>306</v>
      </c>
      <c r="C155" s="20"/>
      <c r="D155" s="20"/>
      <c r="E155" s="20">
        <f>0.1*E154*(C156*C157)^0.3</f>
        <v>8255.1188453169343</v>
      </c>
      <c r="F155" s="66" t="s">
        <v>126</v>
      </c>
    </row>
    <row r="156" spans="1:6" ht="17.100000000000001" customHeight="1">
      <c r="A156" s="20"/>
      <c r="B156" s="20" t="s">
        <v>294</v>
      </c>
      <c r="C156" s="20">
        <v>45</v>
      </c>
      <c r="D156" s="20" t="s">
        <v>303</v>
      </c>
      <c r="E156" s="30">
        <f>E155*10</f>
        <v>82551.188453169336</v>
      </c>
      <c r="F156" s="66" t="s">
        <v>305</v>
      </c>
    </row>
    <row r="157" spans="1:6" ht="17.100000000000001" customHeight="1">
      <c r="A157" s="20"/>
      <c r="B157" s="20" t="s">
        <v>22</v>
      </c>
      <c r="C157" s="20">
        <f>2*360*20</f>
        <v>14400</v>
      </c>
      <c r="D157" s="20" t="s">
        <v>304</v>
      </c>
      <c r="E157" s="20"/>
      <c r="F157" s="20"/>
    </row>
    <row r="158" spans="1:6" ht="17.100000000000001" customHeight="1">
      <c r="A158" s="20"/>
      <c r="B158" s="20"/>
      <c r="C158" s="20"/>
      <c r="D158" s="20"/>
      <c r="E158" s="20"/>
      <c r="F158" s="20"/>
    </row>
    <row r="159" spans="1:6" ht="17.100000000000001" customHeight="1">
      <c r="A159" s="20"/>
      <c r="B159" s="20"/>
      <c r="C159" s="20">
        <f>C157*60</f>
        <v>864000</v>
      </c>
      <c r="D159" s="20"/>
      <c r="E159" s="20"/>
      <c r="F159" s="20"/>
    </row>
    <row r="160" spans="1:6" ht="17.100000000000001" customHeight="1">
      <c r="A160" s="20"/>
      <c r="B160" s="20"/>
      <c r="C160" s="20">
        <f>C159*C156</f>
        <v>38880000</v>
      </c>
      <c r="D160" s="20"/>
      <c r="E160" s="20"/>
      <c r="F160" s="20"/>
    </row>
    <row r="161" spans="1:6" ht="17.100000000000001" customHeight="1">
      <c r="A161" s="20"/>
      <c r="B161" s="20"/>
      <c r="C161" s="20">
        <f>39*E154^3</f>
        <v>129067557576.26262</v>
      </c>
      <c r="D161" s="20"/>
      <c r="E161" s="20"/>
      <c r="F161" s="20"/>
    </row>
    <row r="162" spans="1:6" ht="17.100000000000001" customHeight="1">
      <c r="A162" s="20"/>
      <c r="B162" s="20"/>
      <c r="C162" s="30">
        <f>C161^(1/3)</f>
        <v>5053.6562428584284</v>
      </c>
      <c r="D162" s="20"/>
      <c r="E162" s="20"/>
      <c r="F162" s="20"/>
    </row>
    <row r="163" spans="1:6" ht="17.100000000000001" customHeight="1">
      <c r="A163" s="20"/>
      <c r="B163" s="20"/>
      <c r="C163" s="20"/>
      <c r="D163" s="20"/>
      <c r="E163" s="20"/>
      <c r="F163" s="20"/>
    </row>
    <row r="164" spans="1:6" ht="17.100000000000001" customHeight="1">
      <c r="A164" s="20"/>
      <c r="B164" s="20"/>
      <c r="C164" s="20"/>
      <c r="D164" s="20"/>
      <c r="E164" s="20"/>
      <c r="F164" s="20"/>
    </row>
  </sheetData>
  <mergeCells count="5">
    <mergeCell ref="E67:F67"/>
    <mergeCell ref="F22:G22"/>
    <mergeCell ref="I22:J22"/>
    <mergeCell ref="A48:B49"/>
    <mergeCell ref="A53:B54"/>
  </mergeCells>
  <phoneticPr fontId="10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AutoCAD.Drawing.15" shapeId="8193" r:id="rId4">
          <objectPr defaultSize="0" autoPict="0" r:id="rId5">
            <anchor moveWithCells="1">
              <from>
                <xdr:col>0</xdr:col>
                <xdr:colOff>38100</xdr:colOff>
                <xdr:row>57</xdr:row>
                <xdr:rowOff>133350</xdr:rowOff>
              </from>
              <to>
                <xdr:col>5</xdr:col>
                <xdr:colOff>2019300</xdr:colOff>
                <xdr:row>64</xdr:row>
                <xdr:rowOff>95250</xdr:rowOff>
              </to>
            </anchor>
          </objectPr>
        </oleObject>
      </mc:Choice>
      <mc:Fallback>
        <oleObject progId="AutoCAD.Drawing.15" shapeId="8193" r:id="rId4"/>
      </mc:Fallback>
    </mc:AlternateContent>
    <mc:AlternateContent xmlns:mc="http://schemas.openxmlformats.org/markup-compatibility/2006">
      <mc:Choice Requires="x14">
        <oleObject progId="AutoCAD.Drawing.15" shapeId="8194" r:id="rId6">
          <objectPr defaultSize="0" autoPict="0" r:id="rId7">
            <anchor moveWithCells="1">
              <from>
                <xdr:col>4</xdr:col>
                <xdr:colOff>895350</xdr:colOff>
                <xdr:row>3</xdr:row>
                <xdr:rowOff>171450</xdr:rowOff>
              </from>
              <to>
                <xdr:col>5</xdr:col>
                <xdr:colOff>1295400</xdr:colOff>
                <xdr:row>11</xdr:row>
                <xdr:rowOff>95250</xdr:rowOff>
              </to>
            </anchor>
          </objectPr>
        </oleObject>
      </mc:Choice>
      <mc:Fallback>
        <oleObject progId="AutoCAD.Drawing.15" shapeId="8194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3"/>
  <sheetViews>
    <sheetView topLeftCell="C1" workbookViewId="0">
      <selection activeCell="E13" sqref="E13"/>
    </sheetView>
  </sheetViews>
  <sheetFormatPr defaultRowHeight="17.100000000000001" customHeight="1"/>
  <cols>
    <col min="1" max="1" width="7.7109375" style="3" customWidth="1"/>
    <col min="2" max="2" width="17.140625" style="3" customWidth="1"/>
    <col min="3" max="3" width="20.42578125" style="3" customWidth="1"/>
    <col min="4" max="4" width="16" style="3" customWidth="1"/>
    <col min="5" max="5" width="27.7109375" style="3" customWidth="1"/>
    <col min="6" max="6" width="31.140625" style="3" customWidth="1"/>
    <col min="7" max="7" width="18.85546875" style="3" customWidth="1"/>
    <col min="8" max="8" width="30.7109375" style="3" customWidth="1"/>
    <col min="9" max="9" width="26.5703125" style="3" customWidth="1"/>
    <col min="10" max="10" width="13.42578125" style="3" customWidth="1"/>
    <col min="11" max="11" width="9.140625" style="3"/>
    <col min="12" max="12" width="17.140625" style="3" bestFit="1" customWidth="1"/>
    <col min="13" max="13" width="19.28515625" style="3" bestFit="1" customWidth="1"/>
    <col min="14" max="16384" width="9.140625" style="3"/>
  </cols>
  <sheetData>
    <row r="1" spans="1:7" ht="28.5" customHeight="1">
      <c r="C1" s="3" t="s">
        <v>186</v>
      </c>
    </row>
    <row r="2" spans="1:7" ht="20.100000000000001" customHeight="1">
      <c r="C2" s="3" t="s">
        <v>58</v>
      </c>
    </row>
    <row r="3" spans="1:7" ht="17.100000000000001" customHeight="1">
      <c r="A3" s="20"/>
    </row>
    <row r="4" spans="1:7" ht="17.100000000000001" customHeight="1">
      <c r="A4" s="20"/>
    </row>
    <row r="5" spans="1:7" ht="27.95" customHeight="1">
      <c r="B5" s="45"/>
      <c r="C5" s="56"/>
      <c r="D5" s="10"/>
    </row>
    <row r="6" spans="1:7" ht="27.95" customHeight="1">
      <c r="B6" s="45"/>
      <c r="C6" s="56"/>
      <c r="D6" s="10"/>
    </row>
    <row r="7" spans="1:7" ht="27.95" customHeight="1">
      <c r="B7" s="45"/>
      <c r="C7" s="56"/>
      <c r="E7" s="32"/>
    </row>
    <row r="8" spans="1:7" ht="27.95" customHeight="1">
      <c r="B8" s="45"/>
      <c r="C8" s="56"/>
      <c r="D8" s="16"/>
    </row>
    <row r="9" spans="1:7" ht="27.95" customHeight="1">
      <c r="B9" s="45"/>
      <c r="C9" s="56"/>
      <c r="D9" s="37"/>
    </row>
    <row r="10" spans="1:7" ht="27.95" customHeight="1">
      <c r="B10" s="11"/>
      <c r="D10" s="37"/>
      <c r="G10" s="3">
        <f>12000-1400</f>
        <v>10600</v>
      </c>
    </row>
    <row r="11" spans="1:7" ht="27.95" customHeight="1">
      <c r="B11" s="11"/>
      <c r="D11" s="37"/>
      <c r="G11" s="3">
        <f>10000-1400</f>
        <v>8600</v>
      </c>
    </row>
    <row r="12" spans="1:7" ht="27.95" customHeight="1">
      <c r="B12" s="11"/>
      <c r="D12" s="37"/>
    </row>
    <row r="13" spans="1:7" ht="21">
      <c r="A13" s="3" t="s">
        <v>99</v>
      </c>
      <c r="E13" s="5">
        <f>11000/10</f>
        <v>1100</v>
      </c>
      <c r="F13" s="3" t="s">
        <v>61</v>
      </c>
    </row>
    <row r="14" spans="1:7" ht="21">
      <c r="A14" s="3" t="s">
        <v>115</v>
      </c>
      <c r="E14" s="39">
        <f>E13/700</f>
        <v>1.5714285714285714</v>
      </c>
      <c r="F14" s="3" t="s">
        <v>61</v>
      </c>
    </row>
    <row r="15" spans="1:7" ht="21">
      <c r="A15" s="3" t="s">
        <v>207</v>
      </c>
      <c r="E15" s="39"/>
      <c r="F15" s="3">
        <v>50</v>
      </c>
      <c r="G15" s="3" t="s">
        <v>208</v>
      </c>
    </row>
    <row r="16" spans="1:7" ht="22.5">
      <c r="A16" s="3" t="s">
        <v>116</v>
      </c>
      <c r="E16" s="39"/>
    </row>
    <row r="17" spans="1:11" ht="23.25">
      <c r="A17" s="3" t="s">
        <v>150</v>
      </c>
      <c r="E17" s="9">
        <f>2.1*10^6</f>
        <v>2100000</v>
      </c>
      <c r="F17" s="3" t="s">
        <v>151</v>
      </c>
      <c r="G17" s="3" t="s">
        <v>140</v>
      </c>
    </row>
    <row r="18" spans="1:11" ht="23.25">
      <c r="A18" s="3" t="s">
        <v>149</v>
      </c>
      <c r="E18" s="9">
        <v>1600</v>
      </c>
      <c r="F18" s="3" t="s">
        <v>151</v>
      </c>
      <c r="G18" s="3" t="s">
        <v>140</v>
      </c>
    </row>
    <row r="19" spans="1:11" ht="21">
      <c r="A19" s="3" t="s">
        <v>117</v>
      </c>
    </row>
    <row r="20" spans="1:11" ht="21">
      <c r="A20" s="3" t="s">
        <v>280</v>
      </c>
    </row>
    <row r="21" spans="1:11" ht="20.100000000000001" customHeight="1">
      <c r="A21" s="5"/>
      <c r="F21" s="7"/>
      <c r="G21" s="5"/>
      <c r="H21" s="4"/>
      <c r="J21" s="53"/>
      <c r="K21" s="54"/>
    </row>
    <row r="22" spans="1:11" ht="24.95" customHeight="1">
      <c r="F22" s="76" t="s">
        <v>225</v>
      </c>
      <c r="G22" s="77"/>
      <c r="I22" s="78"/>
      <c r="J22" s="78"/>
    </row>
    <row r="23" spans="1:11" ht="20.100000000000001" customHeight="1">
      <c r="A23" s="5"/>
      <c r="F23" s="17" t="s">
        <v>94</v>
      </c>
      <c r="G23" s="18">
        <f>620000000/10000</f>
        <v>62000</v>
      </c>
      <c r="I23" s="53"/>
      <c r="J23" s="54"/>
    </row>
    <row r="24" spans="1:11" ht="20.100000000000001" customHeight="1">
      <c r="F24" s="17" t="s">
        <v>95</v>
      </c>
      <c r="G24" s="18">
        <f>48520000/10000</f>
        <v>4852</v>
      </c>
      <c r="H24" s="6"/>
      <c r="I24" s="53"/>
      <c r="J24" s="54"/>
    </row>
    <row r="25" spans="1:11" ht="20.100000000000001" customHeight="1">
      <c r="F25" s="17" t="s">
        <v>96</v>
      </c>
      <c r="G25" s="58">
        <f>212.1/10</f>
        <v>21.21</v>
      </c>
      <c r="I25" s="53"/>
      <c r="J25" s="54"/>
    </row>
    <row r="26" spans="1:11" ht="20.100000000000001" customHeight="1">
      <c r="F26" s="17" t="s">
        <v>224</v>
      </c>
      <c r="G26" s="58">
        <f>344/10</f>
        <v>34.4</v>
      </c>
      <c r="H26" s="32">
        <f>27/2</f>
        <v>13.5</v>
      </c>
      <c r="I26" s="53"/>
      <c r="J26" s="54"/>
    </row>
    <row r="27" spans="1:11" ht="20.100000000000001" customHeight="1">
      <c r="F27" s="17" t="s">
        <v>97</v>
      </c>
      <c r="G27" s="58">
        <f>13773/100</f>
        <v>137.72999999999999</v>
      </c>
      <c r="I27" s="53"/>
      <c r="J27" s="54"/>
    </row>
    <row r="28" spans="1:11" ht="27.75" customHeight="1">
      <c r="C28" s="3" t="s">
        <v>57</v>
      </c>
      <c r="E28" s="6"/>
    </row>
    <row r="29" spans="1:11" ht="21">
      <c r="A29" s="3" t="s">
        <v>104</v>
      </c>
      <c r="E29" s="6"/>
    </row>
    <row r="30" spans="1:11" s="20" customFormat="1" ht="18.75">
      <c r="B30" s="20" t="s">
        <v>105</v>
      </c>
      <c r="H30" s="30"/>
      <c r="I30" s="22"/>
      <c r="J30" s="22"/>
      <c r="K30" s="22"/>
    </row>
    <row r="31" spans="1:11" s="20" customFormat="1" ht="18.75">
      <c r="A31" s="20" t="s">
        <v>120</v>
      </c>
      <c r="H31" s="31"/>
      <c r="I31" s="22"/>
      <c r="J31" s="22"/>
      <c r="K31" s="22"/>
    </row>
    <row r="32" spans="1:11" s="20" customFormat="1" ht="18.75">
      <c r="B32" s="27" t="s">
        <v>161</v>
      </c>
      <c r="E32" s="20" t="s">
        <v>146</v>
      </c>
      <c r="G32" s="38"/>
      <c r="H32" s="31"/>
      <c r="I32" s="22"/>
      <c r="J32" s="22"/>
      <c r="K32" s="22"/>
    </row>
    <row r="33" spans="1:11" s="20" customFormat="1" ht="18.75">
      <c r="B33" s="27" t="s">
        <v>162</v>
      </c>
      <c r="E33" s="20" t="s">
        <v>146</v>
      </c>
      <c r="H33" s="31">
        <f>11200/10</f>
        <v>1120</v>
      </c>
      <c r="I33" s="22"/>
      <c r="J33" s="22"/>
      <c r="K33" s="22"/>
    </row>
    <row r="34" spans="1:11" s="20" customFormat="1" ht="20.25">
      <c r="A34" s="20" t="s">
        <v>119</v>
      </c>
      <c r="E34" s="20" t="s">
        <v>0</v>
      </c>
      <c r="F34" s="59">
        <f>G27</f>
        <v>137.72999999999999</v>
      </c>
      <c r="G34" s="20" t="s">
        <v>121</v>
      </c>
      <c r="H34" s="31"/>
      <c r="I34" s="22"/>
      <c r="J34" s="22"/>
      <c r="K34" s="22"/>
    </row>
    <row r="35" spans="1:11" s="20" customFormat="1" ht="18.75">
      <c r="A35" s="20" t="s">
        <v>122</v>
      </c>
      <c r="B35" s="30"/>
      <c r="E35" s="20" t="s">
        <v>123</v>
      </c>
      <c r="F35" s="30">
        <f>E13</f>
        <v>1100</v>
      </c>
      <c r="G35" s="30" t="s">
        <v>61</v>
      </c>
      <c r="H35" s="31">
        <f>11*24</f>
        <v>264</v>
      </c>
      <c r="I35" s="22"/>
      <c r="J35" s="22"/>
      <c r="K35" s="22"/>
    </row>
    <row r="36" spans="1:11" s="20" customFormat="1" ht="18.75">
      <c r="A36" s="20" t="s">
        <v>124</v>
      </c>
      <c r="B36" s="30"/>
      <c r="E36" s="20" t="s">
        <v>125</v>
      </c>
      <c r="F36" s="30">
        <f>(5+0.7)*1000</f>
        <v>5700</v>
      </c>
      <c r="G36" s="20" t="s">
        <v>126</v>
      </c>
      <c r="H36" s="31">
        <f>439-H35</f>
        <v>175</v>
      </c>
      <c r="I36" s="22"/>
      <c r="J36" s="22"/>
      <c r="K36" s="22"/>
    </row>
    <row r="37" spans="1:11" s="20" customFormat="1" ht="18.75">
      <c r="A37" s="20" t="s">
        <v>127</v>
      </c>
      <c r="B37" s="30"/>
      <c r="E37" s="20" t="s">
        <v>128</v>
      </c>
      <c r="F37" s="38">
        <f>F34*0.000001*7850</f>
        <v>1.0811804999999999</v>
      </c>
      <c r="G37" s="20" t="s">
        <v>129</v>
      </c>
      <c r="H37" s="31">
        <f>F37*H33</f>
        <v>1210.9221599999998</v>
      </c>
      <c r="I37" s="22">
        <f>H37*8500</f>
        <v>10292838.359999999</v>
      </c>
      <c r="J37" s="22"/>
      <c r="K37" s="22"/>
    </row>
    <row r="38" spans="1:11" s="20" customFormat="1" ht="20.25">
      <c r="A38" s="20" t="s">
        <v>130</v>
      </c>
      <c r="B38" s="30"/>
      <c r="E38" s="20" t="s">
        <v>131</v>
      </c>
      <c r="F38" s="30">
        <f>G23</f>
        <v>62000</v>
      </c>
      <c r="G38" s="20" t="s">
        <v>132</v>
      </c>
      <c r="H38" s="31"/>
      <c r="I38" s="22"/>
      <c r="J38" s="22"/>
      <c r="K38" s="22"/>
    </row>
    <row r="39" spans="1:11" s="20" customFormat="1" ht="20.25">
      <c r="A39" s="20" t="s">
        <v>133</v>
      </c>
      <c r="B39" s="30"/>
      <c r="E39" s="20" t="s">
        <v>134</v>
      </c>
      <c r="F39" s="59">
        <f>F38/G26</f>
        <v>1802.325581395349</v>
      </c>
      <c r="G39" s="20" t="s">
        <v>135</v>
      </c>
      <c r="H39" s="68">
        <f>0.5*11.2*0.01*7850</f>
        <v>439.59999999999997</v>
      </c>
      <c r="I39" s="22">
        <f>3780560/H39</f>
        <v>8600</v>
      </c>
      <c r="J39" s="22"/>
      <c r="K39" s="22"/>
    </row>
    <row r="40" spans="1:11" s="20" customFormat="1" ht="20.25">
      <c r="A40" s="20" t="s">
        <v>136</v>
      </c>
      <c r="B40" s="30"/>
      <c r="E40" s="20" t="s">
        <v>138</v>
      </c>
      <c r="F40" s="59">
        <f>G24</f>
        <v>4852</v>
      </c>
      <c r="G40" s="20" t="s">
        <v>132</v>
      </c>
      <c r="H40" s="31">
        <f>0.3*2*11.2*0.008*7850</f>
        <v>422.01600000000002</v>
      </c>
      <c r="I40" s="22">
        <f>H40*8000</f>
        <v>3376128</v>
      </c>
      <c r="J40" s="22"/>
      <c r="K40" s="22"/>
    </row>
    <row r="41" spans="1:11" s="20" customFormat="1" ht="20.25">
      <c r="A41" s="20" t="s">
        <v>137</v>
      </c>
      <c r="B41" s="30"/>
      <c r="E41" s="20" t="s">
        <v>139</v>
      </c>
      <c r="F41" s="59">
        <f>F40/H26</f>
        <v>359.40740740740739</v>
      </c>
      <c r="G41" s="20" t="s">
        <v>135</v>
      </c>
      <c r="H41" s="31">
        <f>13.7*11.2</f>
        <v>153.43999999999997</v>
      </c>
      <c r="I41" s="22"/>
      <c r="J41" s="22"/>
      <c r="K41" s="22"/>
    </row>
    <row r="42" spans="1:11" s="20" customFormat="1" ht="20.25">
      <c r="A42" s="20" t="s">
        <v>107</v>
      </c>
      <c r="B42" s="30"/>
      <c r="E42" s="20" t="s">
        <v>141</v>
      </c>
      <c r="F42" s="59">
        <f>F37*F35^2/8</f>
        <v>163528.55062499997</v>
      </c>
      <c r="G42" s="20" t="s">
        <v>64</v>
      </c>
      <c r="H42" s="31">
        <f>31.8*11.2</f>
        <v>356.15999999999997</v>
      </c>
      <c r="I42" s="22">
        <f>H42*8500</f>
        <v>3027359.9999999995</v>
      </c>
      <c r="J42" s="22"/>
      <c r="K42" s="22"/>
    </row>
    <row r="43" spans="1:11" s="20" customFormat="1" ht="18.75">
      <c r="A43" s="20" t="s">
        <v>108</v>
      </c>
      <c r="E43" s="20" t="s">
        <v>142</v>
      </c>
      <c r="F43" s="20">
        <f>F36*F35/4</f>
        <v>1567500</v>
      </c>
      <c r="G43" s="20" t="s">
        <v>64</v>
      </c>
      <c r="H43" s="30">
        <f>27.7*11.2</f>
        <v>310.23999999999995</v>
      </c>
      <c r="I43" s="22">
        <f>H43*8500</f>
        <v>2637039.9999999995</v>
      </c>
      <c r="J43" s="22"/>
      <c r="K43" s="22"/>
    </row>
    <row r="44" spans="1:11" s="20" customFormat="1" ht="18.75">
      <c r="A44" s="20" t="s">
        <v>109</v>
      </c>
      <c r="E44" s="20" t="s">
        <v>143</v>
      </c>
      <c r="F44" s="59">
        <f>1.05*(F42+1.25*F43)</f>
        <v>2229048.7281562504</v>
      </c>
      <c r="G44" s="20" t="s">
        <v>64</v>
      </c>
      <c r="H44" s="30"/>
      <c r="I44" s="22"/>
      <c r="J44" s="22"/>
      <c r="K44" s="22"/>
    </row>
    <row r="45" spans="1:11" s="20" customFormat="1" ht="18.75">
      <c r="A45" s="20" t="s">
        <v>110</v>
      </c>
      <c r="E45" s="20" t="s">
        <v>144</v>
      </c>
      <c r="F45" s="59">
        <f>0.05*(F42+F43)</f>
        <v>86551.427531249996</v>
      </c>
      <c r="G45" s="20" t="s">
        <v>64</v>
      </c>
      <c r="H45" s="30"/>
      <c r="I45" s="22"/>
      <c r="J45" s="22"/>
      <c r="K45" s="22"/>
    </row>
    <row r="46" spans="1:11" s="20" customFormat="1" ht="20.25">
      <c r="A46" s="20" t="s">
        <v>112</v>
      </c>
      <c r="E46" s="24" t="s">
        <v>145</v>
      </c>
      <c r="F46" s="59">
        <f>F44/F39+F45/F41</f>
        <v>1477.5795588175883</v>
      </c>
      <c r="G46" s="20" t="s">
        <v>69</v>
      </c>
      <c r="H46" s="30"/>
      <c r="I46" s="22"/>
      <c r="J46" s="22"/>
      <c r="K46" s="22"/>
    </row>
    <row r="47" spans="1:11" s="20" customFormat="1" ht="18.75">
      <c r="A47" s="20" t="s">
        <v>147</v>
      </c>
      <c r="E47" s="40" t="s">
        <v>148</v>
      </c>
      <c r="F47" s="42">
        <f>ROUND((E18/F46),2)</f>
        <v>1.08</v>
      </c>
      <c r="H47" s="30"/>
      <c r="I47" s="22"/>
      <c r="J47" s="22"/>
      <c r="K47" s="22"/>
    </row>
    <row r="48" spans="1:11" s="20" customFormat="1" ht="18.75" customHeight="1">
      <c r="A48" s="79" t="s">
        <v>155</v>
      </c>
      <c r="B48" s="80"/>
      <c r="C48" s="47" t="s">
        <v>202</v>
      </c>
      <c r="F48" s="25" t="str">
        <f>IF(F46&lt;E18,"ÑAÏT","KHOÂNGÑAÏT")</f>
        <v>ÑAÏT</v>
      </c>
      <c r="H48" s="30"/>
      <c r="I48" s="22"/>
      <c r="J48" s="22"/>
      <c r="K48" s="22"/>
    </row>
    <row r="49" spans="1:11" s="20" customFormat="1" ht="18.75">
      <c r="A49" s="81"/>
      <c r="B49" s="82"/>
      <c r="C49" s="27"/>
      <c r="H49" s="30"/>
      <c r="I49" s="22"/>
      <c r="J49" s="22"/>
      <c r="K49" s="22"/>
    </row>
    <row r="50" spans="1:11" s="20" customFormat="1" ht="18.75">
      <c r="A50" s="20" t="s">
        <v>113</v>
      </c>
      <c r="B50" s="27"/>
      <c r="H50" s="30"/>
      <c r="I50" s="22"/>
      <c r="J50" s="22"/>
      <c r="K50" s="22"/>
    </row>
    <row r="51" spans="1:11" s="20" customFormat="1" ht="20.25">
      <c r="A51" s="20" t="s">
        <v>152</v>
      </c>
      <c r="B51" s="20" t="s">
        <v>153</v>
      </c>
      <c r="F51" s="41">
        <f>F36*F35^3/(48*E17*F38)+5*F37*F35^4/(384*E17*F38)</f>
        <v>1.3722554613545266</v>
      </c>
      <c r="G51" s="20" t="s">
        <v>61</v>
      </c>
      <c r="H51" s="30"/>
      <c r="I51" s="22"/>
      <c r="J51" s="22"/>
      <c r="K51" s="22"/>
    </row>
    <row r="52" spans="1:11" s="20" customFormat="1" ht="18.75">
      <c r="B52" s="20" t="s">
        <v>154</v>
      </c>
      <c r="E52" s="24"/>
      <c r="F52" s="42">
        <f>ROUND((E14/F51),2)</f>
        <v>1.1499999999999999</v>
      </c>
      <c r="I52" s="22"/>
      <c r="J52" s="22"/>
      <c r="K52" s="22"/>
    </row>
    <row r="53" spans="1:11" s="20" customFormat="1" ht="18.75" customHeight="1">
      <c r="A53" s="79" t="s">
        <v>155</v>
      </c>
      <c r="B53" s="80"/>
      <c r="D53" s="20" t="s">
        <v>157</v>
      </c>
    </row>
    <row r="54" spans="1:11" s="20" customFormat="1" ht="18.75">
      <c r="A54" s="81"/>
      <c r="B54" s="82"/>
      <c r="D54" s="20" t="s">
        <v>156</v>
      </c>
      <c r="G54" s="25"/>
      <c r="H54" s="26"/>
    </row>
    <row r="55" spans="1:11" s="20" customFormat="1" ht="18.75">
      <c r="D55" s="20" t="s">
        <v>179</v>
      </c>
      <c r="F55" s="27"/>
      <c r="G55" s="25"/>
      <c r="H55" s="28"/>
      <c r="I55" s="25"/>
    </row>
    <row r="56" spans="1:11" s="20" customFormat="1" ht="18.75">
      <c r="F56" s="27"/>
      <c r="G56" s="25"/>
      <c r="H56" s="28"/>
      <c r="I56" s="25"/>
    </row>
    <row r="57" spans="1:11" s="20" customFormat="1" ht="24.75">
      <c r="C57" s="21" t="s">
        <v>204</v>
      </c>
      <c r="G57" s="25"/>
      <c r="H57" s="28"/>
      <c r="I57" s="25"/>
    </row>
    <row r="58" spans="1:11" s="20" customFormat="1" ht="24.75">
      <c r="C58" s="21"/>
      <c r="G58" s="25"/>
      <c r="H58" s="28"/>
      <c r="I58" s="25"/>
    </row>
    <row r="59" spans="1:11" s="20" customFormat="1" ht="24.75">
      <c r="C59" s="21"/>
      <c r="G59" s="25"/>
      <c r="H59" s="28"/>
      <c r="I59" s="25"/>
    </row>
    <row r="60" spans="1:11" s="20" customFormat="1" ht="24.75">
      <c r="C60" s="21"/>
      <c r="G60" s="25"/>
      <c r="H60" s="28"/>
      <c r="I60" s="25"/>
    </row>
    <row r="61" spans="1:11" s="20" customFormat="1" ht="24.75">
      <c r="C61" s="21"/>
      <c r="G61" s="25"/>
      <c r="H61" s="28"/>
      <c r="I61" s="25"/>
    </row>
    <row r="62" spans="1:11" s="20" customFormat="1" ht="24.75">
      <c r="C62" s="21"/>
      <c r="G62" s="25">
        <f>6000-24000/86+0.754*430</f>
        <v>6045.1502325581396</v>
      </c>
      <c r="H62" s="28"/>
      <c r="I62" s="25"/>
    </row>
    <row r="63" spans="1:11" s="20" customFormat="1" ht="24.75">
      <c r="C63" s="21"/>
      <c r="G63" s="25"/>
      <c r="H63" s="28"/>
      <c r="I63" s="25"/>
    </row>
    <row r="64" spans="1:11" s="20" customFormat="1" ht="24.75">
      <c r="C64" s="21"/>
      <c r="G64" s="25"/>
      <c r="H64" s="28"/>
      <c r="I64" s="25"/>
    </row>
    <row r="65" spans="1:9" s="20" customFormat="1" ht="24.75">
      <c r="A65" s="3" t="s">
        <v>198</v>
      </c>
      <c r="B65" s="3"/>
      <c r="C65" s="21"/>
      <c r="G65" s="25"/>
      <c r="H65" s="28"/>
      <c r="I65" s="25"/>
    </row>
    <row r="66" spans="1:9" s="20" customFormat="1" ht="24.75">
      <c r="A66" s="3" t="s">
        <v>73</v>
      </c>
      <c r="B66" s="5">
        <v>300</v>
      </c>
      <c r="C66" s="21"/>
      <c r="D66" s="65"/>
      <c r="E66" s="76" t="s">
        <v>225</v>
      </c>
      <c r="F66" s="77"/>
      <c r="G66" s="25"/>
    </row>
    <row r="67" spans="1:9" s="20" customFormat="1" ht="24.75">
      <c r="A67" s="3" t="s">
        <v>92</v>
      </c>
      <c r="B67" s="5">
        <v>8</v>
      </c>
      <c r="C67" s="21"/>
      <c r="D67" s="65"/>
      <c r="E67" s="17" t="s">
        <v>94</v>
      </c>
      <c r="F67" s="18">
        <f>138710000/10000</f>
        <v>13871</v>
      </c>
      <c r="G67" s="25"/>
    </row>
    <row r="68" spans="1:9" s="20" customFormat="1" ht="24.75">
      <c r="A68" s="3" t="s">
        <v>93</v>
      </c>
      <c r="B68" s="3">
        <f>B66-B67*2</f>
        <v>284</v>
      </c>
      <c r="C68" s="21"/>
      <c r="D68" s="65"/>
      <c r="E68" s="17" t="s">
        <v>95</v>
      </c>
      <c r="F68" s="18">
        <f>92330000/10000</f>
        <v>9233</v>
      </c>
      <c r="G68" s="25"/>
    </row>
    <row r="69" spans="1:9" s="20" customFormat="1" ht="24.75">
      <c r="A69" s="3" t="s">
        <v>22</v>
      </c>
      <c r="B69" s="3">
        <v>360</v>
      </c>
      <c r="C69" s="21"/>
      <c r="D69" s="65"/>
      <c r="E69" s="17" t="s">
        <v>96</v>
      </c>
      <c r="F69" s="50">
        <f>180/10</f>
        <v>18</v>
      </c>
      <c r="G69" s="25"/>
    </row>
    <row r="70" spans="1:9" s="20" customFormat="1" ht="24.75">
      <c r="A70" s="3" t="s">
        <v>214</v>
      </c>
      <c r="B70" s="5">
        <v>8</v>
      </c>
      <c r="C70" s="21"/>
      <c r="D70" s="65"/>
      <c r="E70" s="17" t="s">
        <v>55</v>
      </c>
      <c r="F70" s="18">
        <f>F69</f>
        <v>18</v>
      </c>
      <c r="G70" s="25"/>
    </row>
    <row r="71" spans="1:9" s="20" customFormat="1" ht="24.75">
      <c r="A71" s="3" t="s">
        <v>215</v>
      </c>
      <c r="B71" s="5">
        <f>B69-B70*2</f>
        <v>344</v>
      </c>
      <c r="C71" s="21"/>
      <c r="D71" s="65"/>
      <c r="E71" s="17" t="s">
        <v>97</v>
      </c>
      <c r="F71" s="64">
        <f>9024/100</f>
        <v>90.24</v>
      </c>
      <c r="G71" s="25"/>
    </row>
    <row r="72" spans="1:9" s="20" customFormat="1" ht="24.75">
      <c r="A72" s="20" t="s">
        <v>210</v>
      </c>
      <c r="C72" s="21"/>
      <c r="E72" s="22">
        <f>E13/7</f>
        <v>157.14285714285714</v>
      </c>
      <c r="F72" s="22">
        <f>E13/5</f>
        <v>220</v>
      </c>
      <c r="G72" s="25" t="s">
        <v>61</v>
      </c>
      <c r="H72" s="28"/>
      <c r="I72" s="25"/>
    </row>
    <row r="73" spans="1:9" s="20" customFormat="1" ht="24.75">
      <c r="C73" s="21"/>
      <c r="E73" s="22"/>
      <c r="F73" s="22">
        <v>220</v>
      </c>
      <c r="G73" s="25"/>
      <c r="H73" s="28"/>
      <c r="I73" s="25"/>
    </row>
    <row r="74" spans="1:9" s="20" customFormat="1" ht="18.75">
      <c r="A74" s="20" t="s">
        <v>206</v>
      </c>
      <c r="G74" s="25"/>
      <c r="H74" s="28"/>
      <c r="I74" s="25"/>
    </row>
    <row r="75" spans="1:9" s="20" customFormat="1" ht="18.75">
      <c r="B75" s="20" t="s">
        <v>205</v>
      </c>
      <c r="E75" s="20" t="s">
        <v>209</v>
      </c>
      <c r="F75" s="20">
        <f>F36*(E13-F15)/E13+F37*E13*1.5/2</f>
        <v>6332.8830034090906</v>
      </c>
      <c r="G75" s="25" t="s">
        <v>126</v>
      </c>
      <c r="H75" s="28"/>
      <c r="I75" s="25"/>
    </row>
    <row r="76" spans="1:9" s="20" customFormat="1" ht="18.75">
      <c r="A76" s="20" t="s">
        <v>211</v>
      </c>
      <c r="G76" s="25"/>
      <c r="H76" s="28"/>
      <c r="I76" s="25"/>
    </row>
    <row r="77" spans="1:9" s="20" customFormat="1" ht="18.75">
      <c r="A77" s="20" t="s">
        <v>220</v>
      </c>
      <c r="F77" s="20">
        <f>F75*F73/4</f>
        <v>348308.56518749997</v>
      </c>
      <c r="G77" s="25" t="s">
        <v>212</v>
      </c>
      <c r="H77" s="28"/>
      <c r="I77" s="25"/>
    </row>
    <row r="78" spans="1:9" s="20" customFormat="1" ht="18.75">
      <c r="A78" s="20" t="s">
        <v>213</v>
      </c>
      <c r="G78" s="25"/>
      <c r="H78" s="28"/>
      <c r="I78" s="25"/>
    </row>
    <row r="79" spans="1:9" s="20" customFormat="1" ht="18.75">
      <c r="A79" s="20" t="s">
        <v>216</v>
      </c>
      <c r="F79" s="20">
        <f>F67/F69</f>
        <v>770.61111111111109</v>
      </c>
      <c r="G79" s="25" t="s">
        <v>217</v>
      </c>
      <c r="H79" s="28"/>
      <c r="I79" s="25"/>
    </row>
    <row r="80" spans="1:9" s="20" customFormat="1" ht="18.75">
      <c r="A80" s="20" t="s">
        <v>218</v>
      </c>
      <c r="G80" s="25"/>
      <c r="H80" s="28"/>
      <c r="I80" s="25"/>
    </row>
    <row r="81" spans="1:9" s="20" customFormat="1" ht="18.75">
      <c r="A81" s="24" t="s">
        <v>219</v>
      </c>
      <c r="F81" s="20">
        <f>F77/F79</f>
        <v>451.99006368502631</v>
      </c>
      <c r="G81" s="25" t="s">
        <v>80</v>
      </c>
      <c r="H81" s="28"/>
      <c r="I81" s="25"/>
    </row>
    <row r="82" spans="1:9" s="20" customFormat="1" ht="23.25">
      <c r="A82" s="3" t="s">
        <v>149</v>
      </c>
      <c r="B82" s="3"/>
      <c r="C82" s="3"/>
      <c r="D82" s="3"/>
      <c r="E82" s="60" t="s">
        <v>226</v>
      </c>
      <c r="F82" s="3" t="s">
        <v>151</v>
      </c>
      <c r="G82" s="25"/>
      <c r="H82" s="28"/>
      <c r="I82" s="25"/>
    </row>
    <row r="83" spans="1:9" s="20" customFormat="1" ht="23.25">
      <c r="B83" s="3"/>
      <c r="C83" s="3" t="s">
        <v>228</v>
      </c>
      <c r="D83" s="4" t="s">
        <v>227</v>
      </c>
      <c r="E83" s="60">
        <v>800</v>
      </c>
      <c r="F83" s="3" t="s">
        <v>151</v>
      </c>
      <c r="G83" s="25"/>
      <c r="H83" s="28"/>
      <c r="I83" s="25"/>
    </row>
    <row r="84" spans="1:9" s="20" customFormat="1" ht="18.75">
      <c r="A84" s="46" t="s">
        <v>155</v>
      </c>
      <c r="B84"/>
      <c r="C84" s="47" t="s">
        <v>202</v>
      </c>
      <c r="F84" s="25" t="str">
        <f>IF(F81&lt;E83,"ÑAÏT","KHOÂNGÑAÏT")</f>
        <v>ÑAÏT</v>
      </c>
      <c r="G84" s="25"/>
      <c r="H84" s="28"/>
      <c r="I84" s="25"/>
    </row>
    <row r="85" spans="1:9" s="20" customFormat="1" ht="18.75">
      <c r="A85" s="46"/>
      <c r="B85"/>
      <c r="C85" s="47"/>
      <c r="F85" s="25">
        <f>E83/F81</f>
        <v>1.7699504132406942</v>
      </c>
      <c r="G85" s="25"/>
      <c r="H85" s="28"/>
      <c r="I85" s="25"/>
    </row>
    <row r="86" spans="1:9" ht="36.75" customHeight="1">
      <c r="E86" s="61" t="s">
        <v>229</v>
      </c>
    </row>
    <row r="87" spans="1:9" ht="21">
      <c r="A87" s="3" t="s">
        <v>230</v>
      </c>
      <c r="E87" s="6"/>
    </row>
    <row r="88" spans="1:9" ht="21">
      <c r="A88" s="20" t="s">
        <v>237</v>
      </c>
      <c r="B88" s="20" t="s">
        <v>232</v>
      </c>
      <c r="C88" s="20"/>
      <c r="D88" s="20"/>
      <c r="E88" s="30"/>
      <c r="F88" s="20"/>
      <c r="G88" s="20"/>
    </row>
    <row r="89" spans="1:9" ht="21">
      <c r="A89" s="20"/>
      <c r="B89" s="20" t="s">
        <v>281</v>
      </c>
      <c r="C89" s="20"/>
      <c r="D89" s="20"/>
      <c r="E89" s="30"/>
      <c r="F89" s="20">
        <f>C93/4+C94/4+C94/2/860*C92+C95/4+C95*C92/2/860</f>
        <v>2980.4430232558143</v>
      </c>
      <c r="G89" s="66" t="s">
        <v>126</v>
      </c>
    </row>
    <row r="90" spans="1:9" ht="21">
      <c r="A90" s="20"/>
      <c r="B90" s="20" t="s">
        <v>231</v>
      </c>
      <c r="C90" s="20"/>
      <c r="D90" s="20"/>
      <c r="E90" s="30"/>
      <c r="F90" s="20"/>
      <c r="G90" s="66"/>
    </row>
    <row r="91" spans="1:9" ht="21">
      <c r="A91" s="20"/>
      <c r="B91" s="20" t="s">
        <v>282</v>
      </c>
      <c r="C91" s="20"/>
      <c r="D91" s="66"/>
      <c r="E91" s="30"/>
      <c r="F91" s="20">
        <f>1.2*0.8*F89</f>
        <v>2861.2253023255817</v>
      </c>
      <c r="G91" s="66" t="s">
        <v>245</v>
      </c>
    </row>
    <row r="92" spans="1:9" ht="17.100000000000001" customHeight="1">
      <c r="A92" s="20"/>
      <c r="B92" s="20" t="s">
        <v>72</v>
      </c>
      <c r="C92" s="20">
        <f xml:space="preserve"> 860/2-40</f>
        <v>390</v>
      </c>
      <c r="D92" s="66" t="s">
        <v>61</v>
      </c>
      <c r="E92" s="20"/>
      <c r="F92" s="20"/>
      <c r="G92" s="66"/>
    </row>
    <row r="93" spans="1:9" ht="17.100000000000001" customHeight="1">
      <c r="A93" s="20"/>
      <c r="B93" s="20" t="s">
        <v>234</v>
      </c>
      <c r="C93" s="30">
        <f>92.6*9+300*2</f>
        <v>1433.4</v>
      </c>
      <c r="D93" s="66" t="s">
        <v>243</v>
      </c>
      <c r="E93" s="20"/>
      <c r="F93" s="20"/>
      <c r="G93" s="66"/>
    </row>
    <row r="94" spans="1:9" ht="17.100000000000001" customHeight="1">
      <c r="A94" s="20"/>
      <c r="B94" s="20" t="s">
        <v>235</v>
      </c>
      <c r="C94" s="20">
        <v>500</v>
      </c>
      <c r="D94" s="66" t="s">
        <v>243</v>
      </c>
      <c r="E94" s="20"/>
      <c r="F94" s="20"/>
      <c r="G94" s="66"/>
    </row>
    <row r="95" spans="1:9" ht="17.100000000000001" customHeight="1">
      <c r="A95" s="20"/>
      <c r="B95" s="20" t="s">
        <v>236</v>
      </c>
      <c r="C95" s="20">
        <v>5000</v>
      </c>
      <c r="D95" s="66" t="s">
        <v>243</v>
      </c>
      <c r="E95" s="20"/>
      <c r="F95" s="20"/>
      <c r="G95" s="66"/>
    </row>
    <row r="96" spans="1:9" ht="17.100000000000001" customHeight="1">
      <c r="A96" s="20" t="s">
        <v>237</v>
      </c>
      <c r="B96" s="24" t="s">
        <v>283</v>
      </c>
      <c r="C96" s="20"/>
      <c r="D96" s="20"/>
      <c r="E96" s="20"/>
      <c r="F96" s="20"/>
      <c r="G96" s="66"/>
    </row>
    <row r="97" spans="1:7" ht="17.100000000000001" customHeight="1">
      <c r="A97" s="20" t="s">
        <v>237</v>
      </c>
      <c r="B97" s="20" t="s">
        <v>238</v>
      </c>
      <c r="C97" s="20"/>
      <c r="D97" s="20"/>
      <c r="E97" s="20"/>
      <c r="F97" s="20"/>
      <c r="G97" s="66"/>
    </row>
    <row r="98" spans="1:7" ht="17.100000000000001" customHeight="1">
      <c r="A98" s="20"/>
      <c r="B98" s="20"/>
      <c r="C98" s="20"/>
      <c r="D98" s="20"/>
      <c r="E98" s="20"/>
      <c r="F98" s="20"/>
      <c r="G98" s="66"/>
    </row>
    <row r="99" spans="1:7" ht="17.100000000000001" customHeight="1">
      <c r="A99" s="20"/>
      <c r="B99" s="24" t="s">
        <v>284</v>
      </c>
      <c r="C99" s="20"/>
      <c r="D99" s="20" t="s">
        <v>80</v>
      </c>
      <c r="E99" s="20"/>
      <c r="F99" s="44">
        <f>600*SQRT(F91/C101/C102)</f>
        <v>3761.5045301290611</v>
      </c>
      <c r="G99" s="66" t="s">
        <v>80</v>
      </c>
    </row>
    <row r="100" spans="1:7" ht="17.100000000000001" customHeight="1">
      <c r="A100" s="20"/>
      <c r="B100" s="20" t="s">
        <v>285</v>
      </c>
      <c r="C100" s="20"/>
      <c r="D100" s="20" t="s">
        <v>80</v>
      </c>
      <c r="E100" s="20"/>
      <c r="F100" s="20"/>
      <c r="G100" s="20"/>
    </row>
    <row r="101" spans="1:7" ht="17.100000000000001" customHeight="1">
      <c r="A101" s="20"/>
      <c r="B101" s="20" t="s">
        <v>308</v>
      </c>
      <c r="C101" s="20">
        <v>5.6</v>
      </c>
      <c r="D101" s="20" t="s">
        <v>61</v>
      </c>
      <c r="E101" s="20"/>
      <c r="F101" s="20"/>
      <c r="G101" s="20"/>
    </row>
    <row r="102" spans="1:7" ht="17.100000000000001" customHeight="1">
      <c r="A102" s="20"/>
      <c r="B102" s="20" t="s">
        <v>307</v>
      </c>
      <c r="C102" s="20">
        <v>13</v>
      </c>
      <c r="D102" s="20" t="s">
        <v>61</v>
      </c>
      <c r="E102" s="20"/>
      <c r="F102" s="20"/>
      <c r="G102" s="20"/>
    </row>
    <row r="103" spans="1:7" ht="17.100000000000001" customHeight="1">
      <c r="A103" s="3" t="s">
        <v>246</v>
      </c>
    </row>
    <row r="104" spans="1:7" ht="20.25" customHeight="1">
      <c r="A104" s="20"/>
      <c r="B104" s="20" t="s">
        <v>247</v>
      </c>
      <c r="C104" s="20"/>
      <c r="D104" s="20"/>
      <c r="E104" s="20"/>
      <c r="F104" s="20"/>
    </row>
    <row r="105" spans="1:7" ht="24" customHeight="1">
      <c r="A105" s="20"/>
      <c r="B105" s="20" t="s">
        <v>286</v>
      </c>
      <c r="C105" s="20"/>
      <c r="D105" s="20"/>
      <c r="E105" s="20">
        <f>C106*(C93+C94+C95)*(2*C107+C108*C109)/C110</f>
        <v>97.067599999999999</v>
      </c>
      <c r="F105" s="66" t="s">
        <v>126</v>
      </c>
    </row>
    <row r="106" spans="1:7" ht="17.100000000000001" customHeight="1">
      <c r="A106" s="20"/>
      <c r="B106" s="24" t="s">
        <v>73</v>
      </c>
      <c r="C106" s="20">
        <v>2</v>
      </c>
      <c r="D106" s="20"/>
      <c r="E106" s="20"/>
      <c r="F106" s="20"/>
    </row>
    <row r="107" spans="1:7" ht="17.100000000000001" customHeight="1">
      <c r="A107" s="20"/>
      <c r="B107" s="24" t="s">
        <v>249</v>
      </c>
      <c r="C107" s="20">
        <v>0.05</v>
      </c>
      <c r="D107" s="20"/>
      <c r="E107" s="20"/>
      <c r="F107" s="20"/>
    </row>
    <row r="108" spans="1:7" ht="17.100000000000001" customHeight="1">
      <c r="A108" s="20"/>
      <c r="B108" s="20" t="s">
        <v>250</v>
      </c>
      <c r="C108" s="20">
        <v>0.02</v>
      </c>
      <c r="D108" s="66"/>
      <c r="E108" s="20"/>
      <c r="F108" s="20"/>
    </row>
    <row r="109" spans="1:7" ht="17.100000000000001" customHeight="1">
      <c r="A109" s="20"/>
      <c r="B109" s="20" t="s">
        <v>251</v>
      </c>
      <c r="C109" s="20">
        <v>9</v>
      </c>
      <c r="D109" s="66" t="s">
        <v>61</v>
      </c>
      <c r="E109" s="20"/>
      <c r="F109" s="20"/>
    </row>
    <row r="110" spans="1:7" ht="17.100000000000001" customHeight="1">
      <c r="A110" s="20"/>
      <c r="B110" s="20" t="s">
        <v>252</v>
      </c>
      <c r="C110" s="20">
        <v>40</v>
      </c>
      <c r="D110" s="66" t="s">
        <v>61</v>
      </c>
      <c r="E110" s="20"/>
      <c r="F110" s="20"/>
    </row>
    <row r="111" spans="1:7" ht="17.100000000000001" customHeight="1">
      <c r="A111" s="20"/>
      <c r="B111" s="20"/>
      <c r="C111" s="20"/>
      <c r="D111" s="20"/>
      <c r="E111" s="20"/>
      <c r="F111" s="20"/>
    </row>
    <row r="112" spans="1:7" ht="17.100000000000001" customHeight="1">
      <c r="A112" s="20"/>
      <c r="B112" s="20" t="s">
        <v>253</v>
      </c>
      <c r="C112" s="20"/>
      <c r="D112" s="20"/>
      <c r="E112" s="20"/>
      <c r="F112" s="20"/>
    </row>
    <row r="113" spans="1:6" ht="17.100000000000001" customHeight="1">
      <c r="A113" s="20"/>
      <c r="B113" s="20" t="s">
        <v>287</v>
      </c>
      <c r="C113" s="20"/>
      <c r="D113" s="20"/>
      <c r="E113" s="20">
        <f>C114*(C93+C94+C95)</f>
        <v>20.8002</v>
      </c>
      <c r="F113" s="66" t="s">
        <v>126</v>
      </c>
    </row>
    <row r="114" spans="1:6" ht="17.100000000000001" customHeight="1">
      <c r="A114" s="20"/>
      <c r="B114" s="24" t="s">
        <v>72</v>
      </c>
      <c r="C114" s="20">
        <v>3.0000000000000001E-3</v>
      </c>
      <c r="D114" s="20"/>
      <c r="E114" s="20"/>
      <c r="F114" s="20"/>
    </row>
    <row r="115" spans="1:6" ht="21.75" customHeight="1">
      <c r="A115" s="20"/>
      <c r="B115" s="20" t="s">
        <v>255</v>
      </c>
      <c r="C115" s="20"/>
      <c r="D115" s="20"/>
      <c r="E115" s="20"/>
      <c r="F115" s="20"/>
    </row>
    <row r="116" spans="1:6" ht="21" customHeight="1">
      <c r="A116" s="20"/>
      <c r="B116" s="20" t="s">
        <v>256</v>
      </c>
      <c r="C116" s="20"/>
      <c r="D116" s="20"/>
      <c r="E116" s="67">
        <f>E105+E113</f>
        <v>117.8678</v>
      </c>
      <c r="F116" s="66" t="s">
        <v>126</v>
      </c>
    </row>
    <row r="117" spans="1:6" ht="17.100000000000001" customHeight="1">
      <c r="A117" s="20"/>
      <c r="B117" s="20"/>
      <c r="C117" s="20"/>
      <c r="D117" s="20"/>
      <c r="E117" s="20"/>
      <c r="F117" s="20"/>
    </row>
    <row r="118" spans="1:6" ht="24.75" customHeight="1">
      <c r="B118" s="3" t="s">
        <v>257</v>
      </c>
    </row>
    <row r="119" spans="1:6" ht="25.5" customHeight="1">
      <c r="A119" s="20"/>
      <c r="B119" s="20" t="s">
        <v>288</v>
      </c>
      <c r="C119" s="20"/>
      <c r="D119" s="20"/>
      <c r="E119" s="44">
        <f>E116*C120/(60*102*C121)</f>
        <v>0.90632679738562105</v>
      </c>
      <c r="F119" s="66" t="s">
        <v>261</v>
      </c>
    </row>
    <row r="120" spans="1:6" ht="17.100000000000001" customHeight="1">
      <c r="A120" s="20"/>
      <c r="B120" s="20" t="s">
        <v>258</v>
      </c>
      <c r="C120" s="20">
        <v>40</v>
      </c>
      <c r="D120" s="66" t="s">
        <v>260</v>
      </c>
      <c r="E120" s="20"/>
      <c r="F120" s="20" t="s">
        <v>292</v>
      </c>
    </row>
    <row r="121" spans="1:6" ht="17.100000000000001" customHeight="1">
      <c r="A121" s="20"/>
      <c r="B121" s="24" t="s">
        <v>289</v>
      </c>
      <c r="C121" s="20">
        <v>0.85</v>
      </c>
      <c r="D121" s="20"/>
      <c r="E121" s="20"/>
      <c r="F121" s="20"/>
    </row>
    <row r="122" spans="1:6" ht="17.100000000000001" customHeight="1">
      <c r="A122" s="20"/>
      <c r="B122" s="20"/>
      <c r="C122" s="20"/>
      <c r="D122" s="20"/>
      <c r="E122" s="20"/>
      <c r="F122" s="20"/>
    </row>
    <row r="123" spans="1:6" ht="17.100000000000001" customHeight="1">
      <c r="A123" s="3" t="s">
        <v>263</v>
      </c>
    </row>
    <row r="124" spans="1:6" ht="20.100000000000001" customHeight="1">
      <c r="A124" s="20"/>
      <c r="B124" s="20" t="s">
        <v>264</v>
      </c>
      <c r="C124" s="20"/>
      <c r="D124" s="20"/>
      <c r="E124" s="20"/>
      <c r="F124" s="20"/>
    </row>
    <row r="125" spans="1:6" ht="20.100000000000001" customHeight="1">
      <c r="A125" s="20"/>
      <c r="B125" s="20" t="s">
        <v>265</v>
      </c>
      <c r="C125" s="20"/>
      <c r="D125" s="20"/>
      <c r="E125" s="20">
        <f>F89*C126</f>
        <v>4470.664534883721</v>
      </c>
      <c r="F125" s="66" t="s">
        <v>126</v>
      </c>
    </row>
    <row r="126" spans="1:6" ht="20.100000000000001" customHeight="1">
      <c r="A126" s="20"/>
      <c r="B126" s="20" t="s">
        <v>266</v>
      </c>
      <c r="C126" s="20">
        <v>1.5</v>
      </c>
      <c r="D126" s="20"/>
      <c r="E126" s="20"/>
      <c r="F126" s="20"/>
    </row>
    <row r="127" spans="1:6" ht="20.100000000000001" customHeight="1">
      <c r="A127" s="20"/>
      <c r="B127" s="20" t="s">
        <v>267</v>
      </c>
      <c r="C127" s="20"/>
      <c r="D127" s="20"/>
      <c r="E127" s="20"/>
      <c r="F127" s="20"/>
    </row>
    <row r="128" spans="1:6" ht="20.100000000000001" customHeight="1">
      <c r="A128" s="20"/>
      <c r="B128" s="20" t="s">
        <v>268</v>
      </c>
      <c r="C128" s="20"/>
      <c r="D128" s="20"/>
      <c r="E128" s="44">
        <f>E125*C129/4</f>
        <v>27382.820276162791</v>
      </c>
      <c r="F128" s="66" t="s">
        <v>64</v>
      </c>
    </row>
    <row r="129" spans="1:6" ht="20.100000000000001" customHeight="1">
      <c r="A129" s="20"/>
      <c r="B129" s="20" t="s">
        <v>269</v>
      </c>
      <c r="C129" s="20">
        <v>24.5</v>
      </c>
      <c r="D129" s="66" t="s">
        <v>61</v>
      </c>
      <c r="E129" s="20"/>
      <c r="F129" s="20"/>
    </row>
    <row r="130" spans="1:6" ht="20.100000000000001" customHeight="1">
      <c r="A130" s="20"/>
      <c r="B130" s="20"/>
      <c r="C130" s="20"/>
      <c r="D130" s="20"/>
      <c r="E130" s="20"/>
      <c r="F130" s="20"/>
    </row>
    <row r="131" spans="1:6" ht="20.100000000000001" customHeight="1">
      <c r="A131" s="20"/>
      <c r="B131" s="20" t="s">
        <v>271</v>
      </c>
      <c r="C131" s="20"/>
      <c r="D131" s="20"/>
      <c r="E131" s="20"/>
      <c r="F131" s="20"/>
    </row>
    <row r="132" spans="1:6" ht="25.5" customHeight="1">
      <c r="A132" s="20"/>
      <c r="B132" s="20" t="s">
        <v>272</v>
      </c>
      <c r="C132" s="20"/>
      <c r="D132" s="20"/>
      <c r="E132" s="20">
        <f>9550*1.5/1450</f>
        <v>9.8793103448275854</v>
      </c>
      <c r="F132" s="66" t="s">
        <v>64</v>
      </c>
    </row>
    <row r="133" spans="1:6" ht="20.100000000000001" customHeight="1">
      <c r="A133" s="20"/>
      <c r="B133" s="20"/>
      <c r="C133" s="20"/>
      <c r="D133" s="20"/>
      <c r="E133" s="20"/>
      <c r="F133" s="20"/>
    </row>
    <row r="134" spans="1:6" ht="20.100000000000001" customHeight="1">
      <c r="A134" s="20"/>
      <c r="B134" s="20" t="s">
        <v>270</v>
      </c>
      <c r="C134" s="20"/>
      <c r="D134" s="20"/>
      <c r="E134" s="20"/>
      <c r="F134" s="20"/>
    </row>
    <row r="135" spans="1:6" ht="20.100000000000001" customHeight="1">
      <c r="A135" s="20"/>
      <c r="B135" s="20" t="s">
        <v>273</v>
      </c>
      <c r="C135" s="20"/>
      <c r="D135" s="20"/>
      <c r="E135" s="44">
        <f>1.8*E132</f>
        <v>17.782758620689656</v>
      </c>
      <c r="F135" s="66" t="s">
        <v>64</v>
      </c>
    </row>
    <row r="136" spans="1:6" ht="20.100000000000001" customHeight="1">
      <c r="A136" s="20"/>
      <c r="B136" s="20"/>
      <c r="C136" s="20"/>
      <c r="D136" s="20"/>
      <c r="E136" s="20"/>
      <c r="F136" s="20"/>
    </row>
    <row r="137" spans="1:6" ht="20.100000000000001" customHeight="1">
      <c r="A137" s="20"/>
      <c r="B137" s="27" t="s">
        <v>274</v>
      </c>
      <c r="C137" s="27"/>
      <c r="D137" s="27"/>
      <c r="E137" s="27"/>
      <c r="F137" s="20"/>
    </row>
    <row r="138" spans="1:6" ht="20.100000000000001" customHeight="1">
      <c r="A138" s="20"/>
      <c r="B138" s="27" t="s">
        <v>275</v>
      </c>
      <c r="C138" s="27"/>
      <c r="D138" s="27"/>
      <c r="E138" s="27">
        <f>SQRT(E128^2+1*E135^2)</f>
        <v>27382.826050339223</v>
      </c>
      <c r="F138" s="66" t="s">
        <v>64</v>
      </c>
    </row>
    <row r="139" spans="1:6" ht="20.100000000000001" customHeight="1">
      <c r="A139" s="20"/>
      <c r="B139" s="20" t="s">
        <v>276</v>
      </c>
      <c r="C139" s="20"/>
      <c r="D139" s="20"/>
      <c r="E139" s="20"/>
      <c r="F139" s="20"/>
    </row>
    <row r="140" spans="1:6" ht="20.100000000000001" customHeight="1">
      <c r="A140" s="20"/>
      <c r="B140" s="20" t="s">
        <v>290</v>
      </c>
      <c r="C140" s="20">
        <f>2500/1.5/2.5</f>
        <v>666.66666666666674</v>
      </c>
      <c r="D140" s="66" t="s">
        <v>80</v>
      </c>
      <c r="E140" s="20"/>
      <c r="F140" s="20"/>
    </row>
    <row r="141" spans="1:6" ht="17.100000000000001" customHeight="1">
      <c r="A141" s="20"/>
      <c r="B141" s="20"/>
      <c r="C141" s="20"/>
      <c r="D141" s="20"/>
      <c r="E141" s="20"/>
      <c r="F141" s="20"/>
    </row>
    <row r="142" spans="1:6" ht="17.100000000000001" customHeight="1">
      <c r="A142" s="20"/>
      <c r="B142" s="20" t="s">
        <v>291</v>
      </c>
      <c r="C142" s="20"/>
      <c r="D142" s="20"/>
      <c r="E142" s="20">
        <f>E138/0.1/C140</f>
        <v>410.74239075508825</v>
      </c>
      <c r="F142" s="20"/>
    </row>
    <row r="143" spans="1:6" ht="17.100000000000001" customHeight="1">
      <c r="A143" s="20"/>
      <c r="B143" s="20"/>
      <c r="C143" s="20"/>
      <c r="D143" s="20"/>
      <c r="E143" s="44">
        <v>7.4329999999999998</v>
      </c>
      <c r="F143" s="66" t="s">
        <v>61</v>
      </c>
    </row>
  </sheetData>
  <mergeCells count="5">
    <mergeCell ref="E66:F66"/>
    <mergeCell ref="F22:G22"/>
    <mergeCell ref="I22:J22"/>
    <mergeCell ref="A48:B49"/>
    <mergeCell ref="A53:B54"/>
  </mergeCells>
  <phoneticPr fontId="1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AutoCAD.Drawing.15" shapeId="7169" r:id="rId3">
          <objectPr defaultSize="0" autoPict="0" r:id="rId4">
            <anchor moveWithCells="1">
              <from>
                <xdr:col>4</xdr:col>
                <xdr:colOff>895350</xdr:colOff>
                <xdr:row>3</xdr:row>
                <xdr:rowOff>171450</xdr:rowOff>
              </from>
              <to>
                <xdr:col>5</xdr:col>
                <xdr:colOff>1295400</xdr:colOff>
                <xdr:row>11</xdr:row>
                <xdr:rowOff>95250</xdr:rowOff>
              </to>
            </anchor>
          </objectPr>
        </oleObject>
      </mc:Choice>
      <mc:Fallback>
        <oleObject progId="AutoCAD.Drawing.15" shapeId="7169" r:id="rId3"/>
      </mc:Fallback>
    </mc:AlternateContent>
    <mc:AlternateContent xmlns:mc="http://schemas.openxmlformats.org/markup-compatibility/2006">
      <mc:Choice Requires="x14">
        <oleObject progId="AutoCAD.Drawing.15" shapeId="7170" r:id="rId5">
          <objectPr defaultSize="0" autoPict="0" r:id="rId6">
            <anchor moveWithCells="1">
              <from>
                <xdr:col>0</xdr:col>
                <xdr:colOff>19050</xdr:colOff>
                <xdr:row>57</xdr:row>
                <xdr:rowOff>161925</xdr:rowOff>
              </from>
              <to>
                <xdr:col>5</xdr:col>
                <xdr:colOff>1409700</xdr:colOff>
                <xdr:row>63</xdr:row>
                <xdr:rowOff>200025</xdr:rowOff>
              </to>
            </anchor>
          </objectPr>
        </oleObject>
      </mc:Choice>
      <mc:Fallback>
        <oleObject progId="AutoCAD.Drawing.15" shapeId="7170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3"/>
  <sheetViews>
    <sheetView workbookViewId="0">
      <selection activeCell="F52" sqref="F52"/>
    </sheetView>
  </sheetViews>
  <sheetFormatPr defaultRowHeight="17.100000000000001" customHeight="1"/>
  <cols>
    <col min="1" max="1" width="7.7109375" style="3" customWidth="1"/>
    <col min="2" max="2" width="17.140625" style="3" customWidth="1"/>
    <col min="3" max="3" width="20.42578125" style="3" customWidth="1"/>
    <col min="4" max="4" width="16" style="3" customWidth="1"/>
    <col min="5" max="5" width="27.7109375" style="3" customWidth="1"/>
    <col min="6" max="6" width="31.140625" style="3" customWidth="1"/>
    <col min="7" max="7" width="18.85546875" style="3" customWidth="1"/>
    <col min="8" max="8" width="30.7109375" style="3" customWidth="1"/>
    <col min="9" max="9" width="26.5703125" style="3" customWidth="1"/>
    <col min="10" max="10" width="13.42578125" style="3" customWidth="1"/>
    <col min="11" max="11" width="9.140625" style="3"/>
    <col min="12" max="12" width="17.140625" style="3" bestFit="1" customWidth="1"/>
    <col min="13" max="13" width="19.28515625" style="3" bestFit="1" customWidth="1"/>
    <col min="14" max="16384" width="9.140625" style="3"/>
  </cols>
  <sheetData>
    <row r="1" spans="1:7" ht="28.5" customHeight="1">
      <c r="C1" s="3" t="s">
        <v>186</v>
      </c>
    </row>
    <row r="2" spans="1:7" ht="20.100000000000001" customHeight="1">
      <c r="C2" s="3" t="s">
        <v>58</v>
      </c>
    </row>
    <row r="3" spans="1:7" ht="17.100000000000001" customHeight="1">
      <c r="A3" s="20"/>
    </row>
    <row r="4" spans="1:7" ht="17.100000000000001" customHeight="1">
      <c r="A4" s="20"/>
    </row>
    <row r="5" spans="1:7" ht="27.95" customHeight="1">
      <c r="B5" s="45"/>
      <c r="C5" s="56"/>
      <c r="D5" s="10"/>
    </row>
    <row r="6" spans="1:7" ht="27.95" customHeight="1">
      <c r="B6" s="45"/>
      <c r="C6" s="56"/>
      <c r="D6" s="10"/>
    </row>
    <row r="7" spans="1:7" ht="27.95" customHeight="1">
      <c r="B7" s="45"/>
      <c r="C7" s="56"/>
      <c r="E7" s="32"/>
    </row>
    <row r="8" spans="1:7" ht="27.95" customHeight="1">
      <c r="B8" s="45"/>
      <c r="C8" s="56"/>
      <c r="D8" s="16"/>
    </row>
    <row r="9" spans="1:7" ht="27.95" customHeight="1">
      <c r="B9" s="45"/>
      <c r="C9" s="56"/>
      <c r="D9" s="37"/>
    </row>
    <row r="10" spans="1:7" ht="27.95" customHeight="1">
      <c r="B10" s="11"/>
      <c r="D10" s="37"/>
      <c r="G10" s="3">
        <f>12000-1400</f>
        <v>10600</v>
      </c>
    </row>
    <row r="11" spans="1:7" ht="27.95" customHeight="1">
      <c r="B11" s="11"/>
      <c r="D11" s="37"/>
      <c r="G11" s="3">
        <f>10000-1400</f>
        <v>8600</v>
      </c>
    </row>
    <row r="12" spans="1:7" ht="27.95" customHeight="1">
      <c r="B12" s="11"/>
      <c r="D12" s="37"/>
    </row>
    <row r="13" spans="1:7" ht="21">
      <c r="A13" s="3" t="s">
        <v>99</v>
      </c>
      <c r="E13" s="5">
        <f>10500/10</f>
        <v>1050</v>
      </c>
      <c r="F13" s="3" t="s">
        <v>61</v>
      </c>
    </row>
    <row r="14" spans="1:7" ht="21">
      <c r="A14" s="3" t="s">
        <v>115</v>
      </c>
      <c r="E14" s="39">
        <f>E13/700</f>
        <v>1.5</v>
      </c>
      <c r="F14" s="3" t="s">
        <v>61</v>
      </c>
    </row>
    <row r="15" spans="1:7" ht="21">
      <c r="A15" s="3" t="s">
        <v>207</v>
      </c>
      <c r="E15" s="39"/>
      <c r="F15" s="3">
        <v>50</v>
      </c>
      <c r="G15" s="3" t="s">
        <v>208</v>
      </c>
    </row>
    <row r="16" spans="1:7" ht="22.5">
      <c r="A16" s="3" t="s">
        <v>116</v>
      </c>
      <c r="E16" s="39"/>
    </row>
    <row r="17" spans="1:11" ht="23.25">
      <c r="A17" s="3" t="s">
        <v>150</v>
      </c>
      <c r="E17" s="9">
        <f>2.1*10^6</f>
        <v>2100000</v>
      </c>
      <c r="F17" s="3" t="s">
        <v>151</v>
      </c>
      <c r="G17" s="3" t="s">
        <v>140</v>
      </c>
    </row>
    <row r="18" spans="1:11" ht="23.25">
      <c r="A18" s="3" t="s">
        <v>149</v>
      </c>
      <c r="E18" s="9">
        <v>1600</v>
      </c>
      <c r="F18" s="3" t="s">
        <v>151</v>
      </c>
      <c r="G18" s="3" t="s">
        <v>140</v>
      </c>
    </row>
    <row r="19" spans="1:11" ht="21">
      <c r="A19" s="3" t="s">
        <v>117</v>
      </c>
    </row>
    <row r="20" spans="1:11" ht="21">
      <c r="A20" s="3" t="s">
        <v>280</v>
      </c>
    </row>
    <row r="21" spans="1:11" ht="20.100000000000001" customHeight="1">
      <c r="A21" s="5"/>
      <c r="F21" s="7"/>
      <c r="G21" s="5"/>
      <c r="H21" s="4"/>
      <c r="J21" s="53"/>
      <c r="K21" s="54"/>
    </row>
    <row r="22" spans="1:11" ht="24.95" customHeight="1">
      <c r="F22" s="76" t="s">
        <v>225</v>
      </c>
      <c r="G22" s="77"/>
      <c r="I22" s="78"/>
      <c r="J22" s="78"/>
    </row>
    <row r="23" spans="1:11" ht="20.100000000000001" customHeight="1">
      <c r="A23" s="5"/>
      <c r="F23" s="17" t="s">
        <v>94</v>
      </c>
      <c r="G23" s="18">
        <f>708800000/10000</f>
        <v>70880</v>
      </c>
      <c r="I23" s="53"/>
      <c r="J23" s="54"/>
    </row>
    <row r="24" spans="1:11" ht="20.100000000000001" customHeight="1">
      <c r="F24" s="17" t="s">
        <v>95</v>
      </c>
      <c r="G24" s="18">
        <f>18365000/10000</f>
        <v>1836.5</v>
      </c>
      <c r="H24" s="6"/>
      <c r="I24" s="53"/>
      <c r="J24" s="54"/>
    </row>
    <row r="25" spans="1:11" ht="20.100000000000001" customHeight="1">
      <c r="F25" s="17" t="s">
        <v>96</v>
      </c>
      <c r="G25" s="58">
        <f>160.8/10</f>
        <v>16.080000000000002</v>
      </c>
      <c r="I25" s="53"/>
      <c r="J25" s="54"/>
    </row>
    <row r="26" spans="1:11" ht="20.100000000000001" customHeight="1">
      <c r="F26" s="17" t="s">
        <v>224</v>
      </c>
      <c r="G26" s="58">
        <f>311.8/10</f>
        <v>31.18</v>
      </c>
      <c r="H26" s="32">
        <f>20/2</f>
        <v>10</v>
      </c>
      <c r="I26" s="53"/>
      <c r="J26" s="54"/>
    </row>
    <row r="27" spans="1:11" ht="20.100000000000001" customHeight="1">
      <c r="F27" s="17" t="s">
        <v>97</v>
      </c>
      <c r="G27" s="58">
        <f>12639/100</f>
        <v>126.39</v>
      </c>
      <c r="I27" s="53"/>
      <c r="J27" s="54"/>
    </row>
    <row r="28" spans="1:11" ht="27.75" customHeight="1">
      <c r="C28" s="3" t="s">
        <v>57</v>
      </c>
      <c r="E28" s="6"/>
    </row>
    <row r="29" spans="1:11" ht="21">
      <c r="A29" s="3" t="s">
        <v>104</v>
      </c>
      <c r="E29" s="6"/>
    </row>
    <row r="30" spans="1:11" s="20" customFormat="1" ht="18.75">
      <c r="B30" s="20" t="s">
        <v>105</v>
      </c>
      <c r="H30" s="30"/>
      <c r="I30" s="22"/>
      <c r="J30" s="22"/>
      <c r="K30" s="22"/>
    </row>
    <row r="31" spans="1:11" s="20" customFormat="1" ht="18.75">
      <c r="A31" s="20" t="s">
        <v>120</v>
      </c>
      <c r="H31" s="31"/>
      <c r="I31" s="22"/>
      <c r="J31" s="22"/>
      <c r="K31" s="22"/>
    </row>
    <row r="32" spans="1:11" s="20" customFormat="1" ht="18.75">
      <c r="B32" s="27" t="s">
        <v>161</v>
      </c>
      <c r="E32" s="20" t="s">
        <v>146</v>
      </c>
      <c r="H32" s="31"/>
      <c r="I32" s="22"/>
      <c r="J32" s="22"/>
      <c r="K32" s="22"/>
    </row>
    <row r="33" spans="1:11" s="20" customFormat="1" ht="18.75">
      <c r="B33" s="27" t="s">
        <v>162</v>
      </c>
      <c r="E33" s="20" t="s">
        <v>146</v>
      </c>
      <c r="H33" s="31"/>
      <c r="I33" s="22"/>
      <c r="J33" s="22"/>
      <c r="K33" s="22"/>
    </row>
    <row r="34" spans="1:11" s="20" customFormat="1" ht="20.25">
      <c r="A34" s="20" t="s">
        <v>119</v>
      </c>
      <c r="E34" s="20" t="s">
        <v>0</v>
      </c>
      <c r="F34" s="59">
        <f>G27</f>
        <v>126.39</v>
      </c>
      <c r="G34" s="20" t="s">
        <v>121</v>
      </c>
      <c r="H34" s="31"/>
      <c r="I34" s="22"/>
      <c r="J34" s="22"/>
      <c r="K34" s="22"/>
    </row>
    <row r="35" spans="1:11" s="20" customFormat="1" ht="18.75">
      <c r="A35" s="20" t="s">
        <v>122</v>
      </c>
      <c r="B35" s="30"/>
      <c r="E35" s="20" t="s">
        <v>123</v>
      </c>
      <c r="F35" s="30">
        <f>E13</f>
        <v>1050</v>
      </c>
      <c r="G35" s="30" t="s">
        <v>61</v>
      </c>
      <c r="H35" s="31"/>
      <c r="I35" s="22"/>
      <c r="J35" s="22"/>
      <c r="K35" s="22"/>
    </row>
    <row r="36" spans="1:11" s="20" customFormat="1" ht="18.75">
      <c r="A36" s="20" t="s">
        <v>124</v>
      </c>
      <c r="B36" s="30"/>
      <c r="E36" s="20" t="s">
        <v>125</v>
      </c>
      <c r="F36" s="30">
        <f>(6+0.5)*1000</f>
        <v>6500</v>
      </c>
      <c r="G36" s="20" t="s">
        <v>126</v>
      </c>
      <c r="H36" s="31"/>
      <c r="I36" s="22"/>
      <c r="J36" s="22"/>
      <c r="K36" s="22"/>
    </row>
    <row r="37" spans="1:11" s="20" customFormat="1" ht="18.75">
      <c r="A37" s="20" t="s">
        <v>127</v>
      </c>
      <c r="B37" s="30"/>
      <c r="E37" s="20" t="s">
        <v>128</v>
      </c>
      <c r="F37" s="38">
        <f>F34*0.000001*7850</f>
        <v>0.99216149999999992</v>
      </c>
      <c r="G37" s="20" t="s">
        <v>129</v>
      </c>
      <c r="H37" s="31"/>
      <c r="I37" s="22"/>
      <c r="J37" s="22"/>
      <c r="K37" s="22"/>
    </row>
    <row r="38" spans="1:11" s="20" customFormat="1" ht="20.25">
      <c r="A38" s="20" t="s">
        <v>130</v>
      </c>
      <c r="B38" s="30"/>
      <c r="E38" s="20" t="s">
        <v>131</v>
      </c>
      <c r="F38" s="30">
        <f>G23</f>
        <v>70880</v>
      </c>
      <c r="G38" s="20" t="s">
        <v>132</v>
      </c>
      <c r="H38" s="31"/>
      <c r="I38" s="22"/>
      <c r="J38" s="22"/>
      <c r="K38" s="22"/>
    </row>
    <row r="39" spans="1:11" s="20" customFormat="1" ht="20.25">
      <c r="A39" s="20" t="s">
        <v>133</v>
      </c>
      <c r="B39" s="30"/>
      <c r="E39" s="20" t="s">
        <v>134</v>
      </c>
      <c r="F39" s="59">
        <f>F38/G26</f>
        <v>2273.2520846696602</v>
      </c>
      <c r="G39" s="20" t="s">
        <v>135</v>
      </c>
      <c r="H39" s="68"/>
      <c r="I39" s="22"/>
      <c r="J39" s="22"/>
      <c r="K39" s="22"/>
    </row>
    <row r="40" spans="1:11" s="20" customFormat="1" ht="20.25">
      <c r="A40" s="20" t="s">
        <v>136</v>
      </c>
      <c r="B40" s="30"/>
      <c r="E40" s="20" t="s">
        <v>138</v>
      </c>
      <c r="F40" s="59">
        <f>G24</f>
        <v>1836.5</v>
      </c>
      <c r="G40" s="20" t="s">
        <v>132</v>
      </c>
      <c r="H40" s="31"/>
      <c r="I40" s="22"/>
      <c r="J40" s="22"/>
      <c r="K40" s="22"/>
    </row>
    <row r="41" spans="1:11" s="20" customFormat="1" ht="20.25">
      <c r="A41" s="20" t="s">
        <v>137</v>
      </c>
      <c r="B41" s="30"/>
      <c r="E41" s="20" t="s">
        <v>139</v>
      </c>
      <c r="F41" s="59">
        <f>F40/H26</f>
        <v>183.65</v>
      </c>
      <c r="G41" s="20" t="s">
        <v>135</v>
      </c>
      <c r="H41" s="31"/>
      <c r="I41" s="22"/>
      <c r="J41" s="22"/>
      <c r="K41" s="22"/>
    </row>
    <row r="42" spans="1:11" s="20" customFormat="1" ht="20.25">
      <c r="A42" s="20" t="s">
        <v>107</v>
      </c>
      <c r="B42" s="30"/>
      <c r="E42" s="20" t="s">
        <v>141</v>
      </c>
      <c r="F42" s="59">
        <f>F37*F35^2/8</f>
        <v>136732.25671875</v>
      </c>
      <c r="G42" s="20" t="s">
        <v>64</v>
      </c>
      <c r="H42" s="31"/>
      <c r="I42" s="22"/>
      <c r="J42" s="22"/>
      <c r="K42" s="22"/>
    </row>
    <row r="43" spans="1:11" s="20" customFormat="1" ht="18.75">
      <c r="A43" s="20" t="s">
        <v>108</v>
      </c>
      <c r="E43" s="20" t="s">
        <v>142</v>
      </c>
      <c r="F43" s="20">
        <f>F36*F35/4</f>
        <v>1706250</v>
      </c>
      <c r="G43" s="20" t="s">
        <v>64</v>
      </c>
      <c r="H43" s="30"/>
      <c r="I43" s="22"/>
      <c r="J43" s="22"/>
      <c r="K43" s="22"/>
    </row>
    <row r="44" spans="1:11" s="20" customFormat="1" ht="18.75">
      <c r="A44" s="20" t="s">
        <v>109</v>
      </c>
      <c r="E44" s="20" t="s">
        <v>143</v>
      </c>
      <c r="F44" s="59">
        <f>1.05*(F42+1.25*F43)</f>
        <v>2383021.9945546878</v>
      </c>
      <c r="G44" s="20" t="s">
        <v>64</v>
      </c>
      <c r="H44" s="30"/>
      <c r="I44" s="22"/>
      <c r="J44" s="22"/>
      <c r="K44" s="22"/>
    </row>
    <row r="45" spans="1:11" s="20" customFormat="1" ht="18.75">
      <c r="A45" s="20" t="s">
        <v>110</v>
      </c>
      <c r="E45" s="20" t="s">
        <v>144</v>
      </c>
      <c r="F45" s="59">
        <f>0.05*(F42+F43)</f>
        <v>92149.112835937514</v>
      </c>
      <c r="G45" s="20" t="s">
        <v>64</v>
      </c>
      <c r="H45" s="30"/>
      <c r="I45" s="22"/>
      <c r="J45" s="22"/>
      <c r="K45" s="22"/>
    </row>
    <row r="46" spans="1:11" s="20" customFormat="1" ht="20.25">
      <c r="A46" s="20" t="s">
        <v>112</v>
      </c>
      <c r="E46" s="24" t="s">
        <v>145</v>
      </c>
      <c r="F46" s="59">
        <f>F44/F39+F45/F41</f>
        <v>1550.0524497434044</v>
      </c>
      <c r="G46" s="20" t="s">
        <v>69</v>
      </c>
      <c r="H46" s="30"/>
      <c r="I46" s="22"/>
      <c r="J46" s="22"/>
      <c r="K46" s="22"/>
    </row>
    <row r="47" spans="1:11" s="20" customFormat="1" ht="18.75">
      <c r="A47" s="20" t="s">
        <v>147</v>
      </c>
      <c r="E47" s="40" t="s">
        <v>148</v>
      </c>
      <c r="F47" s="42">
        <f>ROUND((E18/F46),2)</f>
        <v>1.03</v>
      </c>
      <c r="H47" s="30"/>
      <c r="I47" s="22"/>
      <c r="J47" s="22"/>
      <c r="K47" s="22"/>
    </row>
    <row r="48" spans="1:11" s="20" customFormat="1" ht="18.75" customHeight="1">
      <c r="A48" s="79" t="s">
        <v>155</v>
      </c>
      <c r="B48" s="80"/>
      <c r="C48" s="47" t="s">
        <v>202</v>
      </c>
      <c r="F48" s="25" t="str">
        <f>IF(F46&lt;E18,"ÑAÏT","KHOÂNGÑAÏT")</f>
        <v>ÑAÏT</v>
      </c>
      <c r="H48" s="30"/>
      <c r="I48" s="22"/>
      <c r="J48" s="22"/>
      <c r="K48" s="22"/>
    </row>
    <row r="49" spans="1:11" s="20" customFormat="1" ht="18.75">
      <c r="A49" s="81"/>
      <c r="B49" s="82"/>
      <c r="C49" s="27"/>
      <c r="H49" s="30">
        <f>1600*38.5</f>
        <v>61600</v>
      </c>
      <c r="I49" s="22"/>
      <c r="J49" s="22"/>
      <c r="K49" s="22"/>
    </row>
    <row r="50" spans="1:11" s="20" customFormat="1" ht="18.75">
      <c r="A50" s="20" t="s">
        <v>113</v>
      </c>
      <c r="B50" s="27"/>
      <c r="H50" s="30"/>
      <c r="I50" s="22"/>
      <c r="J50" s="22"/>
      <c r="K50" s="22"/>
    </row>
    <row r="51" spans="1:11" s="20" customFormat="1" ht="20.25">
      <c r="A51" s="20" t="s">
        <v>152</v>
      </c>
      <c r="B51" s="20" t="s">
        <v>153</v>
      </c>
      <c r="F51" s="41">
        <f>F36*F35^3/(48*E17*F38)+5*F37*F35^4/(384*E17*F38)</f>
        <v>1.1586622854021817</v>
      </c>
      <c r="G51" s="20" t="s">
        <v>61</v>
      </c>
      <c r="H51" s="30"/>
      <c r="I51" s="22"/>
      <c r="J51" s="22"/>
      <c r="K51" s="22"/>
    </row>
    <row r="52" spans="1:11" s="20" customFormat="1" ht="18.75">
      <c r="B52" s="20" t="s">
        <v>154</v>
      </c>
      <c r="E52" s="24"/>
      <c r="F52" s="42">
        <f>ROUND((E14/F51),2)</f>
        <v>1.29</v>
      </c>
      <c r="I52" s="22"/>
      <c r="J52" s="22"/>
      <c r="K52" s="22"/>
    </row>
    <row r="53" spans="1:11" s="20" customFormat="1" ht="18.75" customHeight="1">
      <c r="A53" s="79" t="s">
        <v>155</v>
      </c>
      <c r="B53" s="80"/>
      <c r="D53" s="20" t="s">
        <v>157</v>
      </c>
    </row>
    <row r="54" spans="1:11" s="20" customFormat="1" ht="18.75">
      <c r="A54" s="81"/>
      <c r="B54" s="82"/>
      <c r="D54" s="20" t="s">
        <v>156</v>
      </c>
      <c r="G54" s="25"/>
      <c r="H54" s="26"/>
    </row>
    <row r="55" spans="1:11" s="20" customFormat="1" ht="18.75">
      <c r="D55" s="20" t="s">
        <v>179</v>
      </c>
      <c r="F55" s="27"/>
      <c r="G55" s="25"/>
      <c r="H55" s="28"/>
      <c r="I55" s="25"/>
    </row>
    <row r="56" spans="1:11" s="20" customFormat="1" ht="18.75">
      <c r="F56" s="27"/>
      <c r="G56" s="25"/>
      <c r="H56" s="28"/>
      <c r="I56" s="25"/>
    </row>
    <row r="57" spans="1:11" s="20" customFormat="1" ht="24.75">
      <c r="C57" s="21" t="s">
        <v>204</v>
      </c>
      <c r="G57" s="25"/>
      <c r="H57" s="28"/>
      <c r="I57" s="25"/>
    </row>
    <row r="58" spans="1:11" s="20" customFormat="1" ht="24.75">
      <c r="C58" s="21"/>
      <c r="G58" s="25"/>
      <c r="H58" s="28"/>
      <c r="I58" s="25"/>
    </row>
    <row r="59" spans="1:11" s="20" customFormat="1" ht="24.75">
      <c r="C59" s="21"/>
      <c r="G59" s="25"/>
      <c r="H59" s="28"/>
      <c r="I59" s="25"/>
    </row>
    <row r="60" spans="1:11" s="20" customFormat="1" ht="24.75">
      <c r="C60" s="21"/>
      <c r="G60" s="25"/>
      <c r="H60" s="28"/>
      <c r="I60" s="25"/>
    </row>
    <row r="61" spans="1:11" s="20" customFormat="1" ht="24.75">
      <c r="C61" s="21"/>
      <c r="G61" s="25"/>
      <c r="H61" s="28"/>
      <c r="I61" s="25"/>
    </row>
    <row r="62" spans="1:11" s="20" customFormat="1" ht="24.75">
      <c r="C62" s="21"/>
      <c r="G62" s="25">
        <f>6000-24000/86+0.754*430</f>
        <v>6045.1502325581396</v>
      </c>
      <c r="H62" s="28"/>
      <c r="I62" s="25"/>
    </row>
    <row r="63" spans="1:11" s="20" customFormat="1" ht="24.75">
      <c r="C63" s="21"/>
      <c r="G63" s="25"/>
      <c r="H63" s="28"/>
      <c r="I63" s="25"/>
    </row>
    <row r="64" spans="1:11" s="20" customFormat="1" ht="24.75">
      <c r="C64" s="21"/>
      <c r="G64" s="25"/>
      <c r="H64" s="28"/>
      <c r="I64" s="25"/>
    </row>
    <row r="65" spans="1:9" s="20" customFormat="1" ht="24.75">
      <c r="A65" s="3" t="s">
        <v>198</v>
      </c>
      <c r="B65" s="3"/>
      <c r="C65" s="21"/>
      <c r="G65" s="25"/>
      <c r="H65" s="28"/>
      <c r="I65" s="25"/>
    </row>
    <row r="66" spans="1:9" s="20" customFormat="1" ht="24.75">
      <c r="A66" s="3" t="s">
        <v>73</v>
      </c>
      <c r="B66" s="5">
        <v>300</v>
      </c>
      <c r="C66" s="21"/>
      <c r="D66" s="65"/>
      <c r="E66" s="76" t="s">
        <v>225</v>
      </c>
      <c r="F66" s="77"/>
      <c r="G66" s="25"/>
    </row>
    <row r="67" spans="1:9" s="20" customFormat="1" ht="24.75">
      <c r="A67" s="3" t="s">
        <v>92</v>
      </c>
      <c r="B67" s="5">
        <v>8</v>
      </c>
      <c r="C67" s="21"/>
      <c r="D67" s="65"/>
      <c r="E67" s="17" t="s">
        <v>94</v>
      </c>
      <c r="F67" s="18">
        <f>138710000/10000</f>
        <v>13871</v>
      </c>
      <c r="G67" s="25"/>
    </row>
    <row r="68" spans="1:9" s="20" customFormat="1" ht="24.75">
      <c r="A68" s="3" t="s">
        <v>93</v>
      </c>
      <c r="B68" s="3">
        <f>B66-B67*2</f>
        <v>284</v>
      </c>
      <c r="C68" s="21"/>
      <c r="D68" s="65"/>
      <c r="E68" s="17" t="s">
        <v>95</v>
      </c>
      <c r="F68" s="18">
        <f>92330000/10000</f>
        <v>9233</v>
      </c>
      <c r="G68" s="25"/>
    </row>
    <row r="69" spans="1:9" s="20" customFormat="1" ht="24.75">
      <c r="A69" s="3" t="s">
        <v>22</v>
      </c>
      <c r="B69" s="3">
        <v>360</v>
      </c>
      <c r="C69" s="21"/>
      <c r="D69" s="65"/>
      <c r="E69" s="17" t="s">
        <v>96</v>
      </c>
      <c r="F69" s="50">
        <f>180/10</f>
        <v>18</v>
      </c>
      <c r="G69" s="25"/>
    </row>
    <row r="70" spans="1:9" s="20" customFormat="1" ht="24.75">
      <c r="A70" s="3" t="s">
        <v>214</v>
      </c>
      <c r="B70" s="5">
        <v>8</v>
      </c>
      <c r="C70" s="21"/>
      <c r="D70" s="65"/>
      <c r="E70" s="17" t="s">
        <v>55</v>
      </c>
      <c r="F70" s="18">
        <f>F69</f>
        <v>18</v>
      </c>
      <c r="G70" s="25"/>
    </row>
    <row r="71" spans="1:9" s="20" customFormat="1" ht="24.75">
      <c r="A71" s="3" t="s">
        <v>215</v>
      </c>
      <c r="B71" s="5">
        <f>B69-B70*2</f>
        <v>344</v>
      </c>
      <c r="C71" s="21"/>
      <c r="D71" s="65"/>
      <c r="E71" s="17" t="s">
        <v>97</v>
      </c>
      <c r="F71" s="64">
        <f>9024/100</f>
        <v>90.24</v>
      </c>
      <c r="G71" s="25"/>
    </row>
    <row r="72" spans="1:9" s="20" customFormat="1" ht="24.75">
      <c r="A72" s="20" t="s">
        <v>210</v>
      </c>
      <c r="C72" s="21"/>
      <c r="E72" s="22">
        <f>E13/7</f>
        <v>150</v>
      </c>
      <c r="F72" s="22">
        <f>E13/5</f>
        <v>210</v>
      </c>
      <c r="G72" s="25" t="s">
        <v>61</v>
      </c>
      <c r="H72" s="28"/>
      <c r="I72" s="25"/>
    </row>
    <row r="73" spans="1:9" s="20" customFormat="1" ht="24.75">
      <c r="C73" s="21"/>
      <c r="E73" s="22"/>
      <c r="F73" s="22">
        <v>220</v>
      </c>
      <c r="G73" s="25"/>
      <c r="H73" s="28"/>
      <c r="I73" s="25"/>
    </row>
    <row r="74" spans="1:9" s="20" customFormat="1" ht="18.75">
      <c r="A74" s="20" t="s">
        <v>206</v>
      </c>
      <c r="G74" s="25"/>
      <c r="H74" s="28"/>
      <c r="I74" s="25"/>
    </row>
    <row r="75" spans="1:9" s="20" customFormat="1" ht="18.75">
      <c r="B75" s="20" t="s">
        <v>205</v>
      </c>
      <c r="E75" s="20" t="s">
        <v>209</v>
      </c>
      <c r="F75" s="20">
        <f>F36*(E13-F15)/E13+F37*E13*1.5/2</f>
        <v>6971.8033717261906</v>
      </c>
      <c r="G75" s="25" t="s">
        <v>126</v>
      </c>
      <c r="H75" s="28"/>
      <c r="I75" s="25"/>
    </row>
    <row r="76" spans="1:9" s="20" customFormat="1" ht="18.75">
      <c r="A76" s="20" t="s">
        <v>211</v>
      </c>
      <c r="G76" s="25"/>
      <c r="H76" s="28"/>
      <c r="I76" s="25"/>
    </row>
    <row r="77" spans="1:9" s="20" customFormat="1" ht="18.75">
      <c r="A77" s="20" t="s">
        <v>220</v>
      </c>
      <c r="F77" s="20">
        <f>F75*F73/4</f>
        <v>383449.18544494046</v>
      </c>
      <c r="G77" s="25" t="s">
        <v>212</v>
      </c>
      <c r="H77" s="28"/>
      <c r="I77" s="25"/>
    </row>
    <row r="78" spans="1:9" s="20" customFormat="1" ht="18.75">
      <c r="A78" s="20" t="s">
        <v>213</v>
      </c>
      <c r="G78" s="25"/>
      <c r="H78" s="28"/>
      <c r="I78" s="25"/>
    </row>
    <row r="79" spans="1:9" s="20" customFormat="1" ht="18.75">
      <c r="A79" s="20" t="s">
        <v>216</v>
      </c>
      <c r="F79" s="20">
        <f>F67/F69</f>
        <v>770.61111111111109</v>
      </c>
      <c r="G79" s="25" t="s">
        <v>217</v>
      </c>
      <c r="H79" s="28"/>
      <c r="I79" s="25"/>
    </row>
    <row r="80" spans="1:9" s="20" customFormat="1" ht="18.75">
      <c r="A80" s="20" t="s">
        <v>218</v>
      </c>
      <c r="G80" s="25"/>
      <c r="H80" s="28"/>
      <c r="I80" s="25"/>
    </row>
    <row r="81" spans="1:9" s="20" customFormat="1" ht="18.75">
      <c r="A81" s="24" t="s">
        <v>219</v>
      </c>
      <c r="F81" s="20">
        <f>F77/F79</f>
        <v>497.59104159822135</v>
      </c>
      <c r="G81" s="25" t="s">
        <v>80</v>
      </c>
      <c r="H81" s="28"/>
      <c r="I81" s="25"/>
    </row>
    <row r="82" spans="1:9" s="20" customFormat="1" ht="23.25">
      <c r="A82" s="3" t="s">
        <v>149</v>
      </c>
      <c r="B82" s="3"/>
      <c r="C82" s="3"/>
      <c r="D82" s="3"/>
      <c r="E82" s="60" t="s">
        <v>226</v>
      </c>
      <c r="F82" s="3" t="s">
        <v>151</v>
      </c>
      <c r="G82" s="25"/>
      <c r="H82" s="28"/>
      <c r="I82" s="25"/>
    </row>
    <row r="83" spans="1:9" s="20" customFormat="1" ht="23.25">
      <c r="B83" s="3"/>
      <c r="C83" s="3" t="s">
        <v>228</v>
      </c>
      <c r="D83" s="4" t="s">
        <v>227</v>
      </c>
      <c r="E83" s="60">
        <v>800</v>
      </c>
      <c r="F83" s="3" t="s">
        <v>151</v>
      </c>
      <c r="G83" s="25"/>
      <c r="H83" s="28"/>
      <c r="I83" s="25"/>
    </row>
    <row r="84" spans="1:9" s="20" customFormat="1" ht="18.75">
      <c r="A84" s="46" t="s">
        <v>155</v>
      </c>
      <c r="B84"/>
      <c r="C84" s="47" t="s">
        <v>202</v>
      </c>
      <c r="F84" s="25" t="str">
        <f>IF(F81&lt;E83,"ÑAÏT","KHOÂNGÑAÏT")</f>
        <v>ÑAÏT</v>
      </c>
      <c r="G84" s="25"/>
      <c r="H84" s="28"/>
      <c r="I84" s="25"/>
    </row>
    <row r="85" spans="1:9" s="20" customFormat="1" ht="18.75">
      <c r="A85" s="46"/>
      <c r="B85"/>
      <c r="C85" s="47"/>
      <c r="F85" s="25">
        <f>E83/F81</f>
        <v>1.6077459864037464</v>
      </c>
      <c r="G85" s="25"/>
      <c r="H85" s="28"/>
      <c r="I85" s="25"/>
    </row>
    <row r="86" spans="1:9" ht="36.75" customHeight="1">
      <c r="E86" s="61" t="s">
        <v>229</v>
      </c>
    </row>
    <row r="87" spans="1:9" ht="21">
      <c r="A87" s="3" t="s">
        <v>230</v>
      </c>
      <c r="E87" s="6"/>
    </row>
    <row r="88" spans="1:9" ht="21">
      <c r="A88" s="20" t="s">
        <v>237</v>
      </c>
      <c r="B88" s="20" t="s">
        <v>232</v>
      </c>
      <c r="C88" s="20"/>
      <c r="D88" s="20"/>
      <c r="E88" s="30"/>
      <c r="F88" s="20"/>
      <c r="G88" s="20"/>
    </row>
    <row r="89" spans="1:9" ht="21">
      <c r="A89" s="20"/>
      <c r="B89" s="20" t="s">
        <v>281</v>
      </c>
      <c r="C89" s="20"/>
      <c r="D89" s="20"/>
      <c r="E89" s="30"/>
      <c r="F89" s="20">
        <f>C93/4+C94/4+C94/2/860*C92+C95/4+C95*C92/2/860</f>
        <v>2980.4430232558143</v>
      </c>
      <c r="G89" s="66" t="s">
        <v>126</v>
      </c>
    </row>
    <row r="90" spans="1:9" ht="21">
      <c r="A90" s="20"/>
      <c r="B90" s="20" t="s">
        <v>231</v>
      </c>
      <c r="C90" s="20"/>
      <c r="D90" s="20"/>
      <c r="E90" s="30"/>
      <c r="F90" s="20"/>
      <c r="G90" s="66"/>
    </row>
    <row r="91" spans="1:9" ht="21">
      <c r="A91" s="20"/>
      <c r="B91" s="20" t="s">
        <v>282</v>
      </c>
      <c r="C91" s="20"/>
      <c r="D91" s="66"/>
      <c r="E91" s="30"/>
      <c r="F91" s="20">
        <f>1.2*0.8*F89</f>
        <v>2861.2253023255817</v>
      </c>
      <c r="G91" s="66" t="s">
        <v>245</v>
      </c>
    </row>
    <row r="92" spans="1:9" ht="17.100000000000001" customHeight="1">
      <c r="A92" s="20"/>
      <c r="B92" s="20" t="s">
        <v>72</v>
      </c>
      <c r="C92" s="20">
        <f xml:space="preserve"> 860/2-40</f>
        <v>390</v>
      </c>
      <c r="D92" s="66" t="s">
        <v>61</v>
      </c>
      <c r="E92" s="20"/>
      <c r="F92" s="20"/>
      <c r="G92" s="66"/>
    </row>
    <row r="93" spans="1:9" ht="17.100000000000001" customHeight="1">
      <c r="A93" s="20"/>
      <c r="B93" s="20" t="s">
        <v>234</v>
      </c>
      <c r="C93" s="30">
        <f>92.6*9+300*2</f>
        <v>1433.4</v>
      </c>
      <c r="D93" s="66" t="s">
        <v>243</v>
      </c>
      <c r="E93" s="20"/>
      <c r="F93" s="20"/>
      <c r="G93" s="66"/>
    </row>
    <row r="94" spans="1:9" ht="17.100000000000001" customHeight="1">
      <c r="A94" s="20"/>
      <c r="B94" s="20" t="s">
        <v>235</v>
      </c>
      <c r="C94" s="20">
        <v>500</v>
      </c>
      <c r="D94" s="66" t="s">
        <v>243</v>
      </c>
      <c r="E94" s="20"/>
      <c r="F94" s="20"/>
      <c r="G94" s="66"/>
    </row>
    <row r="95" spans="1:9" ht="17.100000000000001" customHeight="1">
      <c r="A95" s="20"/>
      <c r="B95" s="20" t="s">
        <v>236</v>
      </c>
      <c r="C95" s="20">
        <v>5000</v>
      </c>
      <c r="D95" s="66" t="s">
        <v>243</v>
      </c>
      <c r="E95" s="20"/>
      <c r="F95" s="20"/>
      <c r="G95" s="66"/>
    </row>
    <row r="96" spans="1:9" ht="17.100000000000001" customHeight="1">
      <c r="A96" s="20" t="s">
        <v>237</v>
      </c>
      <c r="B96" s="24" t="s">
        <v>283</v>
      </c>
      <c r="C96" s="20"/>
      <c r="D96" s="20"/>
      <c r="E96" s="20"/>
      <c r="F96" s="20"/>
      <c r="G96" s="66"/>
    </row>
    <row r="97" spans="1:7" ht="17.100000000000001" customHeight="1">
      <c r="A97" s="20" t="s">
        <v>237</v>
      </c>
      <c r="B97" s="20" t="s">
        <v>238</v>
      </c>
      <c r="C97" s="20"/>
      <c r="D97" s="20"/>
      <c r="E97" s="20"/>
      <c r="F97" s="20"/>
      <c r="G97" s="66"/>
    </row>
    <row r="98" spans="1:7" ht="17.100000000000001" customHeight="1">
      <c r="A98" s="20"/>
      <c r="B98" s="20"/>
      <c r="C98" s="20"/>
      <c r="D98" s="20"/>
      <c r="E98" s="20"/>
      <c r="F98" s="20"/>
      <c r="G98" s="66"/>
    </row>
    <row r="99" spans="1:7" ht="17.100000000000001" customHeight="1">
      <c r="A99" s="20"/>
      <c r="B99" s="24" t="s">
        <v>284</v>
      </c>
      <c r="C99" s="20"/>
      <c r="D99" s="20" t="s">
        <v>80</v>
      </c>
      <c r="E99" s="20"/>
      <c r="F99" s="44">
        <f>600*SQRT(F91/5.6/20)</f>
        <v>3032.6219043293117</v>
      </c>
      <c r="G99" s="66" t="s">
        <v>80</v>
      </c>
    </row>
    <row r="100" spans="1:7" ht="17.100000000000001" customHeight="1">
      <c r="A100" s="20"/>
      <c r="B100" s="20" t="s">
        <v>285</v>
      </c>
      <c r="C100" s="20"/>
      <c r="D100" s="20" t="s">
        <v>80</v>
      </c>
      <c r="E100" s="20"/>
      <c r="F100" s="20"/>
      <c r="G100" s="20"/>
    </row>
    <row r="101" spans="1:7" ht="17.100000000000001" customHeight="1">
      <c r="A101" s="20"/>
      <c r="B101" s="20" t="s">
        <v>240</v>
      </c>
      <c r="C101" s="20"/>
      <c r="D101" s="20" t="s">
        <v>61</v>
      </c>
      <c r="E101" s="20"/>
      <c r="F101" s="20"/>
      <c r="G101" s="20"/>
    </row>
    <row r="102" spans="1:7" ht="17.100000000000001" customHeight="1">
      <c r="A102" s="20"/>
      <c r="B102" s="20" t="s">
        <v>241</v>
      </c>
      <c r="C102" s="20"/>
      <c r="D102" s="20" t="s">
        <v>61</v>
      </c>
      <c r="E102" s="20"/>
      <c r="F102" s="20"/>
      <c r="G102" s="20"/>
    </row>
    <row r="103" spans="1:7" ht="17.100000000000001" customHeight="1">
      <c r="A103" s="3" t="s">
        <v>246</v>
      </c>
    </row>
    <row r="104" spans="1:7" ht="20.25" customHeight="1">
      <c r="A104" s="20"/>
      <c r="B104" s="20" t="s">
        <v>247</v>
      </c>
      <c r="C104" s="20"/>
      <c r="D104" s="20"/>
      <c r="E104" s="20"/>
      <c r="F104" s="20"/>
    </row>
    <row r="105" spans="1:7" ht="24" customHeight="1">
      <c r="A105" s="20"/>
      <c r="B105" s="20" t="s">
        <v>286</v>
      </c>
      <c r="C105" s="20"/>
      <c r="D105" s="20"/>
      <c r="E105" s="20">
        <f>C106*(C93+C94+C95)*(2*C107+C108*C109)/C110</f>
        <v>97.067599999999999</v>
      </c>
      <c r="F105" s="66" t="s">
        <v>126</v>
      </c>
    </row>
    <row r="106" spans="1:7" ht="17.100000000000001" customHeight="1">
      <c r="A106" s="20"/>
      <c r="B106" s="24" t="s">
        <v>73</v>
      </c>
      <c r="C106" s="20">
        <v>2</v>
      </c>
      <c r="D106" s="20"/>
      <c r="E106" s="20"/>
      <c r="F106" s="20"/>
    </row>
    <row r="107" spans="1:7" ht="17.100000000000001" customHeight="1">
      <c r="A107" s="20"/>
      <c r="B107" s="24" t="s">
        <v>249</v>
      </c>
      <c r="C107" s="20">
        <v>0.05</v>
      </c>
      <c r="D107" s="20"/>
      <c r="E107" s="20"/>
      <c r="F107" s="20"/>
    </row>
    <row r="108" spans="1:7" ht="17.100000000000001" customHeight="1">
      <c r="A108" s="20"/>
      <c r="B108" s="20" t="s">
        <v>250</v>
      </c>
      <c r="C108" s="20">
        <v>0.02</v>
      </c>
      <c r="D108" s="66"/>
      <c r="E108" s="20"/>
      <c r="F108" s="20"/>
    </row>
    <row r="109" spans="1:7" ht="17.100000000000001" customHeight="1">
      <c r="A109" s="20"/>
      <c r="B109" s="20" t="s">
        <v>251</v>
      </c>
      <c r="C109" s="20">
        <v>9</v>
      </c>
      <c r="D109" s="66" t="s">
        <v>61</v>
      </c>
      <c r="E109" s="20"/>
      <c r="F109" s="20"/>
    </row>
    <row r="110" spans="1:7" ht="17.100000000000001" customHeight="1">
      <c r="A110" s="20"/>
      <c r="B110" s="20" t="s">
        <v>252</v>
      </c>
      <c r="C110" s="20">
        <v>40</v>
      </c>
      <c r="D110" s="66" t="s">
        <v>61</v>
      </c>
      <c r="E110" s="20"/>
      <c r="F110" s="20"/>
    </row>
    <row r="111" spans="1:7" ht="17.100000000000001" customHeight="1">
      <c r="A111" s="20"/>
      <c r="B111" s="20"/>
      <c r="C111" s="20"/>
      <c r="D111" s="20"/>
      <c r="E111" s="20"/>
      <c r="F111" s="20"/>
    </row>
    <row r="112" spans="1:7" ht="17.100000000000001" customHeight="1">
      <c r="A112" s="20"/>
      <c r="B112" s="20" t="s">
        <v>253</v>
      </c>
      <c r="C112" s="20"/>
      <c r="D112" s="20"/>
      <c r="E112" s="20"/>
      <c r="F112" s="20"/>
    </row>
    <row r="113" spans="1:6" ht="17.100000000000001" customHeight="1">
      <c r="A113" s="20"/>
      <c r="B113" s="20" t="s">
        <v>287</v>
      </c>
      <c r="C113" s="20"/>
      <c r="D113" s="20"/>
      <c r="E113" s="20">
        <f>C114*(C93+C94+C95)</f>
        <v>20.8002</v>
      </c>
      <c r="F113" s="66" t="s">
        <v>126</v>
      </c>
    </row>
    <row r="114" spans="1:6" ht="17.100000000000001" customHeight="1">
      <c r="A114" s="20"/>
      <c r="B114" s="24" t="s">
        <v>72</v>
      </c>
      <c r="C114" s="20">
        <v>3.0000000000000001E-3</v>
      </c>
      <c r="D114" s="20"/>
      <c r="E114" s="20"/>
      <c r="F114" s="20"/>
    </row>
    <row r="115" spans="1:6" ht="21.75" customHeight="1">
      <c r="A115" s="20"/>
      <c r="B115" s="20" t="s">
        <v>255</v>
      </c>
      <c r="C115" s="20"/>
      <c r="D115" s="20"/>
      <c r="E115" s="20"/>
      <c r="F115" s="20"/>
    </row>
    <row r="116" spans="1:6" ht="21" customHeight="1">
      <c r="A116" s="20"/>
      <c r="B116" s="20" t="s">
        <v>256</v>
      </c>
      <c r="C116" s="20"/>
      <c r="D116" s="20"/>
      <c r="E116" s="67">
        <f>E105+E113</f>
        <v>117.8678</v>
      </c>
      <c r="F116" s="66" t="s">
        <v>126</v>
      </c>
    </row>
    <row r="117" spans="1:6" ht="17.100000000000001" customHeight="1">
      <c r="A117" s="20"/>
      <c r="B117" s="20"/>
      <c r="C117" s="20"/>
      <c r="D117" s="20"/>
      <c r="E117" s="20"/>
      <c r="F117" s="20"/>
    </row>
    <row r="118" spans="1:6" ht="24.75" customHeight="1">
      <c r="B118" s="3" t="s">
        <v>257</v>
      </c>
    </row>
    <row r="119" spans="1:6" ht="25.5" customHeight="1">
      <c r="A119" s="20"/>
      <c r="B119" s="20" t="s">
        <v>288</v>
      </c>
      <c r="C119" s="20"/>
      <c r="D119" s="20"/>
      <c r="E119" s="44">
        <f>E116*C120/(60*102*C121)</f>
        <v>0.90632679738562105</v>
      </c>
      <c r="F119" s="66" t="s">
        <v>261</v>
      </c>
    </row>
    <row r="120" spans="1:6" ht="17.100000000000001" customHeight="1">
      <c r="A120" s="20"/>
      <c r="B120" s="20" t="s">
        <v>258</v>
      </c>
      <c r="C120" s="20">
        <v>40</v>
      </c>
      <c r="D120" s="66" t="s">
        <v>260</v>
      </c>
      <c r="E120" s="20"/>
      <c r="F120" s="20" t="s">
        <v>292</v>
      </c>
    </row>
    <row r="121" spans="1:6" ht="17.100000000000001" customHeight="1">
      <c r="A121" s="20"/>
      <c r="B121" s="24" t="s">
        <v>289</v>
      </c>
      <c r="C121" s="20">
        <v>0.85</v>
      </c>
      <c r="D121" s="20"/>
      <c r="E121" s="20"/>
      <c r="F121" s="20"/>
    </row>
    <row r="122" spans="1:6" ht="17.100000000000001" customHeight="1">
      <c r="A122" s="20"/>
      <c r="B122" s="20"/>
      <c r="C122" s="20"/>
      <c r="D122" s="20"/>
      <c r="E122" s="20"/>
      <c r="F122" s="20"/>
    </row>
    <row r="123" spans="1:6" ht="17.100000000000001" customHeight="1">
      <c r="A123" s="3" t="s">
        <v>263</v>
      </c>
    </row>
    <row r="124" spans="1:6" ht="20.100000000000001" customHeight="1">
      <c r="A124" s="20"/>
      <c r="B124" s="20" t="s">
        <v>264</v>
      </c>
      <c r="C124" s="20"/>
      <c r="D124" s="20"/>
      <c r="E124" s="20"/>
      <c r="F124" s="20"/>
    </row>
    <row r="125" spans="1:6" ht="20.100000000000001" customHeight="1">
      <c r="A125" s="20"/>
      <c r="B125" s="20" t="s">
        <v>265</v>
      </c>
      <c r="C125" s="20"/>
      <c r="D125" s="20"/>
      <c r="E125" s="20">
        <f>F89*C126</f>
        <v>4470.664534883721</v>
      </c>
      <c r="F125" s="66" t="s">
        <v>126</v>
      </c>
    </row>
    <row r="126" spans="1:6" ht="20.100000000000001" customHeight="1">
      <c r="A126" s="20"/>
      <c r="B126" s="20" t="s">
        <v>266</v>
      </c>
      <c r="C126" s="20">
        <v>1.5</v>
      </c>
      <c r="D126" s="20"/>
      <c r="E126" s="20"/>
      <c r="F126" s="20"/>
    </row>
    <row r="127" spans="1:6" ht="20.100000000000001" customHeight="1">
      <c r="A127" s="20"/>
      <c r="B127" s="20" t="s">
        <v>267</v>
      </c>
      <c r="C127" s="20"/>
      <c r="D127" s="20"/>
      <c r="E127" s="20"/>
      <c r="F127" s="20"/>
    </row>
    <row r="128" spans="1:6" ht="20.100000000000001" customHeight="1">
      <c r="A128" s="20"/>
      <c r="B128" s="20" t="s">
        <v>268</v>
      </c>
      <c r="C128" s="20"/>
      <c r="D128" s="20"/>
      <c r="E128" s="44">
        <f>E125*C129/4</f>
        <v>27382.820276162791</v>
      </c>
      <c r="F128" s="66" t="s">
        <v>64</v>
      </c>
    </row>
    <row r="129" spans="1:6" ht="20.100000000000001" customHeight="1">
      <c r="A129" s="20"/>
      <c r="B129" s="20" t="s">
        <v>269</v>
      </c>
      <c r="C129" s="20">
        <v>24.5</v>
      </c>
      <c r="D129" s="66" t="s">
        <v>61</v>
      </c>
      <c r="E129" s="20"/>
      <c r="F129" s="20"/>
    </row>
    <row r="130" spans="1:6" ht="20.100000000000001" customHeight="1">
      <c r="A130" s="20"/>
      <c r="B130" s="20"/>
      <c r="C130" s="20"/>
      <c r="D130" s="20"/>
      <c r="E130" s="20"/>
      <c r="F130" s="20"/>
    </row>
    <row r="131" spans="1:6" ht="20.100000000000001" customHeight="1">
      <c r="A131" s="20"/>
      <c r="B131" s="20" t="s">
        <v>271</v>
      </c>
      <c r="C131" s="20"/>
      <c r="D131" s="20"/>
      <c r="E131" s="20"/>
      <c r="F131" s="20"/>
    </row>
    <row r="132" spans="1:6" ht="25.5" customHeight="1">
      <c r="A132" s="20"/>
      <c r="B132" s="20" t="s">
        <v>272</v>
      </c>
      <c r="C132" s="20"/>
      <c r="D132" s="20"/>
      <c r="E132" s="20">
        <f>9550*1.5/1450</f>
        <v>9.8793103448275854</v>
      </c>
      <c r="F132" s="66" t="s">
        <v>64</v>
      </c>
    </row>
    <row r="133" spans="1:6" ht="20.100000000000001" customHeight="1">
      <c r="A133" s="20"/>
      <c r="B133" s="20"/>
      <c r="C133" s="20"/>
      <c r="D133" s="20"/>
      <c r="E133" s="20"/>
      <c r="F133" s="20"/>
    </row>
    <row r="134" spans="1:6" ht="20.100000000000001" customHeight="1">
      <c r="A134" s="20"/>
      <c r="B134" s="20" t="s">
        <v>270</v>
      </c>
      <c r="C134" s="20"/>
      <c r="D134" s="20"/>
      <c r="E134" s="20"/>
      <c r="F134" s="20"/>
    </row>
    <row r="135" spans="1:6" ht="20.100000000000001" customHeight="1">
      <c r="A135" s="20"/>
      <c r="B135" s="20" t="s">
        <v>273</v>
      </c>
      <c r="C135" s="20"/>
      <c r="D135" s="20"/>
      <c r="E135" s="44">
        <f>1.8*E132</f>
        <v>17.782758620689656</v>
      </c>
      <c r="F135" s="66" t="s">
        <v>64</v>
      </c>
    </row>
    <row r="136" spans="1:6" ht="20.100000000000001" customHeight="1">
      <c r="A136" s="20"/>
      <c r="B136" s="20"/>
      <c r="C136" s="20"/>
      <c r="D136" s="20"/>
      <c r="E136" s="20"/>
      <c r="F136" s="20"/>
    </row>
    <row r="137" spans="1:6" ht="20.100000000000001" customHeight="1">
      <c r="A137" s="20"/>
      <c r="B137" s="27" t="s">
        <v>274</v>
      </c>
      <c r="C137" s="27"/>
      <c r="D137" s="27"/>
      <c r="E137" s="27"/>
      <c r="F137" s="20"/>
    </row>
    <row r="138" spans="1:6" ht="20.100000000000001" customHeight="1">
      <c r="A138" s="20"/>
      <c r="B138" s="27" t="s">
        <v>275</v>
      </c>
      <c r="C138" s="27"/>
      <c r="D138" s="27"/>
      <c r="E138" s="27">
        <f>SQRT(E128^2+1*E135^2)</f>
        <v>27382.826050339223</v>
      </c>
      <c r="F138" s="66" t="s">
        <v>64</v>
      </c>
    </row>
    <row r="139" spans="1:6" ht="20.100000000000001" customHeight="1">
      <c r="A139" s="20"/>
      <c r="B139" s="20" t="s">
        <v>276</v>
      </c>
      <c r="C139" s="20"/>
      <c r="D139" s="20"/>
      <c r="E139" s="20"/>
      <c r="F139" s="20"/>
    </row>
    <row r="140" spans="1:6" ht="20.100000000000001" customHeight="1">
      <c r="A140" s="20"/>
      <c r="B140" s="20" t="s">
        <v>290</v>
      </c>
      <c r="C140" s="20">
        <f>2500/1.5/2.5</f>
        <v>666.66666666666674</v>
      </c>
      <c r="D140" s="66" t="s">
        <v>80</v>
      </c>
      <c r="E140" s="20"/>
      <c r="F140" s="20"/>
    </row>
    <row r="141" spans="1:6" ht="17.100000000000001" customHeight="1">
      <c r="A141" s="20"/>
      <c r="B141" s="20"/>
      <c r="C141" s="20"/>
      <c r="D141" s="20"/>
      <c r="E141" s="20"/>
      <c r="F141" s="20"/>
    </row>
    <row r="142" spans="1:6" ht="17.100000000000001" customHeight="1">
      <c r="A142" s="20"/>
      <c r="B142" s="20" t="s">
        <v>291</v>
      </c>
      <c r="C142" s="20"/>
      <c r="D142" s="20"/>
      <c r="E142" s="20">
        <f>E138/0.1/C140</f>
        <v>410.74239075508825</v>
      </c>
      <c r="F142" s="20"/>
    </row>
    <row r="143" spans="1:6" ht="17.100000000000001" customHeight="1">
      <c r="A143" s="20"/>
      <c r="B143" s="20"/>
      <c r="C143" s="20"/>
      <c r="D143" s="20"/>
      <c r="E143" s="44">
        <v>7.4329999999999998</v>
      </c>
      <c r="F143" s="66" t="s">
        <v>61</v>
      </c>
    </row>
  </sheetData>
  <mergeCells count="5">
    <mergeCell ref="E66:F66"/>
    <mergeCell ref="F22:G22"/>
    <mergeCell ref="I22:J22"/>
    <mergeCell ref="A48:B49"/>
    <mergeCell ref="A53:B54"/>
  </mergeCells>
  <phoneticPr fontId="1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AutoCAD.Drawing.15" shapeId="11265" r:id="rId3">
          <objectPr defaultSize="0" autoPict="0" r:id="rId4">
            <anchor moveWithCells="1">
              <from>
                <xdr:col>4</xdr:col>
                <xdr:colOff>895350</xdr:colOff>
                <xdr:row>3</xdr:row>
                <xdr:rowOff>171450</xdr:rowOff>
              </from>
              <to>
                <xdr:col>5</xdr:col>
                <xdr:colOff>1295400</xdr:colOff>
                <xdr:row>11</xdr:row>
                <xdr:rowOff>95250</xdr:rowOff>
              </to>
            </anchor>
          </objectPr>
        </oleObject>
      </mc:Choice>
      <mc:Fallback>
        <oleObject progId="AutoCAD.Drawing.15" shapeId="11265" r:id="rId3"/>
      </mc:Fallback>
    </mc:AlternateContent>
    <mc:AlternateContent xmlns:mc="http://schemas.openxmlformats.org/markup-compatibility/2006">
      <mc:Choice Requires="x14">
        <oleObject progId="AutoCAD.Drawing.15" shapeId="11266" r:id="rId5">
          <objectPr defaultSize="0" autoPict="0" r:id="rId6">
            <anchor moveWithCells="1">
              <from>
                <xdr:col>0</xdr:col>
                <xdr:colOff>19050</xdr:colOff>
                <xdr:row>57</xdr:row>
                <xdr:rowOff>161925</xdr:rowOff>
              </from>
              <to>
                <xdr:col>5</xdr:col>
                <xdr:colOff>1409700</xdr:colOff>
                <xdr:row>63</xdr:row>
                <xdr:rowOff>200025</xdr:rowOff>
              </to>
            </anchor>
          </objectPr>
        </oleObject>
      </mc:Choice>
      <mc:Fallback>
        <oleObject progId="AutoCAD.Drawing.15" shapeId="11266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4"/>
  <sheetViews>
    <sheetView topLeftCell="A28" workbookViewId="0">
      <selection activeCell="D13" sqref="D13"/>
    </sheetView>
  </sheetViews>
  <sheetFormatPr defaultRowHeight="17.100000000000001" customHeight="1"/>
  <cols>
    <col min="1" max="1" width="7.7109375" style="3" customWidth="1"/>
    <col min="2" max="2" width="17.140625" style="3" customWidth="1"/>
    <col min="3" max="3" width="20.42578125" style="3" customWidth="1"/>
    <col min="4" max="4" width="16" style="3" customWidth="1"/>
    <col min="5" max="5" width="27.7109375" style="3" customWidth="1"/>
    <col min="6" max="6" width="31.140625" style="3" customWidth="1"/>
    <col min="7" max="7" width="18.85546875" style="3" customWidth="1"/>
    <col min="8" max="8" width="30.7109375" style="3" customWidth="1"/>
    <col min="9" max="9" width="26.5703125" style="3" customWidth="1"/>
    <col min="10" max="10" width="13.42578125" style="3" customWidth="1"/>
    <col min="11" max="11" width="9.140625" style="3"/>
    <col min="12" max="12" width="17.140625" style="3" bestFit="1" customWidth="1"/>
    <col min="13" max="13" width="19.28515625" style="3" bestFit="1" customWidth="1"/>
    <col min="14" max="16384" width="9.140625" style="3"/>
  </cols>
  <sheetData>
    <row r="1" spans="1:7" ht="17.100000000000001" customHeight="1">
      <c r="C1" s="3" t="s">
        <v>186</v>
      </c>
    </row>
    <row r="2" spans="1:7" ht="20.100000000000001" customHeight="1">
      <c r="C2" s="3" t="s">
        <v>58</v>
      </c>
    </row>
    <row r="3" spans="1:7" ht="17.100000000000001" customHeight="1">
      <c r="A3" s="20" t="s">
        <v>60</v>
      </c>
    </row>
    <row r="4" spans="1:7" ht="17.100000000000001" customHeight="1">
      <c r="A4" s="20" t="s">
        <v>59</v>
      </c>
    </row>
    <row r="5" spans="1:7" ht="27.95" customHeight="1">
      <c r="A5" s="3" t="s">
        <v>28</v>
      </c>
      <c r="B5" s="45">
        <v>170</v>
      </c>
      <c r="C5" s="56" t="s">
        <v>5</v>
      </c>
      <c r="D5" s="10"/>
    </row>
    <row r="6" spans="1:7" ht="27.95" customHeight="1">
      <c r="A6" s="3" t="s">
        <v>29</v>
      </c>
      <c r="B6" s="45">
        <v>15.2</v>
      </c>
      <c r="C6" s="56" t="s">
        <v>5</v>
      </c>
      <c r="D6" s="10"/>
    </row>
    <row r="7" spans="1:7" ht="27.95" customHeight="1">
      <c r="A7" s="3" t="s">
        <v>199</v>
      </c>
      <c r="B7" s="45">
        <v>500</v>
      </c>
      <c r="C7" s="56" t="s">
        <v>5</v>
      </c>
      <c r="E7" s="32"/>
    </row>
    <row r="8" spans="1:7" ht="27.95" customHeight="1">
      <c r="A8" s="3" t="s">
        <v>30</v>
      </c>
      <c r="B8" s="45">
        <f>B7-B6*2</f>
        <v>469.6</v>
      </c>
      <c r="C8" s="56" t="s">
        <v>5</v>
      </c>
      <c r="D8" s="16"/>
    </row>
    <row r="9" spans="1:7" ht="27.95" customHeight="1">
      <c r="A9" s="3" t="s">
        <v>31</v>
      </c>
      <c r="B9" s="45">
        <v>10</v>
      </c>
      <c r="C9" s="56" t="s">
        <v>5</v>
      </c>
      <c r="D9" s="37"/>
    </row>
    <row r="10" spans="1:7" ht="27.95" customHeight="1">
      <c r="B10" s="11"/>
      <c r="D10" s="37"/>
    </row>
    <row r="11" spans="1:7" ht="27.95" customHeight="1">
      <c r="B11" s="11"/>
      <c r="D11" s="37"/>
    </row>
    <row r="12" spans="1:7" ht="27.95" customHeight="1">
      <c r="B12" s="11"/>
      <c r="D12" s="37"/>
    </row>
    <row r="13" spans="1:7" ht="21">
      <c r="A13" s="3" t="s">
        <v>99</v>
      </c>
      <c r="E13" s="5">
        <v>860</v>
      </c>
      <c r="F13" s="3" t="s">
        <v>61</v>
      </c>
    </row>
    <row r="14" spans="1:7" ht="21">
      <c r="A14" s="3" t="s">
        <v>115</v>
      </c>
      <c r="E14" s="39">
        <f>E13/700</f>
        <v>1.2285714285714286</v>
      </c>
      <c r="F14" s="3" t="s">
        <v>61</v>
      </c>
    </row>
    <row r="15" spans="1:7" ht="21">
      <c r="A15" s="3" t="s">
        <v>207</v>
      </c>
      <c r="E15" s="39"/>
      <c r="F15" s="3">
        <v>50</v>
      </c>
      <c r="G15" s="3" t="s">
        <v>208</v>
      </c>
    </row>
    <row r="16" spans="1:7" ht="22.5">
      <c r="A16" s="3" t="s">
        <v>116</v>
      </c>
      <c r="E16" s="39"/>
    </row>
    <row r="17" spans="1:10" ht="23.25">
      <c r="A17" s="3" t="s">
        <v>150</v>
      </c>
      <c r="E17" s="9">
        <f>2.1*10^6</f>
        <v>2100000</v>
      </c>
      <c r="F17" s="3" t="s">
        <v>151</v>
      </c>
      <c r="G17" s="3" t="s">
        <v>140</v>
      </c>
    </row>
    <row r="18" spans="1:10" ht="23.25">
      <c r="A18" s="3" t="s">
        <v>149</v>
      </c>
      <c r="E18" s="9">
        <v>1600</v>
      </c>
      <c r="F18" s="3" t="s">
        <v>151</v>
      </c>
      <c r="G18" s="3" t="s">
        <v>140</v>
      </c>
    </row>
    <row r="19" spans="1:10" ht="21">
      <c r="A19" s="3" t="s">
        <v>117</v>
      </c>
    </row>
    <row r="20" spans="1:10" ht="21">
      <c r="A20" s="3" t="s">
        <v>100</v>
      </c>
    </row>
    <row r="21" spans="1:10" ht="24.95" customHeight="1">
      <c r="A21" s="3" t="s">
        <v>1</v>
      </c>
      <c r="B21" s="3" t="s">
        <v>200</v>
      </c>
      <c r="F21" s="6"/>
      <c r="G21" s="3">
        <f>$B$6/2*$B$5*$B$6+($B$8/2+$B$6)*$B$8*$B$9+(B6+B8+B6/2)*B6*B5</f>
        <v>2466000</v>
      </c>
      <c r="H21" s="4" t="s">
        <v>3</v>
      </c>
    </row>
    <row r="22" spans="1:10" ht="20.100000000000001" customHeight="1">
      <c r="A22" s="3" t="s">
        <v>0</v>
      </c>
      <c r="B22" s="3" t="s">
        <v>201</v>
      </c>
      <c r="F22" s="6"/>
      <c r="G22" s="35">
        <f>B5*B6*2+B8*B9</f>
        <v>9864</v>
      </c>
      <c r="H22" s="4" t="s">
        <v>4</v>
      </c>
    </row>
    <row r="23" spans="1:10" ht="20.100000000000001" customHeight="1">
      <c r="A23" s="5" t="s">
        <v>6</v>
      </c>
      <c r="B23" s="5" t="s">
        <v>7</v>
      </c>
      <c r="C23" s="36"/>
      <c r="F23" s="7"/>
      <c r="G23" s="9">
        <f>G21/G22</f>
        <v>250</v>
      </c>
      <c r="H23" s="4" t="s">
        <v>5</v>
      </c>
      <c r="I23" s="34"/>
    </row>
    <row r="24" spans="1:10" ht="20.100000000000001" customHeight="1">
      <c r="A24" s="3" t="s">
        <v>2</v>
      </c>
      <c r="E24" s="6"/>
      <c r="G24" s="3">
        <f>(B5/2*B5*B6)*2+B8/2*B8*B9</f>
        <v>1541900.8000000003</v>
      </c>
      <c r="H24" s="4" t="s">
        <v>3</v>
      </c>
      <c r="I24" s="57"/>
    </row>
    <row r="25" spans="1:10" ht="20.100000000000001" customHeight="1">
      <c r="A25" s="3" t="s">
        <v>0</v>
      </c>
      <c r="B25" s="3" t="s">
        <v>51</v>
      </c>
      <c r="F25" s="6"/>
      <c r="G25" s="3">
        <f>$B$5*$B$6*2+$B$8*$B$9</f>
        <v>9864</v>
      </c>
      <c r="H25" s="4" t="s">
        <v>4</v>
      </c>
      <c r="I25" s="33"/>
      <c r="J25" s="5"/>
    </row>
    <row r="26" spans="1:10" ht="20.100000000000001" customHeight="1">
      <c r="A26" s="5" t="s">
        <v>8</v>
      </c>
      <c r="B26" s="5" t="s">
        <v>9</v>
      </c>
      <c r="F26" s="7"/>
      <c r="G26" s="5">
        <f>G24/G25</f>
        <v>156.31597729115981</v>
      </c>
      <c r="H26" s="4" t="s">
        <v>5</v>
      </c>
    </row>
    <row r="27" spans="1:10" ht="20.100000000000001" customHeight="1">
      <c r="A27" s="3" t="s">
        <v>118</v>
      </c>
      <c r="F27" s="3">
        <f>165/2</f>
        <v>82.5</v>
      </c>
    </row>
    <row r="28" spans="1:10" ht="20.100000000000001" customHeight="1">
      <c r="A28" s="3" t="s">
        <v>12</v>
      </c>
      <c r="H28" s="4"/>
    </row>
    <row r="29" spans="1:10" ht="20.100000000000001" customHeight="1">
      <c r="A29" s="3" t="s">
        <v>13</v>
      </c>
      <c r="B29" s="3" t="s">
        <v>46</v>
      </c>
      <c r="G29" s="3">
        <f>(B5*B6^3/12+(G23-B6/2)^2*B5*B6)*2</f>
        <v>303759604.9066667</v>
      </c>
      <c r="H29" s="4" t="s">
        <v>56</v>
      </c>
    </row>
    <row r="30" spans="1:10" ht="20.100000000000001" customHeight="1">
      <c r="A30" s="3" t="s">
        <v>14</v>
      </c>
      <c r="B30" s="3" t="s">
        <v>47</v>
      </c>
      <c r="G30" s="3">
        <f>B9*B8^3/12+(G23-B6-B8/2)^2*B9*B8</f>
        <v>86298454.613333344</v>
      </c>
      <c r="H30" s="4" t="s">
        <v>56</v>
      </c>
    </row>
    <row r="31" spans="1:10" ht="20.100000000000001" customHeight="1">
      <c r="A31" s="5" t="s">
        <v>52</v>
      </c>
      <c r="F31" s="7"/>
      <c r="G31" s="5">
        <f>G30+G29</f>
        <v>390058059.52000004</v>
      </c>
      <c r="H31" s="4" t="s">
        <v>56</v>
      </c>
    </row>
    <row r="32" spans="1:10" ht="20.100000000000001" customHeight="1">
      <c r="A32" s="3" t="s">
        <v>17</v>
      </c>
      <c r="H32" s="4"/>
    </row>
    <row r="33" spans="1:11" ht="20.100000000000001" customHeight="1">
      <c r="A33" s="3" t="s">
        <v>18</v>
      </c>
      <c r="B33" s="3" t="s">
        <v>90</v>
      </c>
      <c r="G33" s="3">
        <f>B5^3*B6/12</f>
        <v>6223133.333333333</v>
      </c>
      <c r="H33" s="4" t="s">
        <v>56</v>
      </c>
      <c r="J33" s="78"/>
      <c r="K33" s="78"/>
    </row>
    <row r="34" spans="1:11" ht="20.100000000000001" customHeight="1">
      <c r="A34" s="3" t="s">
        <v>19</v>
      </c>
      <c r="B34" s="3" t="s">
        <v>91</v>
      </c>
      <c r="G34" s="3">
        <f>B8*B9^3/12</f>
        <v>39133.333333333336</v>
      </c>
      <c r="H34" s="4" t="s">
        <v>56</v>
      </c>
      <c r="J34" s="53"/>
      <c r="K34" s="54"/>
    </row>
    <row r="35" spans="1:11" ht="20.100000000000001" customHeight="1">
      <c r="A35" s="3" t="s">
        <v>20</v>
      </c>
      <c r="B35" s="3" t="s">
        <v>10</v>
      </c>
      <c r="G35" s="3" t="e">
        <f>(#REF!*#REF!^3/12+(G26-B9-#REF!/2)^2*#REF!*#REF!)*2</f>
        <v>#REF!</v>
      </c>
      <c r="H35" s="4" t="s">
        <v>56</v>
      </c>
      <c r="J35" s="53"/>
      <c r="K35" s="54"/>
    </row>
    <row r="36" spans="1:11" ht="20.100000000000001" customHeight="1">
      <c r="A36" s="3" t="s">
        <v>21</v>
      </c>
      <c r="B36" s="3" t="s">
        <v>11</v>
      </c>
      <c r="G36" s="3" t="e">
        <f>(#REF!*#REF!^3/12+(G26-#REF!/2)^2*#REF!*#REF!)*2</f>
        <v>#REF!</v>
      </c>
      <c r="H36" s="4" t="s">
        <v>56</v>
      </c>
      <c r="J36" s="53"/>
      <c r="K36" s="54"/>
    </row>
    <row r="37" spans="1:11" ht="20.100000000000001" customHeight="1">
      <c r="A37" s="5" t="s">
        <v>53</v>
      </c>
      <c r="F37" s="7"/>
      <c r="G37" s="5" t="e">
        <f>G36+G35+G34+G33</f>
        <v>#REF!</v>
      </c>
      <c r="H37" s="4" t="s">
        <v>56</v>
      </c>
      <c r="J37" s="53"/>
      <c r="K37" s="54"/>
    </row>
    <row r="38" spans="1:11" ht="20.100000000000001" customHeight="1">
      <c r="J38" s="53"/>
      <c r="K38" s="54"/>
    </row>
    <row r="39" spans="1:11" ht="24.95" customHeight="1">
      <c r="F39" s="76" t="s">
        <v>225</v>
      </c>
      <c r="G39" s="77"/>
      <c r="I39" s="76" t="s">
        <v>54</v>
      </c>
      <c r="J39" s="77"/>
    </row>
    <row r="40" spans="1:11" ht="20.100000000000001" customHeight="1">
      <c r="A40" s="5"/>
      <c r="F40" s="17" t="s">
        <v>94</v>
      </c>
      <c r="G40" s="18">
        <f>434800000/10000</f>
        <v>43480</v>
      </c>
      <c r="I40" s="17" t="s">
        <v>94</v>
      </c>
      <c r="J40" s="18">
        <f>$G$31/(100^2)</f>
        <v>39005.805952000002</v>
      </c>
    </row>
    <row r="41" spans="1:11" ht="20.100000000000001" customHeight="1">
      <c r="F41" s="17" t="s">
        <v>95</v>
      </c>
      <c r="G41" s="18">
        <f>26080000/10000</f>
        <v>2608</v>
      </c>
      <c r="H41" s="6"/>
      <c r="I41" s="17" t="s">
        <v>95</v>
      </c>
      <c r="J41" s="18" t="e">
        <f>$G$37/(100^2)</f>
        <v>#REF!</v>
      </c>
    </row>
    <row r="42" spans="1:11" ht="20.100000000000001" customHeight="1">
      <c r="F42" s="17" t="s">
        <v>96</v>
      </c>
      <c r="G42" s="58">
        <f>239/10</f>
        <v>23.9</v>
      </c>
      <c r="I42" s="17" t="s">
        <v>96</v>
      </c>
      <c r="J42" s="18">
        <f>$G$23/10</f>
        <v>25</v>
      </c>
    </row>
    <row r="43" spans="1:11" ht="20.100000000000001" customHeight="1">
      <c r="F43" s="17" t="s">
        <v>224</v>
      </c>
      <c r="G43" s="58">
        <f>321/10</f>
        <v>32.1</v>
      </c>
      <c r="H43" s="32">
        <v>9</v>
      </c>
      <c r="I43" s="17" t="s">
        <v>187</v>
      </c>
      <c r="J43" s="18">
        <f>$G$26/10</f>
        <v>15.631597729115981</v>
      </c>
    </row>
    <row r="44" spans="1:11" ht="20.100000000000001" customHeight="1">
      <c r="F44" s="17" t="s">
        <v>97</v>
      </c>
      <c r="G44" s="58">
        <f>12951/100</f>
        <v>129.51</v>
      </c>
      <c r="I44" s="17" t="s">
        <v>97</v>
      </c>
      <c r="J44" s="18">
        <f>$G$22/100</f>
        <v>98.64</v>
      </c>
    </row>
    <row r="45" spans="1:11" ht="20.100000000000001" customHeight="1">
      <c r="A45" s="3" t="s">
        <v>197</v>
      </c>
    </row>
    <row r="46" spans="1:11" ht="21">
      <c r="C46" s="3" t="s">
        <v>57</v>
      </c>
      <c r="E46" s="6"/>
    </row>
    <row r="47" spans="1:11" ht="21">
      <c r="A47" s="3" t="s">
        <v>104</v>
      </c>
      <c r="E47" s="6"/>
    </row>
    <row r="48" spans="1:11" s="20" customFormat="1" ht="18.75">
      <c r="B48" s="20" t="s">
        <v>105</v>
      </c>
      <c r="H48" s="30"/>
      <c r="I48" s="22"/>
      <c r="J48" s="22"/>
      <c r="K48" s="22"/>
    </row>
    <row r="49" spans="1:11" s="20" customFormat="1" ht="18.75">
      <c r="A49" s="20" t="s">
        <v>120</v>
      </c>
      <c r="H49" s="31"/>
      <c r="I49" s="22"/>
      <c r="J49" s="22"/>
      <c r="K49" s="22"/>
    </row>
    <row r="50" spans="1:11" s="20" customFormat="1" ht="18.75">
      <c r="B50" s="27" t="s">
        <v>161</v>
      </c>
      <c r="E50" s="20" t="s">
        <v>146</v>
      </c>
      <c r="H50" s="31"/>
      <c r="I50" s="22"/>
      <c r="J50" s="22"/>
      <c r="K50" s="22"/>
    </row>
    <row r="51" spans="1:11" s="20" customFormat="1" ht="18.75">
      <c r="B51" s="27" t="s">
        <v>162</v>
      </c>
      <c r="E51" s="20" t="s">
        <v>146</v>
      </c>
      <c r="H51" s="31"/>
      <c r="I51" s="22"/>
      <c r="J51" s="22"/>
      <c r="K51" s="22"/>
    </row>
    <row r="52" spans="1:11" s="20" customFormat="1" ht="20.25">
      <c r="A52" s="20" t="s">
        <v>119</v>
      </c>
      <c r="E52" s="20" t="s">
        <v>0</v>
      </c>
      <c r="F52" s="59">
        <f>G44</f>
        <v>129.51</v>
      </c>
      <c r="G52" s="20" t="s">
        <v>121</v>
      </c>
      <c r="H52" s="31"/>
      <c r="I52" s="22"/>
      <c r="J52" s="22"/>
      <c r="K52" s="22"/>
    </row>
    <row r="53" spans="1:11" s="20" customFormat="1" ht="18.75">
      <c r="A53" s="20" t="s">
        <v>122</v>
      </c>
      <c r="B53" s="30"/>
      <c r="E53" s="20" t="s">
        <v>123</v>
      </c>
      <c r="F53" s="30">
        <f>E13</f>
        <v>860</v>
      </c>
      <c r="G53" s="30" t="s">
        <v>61</v>
      </c>
      <c r="H53" s="31"/>
      <c r="I53" s="22"/>
      <c r="J53" s="22"/>
      <c r="K53" s="22"/>
    </row>
    <row r="54" spans="1:11" s="20" customFormat="1" ht="18.75">
      <c r="A54" s="20" t="s">
        <v>124</v>
      </c>
      <c r="B54" s="30"/>
      <c r="E54" s="20" t="s">
        <v>125</v>
      </c>
      <c r="F54" s="30">
        <f>(5+1)*1000</f>
        <v>6000</v>
      </c>
      <c r="G54" s="20" t="s">
        <v>126</v>
      </c>
      <c r="H54" s="31"/>
      <c r="I54" s="22"/>
      <c r="J54" s="22"/>
      <c r="K54" s="22"/>
    </row>
    <row r="55" spans="1:11" s="20" customFormat="1" ht="18.75">
      <c r="A55" s="20" t="s">
        <v>127</v>
      </c>
      <c r="B55" s="30"/>
      <c r="E55" s="20" t="s">
        <v>128</v>
      </c>
      <c r="F55" s="38">
        <f>F52*0.000001*7850</f>
        <v>1.0166534999999999</v>
      </c>
      <c r="G55" s="20" t="s">
        <v>129</v>
      </c>
      <c r="H55" s="31"/>
      <c r="I55" s="22"/>
      <c r="J55" s="22"/>
      <c r="K55" s="22"/>
    </row>
    <row r="56" spans="1:11" s="20" customFormat="1" ht="20.25">
      <c r="A56" s="20" t="s">
        <v>130</v>
      </c>
      <c r="B56" s="30"/>
      <c r="E56" s="20" t="s">
        <v>131</v>
      </c>
      <c r="F56" s="30">
        <f>G40</f>
        <v>43480</v>
      </c>
      <c r="G56" s="20" t="s">
        <v>132</v>
      </c>
      <c r="H56" s="31"/>
      <c r="I56" s="22"/>
      <c r="J56" s="22"/>
      <c r="K56" s="22"/>
    </row>
    <row r="57" spans="1:11" s="20" customFormat="1" ht="20.25">
      <c r="A57" s="20" t="s">
        <v>133</v>
      </c>
      <c r="B57" s="30"/>
      <c r="E57" s="20" t="s">
        <v>134</v>
      </c>
      <c r="F57" s="59">
        <f>F56/G43</f>
        <v>1354.5171339563863</v>
      </c>
      <c r="G57" s="20" t="s">
        <v>135</v>
      </c>
      <c r="H57" s="31"/>
      <c r="I57" s="22"/>
      <c r="J57" s="22"/>
      <c r="K57" s="22"/>
    </row>
    <row r="58" spans="1:11" s="20" customFormat="1" ht="20.25">
      <c r="A58" s="20" t="s">
        <v>136</v>
      </c>
      <c r="B58" s="30"/>
      <c r="E58" s="20" t="s">
        <v>138</v>
      </c>
      <c r="F58" s="59">
        <f>G41</f>
        <v>2608</v>
      </c>
      <c r="G58" s="20" t="s">
        <v>132</v>
      </c>
      <c r="H58" s="31"/>
      <c r="I58" s="22"/>
      <c r="J58" s="22"/>
      <c r="K58" s="22"/>
    </row>
    <row r="59" spans="1:11" s="20" customFormat="1" ht="20.25">
      <c r="A59" s="20" t="s">
        <v>137</v>
      </c>
      <c r="B59" s="30"/>
      <c r="E59" s="20" t="s">
        <v>139</v>
      </c>
      <c r="F59" s="59">
        <f>F58/H43</f>
        <v>289.77777777777777</v>
      </c>
      <c r="G59" s="20" t="s">
        <v>135</v>
      </c>
      <c r="H59" s="31"/>
      <c r="I59" s="22"/>
      <c r="J59" s="22"/>
      <c r="K59" s="22"/>
    </row>
    <row r="60" spans="1:11" s="20" customFormat="1" ht="20.25">
      <c r="A60" s="20" t="s">
        <v>107</v>
      </c>
      <c r="B60" s="30"/>
      <c r="E60" s="20" t="s">
        <v>141</v>
      </c>
      <c r="F60" s="59">
        <f>F55*F53^2/8</f>
        <v>93989.616074999984</v>
      </c>
      <c r="G60" s="20" t="s">
        <v>64</v>
      </c>
      <c r="H60" s="31"/>
      <c r="I60" s="22"/>
      <c r="J60" s="22"/>
      <c r="K60" s="22"/>
    </row>
    <row r="61" spans="1:11" s="20" customFormat="1" ht="18.75">
      <c r="A61" s="20" t="s">
        <v>108</v>
      </c>
      <c r="E61" s="20" t="s">
        <v>142</v>
      </c>
      <c r="F61" s="20">
        <f>F54*F53/4</f>
        <v>1290000</v>
      </c>
      <c r="G61" s="20" t="s">
        <v>64</v>
      </c>
      <c r="H61" s="30"/>
      <c r="I61" s="22"/>
      <c r="J61" s="22"/>
      <c r="K61" s="22"/>
    </row>
    <row r="62" spans="1:11" s="20" customFormat="1" ht="18.75">
      <c r="A62" s="20" t="s">
        <v>109</v>
      </c>
      <c r="E62" s="20" t="s">
        <v>143</v>
      </c>
      <c r="F62" s="59">
        <f>1.05*(F60+1.25*F61)</f>
        <v>1791814.09687875</v>
      </c>
      <c r="G62" s="20" t="s">
        <v>64</v>
      </c>
      <c r="H62" s="30"/>
      <c r="I62" s="22"/>
      <c r="J62" s="22"/>
      <c r="K62" s="22"/>
    </row>
    <row r="63" spans="1:11" s="20" customFormat="1" ht="18.75">
      <c r="A63" s="20" t="s">
        <v>110</v>
      </c>
      <c r="E63" s="20" t="s">
        <v>144</v>
      </c>
      <c r="F63" s="59">
        <f>0.05*(F60+F61)</f>
        <v>69199.480803750004</v>
      </c>
      <c r="G63" s="20" t="s">
        <v>64</v>
      </c>
      <c r="H63" s="30"/>
      <c r="I63" s="22"/>
      <c r="J63" s="22"/>
      <c r="K63" s="22"/>
    </row>
    <row r="64" spans="1:11" s="20" customFormat="1" ht="20.25">
      <c r="A64" s="20" t="s">
        <v>112</v>
      </c>
      <c r="E64" s="24" t="s">
        <v>145</v>
      </c>
      <c r="F64" s="59">
        <f>F62/F57+F63/F59</f>
        <v>1561.6453232649665</v>
      </c>
      <c r="G64" s="20" t="s">
        <v>69</v>
      </c>
      <c r="H64" s="30"/>
      <c r="I64" s="22"/>
      <c r="J64" s="22"/>
      <c r="K64" s="22"/>
    </row>
    <row r="65" spans="1:11" s="20" customFormat="1" ht="18.75">
      <c r="A65" s="20" t="s">
        <v>147</v>
      </c>
      <c r="E65" s="40" t="s">
        <v>148</v>
      </c>
      <c r="F65" s="42">
        <f>ROUND((E18/F64),2)</f>
        <v>1.02</v>
      </c>
      <c r="H65" s="30"/>
      <c r="I65" s="22"/>
      <c r="J65" s="22"/>
      <c r="K65" s="22"/>
    </row>
    <row r="66" spans="1:11" s="20" customFormat="1" ht="18.75" customHeight="1">
      <c r="A66" s="79" t="s">
        <v>155</v>
      </c>
      <c r="B66" s="80"/>
      <c r="C66" s="47" t="s">
        <v>202</v>
      </c>
      <c r="F66" s="25" t="str">
        <f>IF(F64&lt;E18,"ÑAÏT","KHOÂNGÑAÏT")</f>
        <v>ÑAÏT</v>
      </c>
      <c r="H66" s="30"/>
      <c r="I66" s="22"/>
      <c r="J66" s="22"/>
      <c r="K66" s="22"/>
    </row>
    <row r="67" spans="1:11" s="20" customFormat="1" ht="18.75">
      <c r="A67" s="81"/>
      <c r="B67" s="82"/>
      <c r="C67" s="27"/>
      <c r="H67" s="30"/>
      <c r="I67" s="22"/>
      <c r="J67" s="22"/>
      <c r="K67" s="22"/>
    </row>
    <row r="68" spans="1:11" s="20" customFormat="1" ht="18.75">
      <c r="A68" s="20" t="s">
        <v>113</v>
      </c>
      <c r="B68" s="27"/>
      <c r="H68" s="30"/>
      <c r="I68" s="22"/>
      <c r="J68" s="22"/>
      <c r="K68" s="22"/>
    </row>
    <row r="69" spans="1:11" s="20" customFormat="1" ht="20.25">
      <c r="A69" s="20" t="s">
        <v>152</v>
      </c>
      <c r="B69" s="20" t="s">
        <v>153</v>
      </c>
      <c r="F69" s="41">
        <f>F54*F53^3/(48*E17*F56)+5*F55*F53^4/(384*E17*F56)</f>
        <v>0.95006041827417231</v>
      </c>
      <c r="G69" s="20" t="s">
        <v>61</v>
      </c>
      <c r="H69" s="30"/>
      <c r="I69" s="22"/>
      <c r="J69" s="22"/>
      <c r="K69" s="22"/>
    </row>
    <row r="70" spans="1:11" s="20" customFormat="1" ht="18.75">
      <c r="B70" s="20" t="s">
        <v>154</v>
      </c>
      <c r="E70" s="24"/>
      <c r="F70" s="42">
        <f>ROUND((E14/F69),2)</f>
        <v>1.29</v>
      </c>
      <c r="I70" s="22"/>
      <c r="J70" s="22"/>
      <c r="K70" s="22"/>
    </row>
    <row r="71" spans="1:11" s="20" customFormat="1" ht="18.75" customHeight="1">
      <c r="A71" s="79" t="s">
        <v>155</v>
      </c>
      <c r="B71" s="80"/>
      <c r="D71" s="20" t="s">
        <v>157</v>
      </c>
    </row>
    <row r="72" spans="1:11" s="20" customFormat="1" ht="18.75">
      <c r="A72" s="81"/>
      <c r="B72" s="82"/>
      <c r="D72" s="20" t="s">
        <v>156</v>
      </c>
      <c r="G72" s="25"/>
      <c r="H72" s="26"/>
    </row>
    <row r="73" spans="1:11" s="20" customFormat="1" ht="18.75">
      <c r="D73" s="20" t="s">
        <v>179</v>
      </c>
      <c r="F73" s="27"/>
      <c r="G73" s="25"/>
      <c r="H73" s="28"/>
      <c r="I73" s="25"/>
    </row>
    <row r="74" spans="1:11" s="20" customFormat="1" ht="18.75">
      <c r="F74" s="27"/>
      <c r="G74" s="25"/>
      <c r="H74" s="28"/>
      <c r="I74" s="25"/>
    </row>
    <row r="75" spans="1:11" s="20" customFormat="1" ht="24.75">
      <c r="C75" s="21" t="s">
        <v>204</v>
      </c>
      <c r="G75" s="25"/>
      <c r="H75" s="28"/>
      <c r="I75" s="25"/>
    </row>
    <row r="76" spans="1:11" s="20" customFormat="1" ht="24.75">
      <c r="C76" s="21"/>
      <c r="G76" s="25"/>
      <c r="H76" s="28"/>
      <c r="I76" s="25"/>
    </row>
    <row r="77" spans="1:11" s="20" customFormat="1" ht="24.75">
      <c r="C77" s="21"/>
      <c r="G77" s="25"/>
      <c r="H77" s="28"/>
      <c r="I77" s="25"/>
    </row>
    <row r="78" spans="1:11" s="20" customFormat="1" ht="24.75">
      <c r="C78" s="21"/>
      <c r="G78" s="25"/>
      <c r="H78" s="28"/>
      <c r="I78" s="25"/>
    </row>
    <row r="79" spans="1:11" s="20" customFormat="1" ht="24.75">
      <c r="C79" s="21"/>
      <c r="G79" s="25"/>
      <c r="H79" s="28"/>
      <c r="I79" s="25"/>
    </row>
    <row r="80" spans="1:11" s="20" customFormat="1" ht="24.75">
      <c r="C80" s="21"/>
      <c r="G80" s="25">
        <f>6000-24000/86+0.754*430</f>
        <v>6045.1502325581396</v>
      </c>
      <c r="H80" s="28"/>
      <c r="I80" s="25"/>
    </row>
    <row r="81" spans="1:9" s="20" customFormat="1" ht="24.75">
      <c r="C81" s="21"/>
      <c r="G81" s="25"/>
      <c r="H81" s="28"/>
      <c r="I81" s="25"/>
    </row>
    <row r="82" spans="1:9" s="20" customFormat="1" ht="24.75">
      <c r="C82" s="21"/>
      <c r="G82" s="25"/>
      <c r="H82" s="28"/>
      <c r="I82" s="25"/>
    </row>
    <row r="83" spans="1:9" s="20" customFormat="1" ht="24.75">
      <c r="A83" s="3" t="s">
        <v>198</v>
      </c>
      <c r="B83" s="3"/>
      <c r="C83" s="21"/>
      <c r="G83" s="25"/>
      <c r="H83" s="28"/>
      <c r="I83" s="25"/>
    </row>
    <row r="84" spans="1:9" s="20" customFormat="1" ht="24.75">
      <c r="A84" s="3" t="s">
        <v>73</v>
      </c>
      <c r="B84" s="5">
        <v>300</v>
      </c>
      <c r="C84" s="21"/>
      <c r="E84" s="76" t="s">
        <v>54</v>
      </c>
      <c r="F84" s="77"/>
      <c r="G84" s="25"/>
      <c r="H84" s="76" t="s">
        <v>225</v>
      </c>
      <c r="I84" s="77"/>
    </row>
    <row r="85" spans="1:9" s="20" customFormat="1" ht="24.75">
      <c r="A85" s="3" t="s">
        <v>92</v>
      </c>
      <c r="B85" s="5">
        <v>8</v>
      </c>
      <c r="C85" s="21"/>
      <c r="E85" s="17" t="s">
        <v>94</v>
      </c>
      <c r="F85" s="18">
        <f>((B84*B88^3/12+(F87-B88/2)^2*B88*B84)*2+(B85*B89^3/12+(F87-B89/2-B88)^2*B89*B85)*2)/10000</f>
        <v>23620.533333333333</v>
      </c>
      <c r="G85" s="25"/>
      <c r="H85" s="17" t="s">
        <v>94</v>
      </c>
      <c r="I85" s="18">
        <f>202900000/10000</f>
        <v>20290</v>
      </c>
    </row>
    <row r="86" spans="1:9" s="20" customFormat="1" ht="24.75">
      <c r="A86" s="3" t="s">
        <v>93</v>
      </c>
      <c r="B86" s="3">
        <f>B84-B85*2</f>
        <v>284</v>
      </c>
      <c r="C86" s="21"/>
      <c r="E86" s="17" t="s">
        <v>95</v>
      </c>
      <c r="F86" s="18">
        <f>(B88*B84^3/12*2+((B85^3+B89/12+(F88-B84+B85/2)^2*B89*B85))*2)/10000</f>
        <v>16096.012066666668</v>
      </c>
      <c r="G86" s="25"/>
      <c r="H86" s="17" t="s">
        <v>95</v>
      </c>
      <c r="I86" s="18">
        <f>142370000/10000</f>
        <v>14237</v>
      </c>
    </row>
    <row r="87" spans="1:9" s="20" customFormat="1" ht="24.75">
      <c r="A87" s="3" t="s">
        <v>22</v>
      </c>
      <c r="B87" s="3">
        <v>360</v>
      </c>
      <c r="C87" s="21"/>
      <c r="E87" s="17" t="s">
        <v>96</v>
      </c>
      <c r="F87" s="50">
        <f>(B88/2*B88*B84+(B88+B89/2)*B85*B89+(B88+B89/2)*B85*B89+(B87-B88/2)*B88*B84)/(B89*B85*2+B84*B88*2)</f>
        <v>180</v>
      </c>
      <c r="G87" s="25"/>
      <c r="H87" s="17" t="s">
        <v>96</v>
      </c>
      <c r="I87" s="50">
        <f>180/10</f>
        <v>18</v>
      </c>
    </row>
    <row r="88" spans="1:9" s="20" customFormat="1" ht="24.75">
      <c r="A88" s="3" t="s">
        <v>214</v>
      </c>
      <c r="B88" s="5">
        <v>10</v>
      </c>
      <c r="C88" s="21"/>
      <c r="E88" s="17" t="s">
        <v>55</v>
      </c>
      <c r="F88" s="18">
        <f>B84/2</f>
        <v>150</v>
      </c>
      <c r="G88" s="25"/>
      <c r="H88" s="17" t="s">
        <v>55</v>
      </c>
      <c r="I88" s="18">
        <f>I87</f>
        <v>18</v>
      </c>
    </row>
    <row r="89" spans="1:9" s="20" customFormat="1" ht="24.75">
      <c r="A89" s="3" t="s">
        <v>215</v>
      </c>
      <c r="B89" s="5">
        <f>B87-B88*2</f>
        <v>340</v>
      </c>
      <c r="C89" s="21"/>
      <c r="E89" s="17" t="s">
        <v>97</v>
      </c>
      <c r="F89" s="50">
        <f>(B89*B85*2+B84*B88*2)/100</f>
        <v>114.4</v>
      </c>
      <c r="G89" s="25"/>
      <c r="H89" s="17" t="s">
        <v>97</v>
      </c>
      <c r="I89" s="64">
        <f>10304/100</f>
        <v>103.04</v>
      </c>
    </row>
    <row r="90" spans="1:9" s="20" customFormat="1" ht="24.75">
      <c r="A90" s="20" t="s">
        <v>210</v>
      </c>
      <c r="C90" s="21"/>
      <c r="E90" s="22">
        <f>E13/7</f>
        <v>122.85714285714286</v>
      </c>
      <c r="F90" s="22">
        <f>E13/5</f>
        <v>172</v>
      </c>
      <c r="G90" s="25" t="s">
        <v>61</v>
      </c>
      <c r="H90" s="28"/>
      <c r="I90" s="25"/>
    </row>
    <row r="91" spans="1:9" s="20" customFormat="1" ht="24.75">
      <c r="C91" s="21"/>
      <c r="E91" s="22"/>
      <c r="F91" s="22">
        <v>260</v>
      </c>
      <c r="G91" s="25"/>
      <c r="H91" s="28"/>
      <c r="I91" s="25"/>
    </row>
    <row r="92" spans="1:9" s="20" customFormat="1" ht="18.75">
      <c r="A92" s="20" t="s">
        <v>206</v>
      </c>
      <c r="G92" s="25"/>
      <c r="H92" s="28"/>
      <c r="I92" s="25"/>
    </row>
    <row r="93" spans="1:9" s="20" customFormat="1" ht="18.75">
      <c r="B93" s="20" t="s">
        <v>205</v>
      </c>
      <c r="E93" s="20" t="s">
        <v>209</v>
      </c>
      <c r="F93" s="20">
        <f>F54*(E13-F15)/E13+F55*E13*1.5/2</f>
        <v>6306.9042981976745</v>
      </c>
      <c r="G93" s="25" t="s">
        <v>126</v>
      </c>
      <c r="H93" s="28"/>
      <c r="I93" s="25"/>
    </row>
    <row r="94" spans="1:9" s="20" customFormat="1" ht="18.75">
      <c r="A94" s="20" t="s">
        <v>211</v>
      </c>
      <c r="G94" s="25"/>
      <c r="H94" s="28"/>
      <c r="I94" s="25"/>
    </row>
    <row r="95" spans="1:9" s="20" customFormat="1" ht="18.75">
      <c r="A95" s="20" t="s">
        <v>220</v>
      </c>
      <c r="F95" s="20">
        <f>F93*F91/4</f>
        <v>409948.77938284882</v>
      </c>
      <c r="G95" s="25" t="s">
        <v>212</v>
      </c>
      <c r="H95" s="28"/>
      <c r="I95" s="25"/>
    </row>
    <row r="96" spans="1:9" s="20" customFormat="1" ht="18.75">
      <c r="A96" s="20" t="s">
        <v>213</v>
      </c>
      <c r="G96" s="25"/>
      <c r="H96" s="28"/>
      <c r="I96" s="25"/>
    </row>
    <row r="97" spans="1:11" s="20" customFormat="1" ht="18.75">
      <c r="A97" s="20" t="s">
        <v>216</v>
      </c>
      <c r="F97" s="20">
        <f>I85/I87</f>
        <v>1127.2222222222222</v>
      </c>
      <c r="G97" s="25" t="s">
        <v>217</v>
      </c>
      <c r="H97" s="28"/>
      <c r="I97" s="25"/>
    </row>
    <row r="98" spans="1:11" s="20" customFormat="1" ht="18.75">
      <c r="A98" s="20" t="s">
        <v>218</v>
      </c>
      <c r="G98" s="25"/>
      <c r="H98" s="28"/>
      <c r="I98" s="25"/>
    </row>
    <row r="99" spans="1:11" s="20" customFormat="1" ht="18.75">
      <c r="A99" s="24" t="s">
        <v>219</v>
      </c>
      <c r="F99" s="20">
        <f>F95/F97</f>
        <v>363.68053370582942</v>
      </c>
      <c r="G99" s="25" t="s">
        <v>80</v>
      </c>
      <c r="H99" s="28"/>
      <c r="I99" s="25"/>
    </row>
    <row r="100" spans="1:11" s="20" customFormat="1" ht="23.25">
      <c r="A100" s="3" t="s">
        <v>149</v>
      </c>
      <c r="B100" s="3"/>
      <c r="C100" s="3"/>
      <c r="D100" s="3"/>
      <c r="E100" s="60" t="s">
        <v>226</v>
      </c>
      <c r="F100" s="3" t="s">
        <v>151</v>
      </c>
      <c r="G100" s="25"/>
      <c r="H100" s="28"/>
      <c r="I100" s="25"/>
    </row>
    <row r="101" spans="1:11" s="20" customFormat="1" ht="23.25">
      <c r="B101" s="3"/>
      <c r="C101" s="3" t="s">
        <v>228</v>
      </c>
      <c r="D101" s="4" t="s">
        <v>227</v>
      </c>
      <c r="E101" s="60">
        <v>800</v>
      </c>
      <c r="F101" s="3" t="s">
        <v>151</v>
      </c>
      <c r="G101" s="25"/>
      <c r="H101" s="28"/>
      <c r="I101" s="25"/>
    </row>
    <row r="102" spans="1:11" s="20" customFormat="1" ht="18.75">
      <c r="A102" s="46" t="s">
        <v>155</v>
      </c>
      <c r="B102"/>
      <c r="C102" s="47" t="s">
        <v>202</v>
      </c>
      <c r="F102" s="25" t="str">
        <f>IF(F99&lt;E101,"ÑAÏT","KHOÂNGÑAÏT")</f>
        <v>ÑAÏT</v>
      </c>
      <c r="G102" s="25"/>
      <c r="H102" s="28"/>
      <c r="I102" s="25"/>
    </row>
    <row r="103" spans="1:11" s="20" customFormat="1" ht="18.75">
      <c r="A103" s="46"/>
      <c r="B103"/>
      <c r="C103" s="47"/>
      <c r="F103" s="25">
        <f>E101/F99</f>
        <v>2.1997328035354697</v>
      </c>
      <c r="G103" s="25"/>
      <c r="H103" s="28"/>
      <c r="I103" s="25"/>
    </row>
    <row r="104" spans="1:11" s="20" customFormat="1" ht="18.75">
      <c r="A104" s="46"/>
      <c r="B104"/>
      <c r="C104" s="47"/>
      <c r="F104" s="25"/>
      <c r="G104" s="25"/>
      <c r="H104" s="28"/>
      <c r="I104" s="25"/>
    </row>
    <row r="105" spans="1:11" s="20" customFormat="1" ht="18.75">
      <c r="A105" s="46"/>
      <c r="B105"/>
      <c r="C105" s="47"/>
      <c r="F105" s="25"/>
      <c r="G105" s="25"/>
      <c r="H105" s="28"/>
      <c r="I105" s="25"/>
    </row>
    <row r="106" spans="1:11" s="20" customFormat="1" ht="18.75">
      <c r="A106" s="46"/>
      <c r="B106"/>
      <c r="C106" s="47"/>
      <c r="F106" s="25"/>
      <c r="G106" s="25"/>
      <c r="H106" s="28"/>
      <c r="I106" s="25"/>
    </row>
    <row r="107" spans="1:11" s="20" customFormat="1" ht="24.75">
      <c r="D107" s="21" t="s">
        <v>74</v>
      </c>
    </row>
    <row r="108" spans="1:11" s="20" customFormat="1" ht="18.75">
      <c r="C108" s="20" t="s">
        <v>167</v>
      </c>
      <c r="D108" s="27" t="s">
        <v>158</v>
      </c>
      <c r="H108" s="30"/>
      <c r="I108" s="22"/>
      <c r="K108" s="22"/>
    </row>
    <row r="109" spans="1:11" s="20" customFormat="1" ht="18.75">
      <c r="A109" s="20" t="s">
        <v>163</v>
      </c>
      <c r="C109" s="20" t="s">
        <v>123</v>
      </c>
      <c r="D109" s="27">
        <f>E13</f>
        <v>860</v>
      </c>
      <c r="E109" s="20" t="s">
        <v>61</v>
      </c>
      <c r="H109" s="30"/>
      <c r="I109" s="22"/>
      <c r="K109" s="22"/>
    </row>
    <row r="110" spans="1:11" s="20" customFormat="1" ht="18.75">
      <c r="C110" s="20" t="s">
        <v>72</v>
      </c>
      <c r="D110" s="27">
        <f>ROUND((D109/3),0)</f>
        <v>287</v>
      </c>
      <c r="E110" s="20" t="s">
        <v>61</v>
      </c>
      <c r="F110" s="20" t="s">
        <v>164</v>
      </c>
      <c r="H110" s="30"/>
      <c r="I110" s="22"/>
      <c r="K110" s="22"/>
    </row>
    <row r="111" spans="1:11" s="20" customFormat="1" ht="18.75">
      <c r="C111" s="20" t="s">
        <v>73</v>
      </c>
      <c r="D111" s="27">
        <f>D109-D110</f>
        <v>573</v>
      </c>
      <c r="E111" s="20" t="s">
        <v>61</v>
      </c>
      <c r="H111" s="30"/>
      <c r="I111" s="22"/>
      <c r="K111" s="22"/>
    </row>
    <row r="112" spans="1:11" s="20" customFormat="1" ht="18.75">
      <c r="A112" s="20" t="s">
        <v>107</v>
      </c>
      <c r="H112" s="30"/>
      <c r="I112" s="22"/>
      <c r="K112" s="22"/>
    </row>
    <row r="113" spans="1:11" s="20" customFormat="1" ht="20.25">
      <c r="A113" s="20" t="s">
        <v>62</v>
      </c>
      <c r="B113" s="20" t="s">
        <v>63</v>
      </c>
      <c r="E113" s="20">
        <f>F55*F53^2/8</f>
        <v>93989.616074999984</v>
      </c>
      <c r="F113" s="20" t="s">
        <v>64</v>
      </c>
      <c r="G113" s="23"/>
      <c r="H113" s="30"/>
      <c r="I113" s="22"/>
      <c r="K113" s="22"/>
    </row>
    <row r="114" spans="1:11" s="20" customFormat="1" ht="18.75">
      <c r="A114" s="20" t="s">
        <v>108</v>
      </c>
      <c r="G114" s="23"/>
      <c r="H114" s="30"/>
      <c r="I114" s="22"/>
      <c r="K114" s="22"/>
    </row>
    <row r="115" spans="1:11" s="20" customFormat="1" ht="18.75">
      <c r="A115" s="20" t="s">
        <v>65</v>
      </c>
      <c r="B115" s="20" t="s">
        <v>70</v>
      </c>
      <c r="E115" s="20">
        <f>F54*D110*D111/D109</f>
        <v>1147332.5581395349</v>
      </c>
      <c r="F115" s="20" t="s">
        <v>64</v>
      </c>
      <c r="H115" s="30"/>
      <c r="I115" s="22"/>
      <c r="K115" s="22"/>
    </row>
    <row r="116" spans="1:11" s="20" customFormat="1" ht="18.75">
      <c r="A116" s="20" t="s">
        <v>109</v>
      </c>
      <c r="H116" s="30"/>
      <c r="I116" s="22"/>
      <c r="K116" s="22"/>
    </row>
    <row r="117" spans="1:11" s="20" customFormat="1" ht="18.75">
      <c r="A117" s="27" t="s">
        <v>165</v>
      </c>
      <c r="B117" s="27" t="s">
        <v>166</v>
      </c>
      <c r="C117" s="27"/>
      <c r="E117" s="27">
        <f>1.05*(E113+1.25*E115)</f>
        <v>1604563.0794368896</v>
      </c>
      <c r="F117" s="20" t="s">
        <v>64</v>
      </c>
      <c r="H117" s="30"/>
      <c r="I117" s="22"/>
      <c r="K117" s="22"/>
    </row>
    <row r="118" spans="1:11" s="20" customFormat="1" ht="18.75">
      <c r="A118" s="20" t="s">
        <v>110</v>
      </c>
      <c r="E118" s="27"/>
      <c r="H118" s="30"/>
      <c r="I118" s="22"/>
      <c r="K118" s="22"/>
    </row>
    <row r="119" spans="1:11" s="20" customFormat="1" ht="18.75">
      <c r="A119" s="20" t="s">
        <v>66</v>
      </c>
      <c r="B119" s="20" t="s">
        <v>67</v>
      </c>
      <c r="E119" s="20">
        <f>0.05*(E113+E115)</f>
        <v>62066.108710726752</v>
      </c>
      <c r="F119" s="20" t="s">
        <v>64</v>
      </c>
      <c r="H119" s="30"/>
      <c r="I119" s="22"/>
      <c r="K119" s="22"/>
    </row>
    <row r="120" spans="1:11" s="20" customFormat="1" ht="18.75">
      <c r="A120" s="20" t="s">
        <v>112</v>
      </c>
      <c r="H120" s="30"/>
      <c r="I120" s="22"/>
      <c r="K120" s="22"/>
    </row>
    <row r="121" spans="1:11" s="20" customFormat="1" ht="20.25">
      <c r="A121" s="24" t="s">
        <v>111</v>
      </c>
      <c r="B121" s="20" t="s">
        <v>68</v>
      </c>
      <c r="E121" s="20">
        <f>E117/F57+E119/F59</f>
        <v>1398.7867285897241</v>
      </c>
      <c r="F121" s="20" t="s">
        <v>69</v>
      </c>
      <c r="H121" s="30"/>
      <c r="I121" s="22"/>
      <c r="K121" s="22"/>
    </row>
    <row r="122" spans="1:11" s="20" customFormat="1" ht="18.75">
      <c r="A122" s="20" t="s">
        <v>113</v>
      </c>
      <c r="H122" s="30"/>
      <c r="I122" s="22"/>
      <c r="K122" s="22"/>
    </row>
    <row r="123" spans="1:11" s="20" customFormat="1" ht="18.75">
      <c r="A123" s="20" t="s">
        <v>114</v>
      </c>
      <c r="B123" s="29" t="s">
        <v>71</v>
      </c>
      <c r="D123" s="29"/>
      <c r="E123" s="20">
        <f>F54*D111*SQRT((D110^2+2*D110*D111)/3)^3/(3*D109*F56*E18)+5*F55*F53^4/(384*E18*F56)</f>
        <v>1076.3569142137173</v>
      </c>
      <c r="F123" s="20" t="s">
        <v>61</v>
      </c>
      <c r="H123" s="30"/>
      <c r="I123" s="22"/>
      <c r="K123" s="22"/>
    </row>
    <row r="124" spans="1:11" s="20" customFormat="1" ht="18.75">
      <c r="B124" s="29"/>
      <c r="D124" s="29"/>
      <c r="H124" s="30"/>
      <c r="I124" s="22"/>
      <c r="K124" s="22"/>
    </row>
    <row r="125" spans="1:11" s="20" customFormat="1" ht="18.75">
      <c r="C125" s="20" t="s">
        <v>169</v>
      </c>
      <c r="D125" s="27" t="s">
        <v>168</v>
      </c>
      <c r="I125" s="22"/>
      <c r="K125" s="22"/>
    </row>
    <row r="126" spans="1:11" s="20" customFormat="1" ht="18.75">
      <c r="A126" s="20" t="s">
        <v>170</v>
      </c>
    </row>
    <row r="127" spans="1:11" ht="20.100000000000001" customHeight="1">
      <c r="A127" s="8" t="s">
        <v>173</v>
      </c>
      <c r="B127" s="8"/>
    </row>
    <row r="128" spans="1:11" ht="20.100000000000001" customHeight="1">
      <c r="A128" s="3" t="s">
        <v>75</v>
      </c>
      <c r="B128" s="3" t="s">
        <v>106</v>
      </c>
    </row>
    <row r="129" spans="1:6" ht="21.75" customHeight="1">
      <c r="A129" s="3" t="s">
        <v>78</v>
      </c>
      <c r="B129" s="3" t="s">
        <v>81</v>
      </c>
      <c r="D129" s="3" t="s">
        <v>82</v>
      </c>
      <c r="E129" s="3" t="s">
        <v>83</v>
      </c>
    </row>
    <row r="130" spans="1:6" ht="17.100000000000001" customHeight="1">
      <c r="A130" s="3" t="s">
        <v>78</v>
      </c>
      <c r="B130" s="3" t="s">
        <v>79</v>
      </c>
      <c r="D130" s="3">
        <f>1450*0.6</f>
        <v>870</v>
      </c>
      <c r="E130" s="3" t="s">
        <v>80</v>
      </c>
    </row>
    <row r="131" spans="1:6" ht="21.95" customHeight="1">
      <c r="A131" s="3" t="s">
        <v>76</v>
      </c>
      <c r="B131" s="3" t="s">
        <v>77</v>
      </c>
      <c r="D131" s="4" t="e">
        <f>#REF!/10</f>
        <v>#REF!</v>
      </c>
      <c r="E131" s="32" t="s">
        <v>61</v>
      </c>
    </row>
    <row r="132" spans="1:6" ht="21.95" customHeight="1">
      <c r="A132" s="3" t="s">
        <v>85</v>
      </c>
      <c r="B132" s="3" t="e">
        <f>(#REF!-(100*2))/10</f>
        <v>#REF!</v>
      </c>
      <c r="C132" s="83" t="s">
        <v>87</v>
      </c>
    </row>
    <row r="133" spans="1:6" ht="21.95" customHeight="1">
      <c r="A133" s="3" t="s">
        <v>86</v>
      </c>
      <c r="B133" s="3" t="e">
        <f>SIN(60*PI()/180)*B132+40</f>
        <v>#REF!</v>
      </c>
      <c r="C133" s="83"/>
    </row>
    <row r="134" spans="1:6" ht="21.95" customHeight="1">
      <c r="A134" s="3" t="s">
        <v>172</v>
      </c>
    </row>
    <row r="135" spans="1:6" ht="21.95" customHeight="1">
      <c r="D135" s="43" t="s">
        <v>174</v>
      </c>
      <c r="E135" s="3" t="e">
        <f>((0.7*D131*(B132+B133)*(B132+D131)+(0.7*D131*B132^2/6))*D130)*2</f>
        <v>#REF!</v>
      </c>
      <c r="F135" s="3" t="s">
        <v>88</v>
      </c>
    </row>
    <row r="136" spans="1:6" ht="21.95" customHeight="1">
      <c r="A136" s="8" t="s">
        <v>175</v>
      </c>
      <c r="B136" s="8"/>
      <c r="D136" s="43"/>
    </row>
    <row r="137" spans="1:6" ht="21.95" customHeight="1">
      <c r="A137" s="8"/>
      <c r="B137" s="8"/>
      <c r="D137" s="12" t="s">
        <v>176</v>
      </c>
      <c r="E137" s="5" t="e">
        <f>ROUND((E135/E117),2)</f>
        <v>#REF!</v>
      </c>
    </row>
    <row r="138" spans="1:6" ht="21.95" customHeight="1">
      <c r="B138" s="3" t="s">
        <v>177</v>
      </c>
      <c r="C138" s="3" t="s">
        <v>171</v>
      </c>
    </row>
    <row r="139" spans="1:6" ht="21.95" customHeight="1">
      <c r="B139" s="3" t="s">
        <v>178</v>
      </c>
      <c r="C139" s="3" t="s">
        <v>89</v>
      </c>
    </row>
    <row r="140" spans="1:6" ht="21.95" customHeight="1">
      <c r="A140" s="3" t="s">
        <v>180</v>
      </c>
    </row>
    <row r="141" spans="1:6" ht="21">
      <c r="A141" s="3" t="s">
        <v>181</v>
      </c>
      <c r="E141" s="6"/>
    </row>
    <row r="142" spans="1:6" ht="21">
      <c r="A142" s="3" t="s">
        <v>182</v>
      </c>
      <c r="E142" s="6"/>
    </row>
    <row r="143" spans="1:6" ht="21">
      <c r="A143" s="3" t="s">
        <v>183</v>
      </c>
      <c r="E143" s="6"/>
    </row>
    <row r="144" spans="1:6" ht="21">
      <c r="A144" s="3" t="s">
        <v>185</v>
      </c>
      <c r="E144" s="6"/>
    </row>
    <row r="145" spans="1:7" ht="21">
      <c r="A145" s="3" t="s">
        <v>184</v>
      </c>
      <c r="E145" s="6"/>
    </row>
    <row r="146" spans="1:7" ht="21">
      <c r="E146" s="6"/>
    </row>
    <row r="147" spans="1:7" ht="26.25">
      <c r="E147" s="61" t="s">
        <v>229</v>
      </c>
    </row>
    <row r="148" spans="1:7" ht="21">
      <c r="A148" s="3" t="s">
        <v>230</v>
      </c>
      <c r="E148" s="6"/>
    </row>
    <row r="149" spans="1:7" ht="21">
      <c r="A149" s="3" t="s">
        <v>237</v>
      </c>
      <c r="B149" s="3" t="s">
        <v>232</v>
      </c>
      <c r="E149" s="6"/>
    </row>
    <row r="150" spans="1:7" ht="21">
      <c r="B150" s="3" t="s">
        <v>233</v>
      </c>
      <c r="E150" s="6"/>
      <c r="F150" s="3">
        <f>C154/4+C155/4+C155/2/860*C153+C156/4+C156*C153/2/860</f>
        <v>2980.4430232558143</v>
      </c>
      <c r="G150" s="43" t="s">
        <v>126</v>
      </c>
    </row>
    <row r="151" spans="1:7" ht="21">
      <c r="B151" s="3" t="s">
        <v>231</v>
      </c>
      <c r="E151" s="6"/>
      <c r="G151" s="43"/>
    </row>
    <row r="152" spans="1:7" ht="21">
      <c r="B152" s="3" t="s">
        <v>239</v>
      </c>
      <c r="D152" s="43"/>
      <c r="E152" s="6"/>
      <c r="F152" s="3">
        <f>1.2*0.8*F150</f>
        <v>2861.2253023255817</v>
      </c>
      <c r="G152" s="43" t="s">
        <v>245</v>
      </c>
    </row>
    <row r="153" spans="1:7" ht="17.100000000000001" customHeight="1">
      <c r="B153" s="3" t="s">
        <v>72</v>
      </c>
      <c r="C153" s="3">
        <f xml:space="preserve"> 860/2-40</f>
        <v>390</v>
      </c>
      <c r="D153" s="43" t="s">
        <v>61</v>
      </c>
      <c r="G153" s="43"/>
    </row>
    <row r="154" spans="1:7" ht="17.100000000000001" customHeight="1">
      <c r="B154" s="3" t="s">
        <v>234</v>
      </c>
      <c r="C154" s="6">
        <f>92.6*9+300*2</f>
        <v>1433.4</v>
      </c>
      <c r="D154" s="43" t="s">
        <v>243</v>
      </c>
      <c r="G154" s="43"/>
    </row>
    <row r="155" spans="1:7" ht="17.100000000000001" customHeight="1">
      <c r="B155" s="3" t="s">
        <v>235</v>
      </c>
      <c r="C155" s="3">
        <v>500</v>
      </c>
      <c r="D155" s="43" t="s">
        <v>243</v>
      </c>
      <c r="G155" s="43"/>
    </row>
    <row r="156" spans="1:7" ht="17.100000000000001" customHeight="1">
      <c r="B156" s="3" t="s">
        <v>236</v>
      </c>
      <c r="C156" s="3">
        <v>5000</v>
      </c>
      <c r="D156" s="43" t="s">
        <v>243</v>
      </c>
      <c r="G156" s="43"/>
    </row>
    <row r="157" spans="1:7" ht="17.100000000000001" customHeight="1">
      <c r="A157" s="3" t="s">
        <v>237</v>
      </c>
      <c r="B157" s="8" t="s">
        <v>242</v>
      </c>
      <c r="G157" s="43"/>
    </row>
    <row r="158" spans="1:7" ht="17.100000000000001" customHeight="1">
      <c r="A158" s="3" t="s">
        <v>237</v>
      </c>
      <c r="B158" s="3" t="s">
        <v>238</v>
      </c>
      <c r="G158" s="43"/>
    </row>
    <row r="159" spans="1:7" ht="17.100000000000001" customHeight="1">
      <c r="G159" s="43"/>
    </row>
    <row r="160" spans="1:7" ht="17.100000000000001" customHeight="1">
      <c r="B160" s="8" t="s">
        <v>244</v>
      </c>
      <c r="D160" s="3" t="s">
        <v>80</v>
      </c>
      <c r="F160" s="62">
        <f>600*SQRT(F152/5.6/20)</f>
        <v>3032.6219043293117</v>
      </c>
      <c r="G160" s="43" t="s">
        <v>80</v>
      </c>
    </row>
    <row r="161" spans="1:6" ht="17.100000000000001" customHeight="1">
      <c r="B161" s="3" t="s">
        <v>277</v>
      </c>
      <c r="D161" s="3" t="s">
        <v>80</v>
      </c>
    </row>
    <row r="162" spans="1:6" ht="17.100000000000001" customHeight="1">
      <c r="B162" s="3" t="s">
        <v>240</v>
      </c>
      <c r="D162" s="3" t="s">
        <v>61</v>
      </c>
    </row>
    <row r="163" spans="1:6" ht="17.100000000000001" customHeight="1">
      <c r="B163" s="3" t="s">
        <v>241</v>
      </c>
      <c r="D163" s="3" t="s">
        <v>61</v>
      </c>
    </row>
    <row r="164" spans="1:6" ht="17.100000000000001" customHeight="1">
      <c r="A164" s="3" t="s">
        <v>246</v>
      </c>
    </row>
    <row r="165" spans="1:6" ht="20.25" customHeight="1">
      <c r="B165" s="3" t="s">
        <v>247</v>
      </c>
    </row>
    <row r="166" spans="1:6" ht="24" customHeight="1">
      <c r="B166" s="3" t="s">
        <v>248</v>
      </c>
      <c r="E166" s="3">
        <f>C167*(C154+C155+C156)*(2*C168+C169*C170)/C171</f>
        <v>97.067599999999999</v>
      </c>
      <c r="F166" s="43" t="s">
        <v>126</v>
      </c>
    </row>
    <row r="167" spans="1:6" ht="17.100000000000001" customHeight="1">
      <c r="B167" s="8" t="s">
        <v>73</v>
      </c>
      <c r="C167" s="3">
        <v>2</v>
      </c>
    </row>
    <row r="168" spans="1:6" ht="17.100000000000001" customHeight="1">
      <c r="B168" s="8" t="s">
        <v>249</v>
      </c>
      <c r="C168" s="3">
        <v>0.05</v>
      </c>
    </row>
    <row r="169" spans="1:6" ht="17.100000000000001" customHeight="1">
      <c r="B169" s="3" t="s">
        <v>250</v>
      </c>
      <c r="C169" s="3">
        <v>0.02</v>
      </c>
      <c r="D169" s="43"/>
    </row>
    <row r="170" spans="1:6" ht="17.100000000000001" customHeight="1">
      <c r="B170" s="3" t="s">
        <v>251</v>
      </c>
      <c r="C170" s="3">
        <v>9</v>
      </c>
      <c r="D170" s="43" t="s">
        <v>61</v>
      </c>
    </row>
    <row r="171" spans="1:6" ht="17.100000000000001" customHeight="1">
      <c r="B171" s="3" t="s">
        <v>252</v>
      </c>
      <c r="C171" s="3">
        <v>40</v>
      </c>
      <c r="D171" s="43" t="s">
        <v>61</v>
      </c>
    </row>
    <row r="173" spans="1:6" ht="17.100000000000001" customHeight="1">
      <c r="B173" s="3" t="s">
        <v>253</v>
      </c>
    </row>
    <row r="174" spans="1:6" ht="17.100000000000001" customHeight="1">
      <c r="B174" s="3" t="s">
        <v>254</v>
      </c>
      <c r="E174" s="3">
        <f>C175*(C154+C155+C156)</f>
        <v>20.8002</v>
      </c>
      <c r="F174" s="43" t="s">
        <v>126</v>
      </c>
    </row>
    <row r="175" spans="1:6" ht="17.100000000000001" customHeight="1">
      <c r="B175" s="8" t="s">
        <v>72</v>
      </c>
      <c r="C175" s="3">
        <v>3.0000000000000001E-3</v>
      </c>
    </row>
    <row r="176" spans="1:6" ht="21.75" customHeight="1">
      <c r="B176" s="3" t="s">
        <v>255</v>
      </c>
    </row>
    <row r="177" spans="1:6" ht="21" customHeight="1">
      <c r="B177" s="3" t="s">
        <v>256</v>
      </c>
      <c r="E177" s="63">
        <f>E166+E174</f>
        <v>117.8678</v>
      </c>
      <c r="F177" s="43" t="s">
        <v>126</v>
      </c>
    </row>
    <row r="179" spans="1:6" ht="24.75" customHeight="1">
      <c r="B179" s="3" t="s">
        <v>257</v>
      </c>
    </row>
    <row r="180" spans="1:6" ht="25.5" customHeight="1">
      <c r="B180" s="3" t="s">
        <v>262</v>
      </c>
      <c r="E180" s="62">
        <f>E177*C181/(60*102*C182)</f>
        <v>0.90632679738562105</v>
      </c>
      <c r="F180" s="43" t="s">
        <v>261</v>
      </c>
    </row>
    <row r="181" spans="1:6" ht="17.100000000000001" customHeight="1">
      <c r="B181" s="3" t="s">
        <v>258</v>
      </c>
      <c r="C181" s="3">
        <v>40</v>
      </c>
      <c r="D181" s="43" t="s">
        <v>260</v>
      </c>
    </row>
    <row r="182" spans="1:6" ht="17.100000000000001" customHeight="1">
      <c r="B182" s="8" t="s">
        <v>259</v>
      </c>
      <c r="C182" s="3">
        <v>0.85</v>
      </c>
    </row>
    <row r="184" spans="1:6" ht="17.100000000000001" customHeight="1">
      <c r="A184" s="3" t="s">
        <v>263</v>
      </c>
    </row>
    <row r="185" spans="1:6" ht="20.100000000000001" customHeight="1">
      <c r="B185" s="3" t="s">
        <v>264</v>
      </c>
    </row>
    <row r="186" spans="1:6" ht="20.100000000000001" customHeight="1">
      <c r="B186" s="3" t="s">
        <v>265</v>
      </c>
      <c r="E186" s="3">
        <f>F150*C187</f>
        <v>4470.664534883721</v>
      </c>
      <c r="F186" s="43" t="s">
        <v>126</v>
      </c>
    </row>
    <row r="187" spans="1:6" ht="20.100000000000001" customHeight="1">
      <c r="B187" s="3" t="s">
        <v>266</v>
      </c>
      <c r="C187" s="3">
        <v>1.5</v>
      </c>
    </row>
    <row r="188" spans="1:6" ht="20.100000000000001" customHeight="1">
      <c r="B188" s="3" t="s">
        <v>267</v>
      </c>
    </row>
    <row r="189" spans="1:6" ht="20.100000000000001" customHeight="1">
      <c r="B189" s="3" t="s">
        <v>268</v>
      </c>
      <c r="E189" s="62">
        <f>E186*C190/4</f>
        <v>27382.820276162791</v>
      </c>
      <c r="F189" s="43" t="s">
        <v>64</v>
      </c>
    </row>
    <row r="190" spans="1:6" ht="20.100000000000001" customHeight="1">
      <c r="B190" s="3" t="s">
        <v>269</v>
      </c>
      <c r="C190" s="3">
        <v>24.5</v>
      </c>
      <c r="D190" s="43" t="s">
        <v>61</v>
      </c>
    </row>
    <row r="191" spans="1:6" ht="20.100000000000001" customHeight="1"/>
    <row r="192" spans="1:6" ht="20.100000000000001" customHeight="1">
      <c r="B192" s="3" t="s">
        <v>271</v>
      </c>
    </row>
    <row r="193" spans="2:6" ht="25.5" customHeight="1">
      <c r="B193" s="3" t="s">
        <v>272</v>
      </c>
      <c r="E193" s="3">
        <f>9550*1.5/1450</f>
        <v>9.8793103448275854</v>
      </c>
      <c r="F193" s="43" t="s">
        <v>64</v>
      </c>
    </row>
    <row r="194" spans="2:6" ht="20.100000000000001" customHeight="1"/>
    <row r="195" spans="2:6" ht="20.100000000000001" customHeight="1">
      <c r="B195" s="3" t="s">
        <v>270</v>
      </c>
    </row>
    <row r="196" spans="2:6" ht="20.100000000000001" customHeight="1">
      <c r="B196" s="3" t="s">
        <v>273</v>
      </c>
      <c r="E196" s="62">
        <f>1.8*E193</f>
        <v>17.782758620689656</v>
      </c>
      <c r="F196" s="43" t="s">
        <v>64</v>
      </c>
    </row>
    <row r="197" spans="2:6" ht="20.100000000000001" customHeight="1"/>
    <row r="198" spans="2:6" ht="20.100000000000001" customHeight="1">
      <c r="B198" s="5" t="s">
        <v>274</v>
      </c>
      <c r="C198" s="5"/>
      <c r="D198" s="5"/>
      <c r="E198" s="5"/>
    </row>
    <row r="199" spans="2:6" ht="20.100000000000001" customHeight="1">
      <c r="B199" s="5" t="s">
        <v>275</v>
      </c>
      <c r="C199" s="5"/>
      <c r="D199" s="5"/>
      <c r="E199" s="5">
        <f>SQRT(E189^2+1*E196^2)</f>
        <v>27382.826050339223</v>
      </c>
      <c r="F199" s="43" t="s">
        <v>64</v>
      </c>
    </row>
    <row r="200" spans="2:6" ht="20.100000000000001" customHeight="1">
      <c r="B200" s="3" t="s">
        <v>276</v>
      </c>
    </row>
    <row r="201" spans="2:6" ht="20.100000000000001" customHeight="1">
      <c r="B201" s="3" t="s">
        <v>278</v>
      </c>
      <c r="C201" s="3">
        <f>2500/1.5/2.5</f>
        <v>666.66666666666674</v>
      </c>
      <c r="D201" s="43" t="s">
        <v>80</v>
      </c>
    </row>
    <row r="203" spans="2:6" ht="17.100000000000001" customHeight="1">
      <c r="B203" s="3" t="s">
        <v>279</v>
      </c>
      <c r="E203" s="3">
        <f>E199/0.1/C201</f>
        <v>410.74239075508825</v>
      </c>
    </row>
    <row r="204" spans="2:6" ht="17.100000000000001" customHeight="1">
      <c r="E204" s="62">
        <v>7.4329999999999998</v>
      </c>
      <c r="F204" s="43" t="s">
        <v>61</v>
      </c>
    </row>
  </sheetData>
  <mergeCells count="8">
    <mergeCell ref="J33:K33"/>
    <mergeCell ref="I39:J39"/>
    <mergeCell ref="F39:G39"/>
    <mergeCell ref="A66:B67"/>
    <mergeCell ref="A71:B72"/>
    <mergeCell ref="C132:C133"/>
    <mergeCell ref="E84:F84"/>
    <mergeCell ref="H84:I84"/>
  </mergeCells>
  <phoneticPr fontId="1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AutoCAD.Drawing.15" shapeId="4097" r:id="rId4">
          <objectPr defaultSize="0" autoPict="0" r:id="rId5">
            <anchor moveWithCells="1">
              <from>
                <xdr:col>4</xdr:col>
                <xdr:colOff>895350</xdr:colOff>
                <xdr:row>3</xdr:row>
                <xdr:rowOff>171450</xdr:rowOff>
              </from>
              <to>
                <xdr:col>5</xdr:col>
                <xdr:colOff>1295400</xdr:colOff>
                <xdr:row>11</xdr:row>
                <xdr:rowOff>95250</xdr:rowOff>
              </to>
            </anchor>
          </objectPr>
        </oleObject>
      </mc:Choice>
      <mc:Fallback>
        <oleObject progId="AutoCAD.Drawing.15" shapeId="4097" r:id="rId4"/>
      </mc:Fallback>
    </mc:AlternateContent>
    <mc:AlternateContent xmlns:mc="http://schemas.openxmlformats.org/markup-compatibility/2006">
      <mc:Choice Requires="x14">
        <oleObject progId="AutoCAD.Drawing.15" shapeId="4098" r:id="rId6">
          <objectPr defaultSize="0" autoPict="0" r:id="rId7">
            <anchor moveWithCells="1">
              <from>
                <xdr:col>5</xdr:col>
                <xdr:colOff>123825</xdr:colOff>
                <xdr:row>125</xdr:row>
                <xdr:rowOff>123825</xdr:rowOff>
              </from>
              <to>
                <xdr:col>6</xdr:col>
                <xdr:colOff>1228725</xdr:colOff>
                <xdr:row>134</xdr:row>
                <xdr:rowOff>66675</xdr:rowOff>
              </to>
            </anchor>
          </objectPr>
        </oleObject>
      </mc:Choice>
      <mc:Fallback>
        <oleObject progId="AutoCAD.Drawing.15" shapeId="4098" r:id="rId6"/>
      </mc:Fallback>
    </mc:AlternateContent>
    <mc:AlternateContent xmlns:mc="http://schemas.openxmlformats.org/markup-compatibility/2006">
      <mc:Choice Requires="x14">
        <oleObject progId="AutoCAD.Drawing.15" shapeId="4105" r:id="rId8">
          <objectPr defaultSize="0" autoPict="0" r:id="rId9">
            <anchor moveWithCells="1">
              <from>
                <xdr:col>0</xdr:col>
                <xdr:colOff>0</xdr:colOff>
                <xdr:row>75</xdr:row>
                <xdr:rowOff>161925</xdr:rowOff>
              </from>
              <to>
                <xdr:col>5</xdr:col>
                <xdr:colOff>1390650</xdr:colOff>
                <xdr:row>81</xdr:row>
                <xdr:rowOff>200025</xdr:rowOff>
              </to>
            </anchor>
          </objectPr>
        </oleObject>
      </mc:Choice>
      <mc:Fallback>
        <oleObject progId="AutoCAD.Drawing.15" shapeId="4105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4"/>
  <sheetViews>
    <sheetView topLeftCell="A43" workbookViewId="0">
      <selection activeCell="F100" sqref="F100"/>
    </sheetView>
  </sheetViews>
  <sheetFormatPr defaultRowHeight="17.100000000000001" customHeight="1"/>
  <cols>
    <col min="1" max="1" width="7.7109375" style="3" customWidth="1"/>
    <col min="2" max="2" width="17.140625" style="3" customWidth="1"/>
    <col min="3" max="3" width="20.42578125" style="3" customWidth="1"/>
    <col min="4" max="4" width="16" style="3" customWidth="1"/>
    <col min="5" max="5" width="27.7109375" style="3" customWidth="1"/>
    <col min="6" max="6" width="31.140625" style="3" customWidth="1"/>
    <col min="7" max="7" width="18.85546875" style="3" customWidth="1"/>
    <col min="8" max="8" width="30.7109375" style="3" customWidth="1"/>
    <col min="9" max="9" width="26.5703125" style="3" customWidth="1"/>
    <col min="10" max="10" width="17.7109375" style="3" customWidth="1"/>
    <col min="11" max="11" width="9.140625" style="3"/>
    <col min="12" max="12" width="17.140625" style="3" bestFit="1" customWidth="1"/>
    <col min="13" max="13" width="19.28515625" style="3" bestFit="1" customWidth="1"/>
    <col min="14" max="16384" width="9.140625" style="3"/>
  </cols>
  <sheetData>
    <row r="1" spans="1:9" ht="17.100000000000001" customHeight="1">
      <c r="C1" s="3" t="s">
        <v>186</v>
      </c>
    </row>
    <row r="2" spans="1:9" ht="20.100000000000001" customHeight="1">
      <c r="C2" s="3" t="s">
        <v>58</v>
      </c>
    </row>
    <row r="3" spans="1:9" ht="17.100000000000001" customHeight="1">
      <c r="A3" s="20" t="s">
        <v>60</v>
      </c>
    </row>
    <row r="4" spans="1:9" ht="17.100000000000001" customHeight="1">
      <c r="A4" s="20" t="s">
        <v>59</v>
      </c>
    </row>
    <row r="5" spans="1:9" ht="27.95" customHeight="1">
      <c r="A5" s="3" t="s">
        <v>28</v>
      </c>
      <c r="B5" s="11">
        <v>170</v>
      </c>
      <c r="C5" s="12" t="s">
        <v>44</v>
      </c>
      <c r="D5" s="10">
        <v>30</v>
      </c>
    </row>
    <row r="6" spans="1:9" ht="27.95" customHeight="1">
      <c r="A6" s="3" t="s">
        <v>29</v>
      </c>
      <c r="B6" s="11">
        <v>14</v>
      </c>
      <c r="C6" s="12" t="s">
        <v>45</v>
      </c>
      <c r="D6" s="10">
        <v>10</v>
      </c>
    </row>
    <row r="7" spans="1:9" ht="27.95" customHeight="1">
      <c r="A7" s="3" t="s">
        <v>22</v>
      </c>
      <c r="B7" s="11">
        <v>275</v>
      </c>
      <c r="C7" s="3" t="s">
        <v>35</v>
      </c>
      <c r="D7" s="3">
        <f>ROUND((SIN(D5*PI()/180)*B11+B9/2),1)</f>
        <v>380</v>
      </c>
      <c r="E7" s="32"/>
    </row>
    <row r="8" spans="1:9" ht="27.95" customHeight="1">
      <c r="A8" s="3" t="s">
        <v>30</v>
      </c>
      <c r="B8" s="11">
        <f>(B7-B6)</f>
        <v>261</v>
      </c>
      <c r="C8" s="3" t="s">
        <v>24</v>
      </c>
      <c r="D8" s="16">
        <f>ROUND((TAN($D$6*PI()/180)*$D$7+$B$12),2)</f>
        <v>74.5</v>
      </c>
    </row>
    <row r="9" spans="1:9" ht="27.95" customHeight="1">
      <c r="A9" s="3" t="s">
        <v>31</v>
      </c>
      <c r="B9" s="11">
        <v>10</v>
      </c>
      <c r="C9" s="3" t="s">
        <v>23</v>
      </c>
      <c r="D9" s="37">
        <f>ROUND(($D$8-$B$12)/SIN($D$6*PI()/180),0)</f>
        <v>386</v>
      </c>
    </row>
    <row r="10" spans="1:9" ht="27.95" customHeight="1">
      <c r="A10" s="19" t="s">
        <v>41</v>
      </c>
      <c r="B10" s="9">
        <v>6</v>
      </c>
      <c r="C10" s="3" t="s">
        <v>25</v>
      </c>
      <c r="D10" s="6">
        <f>ROUND((D9+B16),0)</f>
        <v>421</v>
      </c>
    </row>
    <row r="11" spans="1:9" ht="27.95" customHeight="1">
      <c r="A11" s="19" t="s">
        <v>42</v>
      </c>
      <c r="B11" s="9">
        <v>750</v>
      </c>
      <c r="C11" s="3" t="s">
        <v>26</v>
      </c>
      <c r="D11" s="6">
        <f>ROUND(((($D$10+2)*(COS($D$6*PI()/180)))*2),0)</f>
        <v>833</v>
      </c>
      <c r="F11" s="14"/>
    </row>
    <row r="12" spans="1:9" ht="27.95" customHeight="1">
      <c r="A12" s="19" t="s">
        <v>43</v>
      </c>
      <c r="B12" s="48">
        <v>7.5</v>
      </c>
      <c r="C12" s="3" t="s">
        <v>32</v>
      </c>
      <c r="D12" s="6">
        <f>ROUND((B7-40),0)</f>
        <v>235</v>
      </c>
      <c r="F12" s="14"/>
    </row>
    <row r="13" spans="1:9" ht="27.95" customHeight="1">
      <c r="A13" s="3" t="s">
        <v>27</v>
      </c>
      <c r="B13" s="11">
        <f>ROUND(($D$10),0)</f>
        <v>421</v>
      </c>
      <c r="C13" s="3" t="s">
        <v>33</v>
      </c>
      <c r="D13" s="6">
        <f>ROUND((COS($D$5*PI()/180)*$B$11),0)</f>
        <v>650</v>
      </c>
      <c r="F13" s="13"/>
    </row>
    <row r="14" spans="1:9" ht="27.95" customHeight="1">
      <c r="A14" s="3" t="s">
        <v>37</v>
      </c>
      <c r="B14" s="11">
        <f>ROUND(((B5-B9)/2),0)</f>
        <v>80</v>
      </c>
      <c r="C14" s="3" t="s">
        <v>34</v>
      </c>
      <c r="D14" s="6">
        <f>ROUND((SIN(30*PI()/180)*$B$11+$B$10),0)</f>
        <v>381</v>
      </c>
      <c r="F14" s="13"/>
      <c r="I14" s="16"/>
    </row>
    <row r="15" spans="1:9" ht="27.95" customHeight="1">
      <c r="A15" s="3" t="s">
        <v>39</v>
      </c>
      <c r="B15" s="11">
        <f>B16-B10</f>
        <v>29</v>
      </c>
      <c r="C15" s="3" t="s">
        <v>50</v>
      </c>
      <c r="D15" s="6">
        <f>ROUND(($D$8+$D$13+$D$12),0)</f>
        <v>960</v>
      </c>
      <c r="F15" s="13"/>
      <c r="I15" s="16"/>
    </row>
    <row r="16" spans="1:9" ht="27.95" customHeight="1">
      <c r="A16" s="5" t="s">
        <v>40</v>
      </c>
      <c r="B16" s="5">
        <v>35</v>
      </c>
      <c r="C16" s="3" t="s">
        <v>38</v>
      </c>
      <c r="D16" s="6">
        <f>ROUND(($D$10*(COS($D$6*PI()/180))),0)</f>
        <v>415</v>
      </c>
      <c r="E16" s="15"/>
    </row>
    <row r="17" spans="1:10" ht="21">
      <c r="A17" s="3" t="s">
        <v>99</v>
      </c>
      <c r="E17" s="5">
        <f>15400/10</f>
        <v>1540</v>
      </c>
      <c r="F17" s="3" t="s">
        <v>61</v>
      </c>
    </row>
    <row r="18" spans="1:10" ht="21">
      <c r="A18" s="3" t="s">
        <v>115</v>
      </c>
      <c r="E18" s="39">
        <f>E17/700</f>
        <v>2.2000000000000002</v>
      </c>
      <c r="F18" s="3" t="s">
        <v>61</v>
      </c>
    </row>
    <row r="19" spans="1:10" ht="21">
      <c r="A19" s="3" t="s">
        <v>207</v>
      </c>
      <c r="E19" s="39"/>
      <c r="F19" s="3">
        <v>80</v>
      </c>
      <c r="G19" s="3" t="s">
        <v>208</v>
      </c>
    </row>
    <row r="20" spans="1:10" ht="22.5">
      <c r="A20" s="3" t="s">
        <v>116</v>
      </c>
      <c r="E20" s="39"/>
    </row>
    <row r="21" spans="1:10" ht="23.25">
      <c r="A21" s="3" t="s">
        <v>150</v>
      </c>
      <c r="E21" s="9">
        <f>2.1*10^6</f>
        <v>2100000</v>
      </c>
      <c r="F21" s="3" t="s">
        <v>151</v>
      </c>
      <c r="G21" s="3" t="s">
        <v>140</v>
      </c>
    </row>
    <row r="22" spans="1:10" ht="23.25">
      <c r="A22" s="3" t="s">
        <v>149</v>
      </c>
      <c r="E22" s="9">
        <v>1600</v>
      </c>
      <c r="F22" s="3" t="s">
        <v>151</v>
      </c>
      <c r="G22" s="3" t="s">
        <v>140</v>
      </c>
    </row>
    <row r="23" spans="1:10" ht="21">
      <c r="A23" s="3" t="s">
        <v>117</v>
      </c>
    </row>
    <row r="24" spans="1:10" ht="21">
      <c r="A24" s="3" t="s">
        <v>100</v>
      </c>
    </row>
    <row r="25" spans="1:10" ht="24.95" customHeight="1">
      <c r="A25" s="3" t="s">
        <v>1</v>
      </c>
      <c r="B25" s="3" t="s">
        <v>36</v>
      </c>
      <c r="F25" s="6"/>
      <c r="G25" s="3">
        <f>$B$6/2*$B$5*$B$6+($B$8/2+$B$6)*$B$8*$B$9+(($D$12+$D$13/2)*$B$10*$B$11)*2+(($D$13+$D$12+$D$8/2)*$B$12*$D$10)*2</f>
        <v>11257813.75</v>
      </c>
      <c r="H25" s="4" t="s">
        <v>3</v>
      </c>
    </row>
    <row r="26" spans="1:10" ht="20.100000000000001" customHeight="1">
      <c r="A26" s="3" t="s">
        <v>0</v>
      </c>
      <c r="B26" s="3" t="s">
        <v>51</v>
      </c>
      <c r="F26" s="6"/>
      <c r="G26" s="35">
        <f>B5*B6+B8*B9+B10*B11*2+B12*$B$13*2</f>
        <v>20305</v>
      </c>
      <c r="H26" s="4" t="s">
        <v>4</v>
      </c>
    </row>
    <row r="27" spans="1:10" ht="20.100000000000001" customHeight="1">
      <c r="A27" s="5" t="s">
        <v>6</v>
      </c>
      <c r="B27" s="5" t="s">
        <v>7</v>
      </c>
      <c r="C27" s="36"/>
      <c r="F27" s="7"/>
      <c r="G27" s="5">
        <f>G25/G26</f>
        <v>554.43554543215953</v>
      </c>
      <c r="H27" s="4" t="s">
        <v>5</v>
      </c>
      <c r="I27" s="34"/>
    </row>
    <row r="28" spans="1:10" ht="20.100000000000001" customHeight="1">
      <c r="A28" s="3" t="s">
        <v>2</v>
      </c>
      <c r="E28" s="6"/>
      <c r="G28" s="3">
        <f>$D$16/2*$B$12*$B$13+($D$16+$D$16/2)*$B$12*$B$13+($B$15+$D$14/2)*$B$10*$B$11+($D$16+$B$9/2+$D$14/2)*$B$10*$B$11+($B$15+$D$14+$B$9/2)*$B$9*$B$8+($D$16-$B$5/2+$B$5/2)*$B$5*$B$6</f>
        <v>8426575</v>
      </c>
      <c r="H28" s="4" t="s">
        <v>3</v>
      </c>
    </row>
    <row r="29" spans="1:10" ht="20.100000000000001" customHeight="1">
      <c r="A29" s="3" t="s">
        <v>0</v>
      </c>
      <c r="B29" s="3" t="s">
        <v>51</v>
      </c>
      <c r="F29" s="6"/>
      <c r="G29" s="3">
        <f>$B$5*$B$6+$B$8*$B$9+($B$10*$B$11)*2+($B$12*$D$10)*2</f>
        <v>20305</v>
      </c>
      <c r="H29" s="4" t="s">
        <v>4</v>
      </c>
      <c r="I29" s="33"/>
      <c r="J29" s="5"/>
    </row>
    <row r="30" spans="1:10" ht="20.100000000000001" customHeight="1">
      <c r="A30" s="5" t="s">
        <v>8</v>
      </c>
      <c r="B30" s="5" t="s">
        <v>9</v>
      </c>
      <c r="F30" s="7"/>
      <c r="G30" s="5">
        <f>G28/G29</f>
        <v>415</v>
      </c>
      <c r="H30" s="4" t="s">
        <v>5</v>
      </c>
    </row>
    <row r="31" spans="1:10" ht="20.100000000000001" customHeight="1">
      <c r="A31" s="3" t="s">
        <v>118</v>
      </c>
    </row>
    <row r="32" spans="1:10" ht="20.100000000000001" customHeight="1">
      <c r="A32" s="3" t="s">
        <v>12</v>
      </c>
      <c r="H32" s="4"/>
    </row>
    <row r="33" spans="1:8" ht="20.100000000000001" customHeight="1">
      <c r="A33" s="3" t="s">
        <v>13</v>
      </c>
      <c r="B33" s="3" t="s">
        <v>46</v>
      </c>
      <c r="G33" s="3">
        <f>B5*B6^3/12+(G27-B6/2)^2*B5*B6</f>
        <v>713290783.17153573</v>
      </c>
      <c r="H33" s="4" t="s">
        <v>56</v>
      </c>
    </row>
    <row r="34" spans="1:8" ht="20.100000000000001" customHeight="1">
      <c r="A34" s="3" t="s">
        <v>14</v>
      </c>
      <c r="B34" s="3" t="s">
        <v>47</v>
      </c>
      <c r="G34" s="3">
        <f>B9*B8^3/12+(G27-B6-B8/2)^2*B9*B8</f>
        <v>453419382.67686909</v>
      </c>
      <c r="H34" s="4" t="s">
        <v>56</v>
      </c>
    </row>
    <row r="35" spans="1:8" ht="20.100000000000001" customHeight="1">
      <c r="A35" s="3" t="s">
        <v>15</v>
      </c>
      <c r="B35" s="3" t="s">
        <v>48</v>
      </c>
      <c r="G35" s="3">
        <f>(D13^3*B10/12+(G27-D12-D13/2)^2*B10*B11)*2</f>
        <v>274903668.39173806</v>
      </c>
      <c r="H35" s="4" t="s">
        <v>56</v>
      </c>
    </row>
    <row r="36" spans="1:8" ht="20.100000000000001" customHeight="1">
      <c r="A36" s="3" t="s">
        <v>16</v>
      </c>
      <c r="B36" s="3" t="s">
        <v>49</v>
      </c>
      <c r="F36" s="5"/>
      <c r="G36" s="3">
        <f>(D8^3*B12/12+(G27-D12-D13-D8/2)^2*B12*B13)*2</f>
        <v>854857258.95702481</v>
      </c>
      <c r="H36" s="4" t="s">
        <v>56</v>
      </c>
    </row>
    <row r="37" spans="1:8" ht="20.100000000000001" customHeight="1">
      <c r="A37" s="5" t="s">
        <v>52</v>
      </c>
      <c r="F37" s="7"/>
      <c r="G37" s="5">
        <f>G36+G35+G34+G33</f>
        <v>2296471093.1971679</v>
      </c>
      <c r="H37" s="4" t="s">
        <v>56</v>
      </c>
    </row>
    <row r="38" spans="1:8" ht="20.100000000000001" customHeight="1">
      <c r="A38" s="3" t="s">
        <v>17</v>
      </c>
      <c r="H38" s="4"/>
    </row>
    <row r="39" spans="1:8" ht="20.100000000000001" customHeight="1">
      <c r="A39" s="3" t="s">
        <v>18</v>
      </c>
      <c r="B39" s="3" t="s">
        <v>90</v>
      </c>
      <c r="G39" s="3">
        <f>B5^3*B6/12</f>
        <v>5731833.333333333</v>
      </c>
      <c r="H39" s="4" t="s">
        <v>56</v>
      </c>
    </row>
    <row r="40" spans="1:8" ht="20.100000000000001" customHeight="1">
      <c r="A40" s="3" t="s">
        <v>19</v>
      </c>
      <c r="B40" s="3" t="s">
        <v>91</v>
      </c>
      <c r="G40" s="3">
        <f>B8*B9^3/12</f>
        <v>21750</v>
      </c>
      <c r="H40" s="4" t="s">
        <v>56</v>
      </c>
    </row>
    <row r="41" spans="1:8" ht="20.100000000000001" customHeight="1">
      <c r="A41" s="3" t="s">
        <v>20</v>
      </c>
      <c r="B41" s="3" t="s">
        <v>10</v>
      </c>
      <c r="G41" s="3">
        <f>(B10*D14^3/12+(G30-B9-D14/2)^2*B10*B11)*2</f>
        <v>469398591</v>
      </c>
      <c r="H41" s="4" t="s">
        <v>56</v>
      </c>
    </row>
    <row r="42" spans="1:8" ht="20.100000000000001" customHeight="1">
      <c r="A42" s="3" t="s">
        <v>21</v>
      </c>
      <c r="B42" s="3" t="s">
        <v>11</v>
      </c>
      <c r="G42" s="3">
        <f>(B12*D10^3/12+(G30-D16/2)^2*B12*B13)*2</f>
        <v>365173295</v>
      </c>
      <c r="H42" s="4" t="s">
        <v>56</v>
      </c>
    </row>
    <row r="43" spans="1:8" ht="20.100000000000001" customHeight="1">
      <c r="A43" s="5" t="s">
        <v>53</v>
      </c>
      <c r="F43" s="7"/>
      <c r="G43" s="5">
        <f>G42+G41+G40+G39</f>
        <v>840325469.33333337</v>
      </c>
      <c r="H43" s="4" t="s">
        <v>56</v>
      </c>
    </row>
    <row r="44" spans="1:8" ht="20.100000000000001" customHeight="1">
      <c r="B44" s="3" t="s">
        <v>221</v>
      </c>
      <c r="D44" s="52"/>
      <c r="E44" s="52" t="s">
        <v>222</v>
      </c>
      <c r="F44" s="52"/>
      <c r="G44" s="52"/>
    </row>
    <row r="45" spans="1:8" ht="24.95" customHeight="1">
      <c r="B45" s="76" t="s">
        <v>54</v>
      </c>
      <c r="C45" s="84"/>
      <c r="D45" s="52"/>
      <c r="E45" s="52"/>
      <c r="F45" s="78"/>
      <c r="G45" s="78"/>
    </row>
    <row r="46" spans="1:8" ht="20.100000000000001" customHeight="1">
      <c r="A46" s="5"/>
      <c r="B46" s="17" t="s">
        <v>94</v>
      </c>
      <c r="C46" s="51">
        <f>$G$37/(100^2)</f>
        <v>229647.10931971678</v>
      </c>
      <c r="D46" s="52"/>
      <c r="E46" s="52"/>
      <c r="F46" s="53"/>
      <c r="G46" s="54"/>
    </row>
    <row r="47" spans="1:8" ht="20.100000000000001" customHeight="1">
      <c r="B47" s="17" t="s">
        <v>95</v>
      </c>
      <c r="C47" s="51">
        <f>$G$43/(100^2)</f>
        <v>84032.546933333331</v>
      </c>
      <c r="D47" s="52"/>
      <c r="E47" s="52"/>
      <c r="F47" s="53"/>
      <c r="G47" s="54"/>
      <c r="H47" s="6"/>
    </row>
    <row r="48" spans="1:8" ht="20.100000000000001" customHeight="1">
      <c r="B48" s="17" t="s">
        <v>96</v>
      </c>
      <c r="C48" s="51">
        <f>$G$27/10</f>
        <v>55.443554543215953</v>
      </c>
      <c r="D48" s="52"/>
      <c r="E48" s="52"/>
      <c r="F48" s="53"/>
      <c r="G48" s="54"/>
    </row>
    <row r="49" spans="1:11" ht="20.100000000000001" customHeight="1">
      <c r="B49" s="17" t="s">
        <v>187</v>
      </c>
      <c r="C49" s="51">
        <f>$G$30/10</f>
        <v>41.5</v>
      </c>
      <c r="D49" s="52"/>
      <c r="E49" s="52"/>
      <c r="F49" s="53"/>
      <c r="G49" s="54"/>
    </row>
    <row r="50" spans="1:11" ht="20.100000000000001" customHeight="1">
      <c r="B50" s="17" t="s">
        <v>97</v>
      </c>
      <c r="C50" s="51">
        <f>$G$26/100</f>
        <v>203.05</v>
      </c>
      <c r="D50" s="52"/>
      <c r="E50" s="52"/>
      <c r="F50" s="53"/>
      <c r="G50" s="54"/>
    </row>
    <row r="51" spans="1:11" ht="20.100000000000001" customHeight="1">
      <c r="A51" s="3" t="s">
        <v>197</v>
      </c>
    </row>
    <row r="52" spans="1:11" ht="21">
      <c r="C52" s="3" t="s">
        <v>57</v>
      </c>
      <c r="E52" s="6"/>
    </row>
    <row r="53" spans="1:11" ht="21">
      <c r="A53" s="3" t="s">
        <v>104</v>
      </c>
      <c r="E53" s="6"/>
    </row>
    <row r="54" spans="1:11" s="20" customFormat="1" ht="18.75">
      <c r="B54" s="20" t="s">
        <v>105</v>
      </c>
      <c r="H54" s="30"/>
      <c r="I54" s="22"/>
      <c r="J54" s="22"/>
      <c r="K54" s="22"/>
    </row>
    <row r="55" spans="1:11" s="20" customFormat="1" ht="18.75">
      <c r="A55" s="20" t="s">
        <v>120</v>
      </c>
      <c r="H55" s="31"/>
      <c r="I55" s="22"/>
      <c r="J55" s="22"/>
      <c r="K55" s="22"/>
    </row>
    <row r="56" spans="1:11" s="20" customFormat="1" ht="18.75">
      <c r="B56" s="27" t="s">
        <v>161</v>
      </c>
      <c r="E56" s="20" t="s">
        <v>146</v>
      </c>
      <c r="H56" s="31"/>
      <c r="I56" s="22"/>
      <c r="J56" s="22"/>
      <c r="K56" s="22"/>
    </row>
    <row r="57" spans="1:11" s="20" customFormat="1" ht="18.75">
      <c r="B57" s="27" t="s">
        <v>162</v>
      </c>
      <c r="E57" s="20" t="s">
        <v>146</v>
      </c>
      <c r="H57" s="31"/>
      <c r="I57" s="22"/>
      <c r="J57" s="22"/>
      <c r="K57" s="22"/>
    </row>
    <row r="58" spans="1:11" s="20" customFormat="1" ht="20.25">
      <c r="A58" s="20" t="s">
        <v>119</v>
      </c>
      <c r="E58" s="20" t="s">
        <v>0</v>
      </c>
      <c r="F58" s="30">
        <f>C50</f>
        <v>203.05</v>
      </c>
      <c r="G58" s="20" t="s">
        <v>121</v>
      </c>
      <c r="H58" s="31"/>
      <c r="I58" s="22"/>
      <c r="J58" s="22"/>
      <c r="K58" s="22"/>
    </row>
    <row r="59" spans="1:11" s="20" customFormat="1" ht="18.75">
      <c r="A59" s="20" t="s">
        <v>122</v>
      </c>
      <c r="B59" s="30"/>
      <c r="E59" s="20" t="s">
        <v>123</v>
      </c>
      <c r="F59" s="30">
        <f>E17</f>
        <v>1540</v>
      </c>
      <c r="G59" s="30" t="s">
        <v>61</v>
      </c>
      <c r="H59" s="31"/>
      <c r="I59" s="22"/>
      <c r="J59" s="22"/>
      <c r="K59" s="22"/>
    </row>
    <row r="60" spans="1:11" s="20" customFormat="1" ht="18.75">
      <c r="A60" s="20" t="s">
        <v>124</v>
      </c>
      <c r="B60" s="30"/>
      <c r="E60" s="20" t="s">
        <v>125</v>
      </c>
      <c r="F60" s="30">
        <f>(10+1)*1000</f>
        <v>11000</v>
      </c>
      <c r="G60" s="20" t="s">
        <v>126</v>
      </c>
      <c r="H60" s="31"/>
      <c r="I60" s="22"/>
      <c r="J60" s="22"/>
      <c r="K60" s="22"/>
    </row>
    <row r="61" spans="1:11" s="20" customFormat="1" ht="18.75">
      <c r="A61" s="20" t="s">
        <v>127</v>
      </c>
      <c r="B61" s="30"/>
      <c r="E61" s="20" t="s">
        <v>128</v>
      </c>
      <c r="F61" s="38">
        <f>F58*0.000001*7850</f>
        <v>1.5939425</v>
      </c>
      <c r="G61" s="20" t="s">
        <v>129</v>
      </c>
      <c r="H61" s="31"/>
      <c r="I61" s="49">
        <f>H61+H62</f>
        <v>0</v>
      </c>
      <c r="J61" s="22"/>
      <c r="K61" s="22"/>
    </row>
    <row r="62" spans="1:11" s="20" customFormat="1" ht="20.25">
      <c r="A62" s="20" t="s">
        <v>130</v>
      </c>
      <c r="B62" s="30"/>
      <c r="E62" s="20" t="s">
        <v>131</v>
      </c>
      <c r="F62" s="38">
        <f>C46</f>
        <v>229647.10931971678</v>
      </c>
      <c r="G62" s="20" t="s">
        <v>132</v>
      </c>
      <c r="H62" s="55"/>
      <c r="I62" s="22"/>
      <c r="J62" s="22"/>
      <c r="K62" s="22"/>
    </row>
    <row r="63" spans="1:11" s="20" customFormat="1" ht="20.25">
      <c r="A63" s="20" t="s">
        <v>133</v>
      </c>
      <c r="B63" s="30"/>
      <c r="E63" s="20" t="s">
        <v>134</v>
      </c>
      <c r="F63" s="38">
        <f>F62/C48</f>
        <v>4141.9983118275068</v>
      </c>
      <c r="G63" s="20" t="s">
        <v>135</v>
      </c>
      <c r="H63" s="31"/>
      <c r="I63" s="22"/>
      <c r="J63" s="22"/>
      <c r="K63" s="22"/>
    </row>
    <row r="64" spans="1:11" s="20" customFormat="1" ht="20.25">
      <c r="A64" s="20" t="s">
        <v>136</v>
      </c>
      <c r="B64" s="30"/>
      <c r="E64" s="20" t="s">
        <v>138</v>
      </c>
      <c r="F64" s="38">
        <f>C47</f>
        <v>84032.546933333331</v>
      </c>
      <c r="G64" s="20" t="s">
        <v>132</v>
      </c>
      <c r="H64" s="31"/>
      <c r="I64" s="22"/>
      <c r="J64" s="22"/>
      <c r="K64" s="22"/>
    </row>
    <row r="65" spans="1:11" s="20" customFormat="1" ht="20.25">
      <c r="A65" s="20" t="s">
        <v>137</v>
      </c>
      <c r="B65" s="30"/>
      <c r="E65" s="20" t="s">
        <v>139</v>
      </c>
      <c r="F65" s="38">
        <f>F64/C49</f>
        <v>2024.8806489959838</v>
      </c>
      <c r="G65" s="20" t="s">
        <v>135</v>
      </c>
      <c r="H65" s="31"/>
      <c r="I65" s="22"/>
      <c r="J65" s="22"/>
      <c r="K65" s="22"/>
    </row>
    <row r="66" spans="1:11" s="20" customFormat="1" ht="20.25">
      <c r="A66" s="20" t="s">
        <v>107</v>
      </c>
      <c r="B66" s="30"/>
      <c r="E66" s="20" t="s">
        <v>141</v>
      </c>
      <c r="F66" s="20">
        <f>F61*F59^2/8</f>
        <v>472524.25412500004</v>
      </c>
      <c r="G66" s="20" t="s">
        <v>64</v>
      </c>
      <c r="H66" s="31"/>
      <c r="I66" s="22"/>
      <c r="J66" s="22"/>
      <c r="K66" s="22"/>
    </row>
    <row r="67" spans="1:11" s="20" customFormat="1" ht="18.75">
      <c r="A67" s="20" t="s">
        <v>108</v>
      </c>
      <c r="E67" s="20" t="s">
        <v>142</v>
      </c>
      <c r="F67" s="20">
        <f>F60*F59/4</f>
        <v>4235000</v>
      </c>
      <c r="G67" s="20" t="s">
        <v>64</v>
      </c>
      <c r="H67" s="30"/>
      <c r="I67" s="22"/>
      <c r="J67" s="22"/>
      <c r="K67" s="22"/>
    </row>
    <row r="68" spans="1:11" s="20" customFormat="1" ht="18.75">
      <c r="A68" s="20" t="s">
        <v>109</v>
      </c>
      <c r="E68" s="20" t="s">
        <v>143</v>
      </c>
      <c r="F68" s="20">
        <f>1.05*(F66+1.25*F67)</f>
        <v>6054587.9668312501</v>
      </c>
      <c r="G68" s="20" t="s">
        <v>64</v>
      </c>
      <c r="H68" s="30"/>
      <c r="I68" s="22"/>
      <c r="J68" s="22"/>
      <c r="K68" s="22"/>
    </row>
    <row r="69" spans="1:11" s="20" customFormat="1" ht="18.75">
      <c r="A69" s="20" t="s">
        <v>110</v>
      </c>
      <c r="E69" s="20" t="s">
        <v>144</v>
      </c>
      <c r="F69" s="20">
        <f>0.05*(F66+F67)</f>
        <v>235376.21270625002</v>
      </c>
      <c r="G69" s="20" t="s">
        <v>64</v>
      </c>
      <c r="H69" s="30"/>
      <c r="I69" s="22"/>
      <c r="J69" s="22"/>
      <c r="K69" s="22"/>
    </row>
    <row r="70" spans="1:11" s="20" customFormat="1" ht="20.25">
      <c r="A70" s="20" t="s">
        <v>112</v>
      </c>
      <c r="E70" s="24" t="s">
        <v>145</v>
      </c>
      <c r="F70" s="20">
        <f>F68/F63+F69/F65</f>
        <v>1577.9973135662649</v>
      </c>
      <c r="G70" s="20" t="s">
        <v>69</v>
      </c>
      <c r="H70" s="30"/>
      <c r="I70" s="22"/>
      <c r="J70" s="22"/>
      <c r="K70" s="22"/>
    </row>
    <row r="71" spans="1:11" s="20" customFormat="1" ht="18.75">
      <c r="A71" s="20" t="s">
        <v>147</v>
      </c>
      <c r="E71" s="40" t="s">
        <v>148</v>
      </c>
      <c r="F71" s="42">
        <f>ROUND((E22/F70),2)</f>
        <v>1.01</v>
      </c>
      <c r="H71" s="30"/>
      <c r="I71" s="22"/>
      <c r="J71" s="22"/>
      <c r="K71" s="22"/>
    </row>
    <row r="72" spans="1:11" s="20" customFormat="1" ht="18.75" customHeight="1">
      <c r="A72" s="46" t="s">
        <v>155</v>
      </c>
      <c r="B72"/>
      <c r="C72" s="47" t="s">
        <v>202</v>
      </c>
      <c r="F72" s="25" t="str">
        <f>IF(F70&lt;E22,"ÑAÏT","KHOÂNGÑAÏT")</f>
        <v>ÑAÏT</v>
      </c>
      <c r="H72" s="30"/>
      <c r="I72" s="22"/>
      <c r="J72" s="22"/>
      <c r="K72" s="22"/>
    </row>
    <row r="73" spans="1:11" s="20" customFormat="1" ht="18.75">
      <c r="A73" s="46"/>
      <c r="B73"/>
      <c r="C73" s="27"/>
      <c r="H73" s="30"/>
      <c r="I73" s="22"/>
      <c r="J73" s="22"/>
      <c r="K73" s="22"/>
    </row>
    <row r="74" spans="1:11" s="20" customFormat="1" ht="18.75">
      <c r="A74" s="20" t="s">
        <v>113</v>
      </c>
      <c r="B74" s="27"/>
      <c r="H74" s="30"/>
      <c r="I74" s="22"/>
      <c r="J74" s="22"/>
      <c r="K74" s="22"/>
    </row>
    <row r="75" spans="1:11" s="20" customFormat="1" ht="20.25">
      <c r="A75" s="20" t="s">
        <v>152</v>
      </c>
      <c r="B75" s="20" t="s">
        <v>153</v>
      </c>
      <c r="F75" s="41">
        <f>F60*F59^3/(48*E21*F62)+5*F61*F59^4/(384*E21*F62)</f>
        <v>1.9775898121652506</v>
      </c>
      <c r="G75" s="20" t="s">
        <v>61</v>
      </c>
      <c r="H75" s="30"/>
      <c r="I75" s="22"/>
      <c r="J75" s="22"/>
      <c r="K75" s="22"/>
    </row>
    <row r="76" spans="1:11" s="20" customFormat="1" ht="18.75">
      <c r="B76" s="20" t="s">
        <v>154</v>
      </c>
      <c r="E76" s="24"/>
      <c r="F76" s="42">
        <f>ROUND((E18/F75),2)</f>
        <v>1.1100000000000001</v>
      </c>
      <c r="I76" s="22"/>
      <c r="J76" s="22"/>
      <c r="K76" s="22"/>
    </row>
    <row r="77" spans="1:11" s="20" customFormat="1" ht="18.75">
      <c r="A77" s="46" t="s">
        <v>155</v>
      </c>
      <c r="B77"/>
      <c r="C77" s="47" t="s">
        <v>203</v>
      </c>
      <c r="F77" s="25" t="str">
        <f>IF(F75&lt;E18,"ÑAÏT","KHOÂNGÑAÏT")</f>
        <v>ÑAÏT</v>
      </c>
      <c r="G77" s="25"/>
      <c r="H77" s="28"/>
      <c r="I77" s="25"/>
    </row>
    <row r="78" spans="1:11" s="20" customFormat="1" ht="24.75">
      <c r="C78" s="21" t="s">
        <v>204</v>
      </c>
      <c r="G78" s="25"/>
      <c r="H78" s="28"/>
      <c r="I78" s="25"/>
    </row>
    <row r="79" spans="1:11" s="20" customFormat="1" ht="24.75">
      <c r="C79" s="21"/>
      <c r="G79" s="25"/>
      <c r="H79" s="28"/>
      <c r="I79" s="25"/>
    </row>
    <row r="80" spans="1:11" s="20" customFormat="1" ht="24.75">
      <c r="C80" s="21"/>
      <c r="G80" s="25"/>
      <c r="H80" s="28"/>
      <c r="I80" s="25"/>
    </row>
    <row r="81" spans="1:9" s="20" customFormat="1" ht="24.75">
      <c r="C81" s="21"/>
      <c r="G81" s="25"/>
      <c r="H81" s="28"/>
      <c r="I81" s="25"/>
    </row>
    <row r="82" spans="1:9" s="20" customFormat="1" ht="24.75">
      <c r="C82" s="21"/>
      <c r="G82" s="25"/>
      <c r="H82" s="28"/>
      <c r="I82" s="25"/>
    </row>
    <row r="83" spans="1:9" s="20" customFormat="1" ht="24.75">
      <c r="C83" s="21"/>
      <c r="G83" s="25"/>
      <c r="H83" s="28"/>
      <c r="I83" s="25"/>
    </row>
    <row r="84" spans="1:9" s="20" customFormat="1" ht="24.75">
      <c r="C84" s="21"/>
      <c r="G84" s="25"/>
      <c r="H84" s="28"/>
      <c r="I84" s="25"/>
    </row>
    <row r="85" spans="1:9" s="20" customFormat="1" ht="24.75">
      <c r="C85" s="21"/>
      <c r="G85" s="25"/>
      <c r="H85" s="28"/>
      <c r="I85" s="25"/>
    </row>
    <row r="86" spans="1:9" s="20" customFormat="1" ht="24.75">
      <c r="A86" s="3" t="s">
        <v>198</v>
      </c>
      <c r="B86" s="3"/>
      <c r="C86" s="21"/>
      <c r="G86" s="25"/>
      <c r="H86" s="28"/>
      <c r="I86" s="25"/>
    </row>
    <row r="87" spans="1:9" s="20" customFormat="1" ht="24.75">
      <c r="A87" s="3" t="s">
        <v>73</v>
      </c>
      <c r="B87" s="5">
        <v>300</v>
      </c>
      <c r="C87" s="21"/>
      <c r="E87" s="76" t="s">
        <v>54</v>
      </c>
      <c r="F87" s="77"/>
      <c r="G87" s="25"/>
      <c r="H87" s="28"/>
      <c r="I87" s="25"/>
    </row>
    <row r="88" spans="1:9" s="20" customFormat="1" ht="24.75">
      <c r="A88" s="3" t="s">
        <v>92</v>
      </c>
      <c r="B88" s="5">
        <v>8</v>
      </c>
      <c r="C88" s="21"/>
      <c r="E88" s="17" t="s">
        <v>94</v>
      </c>
      <c r="F88" s="18">
        <f>((B87*B91^3/12+(F90-B91/2)^2*B91*B87)*2+(B88*B92^3/12+(F90-B92/2-B91)^2*B92*B88)*2)/10000</f>
        <v>23620.533333333333</v>
      </c>
      <c r="G88" s="25"/>
      <c r="H88" s="28"/>
      <c r="I88" s="25"/>
    </row>
    <row r="89" spans="1:9" s="20" customFormat="1" ht="24.75">
      <c r="A89" s="3" t="s">
        <v>93</v>
      </c>
      <c r="B89" s="3">
        <f>B87-B88*2</f>
        <v>284</v>
      </c>
      <c r="C89" s="21"/>
      <c r="E89" s="17" t="s">
        <v>95</v>
      </c>
      <c r="F89" s="18">
        <f>(B91*B87^3/12*2+((B88^3+B92/12+(F91-B87+B88/2)^2*B92*B88))*2)/10000</f>
        <v>16096.012066666668</v>
      </c>
      <c r="G89" s="25"/>
      <c r="H89" s="28"/>
      <c r="I89" s="25"/>
    </row>
    <row r="90" spans="1:9" s="20" customFormat="1" ht="24.75">
      <c r="A90" s="3" t="s">
        <v>22</v>
      </c>
      <c r="B90" s="3">
        <v>360</v>
      </c>
      <c r="C90" s="21"/>
      <c r="E90" s="17" t="s">
        <v>96</v>
      </c>
      <c r="F90" s="50">
        <f>(B91/2*B91*B87+(B91+B92/2)*B88*B92+(B91+B92/2)*B88*B92+(B90-B91/2)*B91*B87)/(B92*B88*2+B87*B91*2)</f>
        <v>180</v>
      </c>
      <c r="G90" s="25"/>
      <c r="H90" s="28"/>
      <c r="I90" s="25"/>
    </row>
    <row r="91" spans="1:9" s="20" customFormat="1" ht="24.75">
      <c r="A91" s="3" t="s">
        <v>214</v>
      </c>
      <c r="B91" s="5">
        <v>10</v>
      </c>
      <c r="C91" s="21"/>
      <c r="E91" s="17" t="s">
        <v>55</v>
      </c>
      <c r="F91" s="18">
        <f>B87/2</f>
        <v>150</v>
      </c>
      <c r="G91" s="25"/>
      <c r="H91" s="28"/>
      <c r="I91" s="25"/>
    </row>
    <row r="92" spans="1:9" s="20" customFormat="1" ht="24.75">
      <c r="A92" s="3" t="s">
        <v>215</v>
      </c>
      <c r="B92" s="5">
        <f>B90-B91*2</f>
        <v>340</v>
      </c>
      <c r="C92" s="21"/>
      <c r="E92" s="17" t="s">
        <v>97</v>
      </c>
      <c r="F92" s="50">
        <f>(B92*B88*2+B87*B91*2)/100</f>
        <v>114.4</v>
      </c>
      <c r="G92" s="25"/>
      <c r="H92" s="28"/>
      <c r="I92" s="25"/>
    </row>
    <row r="93" spans="1:9" s="20" customFormat="1" ht="24.75">
      <c r="A93" s="20" t="s">
        <v>210</v>
      </c>
      <c r="C93" s="21"/>
      <c r="E93" s="22">
        <f>E17/7</f>
        <v>220</v>
      </c>
      <c r="F93" s="22">
        <f>E17/5</f>
        <v>308</v>
      </c>
      <c r="G93" s="25" t="s">
        <v>61</v>
      </c>
      <c r="H93" s="28"/>
      <c r="I93" s="25"/>
    </row>
    <row r="94" spans="1:9" s="20" customFormat="1" ht="24.75">
      <c r="C94" s="21"/>
      <c r="E94" s="22"/>
      <c r="F94" s="22">
        <v>250</v>
      </c>
      <c r="G94" s="25"/>
      <c r="H94" s="28"/>
      <c r="I94" s="25"/>
    </row>
    <row r="95" spans="1:9" s="20" customFormat="1" ht="18.75">
      <c r="A95" s="20" t="s">
        <v>206</v>
      </c>
      <c r="G95" s="25"/>
      <c r="H95" s="28"/>
      <c r="I95" s="25"/>
    </row>
    <row r="96" spans="1:9" s="20" customFormat="1" ht="18.75">
      <c r="B96" s="20" t="s">
        <v>205</v>
      </c>
      <c r="E96" s="20" t="s">
        <v>209</v>
      </c>
      <c r="F96" s="20">
        <f>F60*(E17-F19)/E17+F61*E17*1.5/2</f>
        <v>12269.575016071431</v>
      </c>
      <c r="G96" s="25" t="s">
        <v>126</v>
      </c>
      <c r="H96" s="28"/>
      <c r="I96" s="25"/>
    </row>
    <row r="97" spans="1:11" s="20" customFormat="1" ht="18.75">
      <c r="A97" s="20" t="s">
        <v>211</v>
      </c>
      <c r="G97" s="25"/>
      <c r="H97" s="28"/>
      <c r="I97" s="25"/>
    </row>
    <row r="98" spans="1:11" s="20" customFormat="1" ht="18.75">
      <c r="A98" s="20" t="s">
        <v>220</v>
      </c>
      <c r="F98" s="20">
        <f>F96*F94/4</f>
        <v>766848.43850446446</v>
      </c>
      <c r="G98" s="25" t="s">
        <v>212</v>
      </c>
      <c r="H98" s="28"/>
      <c r="I98" s="25"/>
    </row>
    <row r="99" spans="1:11" s="20" customFormat="1" ht="18.75">
      <c r="A99" s="20" t="s">
        <v>213</v>
      </c>
      <c r="G99" s="25"/>
      <c r="H99" s="28"/>
      <c r="I99" s="25"/>
    </row>
    <row r="100" spans="1:11" s="20" customFormat="1" ht="18.75">
      <c r="A100" s="20" t="s">
        <v>216</v>
      </c>
      <c r="F100" s="20">
        <f>F88/F90*10</f>
        <v>1312.2518518518518</v>
      </c>
      <c r="G100" s="25" t="s">
        <v>217</v>
      </c>
      <c r="H100" s="28"/>
      <c r="I100" s="25"/>
    </row>
    <row r="101" spans="1:11" s="20" customFormat="1" ht="18.75">
      <c r="A101" s="20" t="s">
        <v>218</v>
      </c>
      <c r="G101" s="25"/>
      <c r="H101" s="28"/>
      <c r="I101" s="25"/>
    </row>
    <row r="102" spans="1:11" s="20" customFormat="1" ht="18.75">
      <c r="A102" s="24" t="s">
        <v>219</v>
      </c>
      <c r="F102" s="20">
        <f>F98/F100</f>
        <v>584.37596214650932</v>
      </c>
      <c r="G102" s="25" t="s">
        <v>80</v>
      </c>
      <c r="H102" s="28"/>
      <c r="I102" s="25"/>
    </row>
    <row r="103" spans="1:11" s="20" customFormat="1" ht="18.75">
      <c r="A103" s="46" t="s">
        <v>155</v>
      </c>
      <c r="B103"/>
      <c r="C103" s="47" t="s">
        <v>202</v>
      </c>
      <c r="F103" s="25" t="str">
        <f>IF(F102&lt;E22,"ÑAÏT","KHOÂNGÑAÏT")</f>
        <v>ÑAÏT</v>
      </c>
      <c r="G103" s="25"/>
      <c r="H103" s="28"/>
      <c r="I103" s="25"/>
    </row>
    <row r="104" spans="1:11" s="20" customFormat="1" ht="18.75">
      <c r="F104" s="20">
        <f>800/'DAMDON V'!F102</f>
        <v>1.36898170325396</v>
      </c>
      <c r="G104" s="25"/>
      <c r="H104" s="28"/>
      <c r="I104" s="25"/>
    </row>
    <row r="105" spans="1:11" s="20" customFormat="1" ht="18.75">
      <c r="G105" s="25"/>
      <c r="H105" s="28"/>
      <c r="I105" s="25"/>
    </row>
    <row r="106" spans="1:11" s="20" customFormat="1" ht="18.75">
      <c r="G106" s="25"/>
      <c r="H106" s="28"/>
      <c r="I106" s="25"/>
    </row>
    <row r="107" spans="1:11" s="20" customFormat="1" ht="18.75">
      <c r="G107" s="25"/>
      <c r="H107" s="28"/>
      <c r="I107" s="25"/>
    </row>
    <row r="108" spans="1:11" s="20" customFormat="1" ht="18.75">
      <c r="G108" s="25"/>
      <c r="H108" s="28"/>
      <c r="I108" s="25"/>
    </row>
    <row r="109" spans="1:11" s="20" customFormat="1" ht="24.75">
      <c r="D109" s="21" t="s">
        <v>74</v>
      </c>
    </row>
    <row r="110" spans="1:11" s="20" customFormat="1" ht="18.75">
      <c r="C110" s="20" t="s">
        <v>167</v>
      </c>
      <c r="D110" s="27" t="s">
        <v>158</v>
      </c>
      <c r="H110" s="30"/>
      <c r="I110" s="22"/>
      <c r="K110" s="22"/>
    </row>
    <row r="111" spans="1:11" s="20" customFormat="1" ht="18.75">
      <c r="A111" s="20" t="s">
        <v>163</v>
      </c>
      <c r="C111" s="20" t="s">
        <v>123</v>
      </c>
      <c r="D111" s="27">
        <f>E17</f>
        <v>1540</v>
      </c>
      <c r="E111" s="20" t="s">
        <v>61</v>
      </c>
      <c r="H111" s="30"/>
      <c r="I111" s="22"/>
      <c r="K111" s="22"/>
    </row>
    <row r="112" spans="1:11" s="20" customFormat="1" ht="18.75">
      <c r="C112" s="20" t="s">
        <v>72</v>
      </c>
      <c r="D112" s="27">
        <f>ROUND((D111/3),0)</f>
        <v>513</v>
      </c>
      <c r="E112" s="20" t="s">
        <v>61</v>
      </c>
      <c r="F112" s="20" t="s">
        <v>164</v>
      </c>
      <c r="H112" s="30"/>
      <c r="I112" s="22"/>
      <c r="K112" s="22"/>
    </row>
    <row r="113" spans="1:11" s="20" customFormat="1" ht="18.75">
      <c r="C113" s="20" t="s">
        <v>73</v>
      </c>
      <c r="D113" s="27">
        <f>D111-D112</f>
        <v>1027</v>
      </c>
      <c r="E113" s="20" t="s">
        <v>61</v>
      </c>
      <c r="H113" s="30"/>
      <c r="I113" s="22"/>
      <c r="K113" s="22"/>
    </row>
    <row r="114" spans="1:11" s="20" customFormat="1" ht="18.75">
      <c r="A114" s="20" t="s">
        <v>107</v>
      </c>
      <c r="H114" s="30"/>
      <c r="I114" s="22"/>
      <c r="K114" s="22"/>
    </row>
    <row r="115" spans="1:11" s="20" customFormat="1" ht="20.25">
      <c r="A115" s="20" t="s">
        <v>62</v>
      </c>
      <c r="B115" s="20" t="s">
        <v>63</v>
      </c>
      <c r="E115" s="20">
        <f>F61*F59^2/8</f>
        <v>472524.25412500004</v>
      </c>
      <c r="F115" s="20" t="s">
        <v>64</v>
      </c>
      <c r="G115" s="23"/>
      <c r="H115" s="30"/>
      <c r="I115" s="22"/>
      <c r="K115" s="22"/>
    </row>
    <row r="116" spans="1:11" s="20" customFormat="1" ht="18.75">
      <c r="A116" s="20" t="s">
        <v>108</v>
      </c>
      <c r="G116" s="23"/>
      <c r="H116" s="30"/>
      <c r="I116" s="22"/>
      <c r="K116" s="22"/>
    </row>
    <row r="117" spans="1:11" s="20" customFormat="1" ht="18.75">
      <c r="A117" s="20" t="s">
        <v>65</v>
      </c>
      <c r="B117" s="20" t="s">
        <v>70</v>
      </c>
      <c r="E117" s="20">
        <f>F60*D112*D113/D111</f>
        <v>3763221.4285714286</v>
      </c>
      <c r="F117" s="20" t="s">
        <v>64</v>
      </c>
      <c r="H117" s="30"/>
      <c r="I117" s="22"/>
      <c r="K117" s="22"/>
    </row>
    <row r="118" spans="1:11" s="20" customFormat="1" ht="18.75">
      <c r="A118" s="20" t="s">
        <v>109</v>
      </c>
      <c r="H118" s="30"/>
      <c r="I118" s="22"/>
      <c r="K118" s="22"/>
    </row>
    <row r="119" spans="1:11" s="20" customFormat="1" ht="18.75">
      <c r="A119" s="27" t="s">
        <v>165</v>
      </c>
      <c r="B119" s="27" t="s">
        <v>166</v>
      </c>
      <c r="C119" s="27"/>
      <c r="E119" s="27">
        <f>1.05*(E115+1.25*E117)</f>
        <v>5435378.5918312501</v>
      </c>
      <c r="F119" s="20" t="s">
        <v>64</v>
      </c>
      <c r="H119" s="30"/>
      <c r="I119" s="22"/>
      <c r="K119" s="22"/>
    </row>
    <row r="120" spans="1:11" s="20" customFormat="1" ht="18.75">
      <c r="A120" s="20" t="s">
        <v>110</v>
      </c>
      <c r="E120" s="27"/>
      <c r="H120" s="30"/>
      <c r="I120" s="22"/>
      <c r="K120" s="22"/>
    </row>
    <row r="121" spans="1:11" s="20" customFormat="1" ht="18.75">
      <c r="A121" s="20" t="s">
        <v>66</v>
      </c>
      <c r="B121" s="20" t="s">
        <v>67</v>
      </c>
      <c r="E121" s="20">
        <f>0.05*(E115+E117)</f>
        <v>211787.28413482147</v>
      </c>
      <c r="F121" s="20" t="s">
        <v>64</v>
      </c>
      <c r="H121" s="30"/>
      <c r="I121" s="22"/>
      <c r="K121" s="22"/>
    </row>
    <row r="122" spans="1:11" s="20" customFormat="1" ht="18.75">
      <c r="A122" s="20" t="s">
        <v>112</v>
      </c>
      <c r="H122" s="30"/>
      <c r="I122" s="22"/>
      <c r="K122" s="22"/>
    </row>
    <row r="123" spans="1:11" s="20" customFormat="1" ht="20.25">
      <c r="A123" s="24" t="s">
        <v>111</v>
      </c>
      <c r="B123" s="20" t="s">
        <v>68</v>
      </c>
      <c r="E123" s="20">
        <f>E119/F63+E121/F65</f>
        <v>1416.8524504600121</v>
      </c>
      <c r="F123" s="20" t="s">
        <v>69</v>
      </c>
      <c r="H123" s="30"/>
      <c r="I123" s="22"/>
      <c r="K123" s="22"/>
    </row>
    <row r="124" spans="1:11" s="20" customFormat="1" ht="18.75">
      <c r="A124" s="20" t="s">
        <v>113</v>
      </c>
      <c r="H124" s="30"/>
      <c r="I124" s="22"/>
      <c r="K124" s="22"/>
    </row>
    <row r="125" spans="1:11" s="20" customFormat="1" ht="20.25">
      <c r="A125" s="20" t="s">
        <v>114</v>
      </c>
      <c r="B125" s="20" t="s">
        <v>223</v>
      </c>
      <c r="D125" s="29"/>
      <c r="E125" s="20">
        <f>F60*D113*SQRT((D112^2+2*D112*D113)/3)^3/(3*D111*F62*E22)+5*F61*F59^4/(384*E22*F62)</f>
        <v>2253.1079529070412</v>
      </c>
      <c r="F125" s="20" t="s">
        <v>61</v>
      </c>
      <c r="H125" s="30"/>
      <c r="I125" s="22"/>
      <c r="K125" s="22"/>
    </row>
    <row r="126" spans="1:11" s="20" customFormat="1" ht="18.75">
      <c r="B126" s="29"/>
      <c r="D126" s="29"/>
      <c r="H126" s="30"/>
      <c r="I126" s="22"/>
      <c r="K126" s="22"/>
    </row>
    <row r="127" spans="1:11" s="20" customFormat="1" ht="18.75">
      <c r="C127" s="20" t="s">
        <v>169</v>
      </c>
      <c r="D127" s="27" t="s">
        <v>168</v>
      </c>
      <c r="I127" s="22"/>
      <c r="K127" s="22"/>
    </row>
    <row r="128" spans="1:11" s="20" customFormat="1" ht="18.75">
      <c r="A128" s="20" t="s">
        <v>170</v>
      </c>
    </row>
    <row r="129" spans="1:6" ht="20.100000000000001" customHeight="1">
      <c r="A129" s="8" t="s">
        <v>173</v>
      </c>
      <c r="B129" s="8"/>
    </row>
    <row r="130" spans="1:6" ht="20.100000000000001" customHeight="1">
      <c r="A130" s="3" t="s">
        <v>75</v>
      </c>
      <c r="B130" s="3" t="s">
        <v>106</v>
      </c>
    </row>
    <row r="131" spans="1:6" ht="21.75" customHeight="1">
      <c r="A131" s="3" t="s">
        <v>78</v>
      </c>
      <c r="B131" s="3" t="s">
        <v>81</v>
      </c>
      <c r="D131" s="3" t="s">
        <v>82</v>
      </c>
      <c r="E131" s="3" t="s">
        <v>83</v>
      </c>
    </row>
    <row r="132" spans="1:6" ht="17.100000000000001" customHeight="1">
      <c r="A132" s="3" t="s">
        <v>78</v>
      </c>
      <c r="B132" s="3" t="s">
        <v>79</v>
      </c>
      <c r="D132" s="3">
        <f>1450*0.6</f>
        <v>870</v>
      </c>
      <c r="E132" s="3" t="s">
        <v>80</v>
      </c>
    </row>
    <row r="133" spans="1:6" ht="21.95" customHeight="1">
      <c r="A133" s="3" t="s">
        <v>76</v>
      </c>
      <c r="B133" s="3" t="s">
        <v>77</v>
      </c>
      <c r="D133" s="4">
        <f>B10/10</f>
        <v>0.6</v>
      </c>
      <c r="E133" s="32" t="s">
        <v>61</v>
      </c>
    </row>
    <row r="134" spans="1:6" ht="21.95" customHeight="1">
      <c r="A134" s="3" t="s">
        <v>85</v>
      </c>
      <c r="B134" s="3">
        <f>($B$11-(100*2))/10</f>
        <v>55</v>
      </c>
      <c r="C134" s="83" t="s">
        <v>87</v>
      </c>
    </row>
    <row r="135" spans="1:6" ht="21.95" customHeight="1">
      <c r="A135" s="3" t="s">
        <v>86</v>
      </c>
      <c r="B135" s="3">
        <f>SIN(60*PI()/180)*B134+40</f>
        <v>87.631397208144122</v>
      </c>
      <c r="C135" s="83"/>
    </row>
    <row r="136" spans="1:6" ht="21.95" customHeight="1">
      <c r="A136" s="3" t="s">
        <v>172</v>
      </c>
    </row>
    <row r="137" spans="1:6" ht="21.95" customHeight="1">
      <c r="D137" s="43" t="s">
        <v>174</v>
      </c>
      <c r="E137" s="3">
        <f>((0.7*D133*(B134+B135)*(B134+D133)+(0.7*D133*B134^2/6))*D132)*2</f>
        <v>6163912.394431971</v>
      </c>
      <c r="F137" s="3" t="s">
        <v>88</v>
      </c>
    </row>
    <row r="138" spans="1:6" ht="21.95" customHeight="1">
      <c r="A138" s="8" t="s">
        <v>175</v>
      </c>
      <c r="B138" s="8"/>
      <c r="D138" s="43"/>
    </row>
    <row r="139" spans="1:6" ht="21.95" customHeight="1">
      <c r="A139" s="8"/>
      <c r="B139" s="8"/>
      <c r="D139" s="12" t="s">
        <v>176</v>
      </c>
      <c r="E139" s="5">
        <f>ROUND((E137/E119),2)</f>
        <v>1.1299999999999999</v>
      </c>
    </row>
    <row r="140" spans="1:6" ht="21.95" customHeight="1">
      <c r="B140" s="3" t="s">
        <v>177</v>
      </c>
      <c r="C140" s="3" t="s">
        <v>171</v>
      </c>
    </row>
    <row r="141" spans="1:6" ht="21.95" customHeight="1">
      <c r="B141" s="3" t="s">
        <v>178</v>
      </c>
      <c r="C141" s="3" t="s">
        <v>89</v>
      </c>
    </row>
    <row r="142" spans="1:6" ht="21.95" customHeight="1">
      <c r="A142" s="3" t="s">
        <v>180</v>
      </c>
    </row>
    <row r="143" spans="1:6" ht="21">
      <c r="A143" s="3" t="s">
        <v>181</v>
      </c>
      <c r="E143" s="6"/>
    </row>
    <row r="144" spans="1:6" ht="21">
      <c r="A144" s="3" t="s">
        <v>182</v>
      </c>
      <c r="E144" s="6"/>
    </row>
    <row r="145" spans="1:5" ht="21">
      <c r="A145" s="3" t="s">
        <v>183</v>
      </c>
      <c r="E145" s="6"/>
    </row>
    <row r="146" spans="1:5" ht="21">
      <c r="A146" s="3" t="s">
        <v>185</v>
      </c>
      <c r="E146" s="6"/>
    </row>
    <row r="147" spans="1:5" ht="21">
      <c r="A147" s="3" t="s">
        <v>184</v>
      </c>
      <c r="E147" s="6"/>
    </row>
    <row r="148" spans="1:5" ht="21">
      <c r="E148" s="6"/>
    </row>
    <row r="149" spans="1:5" ht="21">
      <c r="E149" s="6"/>
    </row>
    <row r="150" spans="1:5" ht="21">
      <c r="E150" s="6"/>
    </row>
    <row r="151" spans="1:5" ht="21">
      <c r="E151" s="6"/>
    </row>
    <row r="152" spans="1:5" ht="21">
      <c r="E152" s="6"/>
    </row>
    <row r="153" spans="1:5" ht="21">
      <c r="E153" s="6"/>
    </row>
    <row r="154" spans="1:5" ht="21">
      <c r="E154" s="6"/>
    </row>
  </sheetData>
  <mergeCells count="4">
    <mergeCell ref="F45:G45"/>
    <mergeCell ref="C134:C135"/>
    <mergeCell ref="E87:F87"/>
    <mergeCell ref="B45:C45"/>
  </mergeCells>
  <phoneticPr fontId="10" type="noConversion"/>
  <pageMargins left="0.5" right="0.25" top="0.25" bottom="0.25" header="0" footer="0"/>
  <pageSetup paperSize="9" orientation="landscape" horizontalDpi="2400" verticalDpi="24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AutoCAD.Drawing.15" shapeId="1025" r:id="rId4">
          <objectPr defaultSize="0" autoPict="0" r:id="rId5">
            <anchor moveWithCells="1">
              <from>
                <xdr:col>4</xdr:col>
                <xdr:colOff>1009650</xdr:colOff>
                <xdr:row>4</xdr:row>
                <xdr:rowOff>133350</xdr:rowOff>
              </from>
              <to>
                <xdr:col>6</xdr:col>
                <xdr:colOff>638175</xdr:colOff>
                <xdr:row>16</xdr:row>
                <xdr:rowOff>76200</xdr:rowOff>
              </to>
            </anchor>
          </objectPr>
        </oleObject>
      </mc:Choice>
      <mc:Fallback>
        <oleObject progId="AutoCAD.Drawing.15" shapeId="1025" r:id="rId4"/>
      </mc:Fallback>
    </mc:AlternateContent>
    <mc:AlternateContent xmlns:mc="http://schemas.openxmlformats.org/markup-compatibility/2006">
      <mc:Choice Requires="x14">
        <oleObject progId="AutoCAD.Drawing.15" shapeId="1035" r:id="rId6">
          <objectPr defaultSize="0" autoPict="0" r:id="rId7">
            <anchor moveWithCells="1">
              <from>
                <xdr:col>5</xdr:col>
                <xdr:colOff>123825</xdr:colOff>
                <xdr:row>127</xdr:row>
                <xdr:rowOff>123825</xdr:rowOff>
              </from>
              <to>
                <xdr:col>6</xdr:col>
                <xdr:colOff>1228725</xdr:colOff>
                <xdr:row>136</xdr:row>
                <xdr:rowOff>66675</xdr:rowOff>
              </to>
            </anchor>
          </objectPr>
        </oleObject>
      </mc:Choice>
      <mc:Fallback>
        <oleObject progId="AutoCAD.Drawing.15" shapeId="1035" r:id="rId6"/>
      </mc:Fallback>
    </mc:AlternateContent>
    <mc:AlternateContent xmlns:mc="http://schemas.openxmlformats.org/markup-compatibility/2006">
      <mc:Choice Requires="x14">
        <oleObject progId="AutoCAD.Drawing.15" shapeId="1038" r:id="rId8">
          <objectPr defaultSize="0" autoPict="0" r:id="rId9">
            <anchor moveWithCells="1">
              <from>
                <xdr:col>0</xdr:col>
                <xdr:colOff>0</xdr:colOff>
                <xdr:row>78</xdr:row>
                <xdr:rowOff>161925</xdr:rowOff>
              </from>
              <to>
                <xdr:col>5</xdr:col>
                <xdr:colOff>1390650</xdr:colOff>
                <xdr:row>84</xdr:row>
                <xdr:rowOff>200025</xdr:rowOff>
              </to>
            </anchor>
          </objectPr>
        </oleObject>
      </mc:Choice>
      <mc:Fallback>
        <oleObject progId="AutoCAD.Drawing.15" shapeId="1038" r:id="rId8"/>
      </mc:Fallback>
    </mc:AlternateContent>
    <mc:AlternateContent xmlns:mc="http://schemas.openxmlformats.org/markup-compatibility/2006">
      <mc:Choice Requires="x14">
        <oleObject progId="AutoCAD.Drawing.15" shapeId="1040" r:id="rId10">
          <objectPr defaultSize="0" autoPict="0" r:id="rId11">
            <anchor moveWithCells="1">
              <from>
                <xdr:col>4</xdr:col>
                <xdr:colOff>19050</xdr:colOff>
                <xdr:row>44</xdr:row>
                <xdr:rowOff>28575</xdr:rowOff>
              </from>
              <to>
                <xdr:col>5</xdr:col>
                <xdr:colOff>504825</xdr:colOff>
                <xdr:row>50</xdr:row>
                <xdr:rowOff>0</xdr:rowOff>
              </to>
            </anchor>
          </objectPr>
        </oleObject>
      </mc:Choice>
      <mc:Fallback>
        <oleObject progId="AutoCAD.Drawing.15" shapeId="1040" r:id="rId10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C19" sqref="C19"/>
    </sheetView>
  </sheetViews>
  <sheetFormatPr defaultRowHeight="17.100000000000001" customHeight="1"/>
  <cols>
    <col min="1" max="1" width="7.7109375" style="3" customWidth="1"/>
    <col min="2" max="2" width="9" style="3" customWidth="1"/>
    <col min="3" max="3" width="12" style="3" customWidth="1"/>
    <col min="4" max="4" width="13" style="3" customWidth="1"/>
    <col min="5" max="5" width="22.140625" style="3" customWidth="1"/>
    <col min="6" max="6" width="12.85546875" style="3" customWidth="1"/>
    <col min="7" max="7" width="9.140625" style="3"/>
    <col min="8" max="8" width="15.5703125" style="3" bestFit="1" customWidth="1"/>
    <col min="9" max="9" width="14" style="3" bestFit="1" customWidth="1"/>
    <col min="10" max="10" width="20.42578125" style="3" customWidth="1"/>
    <col min="11" max="11" width="25.85546875" style="3" customWidth="1"/>
    <col min="12" max="16384" width="9.140625" style="3"/>
  </cols>
  <sheetData>
    <row r="1" spans="1:13" ht="21.95" customHeight="1">
      <c r="B1" s="5" t="s">
        <v>98</v>
      </c>
      <c r="D1" s="6"/>
    </row>
    <row r="2" spans="1:13" ht="21.95" customHeight="1">
      <c r="B2" s="8" t="s">
        <v>84</v>
      </c>
      <c r="C2" s="8"/>
    </row>
    <row r="3" spans="1:13" ht="21.95" customHeight="1">
      <c r="B3" s="3" t="s">
        <v>188</v>
      </c>
    </row>
    <row r="4" spans="1:13" ht="21.95" customHeight="1">
      <c r="B4" s="9"/>
    </row>
    <row r="5" spans="1:13" ht="21.95" customHeight="1">
      <c r="B5" s="5" t="s">
        <v>189</v>
      </c>
    </row>
    <row r="6" spans="1:13" ht="21.95" customHeight="1">
      <c r="B6" s="3" t="s">
        <v>114</v>
      </c>
      <c r="C6" s="3" t="s">
        <v>190</v>
      </c>
    </row>
    <row r="7" spans="1:13" ht="21.95" customHeight="1">
      <c r="B7" s="3" t="s">
        <v>191</v>
      </c>
      <c r="E7" s="20"/>
    </row>
    <row r="8" spans="1:13" ht="21.95" customHeight="1">
      <c r="B8" s="5" t="s">
        <v>194</v>
      </c>
      <c r="F8" s="6"/>
    </row>
    <row r="9" spans="1:13" ht="21.95" customHeight="1">
      <c r="B9" s="3" t="s">
        <v>192</v>
      </c>
      <c r="F9" s="6"/>
    </row>
    <row r="10" spans="1:13" ht="21.95" customHeight="1">
      <c r="B10" s="3" t="s">
        <v>159</v>
      </c>
      <c r="G10" s="6"/>
    </row>
    <row r="11" spans="1:13" ht="21.95" customHeight="1">
      <c r="B11" s="3" t="s">
        <v>160</v>
      </c>
      <c r="G11" s="6"/>
    </row>
    <row r="12" spans="1:13" ht="21.95" customHeight="1">
      <c r="B12" s="3" t="s">
        <v>101</v>
      </c>
      <c r="G12" s="6"/>
    </row>
    <row r="13" spans="1:13" ht="21.95" customHeight="1">
      <c r="B13" s="3" t="s">
        <v>102</v>
      </c>
      <c r="G13" s="6"/>
    </row>
    <row r="14" spans="1:13" ht="21.95" customHeight="1">
      <c r="A14" s="5"/>
      <c r="B14" s="3" t="s">
        <v>103</v>
      </c>
      <c r="G14" s="7"/>
    </row>
    <row r="15" spans="1:13" ht="20.100000000000001" customHeight="1">
      <c r="B15" s="3" t="s">
        <v>193</v>
      </c>
      <c r="E15" s="6"/>
      <c r="M15" s="3">
        <f>12.7-7.58</f>
        <v>5.1199999999999992</v>
      </c>
    </row>
    <row r="16" spans="1:13" ht="20.100000000000001" customHeight="1">
      <c r="B16" s="5" t="s">
        <v>195</v>
      </c>
      <c r="F16" s="6"/>
    </row>
    <row r="17" spans="1:6" ht="20.100000000000001" customHeight="1">
      <c r="A17" s="5"/>
      <c r="B17" s="3" t="s">
        <v>196</v>
      </c>
      <c r="F17" s="7"/>
    </row>
    <row r="18" spans="1:6" ht="20.100000000000001" customHeight="1"/>
    <row r="19" spans="1:6" ht="20.100000000000001" customHeight="1"/>
    <row r="20" spans="1:6" ht="20.100000000000001" customHeight="1"/>
    <row r="21" spans="1:6" ht="20.100000000000001" customHeight="1"/>
    <row r="22" spans="1:6" ht="20.100000000000001" customHeight="1"/>
    <row r="23" spans="1:6" ht="20.100000000000001" customHeight="1">
      <c r="F23" s="7"/>
    </row>
    <row r="24" spans="1:6" ht="20.100000000000001" customHeight="1"/>
    <row r="25" spans="1:6" ht="20.100000000000001" customHeight="1"/>
    <row r="26" spans="1:6" ht="20.100000000000001" customHeight="1"/>
    <row r="27" spans="1:6" ht="20.100000000000001" customHeight="1"/>
    <row r="28" spans="1:6" ht="20.100000000000001" customHeight="1"/>
    <row r="29" spans="1:6" ht="20.100000000000001" customHeight="1">
      <c r="F29" s="7"/>
    </row>
    <row r="30" spans="1:6" ht="20.100000000000001" customHeight="1"/>
    <row r="31" spans="1:6" ht="20.100000000000001" customHeight="1"/>
    <row r="32" spans="1:6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</sheetData>
  <phoneticPr fontId="10" type="noConversion"/>
  <pageMargins left="0.25" right="0.25" top="0.25" bottom="0.25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1" sqref="C1"/>
    </sheetView>
  </sheetViews>
  <sheetFormatPr defaultColWidth="8.5703125" defaultRowHeight="12.75"/>
  <cols>
    <col min="1" max="1" width="28" style="1" customWidth="1"/>
    <col min="2" max="2" width="1.140625" style="1" customWidth="1"/>
    <col min="3" max="3" width="30.140625" style="1" customWidth="1"/>
    <col min="4" max="16384" width="8.5703125" style="1"/>
  </cols>
  <sheetData>
    <row r="1" spans="1:3">
      <c r="A1" s="2"/>
      <c r="C1" s="2"/>
    </row>
    <row r="2" spans="1:3" ht="13.5" thickBot="1">
      <c r="A2" s="2"/>
    </row>
    <row r="3" spans="1:3" ht="13.5" thickBot="1">
      <c r="A3" s="2"/>
      <c r="C3" s="2"/>
    </row>
    <row r="4" spans="1:3">
      <c r="A4" s="2"/>
      <c r="C4" s="2"/>
    </row>
    <row r="5" spans="1:3">
      <c r="C5" s="2"/>
    </row>
    <row r="6" spans="1:3" ht="13.5" thickBot="1">
      <c r="C6" s="2"/>
    </row>
    <row r="7" spans="1:3">
      <c r="A7" s="2"/>
      <c r="C7" s="2"/>
    </row>
    <row r="8" spans="1:3">
      <c r="A8" s="2"/>
      <c r="C8" s="2"/>
    </row>
    <row r="9" spans="1:3">
      <c r="A9" s="2"/>
      <c r="C9" s="2"/>
    </row>
    <row r="10" spans="1:3">
      <c r="A10" s="2"/>
      <c r="C10" s="2"/>
    </row>
    <row r="11" spans="1:3" ht="13.5" thickBot="1">
      <c r="A11" s="2"/>
      <c r="C11" s="2"/>
    </row>
    <row r="12" spans="1:3">
      <c r="C12" s="2"/>
    </row>
    <row r="13" spans="1:3" ht="13.5" thickBot="1">
      <c r="C13" s="2"/>
    </row>
    <row r="14" spans="1:3" ht="13.5" thickBot="1">
      <c r="A14" s="2"/>
      <c r="C14" s="2"/>
    </row>
    <row r="15" spans="1:3">
      <c r="A15" s="2"/>
    </row>
    <row r="16" spans="1:3" ht="13.5" thickBot="1">
      <c r="A16" s="2"/>
    </row>
    <row r="17" spans="1:3" ht="13.5" thickBot="1">
      <c r="A17" s="2"/>
      <c r="C17" s="2"/>
    </row>
    <row r="18" spans="1:3">
      <c r="C18" s="2"/>
    </row>
    <row r="19" spans="1:3">
      <c r="C19" s="2"/>
    </row>
    <row r="20" spans="1:3">
      <c r="A20"/>
      <c r="C20" s="2"/>
    </row>
    <row r="21" spans="1:3">
      <c r="A21"/>
      <c r="C21" s="2"/>
    </row>
    <row r="22" spans="1:3">
      <c r="A22" s="2"/>
      <c r="C22" s="2"/>
    </row>
    <row r="23" spans="1:3">
      <c r="A23" s="2"/>
      <c r="C23" s="2"/>
    </row>
    <row r="24" spans="1:3">
      <c r="A24" s="2"/>
    </row>
    <row r="25" spans="1:3">
      <c r="A25" s="2"/>
    </row>
    <row r="26" spans="1:3" ht="13.5" thickBot="1">
      <c r="A26" s="2"/>
      <c r="C26"/>
    </row>
    <row r="27" spans="1:3">
      <c r="A27" s="2"/>
      <c r="C27" s="2"/>
    </row>
    <row r="28" spans="1:3">
      <c r="A28" s="2"/>
      <c r="C28" s="2"/>
    </row>
    <row r="29" spans="1:3">
      <c r="A29" s="2"/>
      <c r="C29" s="2"/>
    </row>
    <row r="30" spans="1:3">
      <c r="A30" s="2"/>
      <c r="C30" s="2"/>
    </row>
    <row r="31" spans="1:3">
      <c r="A31" s="2"/>
      <c r="C31" s="2"/>
    </row>
    <row r="32" spans="1:3">
      <c r="A32" s="2"/>
      <c r="C32" s="2"/>
    </row>
    <row r="33" spans="1:3">
      <c r="A33" s="2"/>
      <c r="C33" s="2"/>
    </row>
    <row r="34" spans="1:3">
      <c r="A34" s="2"/>
      <c r="C34" s="2"/>
    </row>
    <row r="35" spans="1:3">
      <c r="A35" s="2"/>
      <c r="C35" s="2"/>
    </row>
    <row r="36" spans="1:3">
      <c r="A36" s="2"/>
      <c r="C36" s="2"/>
    </row>
    <row r="37" spans="1:3">
      <c r="A37" s="2"/>
    </row>
    <row r="38" spans="1:3">
      <c r="A38" s="2"/>
    </row>
    <row r="39" spans="1:3">
      <c r="A39" s="2"/>
      <c r="C39"/>
    </row>
    <row r="40" spans="1:3">
      <c r="A40" s="2"/>
      <c r="C40" s="2"/>
    </row>
    <row r="41" spans="1:3">
      <c r="A41" s="2"/>
      <c r="C41" s="2"/>
    </row>
  </sheetData>
  <sheetProtection password="8863" sheet="1" objects="1"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03tan1dam</vt:lpstr>
      <vt:lpstr>CONG TRUC5T</vt:lpstr>
      <vt:lpstr>CONG 6TL=10,5</vt:lpstr>
      <vt:lpstr>DAMI</vt:lpstr>
      <vt:lpstr>DAMDON V</vt:lpstr>
      <vt:lpstr>CONGTHUC</vt:lpstr>
    </vt:vector>
  </TitlesOfParts>
  <Company>0908175204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Thanh</dc:creator>
  <cp:lastModifiedBy>Admin</cp:lastModifiedBy>
  <cp:lastPrinted>2009-09-18T06:33:33Z</cp:lastPrinted>
  <dcterms:created xsi:type="dcterms:W3CDTF">2004-09-20T06:10:45Z</dcterms:created>
  <dcterms:modified xsi:type="dcterms:W3CDTF">2025-10-04T02:51:46Z</dcterms:modified>
</cp:coreProperties>
</file>