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20" yWindow="45" windowWidth="15135" windowHeight="8130"/>
  </bookViews>
  <sheets>
    <sheet name="DAM-V" sheetId="1" r:id="rId1"/>
  </sheets>
  <calcPr calcId="162913"/>
</workbook>
</file>

<file path=xl/calcChain.xml><?xml version="1.0" encoding="utf-8"?>
<calcChain xmlns="http://schemas.openxmlformats.org/spreadsheetml/2006/main">
  <c r="E17" i="1" l="1"/>
  <c r="F58" i="1"/>
  <c r="F57" i="1"/>
  <c r="G37" i="1"/>
  <c r="E19" i="1"/>
  <c r="B14" i="1"/>
  <c r="D13" i="1"/>
  <c r="B13" i="1"/>
  <c r="D12" i="1"/>
  <c r="D11" i="1"/>
  <c r="B7" i="1"/>
  <c r="G38" i="1" s="1"/>
  <c r="D6" i="1"/>
  <c r="D7" i="1" s="1"/>
  <c r="D14" i="1" l="1"/>
  <c r="D8" i="1"/>
  <c r="D9" i="1" s="1"/>
  <c r="F65" i="1"/>
  <c r="B12" i="1" l="1"/>
  <c r="G24" i="1" s="1"/>
  <c r="D10" i="1"/>
  <c r="D15" i="1"/>
  <c r="E11" i="1" s="1"/>
  <c r="G27" i="1"/>
  <c r="G23" i="1"/>
  <c r="G28" i="1" l="1"/>
  <c r="G26" i="1"/>
  <c r="G25" i="1"/>
  <c r="G48" i="1"/>
  <c r="F56" i="1" s="1"/>
  <c r="F59" i="1" s="1"/>
  <c r="F64" i="1" l="1"/>
  <c r="G32" i="1"/>
  <c r="G46" i="1"/>
  <c r="G33" i="1"/>
  <c r="G31" i="1"/>
  <c r="G34" i="1"/>
  <c r="G39" i="1"/>
  <c r="G47" i="1"/>
  <c r="G40" i="1"/>
  <c r="G35" i="1" l="1"/>
  <c r="G44" i="1" s="1"/>
  <c r="F60" i="1" s="1"/>
  <c r="G41" i="1"/>
  <c r="G45" i="1" s="1"/>
  <c r="F62" i="1" s="1"/>
  <c r="F63" i="1" s="1"/>
  <c r="F67" i="1"/>
  <c r="F66" i="1"/>
  <c r="F61" i="1" l="1"/>
  <c r="F68" i="1" s="1"/>
  <c r="F69" i="1" s="1"/>
  <c r="F73" i="1"/>
  <c r="F74" i="1" s="1"/>
</calcChain>
</file>

<file path=xl/comments1.xml><?xml version="1.0" encoding="utf-8"?>
<comments xmlns="http://schemas.openxmlformats.org/spreadsheetml/2006/main">
  <authors>
    <author>Xuan Thanh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i/>
            <sz val="12"/>
            <color indexed="81"/>
            <rFont val="VNI-Helve-Condense"/>
          </rPr>
          <t xml:space="preserve">CHÆ CAÀN THAY T3, H3, T4 LAØ ÑUÛ
</t>
        </r>
      </text>
    </comment>
    <comment ref="G28" authorId="0" shapeId="0">
      <text>
        <r>
          <rPr>
            <b/>
            <sz val="12"/>
            <color indexed="81"/>
            <rFont val="Tahoma"/>
            <family val="2"/>
          </rPr>
          <t>Xc= Lx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A49" authorId="0" shapeId="0">
      <text>
        <r>
          <rPr>
            <sz val="14"/>
            <color indexed="81"/>
            <rFont val="VNI-Helve"/>
          </rPr>
          <t>CHÖA CHÍNH XAÙC NHÖNG CHÖA XAÙC ÑÒNH ÑÖÔÏC NGUYEÂN NHAÂN</t>
        </r>
      </text>
    </comment>
  </commentList>
</comments>
</file>

<file path=xl/sharedStrings.xml><?xml version="1.0" encoding="utf-8"?>
<sst xmlns="http://schemas.openxmlformats.org/spreadsheetml/2006/main" count="135" uniqueCount="121">
  <si>
    <t>TÍNH TOAÙN CAÀU TRUÏC 1DAÀM 8 TAÁN DAÏNG HOÄP CHÖÕ V</t>
  </si>
  <si>
    <t>I. TÍNH MOMEN QUAÙN TÍNH CUÛA DAÀM</t>
  </si>
  <si>
    <r>
      <t>* Ñeå tính daàm ñôn nhö hình veõ ta chæ caàn nhaäp 3 thoâng soá: t</t>
    </r>
    <r>
      <rPr>
        <vertAlign val="subscript"/>
        <sz val="12"/>
        <rFont val="VNI-Helve"/>
      </rPr>
      <t>3</t>
    </r>
    <r>
      <rPr>
        <sz val="12"/>
        <rFont val="VNI-Helve"/>
      </rPr>
      <t>, h</t>
    </r>
    <r>
      <rPr>
        <vertAlign val="subscript"/>
        <sz val="12"/>
        <rFont val="VNI-Helve"/>
      </rPr>
      <t>3</t>
    </r>
    <r>
      <rPr>
        <sz val="12"/>
        <rFont val="VNI-Helve"/>
      </rPr>
      <t xml:space="preserve"> vaø t</t>
    </r>
    <r>
      <rPr>
        <vertAlign val="subscript"/>
        <sz val="12"/>
        <rFont val="VNI-Helve"/>
      </rPr>
      <t>4</t>
    </r>
    <r>
      <rPr>
        <sz val="12"/>
        <rFont val="VNI-Helve"/>
      </rPr>
      <t xml:space="preserve"> caùc thoâng soá coøn laïi seõ thay ñoåi theo</t>
    </r>
  </si>
  <si>
    <r>
      <t>b</t>
    </r>
    <r>
      <rPr>
        <vertAlign val="subscript"/>
        <sz val="14"/>
        <rFont val="VNI-Helve"/>
      </rPr>
      <t>1</t>
    </r>
  </si>
  <si>
    <r>
      <t>a</t>
    </r>
    <r>
      <rPr>
        <vertAlign val="subscript"/>
        <sz val="14"/>
        <color indexed="10"/>
        <rFont val="Symbol"/>
        <family val="1"/>
        <charset val="2"/>
      </rPr>
      <t>1</t>
    </r>
    <r>
      <rPr>
        <sz val="14"/>
        <color indexed="10"/>
        <rFont val="Symbol"/>
        <family val="1"/>
        <charset val="2"/>
      </rPr>
      <t xml:space="preserve"> = </t>
    </r>
  </si>
  <si>
    <r>
      <t>t</t>
    </r>
    <r>
      <rPr>
        <vertAlign val="subscript"/>
        <sz val="14"/>
        <rFont val="VNI-Helve"/>
      </rPr>
      <t>1</t>
    </r>
  </si>
  <si>
    <r>
      <t>a</t>
    </r>
    <r>
      <rPr>
        <vertAlign val="subscript"/>
        <sz val="14"/>
        <color indexed="10"/>
        <rFont val="Symbol"/>
        <family val="1"/>
        <charset val="2"/>
      </rPr>
      <t>2</t>
    </r>
    <r>
      <rPr>
        <sz val="14"/>
        <color indexed="10"/>
        <rFont val="Symbol"/>
        <family val="1"/>
        <charset val="2"/>
      </rPr>
      <t xml:space="preserve"> = </t>
    </r>
  </si>
  <si>
    <r>
      <t>h</t>
    </r>
    <r>
      <rPr>
        <vertAlign val="subscript"/>
        <sz val="14"/>
        <rFont val="VNI-Helve"/>
      </rPr>
      <t>1</t>
    </r>
  </si>
  <si>
    <r>
      <t>b</t>
    </r>
    <r>
      <rPr>
        <vertAlign val="subscript"/>
        <sz val="14"/>
        <rFont val="VNI-Helve"/>
      </rPr>
      <t>3</t>
    </r>
    <r>
      <rPr>
        <sz val="14"/>
        <rFont val="VNI-Helve"/>
      </rPr>
      <t>=</t>
    </r>
  </si>
  <si>
    <r>
      <t>h</t>
    </r>
    <r>
      <rPr>
        <vertAlign val="subscript"/>
        <sz val="14"/>
        <rFont val="VNI-Helve"/>
      </rPr>
      <t>2</t>
    </r>
  </si>
  <si>
    <r>
      <t>H</t>
    </r>
    <r>
      <rPr>
        <vertAlign val="subscript"/>
        <sz val="14"/>
        <rFont val="VNI-Helve"/>
      </rPr>
      <t>3</t>
    </r>
    <r>
      <rPr>
        <sz val="14"/>
        <rFont val="VNI-Helve"/>
      </rPr>
      <t xml:space="preserve"> =</t>
    </r>
  </si>
  <si>
    <r>
      <t>t</t>
    </r>
    <r>
      <rPr>
        <vertAlign val="subscript"/>
        <sz val="14"/>
        <rFont val="VNI-Helve"/>
      </rPr>
      <t>2</t>
    </r>
  </si>
  <si>
    <r>
      <t>t</t>
    </r>
    <r>
      <rPr>
        <vertAlign val="subscript"/>
        <sz val="14"/>
        <color indexed="10"/>
        <rFont val="VNI-Helve"/>
      </rPr>
      <t>3</t>
    </r>
  </si>
  <si>
    <r>
      <t>h</t>
    </r>
    <r>
      <rPr>
        <vertAlign val="subscript"/>
        <sz val="14"/>
        <color indexed="10"/>
        <rFont val="VNI-Helve"/>
      </rPr>
      <t>3</t>
    </r>
  </si>
  <si>
    <r>
      <t>t</t>
    </r>
    <r>
      <rPr>
        <vertAlign val="subscript"/>
        <sz val="14"/>
        <color indexed="10"/>
        <rFont val="VNI-Helve"/>
      </rPr>
      <t>4</t>
    </r>
    <r>
      <rPr>
        <sz val="14"/>
        <color indexed="10"/>
        <rFont val="VNI-Helve"/>
      </rPr>
      <t xml:space="preserve"> </t>
    </r>
  </si>
  <si>
    <r>
      <t>H</t>
    </r>
    <r>
      <rPr>
        <vertAlign val="subscript"/>
        <sz val="14"/>
        <rFont val="VNI-Helve"/>
      </rPr>
      <t>1</t>
    </r>
    <r>
      <rPr>
        <sz val="14"/>
        <rFont val="VNI-Helve"/>
      </rPr>
      <t xml:space="preserve"> =</t>
    </r>
  </si>
  <si>
    <r>
      <t>H</t>
    </r>
    <r>
      <rPr>
        <vertAlign val="subscript"/>
        <sz val="14"/>
        <rFont val="VNI-Helve"/>
      </rPr>
      <t>2</t>
    </r>
    <r>
      <rPr>
        <sz val="14"/>
        <rFont val="VNI-Helve"/>
      </rPr>
      <t xml:space="preserve"> =</t>
    </r>
  </si>
  <si>
    <t>a=</t>
  </si>
  <si>
    <r>
      <t>b</t>
    </r>
    <r>
      <rPr>
        <vertAlign val="subscript"/>
        <sz val="14"/>
        <rFont val="VNI-Helve"/>
      </rPr>
      <t>2</t>
    </r>
    <r>
      <rPr>
        <sz val="14"/>
        <rFont val="VNI-Helve"/>
      </rPr>
      <t>=</t>
    </r>
  </si>
  <si>
    <t xml:space="preserve">c = </t>
  </si>
  <si>
    <t>H =</t>
  </si>
  <si>
    <t>d =</t>
  </si>
  <si>
    <t>Khaåu ñoä cuûa daàm L =</t>
  </si>
  <si>
    <t>cm</t>
  </si>
  <si>
    <r>
      <t xml:space="preserve">(Ñoä voõng cho pheùp tham khaûo saùch </t>
    </r>
    <r>
      <rPr>
        <b/>
        <sz val="14"/>
        <rFont val="VNI-Helve"/>
      </rPr>
      <t>TÍNH TOAÙN MAÙY TRUÏC</t>
    </r>
    <r>
      <rPr>
        <sz val="14"/>
        <rFont val="VNI-Helve"/>
      </rPr>
      <t xml:space="preserve"> )</t>
    </r>
  </si>
  <si>
    <r>
      <t>Moñun ñaøn hoài cuûa theùp E = 2.1*10</t>
    </r>
    <r>
      <rPr>
        <vertAlign val="superscript"/>
        <sz val="14"/>
        <rFont val="VNI-Helve"/>
      </rPr>
      <t>6</t>
    </r>
    <r>
      <rPr>
        <sz val="14"/>
        <rFont val="VNI-Helve"/>
      </rPr>
      <t>(kg/cm</t>
    </r>
    <r>
      <rPr>
        <vertAlign val="superscript"/>
        <sz val="14"/>
        <rFont val="VNI-Helve"/>
      </rPr>
      <t>2</t>
    </r>
    <r>
      <rPr>
        <sz val="14"/>
        <rFont val="VNI-Helve"/>
      </rPr>
      <t>) =</t>
    </r>
  </si>
  <si>
    <r>
      <t>(kg/cm</t>
    </r>
    <r>
      <rPr>
        <vertAlign val="superscript"/>
        <sz val="14"/>
        <rFont val="VNI-Helve"/>
      </rPr>
      <t>2</t>
    </r>
    <r>
      <rPr>
        <sz val="14"/>
        <rFont val="VNI-Helve"/>
      </rPr>
      <t>)</t>
    </r>
  </si>
  <si>
    <t>Saùch SBVL</t>
  </si>
  <si>
    <r>
      <t>ÖÙng suaát uoán cho pheùp cuûa theùp CT3 : [</t>
    </r>
    <r>
      <rPr>
        <sz val="14"/>
        <rFont val="Symbol"/>
        <family val="1"/>
        <charset val="2"/>
      </rPr>
      <t>s</t>
    </r>
    <r>
      <rPr>
        <sz val="14"/>
        <rFont val="VNI-Helve"/>
      </rPr>
      <t>]</t>
    </r>
    <r>
      <rPr>
        <vertAlign val="subscript"/>
        <sz val="14"/>
        <rFont val="VNI-Helve"/>
      </rPr>
      <t xml:space="preserve">u </t>
    </r>
    <r>
      <rPr>
        <sz val="14"/>
        <rFont val="VNI-Helve"/>
      </rPr>
      <t>=</t>
    </r>
  </si>
  <si>
    <t>2/ Tính momen tónh vaø truïc trung taâm</t>
  </si>
  <si>
    <t>(Tham khaûo saùch SÖÙC BEÀN VAÄT LIEÄU taäp I chöông : ÑAËC TRÖNG HÌNH HOÏC CUÛA HÌNH PHAÚNG)</t>
  </si>
  <si>
    <r>
      <t>S</t>
    </r>
    <r>
      <rPr>
        <vertAlign val="subscript"/>
        <sz val="14"/>
        <rFont val="VNI-Helve"/>
      </rPr>
      <t>x</t>
    </r>
    <r>
      <rPr>
        <sz val="14"/>
        <rFont val="VNI-Helve"/>
      </rPr>
      <t xml:space="preserve"> =</t>
    </r>
  </si>
  <si>
    <t>F =</t>
  </si>
  <si>
    <r>
      <t>Y</t>
    </r>
    <r>
      <rPr>
        <vertAlign val="subscript"/>
        <sz val="14"/>
        <color indexed="10"/>
        <rFont val="VNI-Helve"/>
      </rPr>
      <t>c</t>
    </r>
    <r>
      <rPr>
        <sz val="14"/>
        <color indexed="10"/>
        <rFont val="VNI-Helve"/>
      </rPr>
      <t xml:space="preserve"> =</t>
    </r>
  </si>
  <si>
    <r>
      <t>S</t>
    </r>
    <r>
      <rPr>
        <vertAlign val="subscript"/>
        <sz val="14"/>
        <color indexed="10"/>
        <rFont val="VNI-Helve"/>
      </rPr>
      <t>x</t>
    </r>
    <r>
      <rPr>
        <sz val="14"/>
        <color indexed="10"/>
        <rFont val="VNI-Helve"/>
      </rPr>
      <t>/F</t>
    </r>
  </si>
  <si>
    <r>
      <t>S</t>
    </r>
    <r>
      <rPr>
        <vertAlign val="subscript"/>
        <sz val="14"/>
        <rFont val="VNI-Helve"/>
      </rPr>
      <t>y</t>
    </r>
    <r>
      <rPr>
        <sz val="14"/>
        <rFont val="VNI-Helve"/>
      </rPr>
      <t>=</t>
    </r>
  </si>
  <si>
    <r>
      <t>X</t>
    </r>
    <r>
      <rPr>
        <vertAlign val="subscript"/>
        <sz val="14"/>
        <color indexed="10"/>
        <rFont val="VNI-Helve"/>
      </rPr>
      <t>c</t>
    </r>
    <r>
      <rPr>
        <sz val="14"/>
        <color indexed="10"/>
        <rFont val="VNI-Helve"/>
      </rPr>
      <t xml:space="preserve"> =</t>
    </r>
  </si>
  <si>
    <r>
      <t>S</t>
    </r>
    <r>
      <rPr>
        <vertAlign val="subscript"/>
        <sz val="14"/>
        <color indexed="10"/>
        <rFont val="VNI-Helve"/>
      </rPr>
      <t>y</t>
    </r>
    <r>
      <rPr>
        <sz val="14"/>
        <color indexed="10"/>
        <rFont val="VNI-Helve"/>
      </rPr>
      <t>/F</t>
    </r>
  </si>
  <si>
    <t>3/ Momen quaùn tính (tính taùch rôøi töøng phaàn)</t>
  </si>
  <si>
    <r>
      <t>J</t>
    </r>
    <r>
      <rPr>
        <vertAlign val="subscript"/>
        <sz val="14"/>
        <rFont val="VNI-Helve"/>
      </rPr>
      <t>x</t>
    </r>
    <r>
      <rPr>
        <sz val="14"/>
        <rFont val="VNI-Helve"/>
      </rPr>
      <t>=J</t>
    </r>
    <r>
      <rPr>
        <vertAlign val="superscript"/>
        <sz val="14"/>
        <rFont val="VNI-Helve"/>
      </rPr>
      <t>1</t>
    </r>
    <r>
      <rPr>
        <vertAlign val="subscript"/>
        <sz val="14"/>
        <rFont val="VNI-Helve"/>
      </rPr>
      <t>x</t>
    </r>
    <r>
      <rPr>
        <sz val="14"/>
        <rFont val="VNI-Helve"/>
      </rPr>
      <t>+J</t>
    </r>
    <r>
      <rPr>
        <vertAlign val="superscript"/>
        <sz val="14"/>
        <rFont val="VNI-Helve"/>
      </rPr>
      <t>2</t>
    </r>
    <r>
      <rPr>
        <vertAlign val="subscript"/>
        <sz val="14"/>
        <rFont val="VNI-Helve"/>
      </rPr>
      <t>x</t>
    </r>
    <r>
      <rPr>
        <sz val="14"/>
        <rFont val="VNI-Helve"/>
      </rPr>
      <t>+J</t>
    </r>
    <r>
      <rPr>
        <vertAlign val="superscript"/>
        <sz val="14"/>
        <rFont val="VNI-Helve"/>
      </rPr>
      <t>3</t>
    </r>
    <r>
      <rPr>
        <vertAlign val="subscript"/>
        <sz val="14"/>
        <rFont val="VNI-Helve"/>
      </rPr>
      <t>x</t>
    </r>
    <r>
      <rPr>
        <sz val="14"/>
        <rFont val="VNI-Helve"/>
      </rPr>
      <t>+J</t>
    </r>
    <r>
      <rPr>
        <vertAlign val="superscript"/>
        <sz val="14"/>
        <rFont val="VNI-Helve"/>
      </rPr>
      <t>4</t>
    </r>
    <r>
      <rPr>
        <vertAlign val="subscript"/>
        <sz val="14"/>
        <rFont val="VNI-Helve"/>
      </rPr>
      <t>x</t>
    </r>
  </si>
  <si>
    <r>
      <t>J</t>
    </r>
    <r>
      <rPr>
        <vertAlign val="superscript"/>
        <sz val="14"/>
        <rFont val="VNI-Helve"/>
      </rPr>
      <t>1</t>
    </r>
    <r>
      <rPr>
        <vertAlign val="subscript"/>
        <sz val="14"/>
        <rFont val="VNI-Helve"/>
      </rPr>
      <t>x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</si>
  <si>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2</t>
    </r>
    <r>
      <rPr>
        <vertAlign val="subscript"/>
        <sz val="14"/>
        <rFont val="VNI-Helve"/>
      </rPr>
      <t>x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</si>
  <si>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3</t>
    </r>
    <r>
      <rPr>
        <vertAlign val="subscript"/>
        <sz val="14"/>
        <rFont val="VNI-Helve"/>
      </rPr>
      <t>x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</si>
  <si>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4</t>
    </r>
    <r>
      <rPr>
        <vertAlign val="subscript"/>
        <sz val="14"/>
        <rFont val="VNI-Helve"/>
      </rPr>
      <t>x</t>
    </r>
    <r>
      <rPr>
        <sz val="14"/>
        <rFont val="VNI-Helve"/>
      </rPr>
      <t>=</t>
    </r>
  </si>
  <si>
    <r>
      <t>J</t>
    </r>
    <r>
      <rPr>
        <vertAlign val="subscript"/>
        <sz val="14"/>
        <color indexed="10"/>
        <rFont val="VNI-Helve"/>
      </rPr>
      <t>x</t>
    </r>
    <r>
      <rPr>
        <sz val="14"/>
        <color indexed="10"/>
        <rFont val="VNI-Helve"/>
      </rPr>
      <t>=</t>
    </r>
  </si>
  <si>
    <r>
      <t>J</t>
    </r>
    <r>
      <rPr>
        <vertAlign val="subscript"/>
        <sz val="14"/>
        <rFont val="VNI-Helve"/>
      </rPr>
      <t>y</t>
    </r>
    <r>
      <rPr>
        <sz val="14"/>
        <rFont val="VNI-Helve"/>
      </rPr>
      <t>=J</t>
    </r>
    <r>
      <rPr>
        <vertAlign val="superscript"/>
        <sz val="14"/>
        <rFont val="VNI-Helve"/>
      </rPr>
      <t>1</t>
    </r>
    <r>
      <rPr>
        <vertAlign val="subscript"/>
        <sz val="14"/>
        <rFont val="VNI-Helve"/>
      </rPr>
      <t>y</t>
    </r>
    <r>
      <rPr>
        <sz val="14"/>
        <rFont val="VNI-Helve"/>
      </rPr>
      <t>+J</t>
    </r>
    <r>
      <rPr>
        <vertAlign val="superscript"/>
        <sz val="14"/>
        <rFont val="VNI-Helve"/>
      </rPr>
      <t>2</t>
    </r>
    <r>
      <rPr>
        <vertAlign val="subscript"/>
        <sz val="14"/>
        <rFont val="VNI-Helve"/>
      </rPr>
      <t>y</t>
    </r>
    <r>
      <rPr>
        <sz val="14"/>
        <rFont val="VNI-Helve"/>
      </rPr>
      <t>+J</t>
    </r>
    <r>
      <rPr>
        <vertAlign val="superscript"/>
        <sz val="14"/>
        <rFont val="VNI-Helve"/>
      </rPr>
      <t>3</t>
    </r>
    <r>
      <rPr>
        <vertAlign val="subscript"/>
        <sz val="14"/>
        <rFont val="VNI-Helve"/>
      </rPr>
      <t>y</t>
    </r>
    <r>
      <rPr>
        <sz val="14"/>
        <rFont val="VNI-Helve"/>
      </rPr>
      <t>+J</t>
    </r>
    <r>
      <rPr>
        <vertAlign val="superscript"/>
        <sz val="14"/>
        <rFont val="VNI-Helve"/>
      </rPr>
      <t>4</t>
    </r>
    <r>
      <rPr>
        <vertAlign val="subscript"/>
        <sz val="14"/>
        <rFont val="VNI-Helve"/>
      </rPr>
      <t>y</t>
    </r>
  </si>
  <si>
    <r>
      <t>J</t>
    </r>
    <r>
      <rPr>
        <vertAlign val="superscript"/>
        <sz val="14"/>
        <rFont val="VNI-Helve"/>
      </rPr>
      <t>1</t>
    </r>
    <r>
      <rPr>
        <vertAlign val="subscript"/>
        <sz val="14"/>
        <rFont val="VNI-Helve"/>
      </rPr>
      <t>y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</si>
  <si>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2</t>
    </r>
    <r>
      <rPr>
        <vertAlign val="subscript"/>
        <sz val="14"/>
        <rFont val="VNI-Helve"/>
      </rPr>
      <t>y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</si>
  <si>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3</t>
    </r>
    <r>
      <rPr>
        <vertAlign val="subscript"/>
        <sz val="14"/>
        <rFont val="VNI-Helve"/>
      </rPr>
      <t>y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</si>
  <si>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4</t>
    </r>
    <r>
      <rPr>
        <vertAlign val="subscript"/>
        <sz val="14"/>
        <rFont val="VNI-Helve"/>
      </rPr>
      <t>y</t>
    </r>
    <r>
      <rPr>
        <sz val="14"/>
        <rFont val="VNI-Helve"/>
      </rPr>
      <t>=</t>
    </r>
  </si>
  <si>
    <r>
      <t>J</t>
    </r>
    <r>
      <rPr>
        <vertAlign val="subscript"/>
        <sz val="14"/>
        <color indexed="10"/>
        <rFont val="VNI-Helve"/>
      </rPr>
      <t>y</t>
    </r>
    <r>
      <rPr>
        <sz val="14"/>
        <color indexed="10"/>
        <rFont val="VNI-Helve"/>
      </rPr>
      <t>=</t>
    </r>
  </si>
  <si>
    <t>BAÛNG TOÅNG HÔÏP</t>
  </si>
  <si>
    <r>
      <t>J</t>
    </r>
    <r>
      <rPr>
        <vertAlign val="subscript"/>
        <sz val="14"/>
        <color indexed="10"/>
        <rFont val="VNI-Helve"/>
      </rPr>
      <t>x</t>
    </r>
    <r>
      <rPr>
        <sz val="14"/>
        <color indexed="10"/>
        <rFont val="VNI-Helve"/>
      </rPr>
      <t>(cm</t>
    </r>
    <r>
      <rPr>
        <vertAlign val="superscript"/>
        <sz val="14"/>
        <color indexed="10"/>
        <rFont val="VNI-Helve"/>
      </rPr>
      <t>4</t>
    </r>
    <r>
      <rPr>
        <sz val="14"/>
        <color indexed="10"/>
        <rFont val="VNI-Helve"/>
      </rPr>
      <t>)</t>
    </r>
  </si>
  <si>
    <r>
      <t>J</t>
    </r>
    <r>
      <rPr>
        <vertAlign val="subscript"/>
        <sz val="14"/>
        <color indexed="10"/>
        <rFont val="VNI-Helve"/>
      </rPr>
      <t>y</t>
    </r>
    <r>
      <rPr>
        <sz val="14"/>
        <color indexed="10"/>
        <rFont val="VNI-Helve"/>
      </rPr>
      <t>(cm</t>
    </r>
    <r>
      <rPr>
        <vertAlign val="superscript"/>
        <sz val="14"/>
        <color indexed="10"/>
        <rFont val="VNI-Helve"/>
      </rPr>
      <t>4</t>
    </r>
    <r>
      <rPr>
        <sz val="14"/>
        <color indexed="10"/>
        <rFont val="VNI-Helve"/>
      </rPr>
      <t>)</t>
    </r>
  </si>
  <si>
    <t>Yc(cm)</t>
  </si>
  <si>
    <t>Xc(cm)</t>
  </si>
  <si>
    <r>
      <t>F (cm</t>
    </r>
    <r>
      <rPr>
        <vertAlign val="superscript"/>
        <sz val="14"/>
        <color indexed="10"/>
        <rFont val="VNI-Helve"/>
      </rPr>
      <t>2</t>
    </r>
    <r>
      <rPr>
        <sz val="14"/>
        <color indexed="10"/>
        <rFont val="VNI-Helve"/>
      </rPr>
      <t>)</t>
    </r>
  </si>
  <si>
    <t xml:space="preserve">So saùch baûng toång hôïp tay vaø baûng tính cuûa chöông trình MACHANICAL DESKTOP sai leäch giöõa 2 baûng tính laø (1-: 2)/100 </t>
  </si>
  <si>
    <t>II. TÍNH ÖÙNG SUAÁT UOÁN VAØ ÑOÄ VOÕNG CHO PHEÙP CUÛA DAÀM</t>
  </si>
  <si>
    <t>(Tham khaûo saùch TÍNH TOAÙN MAY TRUÏC ,chöông KEÁT CAÁU KIM LOAÏI CUÛA CAÙC MAÙY TRUÏC THOÂNG DUÏNG)</t>
  </si>
  <si>
    <t>cuûa taùc giaû: HUYØNH VAÊN HOAØNG - ÑAØO TROÏNG THÖÔØNG</t>
  </si>
  <si>
    <t>1/ caùc thoâng soá ban ñaàu ñaõ coù ôû treân</t>
  </si>
  <si>
    <r>
      <t xml:space="preserve">* Ñieàu kieän öùng suaát uoán </t>
    </r>
    <r>
      <rPr>
        <sz val="12"/>
        <color indexed="10"/>
        <rFont val="Symbol"/>
        <family val="1"/>
        <charset val="2"/>
      </rPr>
      <t>s</t>
    </r>
    <r>
      <rPr>
        <vertAlign val="subscript"/>
        <sz val="12"/>
        <color indexed="10"/>
        <rFont val="VNI-Helve"/>
      </rPr>
      <t>u</t>
    </r>
    <r>
      <rPr>
        <sz val="12"/>
        <color indexed="10"/>
        <rFont val="VNI-Helve"/>
      </rPr>
      <t xml:space="preserve"> =M</t>
    </r>
    <r>
      <rPr>
        <vertAlign val="subscript"/>
        <sz val="12"/>
        <color indexed="10"/>
        <rFont val="VNI-Helve"/>
      </rPr>
      <t>max</t>
    </r>
    <r>
      <rPr>
        <sz val="12"/>
        <color indexed="10"/>
        <rFont val="VNI-Helve"/>
      </rPr>
      <t>/W</t>
    </r>
    <r>
      <rPr>
        <sz val="12"/>
        <color indexed="10"/>
        <rFont val="Symbol"/>
        <family val="1"/>
        <charset val="2"/>
      </rPr>
      <t>£</t>
    </r>
    <r>
      <rPr>
        <sz val="12"/>
        <color indexed="10"/>
        <rFont val="VNI-Helve"/>
      </rPr>
      <t xml:space="preserve"> [</t>
    </r>
    <r>
      <rPr>
        <sz val="12"/>
        <color indexed="10"/>
        <rFont val="Symbol"/>
        <family val="1"/>
        <charset val="2"/>
      </rPr>
      <t>s</t>
    </r>
    <r>
      <rPr>
        <sz val="12"/>
        <color indexed="10"/>
        <rFont val="VNI-Helve"/>
      </rPr>
      <t>]</t>
    </r>
    <r>
      <rPr>
        <vertAlign val="subscript"/>
        <sz val="12"/>
        <color indexed="10"/>
        <rFont val="VNI-Helve"/>
      </rPr>
      <t>u</t>
    </r>
    <r>
      <rPr>
        <sz val="12"/>
        <color indexed="10"/>
        <rFont val="VNI-Helve"/>
      </rPr>
      <t xml:space="preserve"> </t>
    </r>
  </si>
  <si>
    <t>Saùch TÍNH TOAÙN MAÙY TRUÏC</t>
  </si>
  <si>
    <r>
      <t>* Ñieàu kieän ñoä voõng f</t>
    </r>
    <r>
      <rPr>
        <sz val="12"/>
        <color indexed="10"/>
        <rFont val="Symbol"/>
        <family val="1"/>
        <charset val="2"/>
      </rPr>
      <t>£</t>
    </r>
    <r>
      <rPr>
        <sz val="12"/>
        <color indexed="10"/>
        <rFont val="VNI-Helve"/>
      </rPr>
      <t xml:space="preserve"> [</t>
    </r>
    <r>
      <rPr>
        <sz val="12"/>
        <color indexed="10"/>
        <rFont val="vni-hevle"/>
      </rPr>
      <t>f</t>
    </r>
    <r>
      <rPr>
        <sz val="12"/>
        <color indexed="10"/>
        <rFont val="VNI-Helve"/>
      </rPr>
      <t xml:space="preserve">] </t>
    </r>
  </si>
  <si>
    <t>Dieän tích maët caét ngang</t>
  </si>
  <si>
    <r>
      <t>cm</t>
    </r>
    <r>
      <rPr>
        <vertAlign val="superscript"/>
        <sz val="12"/>
        <rFont val="VNI-Helve"/>
      </rPr>
      <t>2</t>
    </r>
  </si>
  <si>
    <t xml:space="preserve">Khaåu ñoä cuûa daàm </t>
  </si>
  <si>
    <t xml:space="preserve">L = </t>
  </si>
  <si>
    <t xml:space="preserve">Taûi troïng naâng vaø taûi troïng thieát bò naâng </t>
  </si>
  <si>
    <t xml:space="preserve">P = </t>
  </si>
  <si>
    <t>kg</t>
  </si>
  <si>
    <t>Luïc phaân boá theo chieàu daøi cuûa daàm</t>
  </si>
  <si>
    <t>q =</t>
  </si>
  <si>
    <t>kg/cm</t>
  </si>
  <si>
    <t>Momen quaùn tính theo phöông x</t>
  </si>
  <si>
    <r>
      <t>J</t>
    </r>
    <r>
      <rPr>
        <vertAlign val="subscript"/>
        <sz val="12"/>
        <rFont val="VNI-Helve"/>
      </rPr>
      <t xml:space="preserve">x </t>
    </r>
  </si>
  <si>
    <r>
      <t>cm</t>
    </r>
    <r>
      <rPr>
        <vertAlign val="superscript"/>
        <sz val="12"/>
        <rFont val="VNI-Helve"/>
      </rPr>
      <t>4</t>
    </r>
  </si>
  <si>
    <t>Momen choáng uoán theo phöông x</t>
  </si>
  <si>
    <r>
      <t>W</t>
    </r>
    <r>
      <rPr>
        <vertAlign val="subscript"/>
        <sz val="12"/>
        <rFont val="VNI-Helve"/>
      </rPr>
      <t xml:space="preserve">x </t>
    </r>
    <r>
      <rPr>
        <sz val="12"/>
        <rFont val="VNI-Helve"/>
      </rPr>
      <t>=J</t>
    </r>
    <r>
      <rPr>
        <vertAlign val="subscript"/>
        <sz val="12"/>
        <rFont val="VNI-Helve"/>
      </rPr>
      <t>x</t>
    </r>
    <r>
      <rPr>
        <sz val="12"/>
        <rFont val="VNI-Helve"/>
      </rPr>
      <t>/Y</t>
    </r>
    <r>
      <rPr>
        <vertAlign val="subscript"/>
        <sz val="12"/>
        <rFont val="VNI-Helve"/>
      </rPr>
      <t>c</t>
    </r>
  </si>
  <si>
    <r>
      <t>cm</t>
    </r>
    <r>
      <rPr>
        <vertAlign val="superscript"/>
        <sz val="12"/>
        <rFont val="VNI-Helve"/>
      </rPr>
      <t>3</t>
    </r>
  </si>
  <si>
    <t>Momen quaùn tính theo phöông y</t>
  </si>
  <si>
    <r>
      <t>J</t>
    </r>
    <r>
      <rPr>
        <vertAlign val="subscript"/>
        <sz val="12"/>
        <rFont val="VNI-Helve"/>
      </rPr>
      <t xml:space="preserve">y </t>
    </r>
  </si>
  <si>
    <t>Momen choáng uoán theo phöông y</t>
  </si>
  <si>
    <r>
      <t>W</t>
    </r>
    <r>
      <rPr>
        <vertAlign val="subscript"/>
        <sz val="12"/>
        <rFont val="VNI-Helve"/>
      </rPr>
      <t xml:space="preserve">y </t>
    </r>
    <r>
      <rPr>
        <sz val="12"/>
        <rFont val="VNI-Helve"/>
      </rPr>
      <t>=J</t>
    </r>
    <r>
      <rPr>
        <vertAlign val="subscript"/>
        <sz val="12"/>
        <rFont val="VNI-Helve"/>
      </rPr>
      <t>y</t>
    </r>
    <r>
      <rPr>
        <sz val="12"/>
        <rFont val="VNI-Helve"/>
      </rPr>
      <t>/X</t>
    </r>
    <r>
      <rPr>
        <vertAlign val="subscript"/>
        <sz val="12"/>
        <rFont val="VNI-Helve"/>
      </rPr>
      <t>c</t>
    </r>
  </si>
  <si>
    <t>Momen uoán cuûa daàm vôùi taûi troïng baûn thaân</t>
  </si>
  <si>
    <r>
      <t>M</t>
    </r>
    <r>
      <rPr>
        <vertAlign val="subscript"/>
        <sz val="12"/>
        <rFont val="VNI-Helve"/>
      </rPr>
      <t>bt</t>
    </r>
    <r>
      <rPr>
        <sz val="12"/>
        <rFont val="VNI-Helve"/>
      </rPr>
      <t xml:space="preserve"> = qL</t>
    </r>
    <r>
      <rPr>
        <vertAlign val="superscript"/>
        <sz val="12"/>
        <rFont val="VNI-Helve"/>
      </rPr>
      <t>2</t>
    </r>
    <r>
      <rPr>
        <sz val="12"/>
        <rFont val="VNI-Helve"/>
      </rPr>
      <t>/8</t>
    </r>
  </si>
  <si>
    <t>kg.cm</t>
  </si>
  <si>
    <t>Momen uoán cuûa daàm vôùi taûi troïng taäp trung cuûa vaät naâng</t>
  </si>
  <si>
    <r>
      <t>M</t>
    </r>
    <r>
      <rPr>
        <vertAlign val="subscript"/>
        <sz val="12"/>
        <rFont val="VNI-Helve"/>
      </rPr>
      <t>vn</t>
    </r>
    <r>
      <rPr>
        <sz val="12"/>
        <rFont val="VNI-Helve"/>
      </rPr>
      <t xml:space="preserve"> = PL/4 </t>
    </r>
  </si>
  <si>
    <t>Momen uoán toång theo phöông x-x (coù caùc heä soá an toaøn)</t>
  </si>
  <si>
    <r>
      <t>M</t>
    </r>
    <r>
      <rPr>
        <vertAlign val="subscript"/>
        <sz val="12"/>
        <rFont val="VNI-Helve"/>
      </rPr>
      <t>x</t>
    </r>
    <r>
      <rPr>
        <sz val="12"/>
        <rFont val="VNI-Helve"/>
      </rPr>
      <t xml:space="preserve"> =1.05*(M</t>
    </r>
    <r>
      <rPr>
        <vertAlign val="subscript"/>
        <sz val="12"/>
        <rFont val="VNI-Helve"/>
      </rPr>
      <t>bt</t>
    </r>
    <r>
      <rPr>
        <sz val="12"/>
        <rFont val="VNI-Helve"/>
      </rPr>
      <t xml:space="preserve"> + 1.25M</t>
    </r>
    <r>
      <rPr>
        <vertAlign val="subscript"/>
        <sz val="12"/>
        <rFont val="VNI-Helve"/>
      </rPr>
      <t>vn</t>
    </r>
    <r>
      <rPr>
        <sz val="12"/>
        <rFont val="VNI-Helve"/>
      </rPr>
      <t>)</t>
    </r>
  </si>
  <si>
    <t xml:space="preserve">Momen uoán toång theo phöông y-y </t>
  </si>
  <si>
    <r>
      <t>M</t>
    </r>
    <r>
      <rPr>
        <vertAlign val="subscript"/>
        <sz val="12"/>
        <rFont val="VNI-Helve"/>
      </rPr>
      <t>y</t>
    </r>
    <r>
      <rPr>
        <sz val="12"/>
        <rFont val="VNI-Helve"/>
      </rPr>
      <t xml:space="preserve"> = 0.05*(M</t>
    </r>
    <r>
      <rPr>
        <vertAlign val="subscript"/>
        <sz val="12"/>
        <rFont val="VNI-Helve"/>
      </rPr>
      <t>bt</t>
    </r>
    <r>
      <rPr>
        <sz val="12"/>
        <rFont val="VNI-Helve"/>
      </rPr>
      <t xml:space="preserve"> + M</t>
    </r>
    <r>
      <rPr>
        <vertAlign val="subscript"/>
        <sz val="12"/>
        <rFont val="VNI-Helve"/>
      </rPr>
      <t>vn</t>
    </r>
    <r>
      <rPr>
        <sz val="12"/>
        <rFont val="VNI-Helve"/>
      </rPr>
      <t>)</t>
    </r>
  </si>
  <si>
    <t xml:space="preserve">ÖÙng suaát uoán toång </t>
  </si>
  <si>
    <r>
      <t>s</t>
    </r>
    <r>
      <rPr>
        <vertAlign val="subscript"/>
        <sz val="12"/>
        <rFont val="VNI-Helve"/>
      </rPr>
      <t>u</t>
    </r>
    <r>
      <rPr>
        <sz val="12"/>
        <rFont val="Symbol"/>
        <family val="1"/>
        <charset val="2"/>
      </rPr>
      <t xml:space="preserve"> </t>
    </r>
    <r>
      <rPr>
        <sz val="12"/>
        <rFont val="VNI-Helve"/>
      </rPr>
      <t>= M</t>
    </r>
    <r>
      <rPr>
        <vertAlign val="subscript"/>
        <sz val="12"/>
        <rFont val="VNI-Helve"/>
      </rPr>
      <t>x</t>
    </r>
    <r>
      <rPr>
        <sz val="12"/>
        <rFont val="VNI-Helve"/>
      </rPr>
      <t>/W</t>
    </r>
    <r>
      <rPr>
        <vertAlign val="subscript"/>
        <sz val="12"/>
        <rFont val="VNI-Helve"/>
      </rPr>
      <t>x</t>
    </r>
    <r>
      <rPr>
        <sz val="12"/>
        <rFont val="VNI-Helve"/>
      </rPr>
      <t xml:space="preserve"> + M</t>
    </r>
    <r>
      <rPr>
        <vertAlign val="subscript"/>
        <sz val="12"/>
        <rFont val="VNI-Helve"/>
      </rPr>
      <t>y</t>
    </r>
    <r>
      <rPr>
        <sz val="12"/>
        <rFont val="VNI-Helve"/>
      </rPr>
      <t>/W</t>
    </r>
    <r>
      <rPr>
        <vertAlign val="subscript"/>
        <sz val="12"/>
        <rFont val="VNI-Helve"/>
      </rPr>
      <t>y</t>
    </r>
  </si>
  <si>
    <r>
      <t>kg/cm</t>
    </r>
    <r>
      <rPr>
        <vertAlign val="superscript"/>
        <sz val="12"/>
        <rFont val="VNI-Helve"/>
      </rPr>
      <t>2</t>
    </r>
  </si>
  <si>
    <r>
      <t>Heä soá K =  [</t>
    </r>
    <r>
      <rPr>
        <sz val="12"/>
        <rFont val="Symbol"/>
        <family val="1"/>
        <charset val="2"/>
      </rPr>
      <t>s</t>
    </r>
    <r>
      <rPr>
        <sz val="12"/>
        <rFont val="VNI-Helve"/>
      </rPr>
      <t>]</t>
    </r>
    <r>
      <rPr>
        <vertAlign val="subscript"/>
        <sz val="12"/>
        <rFont val="VNI-Helve"/>
      </rPr>
      <t>u</t>
    </r>
    <r>
      <rPr>
        <sz val="12"/>
        <rFont val="VNI-Helve"/>
      </rPr>
      <t>/</t>
    </r>
    <r>
      <rPr>
        <sz val="12"/>
        <rFont val="Symbol"/>
        <family val="1"/>
        <charset val="2"/>
      </rPr>
      <t xml:space="preserve"> s</t>
    </r>
    <r>
      <rPr>
        <vertAlign val="subscript"/>
        <sz val="12"/>
        <rFont val="VNI-Helve"/>
      </rPr>
      <t>u</t>
    </r>
  </si>
  <si>
    <t>K =</t>
  </si>
  <si>
    <t>KEÁT  LUAÄN</t>
  </si>
  <si>
    <r>
      <t xml:space="preserve">* Ñieàu kieän öùng suaát thoûa  maõn khi heä soá K </t>
    </r>
    <r>
      <rPr>
        <sz val="12"/>
        <color indexed="10"/>
        <rFont val="Symbol"/>
        <family val="1"/>
        <charset val="2"/>
      </rPr>
      <t xml:space="preserve">³ </t>
    </r>
    <r>
      <rPr>
        <sz val="12"/>
        <color indexed="10"/>
        <rFont val="VNI-Helve"/>
      </rPr>
      <t>1</t>
    </r>
  </si>
  <si>
    <t>* Khi heä soá K &lt; 1 caàn thay doåi laïi keát caàu daàm cho hôïp lyù</t>
  </si>
  <si>
    <t>Ñoä voõng tính toaùn toång</t>
  </si>
  <si>
    <t>f  =</t>
  </si>
  <si>
    <r>
      <t>PL</t>
    </r>
    <r>
      <rPr>
        <vertAlign val="superscript"/>
        <sz val="12"/>
        <rFont val="VNI-Helve"/>
      </rPr>
      <t>3</t>
    </r>
    <r>
      <rPr>
        <sz val="12"/>
        <rFont val="VNI-Helve"/>
      </rPr>
      <t>/48EJ</t>
    </r>
    <r>
      <rPr>
        <vertAlign val="subscript"/>
        <sz val="12"/>
        <rFont val="VNI-Helve"/>
      </rPr>
      <t>x</t>
    </r>
    <r>
      <rPr>
        <sz val="12"/>
        <rFont val="VNI-Helve"/>
      </rPr>
      <t xml:space="preserve"> + 5qL</t>
    </r>
    <r>
      <rPr>
        <vertAlign val="superscript"/>
        <sz val="12"/>
        <rFont val="VNI-Helve"/>
      </rPr>
      <t>4</t>
    </r>
    <r>
      <rPr>
        <sz val="12"/>
        <rFont val="VNI-Helve"/>
      </rPr>
      <t>/384EJ</t>
    </r>
    <r>
      <rPr>
        <vertAlign val="subscript"/>
        <sz val="12"/>
        <rFont val="VNI-Helve"/>
      </rPr>
      <t xml:space="preserve">x </t>
    </r>
    <r>
      <rPr>
        <sz val="12"/>
        <rFont val="VNI-Helve"/>
      </rPr>
      <t xml:space="preserve">= </t>
    </r>
  </si>
  <si>
    <t xml:space="preserve">Heä soá an toaøn  n = [f]/f = </t>
  </si>
  <si>
    <r>
      <t xml:space="preserve">* Khi heä soá an toaøn n </t>
    </r>
    <r>
      <rPr>
        <sz val="12"/>
        <rFont val="Symbol"/>
        <family val="1"/>
        <charset val="2"/>
      </rPr>
      <t>³</t>
    </r>
    <r>
      <rPr>
        <sz val="12"/>
        <rFont val="VNI-Helve"/>
      </rPr>
      <t xml:space="preserve"> 1 ñieàu kieän thoaû maõn (caùc thoâng soá ban ñaàu cuûa daàm hôïp lyù)</t>
    </r>
  </si>
  <si>
    <r>
      <t xml:space="preserve">* Khi heä soá an toaøn n </t>
    </r>
    <r>
      <rPr>
        <sz val="12"/>
        <rFont val="Symbol"/>
        <family val="1"/>
        <charset val="2"/>
      </rPr>
      <t>&lt;</t>
    </r>
    <r>
      <rPr>
        <sz val="12"/>
        <rFont val="VNI-Helve"/>
      </rPr>
      <t xml:space="preserve"> 1 ñieàu kieän chöa thoaû maõn</t>
    </r>
  </si>
  <si>
    <r>
      <t xml:space="preserve">* Tuy nhieân vì kinh teá cho neân thöôøng choïn 1&lt; n </t>
    </r>
    <r>
      <rPr>
        <sz val="12"/>
        <rFont val="Symbol"/>
        <family val="1"/>
        <charset val="2"/>
      </rPr>
      <t xml:space="preserve">£ </t>
    </r>
    <r>
      <rPr>
        <sz val="12"/>
        <rFont val="VNI-Helve"/>
      </rPr>
      <t>1.25</t>
    </r>
  </si>
  <si>
    <t xml:space="preserve">Caùc taøi lieäu tham khaûo: </t>
  </si>
  <si>
    <t>1/ SÖÙC BEÀN VAÄT LIEÄU TAÄP 1</t>
  </si>
  <si>
    <t>2/ KEÁT CAÁU THEÙP</t>
  </si>
  <si>
    <t xml:space="preserve">3/ TÍNH TOAÙN MAÙY TRUÏC </t>
  </si>
  <si>
    <t>4/ MAÙY NAÂNG CHUYEÅN</t>
  </si>
  <si>
    <t>5/ SOÅ TAY THIEÁT KEÁ CÔ KHÍ TAÄP 1</t>
  </si>
  <si>
    <t>Ñoä voõng cho pheùp [f] = L/850=</t>
  </si>
  <si>
    <t xml:space="preserve">La= </t>
  </si>
  <si>
    <t>Ld=</t>
  </si>
  <si>
    <t>Lc=</t>
  </si>
  <si>
    <t>Lc</t>
  </si>
  <si>
    <t>Lb=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</si>
</sst>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-* #,##0.00_-;\-* #,##0.00_-;_-* &quot;-&quot;??_-;_-@_-"/>
    <numFmt numFmtId="165" formatCode="0.000"/>
    <numFmt numFmtId="166" formatCode="0.0"/>
  </numFmts>
  <fonts count="30">
    <font>
      <sz val="11"/>
      <color theme="1"/>
      <name val="Calibri"/>
      <family val="2"/>
      <scheme val="minor"/>
    </font>
    <font>
      <sz val="14"/>
      <name val="VNI-Helve"/>
    </font>
    <font>
      <sz val="12"/>
      <name val="VNI-Helve"/>
    </font>
    <font>
      <vertAlign val="subscript"/>
      <sz val="12"/>
      <name val="VNI-Helve"/>
    </font>
    <font>
      <vertAlign val="subscript"/>
      <sz val="14"/>
      <name val="VNI-Helve"/>
    </font>
    <font>
      <sz val="14"/>
      <color indexed="12"/>
      <name val="VNI-Helve"/>
    </font>
    <font>
      <sz val="14"/>
      <color indexed="10"/>
      <name val="Symbol"/>
      <family val="1"/>
      <charset val="2"/>
    </font>
    <font>
      <vertAlign val="subscript"/>
      <sz val="14"/>
      <color indexed="10"/>
      <name val="Symbol"/>
      <family val="1"/>
      <charset val="2"/>
    </font>
    <font>
      <sz val="14"/>
      <color indexed="10"/>
      <name val="VNI-Helve"/>
    </font>
    <font>
      <u/>
      <sz val="14"/>
      <name val="VNI-Helve"/>
    </font>
    <font>
      <vertAlign val="subscript"/>
      <sz val="14"/>
      <color indexed="10"/>
      <name val="VNI-Helve"/>
    </font>
    <font>
      <b/>
      <sz val="14"/>
      <name val="VNI-Helve"/>
    </font>
    <font>
      <vertAlign val="superscript"/>
      <sz val="14"/>
      <name val="VNI-Helve"/>
    </font>
    <font>
      <sz val="14"/>
      <name val="Symbol"/>
      <family val="1"/>
      <charset val="2"/>
    </font>
    <font>
      <u/>
      <sz val="14"/>
      <color indexed="10"/>
      <name val="VNI-Helve"/>
    </font>
    <font>
      <vertAlign val="superscript"/>
      <sz val="14"/>
      <color indexed="10"/>
      <name val="VNI-Helve"/>
    </font>
    <font>
      <sz val="12"/>
      <color indexed="10"/>
      <name val="VNI-Helve"/>
    </font>
    <font>
      <sz val="12"/>
      <color indexed="10"/>
      <name val="Symbol"/>
      <family val="1"/>
      <charset val="2"/>
    </font>
    <font>
      <vertAlign val="subscript"/>
      <sz val="12"/>
      <color indexed="10"/>
      <name val="VNI-Helve"/>
    </font>
    <font>
      <sz val="12"/>
      <color indexed="10"/>
      <name val="vni-hevle"/>
    </font>
    <font>
      <vertAlign val="superscript"/>
      <sz val="12"/>
      <name val="VNI-Helve"/>
    </font>
    <font>
      <sz val="12"/>
      <name val="Symbol"/>
      <family val="1"/>
      <charset val="2"/>
    </font>
    <font>
      <sz val="12"/>
      <color indexed="12"/>
      <name val="VNI-Helve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2"/>
      <color indexed="81"/>
      <name val="VNI-Helve-Condense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VNI-Helve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9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" fontId="5" fillId="0" borderId="0" xfId="0" applyNumberFormat="1" applyFont="1"/>
    <xf numFmtId="0" fontId="6" fillId="0" borderId="0" xfId="0" applyFont="1"/>
    <xf numFmtId="1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2" borderId="0" xfId="0" applyFont="1" applyFill="1"/>
    <xf numFmtId="1" fontId="8" fillId="0" borderId="0" xfId="0" applyNumberFormat="1" applyFont="1"/>
    <xf numFmtId="1" fontId="1" fillId="0" borderId="0" xfId="0" applyNumberFormat="1" applyFont="1" applyAlignment="1">
      <alignment horizontal="center"/>
    </xf>
    <xf numFmtId="41" fontId="8" fillId="0" borderId="0" xfId="1" applyNumberFormat="1" applyFont="1"/>
    <xf numFmtId="41" fontId="1" fillId="0" borderId="0" xfId="1" applyNumberFormat="1" applyFont="1"/>
    <xf numFmtId="0" fontId="8" fillId="0" borderId="0" xfId="0" applyFont="1"/>
    <xf numFmtId="41" fontId="1" fillId="0" borderId="0" xfId="0" applyNumberFormat="1" applyFont="1"/>
    <xf numFmtId="165" fontId="8" fillId="0" borderId="0" xfId="0" applyNumberFormat="1" applyFont="1"/>
    <xf numFmtId="0" fontId="1" fillId="0" borderId="0" xfId="0" applyFont="1" applyAlignment="1">
      <alignment vertical="center"/>
    </xf>
    <xf numFmtId="1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8" fillId="0" borderId="0" xfId="0" applyFont="1" applyAlignment="1">
      <alignment vertical="center"/>
    </xf>
    <xf numFmtId="0" fontId="1" fillId="0" borderId="0" xfId="0" applyFont="1" applyProtection="1">
      <protection locked="0"/>
    </xf>
    <xf numFmtId="0" fontId="14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/>
    <xf numFmtId="1" fontId="8" fillId="0" borderId="1" xfId="0" applyNumberFormat="1" applyFont="1" applyBorder="1"/>
    <xf numFmtId="166" fontId="8" fillId="0" borderId="1" xfId="0" applyNumberFormat="1" applyFont="1" applyBorder="1"/>
    <xf numFmtId="0" fontId="16" fillId="0" borderId="0" xfId="0" applyFont="1"/>
    <xf numFmtId="1" fontId="2" fillId="0" borderId="0" xfId="0" applyNumberFormat="1" applyFont="1"/>
    <xf numFmtId="165" fontId="2" fillId="0" borderId="0" xfId="0" applyNumberFormat="1" applyFont="1"/>
    <xf numFmtId="0" fontId="21" fillId="0" borderId="0" xfId="0" applyFont="1"/>
    <xf numFmtId="0" fontId="22" fillId="0" borderId="0" xfId="0" applyFont="1"/>
    <xf numFmtId="0" fontId="16" fillId="2" borderId="0" xfId="0" applyFont="1" applyFill="1"/>
    <xf numFmtId="2" fontId="2" fillId="0" borderId="0" xfId="0" applyNumberFormat="1" applyFont="1"/>
    <xf numFmtId="0" fontId="1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4"/>
  <sheetViews>
    <sheetView tabSelected="1" zoomScale="85" zoomScaleNormal="85" workbookViewId="0">
      <selection activeCell="B10" sqref="B10"/>
    </sheetView>
  </sheetViews>
  <sheetFormatPr defaultRowHeight="15"/>
  <cols>
    <col min="1" max="1" width="11.7109375" customWidth="1"/>
    <col min="2" max="2" width="12.140625" customWidth="1"/>
    <col min="3" max="3" width="15" customWidth="1"/>
    <col min="4" max="4" width="27.5703125" customWidth="1"/>
    <col min="5" max="5" width="32.85546875" customWidth="1"/>
    <col min="6" max="6" width="15.5703125" customWidth="1"/>
    <col min="7" max="7" width="21.28515625" customWidth="1"/>
  </cols>
  <sheetData>
    <row r="1" spans="1:7" ht="21">
      <c r="A1" s="1"/>
      <c r="B1" s="1"/>
      <c r="C1" s="1" t="s">
        <v>0</v>
      </c>
      <c r="D1" s="1"/>
      <c r="E1" s="1"/>
      <c r="F1" s="1"/>
      <c r="G1" s="1"/>
    </row>
    <row r="2" spans="1:7" ht="21">
      <c r="A2" s="1"/>
      <c r="B2" s="1"/>
      <c r="C2" s="1" t="s">
        <v>1</v>
      </c>
      <c r="D2" s="1"/>
      <c r="E2" s="1"/>
      <c r="F2" s="1"/>
      <c r="G2" s="1"/>
    </row>
    <row r="3" spans="1:7" ht="21">
      <c r="A3" s="2" t="s">
        <v>2</v>
      </c>
      <c r="B3" s="1"/>
      <c r="C3" s="1"/>
      <c r="D3" s="1"/>
      <c r="E3" s="1"/>
      <c r="F3" s="1"/>
      <c r="G3" s="1"/>
    </row>
    <row r="4" spans="1:7" ht="21">
      <c r="A4" s="1" t="s">
        <v>3</v>
      </c>
      <c r="B4" s="3">
        <v>170</v>
      </c>
      <c r="C4" s="4" t="s">
        <v>4</v>
      </c>
      <c r="D4" s="5">
        <v>30</v>
      </c>
      <c r="E4" s="1"/>
      <c r="F4" s="1"/>
      <c r="G4" s="1"/>
    </row>
    <row r="5" spans="1:7" ht="21">
      <c r="A5" s="1" t="s">
        <v>5</v>
      </c>
      <c r="B5" s="3">
        <v>16</v>
      </c>
      <c r="C5" s="4" t="s">
        <v>6</v>
      </c>
      <c r="D5" s="5">
        <v>10</v>
      </c>
      <c r="E5" s="1"/>
      <c r="F5" s="1"/>
      <c r="G5" s="1"/>
    </row>
    <row r="6" spans="1:7" ht="21">
      <c r="A6" s="1" t="s">
        <v>7</v>
      </c>
      <c r="B6" s="3">
        <v>275</v>
      </c>
      <c r="C6" s="1" t="s">
        <v>8</v>
      </c>
      <c r="D6" s="6">
        <f>ROUND((SIN(D4*PI()/180)*B10+B8/2),1)</f>
        <v>506</v>
      </c>
      <c r="E6" s="7"/>
      <c r="F6" s="1"/>
      <c r="G6" s="1"/>
    </row>
    <row r="7" spans="1:7" ht="21">
      <c r="A7" s="1" t="s">
        <v>9</v>
      </c>
      <c r="B7" s="3">
        <f>(B6-B5)</f>
        <v>259</v>
      </c>
      <c r="C7" s="1" t="s">
        <v>10</v>
      </c>
      <c r="D7" s="8">
        <f>ROUND((TAN($D$5*PI()/180)*$D$6+$B$11),2)</f>
        <v>99.22</v>
      </c>
      <c r="E7" s="1"/>
      <c r="F7" s="1"/>
      <c r="G7" s="1"/>
    </row>
    <row r="8" spans="1:7" ht="21">
      <c r="A8" s="1" t="s">
        <v>11</v>
      </c>
      <c r="B8" s="3">
        <v>12</v>
      </c>
      <c r="C8" s="1" t="s">
        <v>117</v>
      </c>
      <c r="D8" s="9">
        <f>ROUND(($D$7-$B$11)/SIN($D$5*PI()/180),0)</f>
        <v>514</v>
      </c>
      <c r="E8" s="1"/>
      <c r="F8" s="1"/>
      <c r="G8" s="1"/>
    </row>
    <row r="9" spans="1:7" ht="21">
      <c r="A9" s="10" t="s">
        <v>12</v>
      </c>
      <c r="B9" s="11">
        <v>6</v>
      </c>
      <c r="C9" s="1" t="s">
        <v>118</v>
      </c>
      <c r="D9" s="12">
        <f>ROUND((D8+B15),0)</f>
        <v>549</v>
      </c>
      <c r="E9" s="1"/>
      <c r="F9" s="1"/>
      <c r="G9" s="1"/>
    </row>
    <row r="10" spans="1:7" ht="21">
      <c r="A10" s="10" t="s">
        <v>13</v>
      </c>
      <c r="B10" s="11">
        <v>1000</v>
      </c>
      <c r="C10" s="1" t="s">
        <v>116</v>
      </c>
      <c r="D10" s="12">
        <f>ROUND(((($D$9+2)*(COS($D$5*PI()/180)))*2),0)</f>
        <v>1085</v>
      </c>
      <c r="E10" s="1"/>
      <c r="F10" s="13"/>
      <c r="G10" s="1"/>
    </row>
    <row r="11" spans="1:7" ht="21">
      <c r="A11" s="10" t="s">
        <v>14</v>
      </c>
      <c r="B11" s="11">
        <v>10</v>
      </c>
      <c r="C11" s="1" t="s">
        <v>15</v>
      </c>
      <c r="D11" s="12">
        <f>ROUND((B6-40),0)</f>
        <v>235</v>
      </c>
      <c r="E11" s="7">
        <f>$D$15/2*$B$11*$B$12+($D$15+$D$15/2)*$B$11*$B$12+($B$14+$D$13/2)*$B$9*$B$10+($D$15+$B$8/2+$D$13/2)*$B$9*$B$10+($B$14+$D$13+$B$8/2)*$B$8*$B$7+($D$15-$B$4/2+$B$4/2)*$B$4*$B$5</f>
        <v>15585128</v>
      </c>
      <c r="F11" s="13"/>
      <c r="G11" s="1"/>
    </row>
    <row r="12" spans="1:7" ht="21">
      <c r="A12" s="1" t="s">
        <v>119</v>
      </c>
      <c r="B12" s="3">
        <f>ROUND(($D$9),0)</f>
        <v>549</v>
      </c>
      <c r="C12" s="1" t="s">
        <v>16</v>
      </c>
      <c r="D12" s="12">
        <f>ROUND((COS($D$4*PI()/180)*$B$10),0)</f>
        <v>866</v>
      </c>
      <c r="E12" s="1"/>
      <c r="F12" s="14"/>
      <c r="G12" s="1"/>
    </row>
    <row r="13" spans="1:7" ht="21">
      <c r="A13" s="1" t="s">
        <v>17</v>
      </c>
      <c r="B13" s="3">
        <f>ROUND(((B4-B8)/2),0)</f>
        <v>79</v>
      </c>
      <c r="C13" s="1" t="s">
        <v>18</v>
      </c>
      <c r="D13" s="12">
        <f>ROUND((SIN(30*PI()/180)*$B$10+$B$9),0)</f>
        <v>506</v>
      </c>
      <c r="E13" s="1"/>
      <c r="F13" s="14"/>
      <c r="G13" s="1"/>
    </row>
    <row r="14" spans="1:7" ht="21">
      <c r="A14" s="1" t="s">
        <v>19</v>
      </c>
      <c r="B14" s="3">
        <f>B15-B9</f>
        <v>29</v>
      </c>
      <c r="C14" s="1" t="s">
        <v>20</v>
      </c>
      <c r="D14" s="12">
        <f>ROUND(($D$7+$D$12+$D$11),0)</f>
        <v>1200</v>
      </c>
      <c r="E14" s="1"/>
      <c r="F14" s="14"/>
      <c r="G14" s="1"/>
    </row>
    <row r="15" spans="1:7" ht="21">
      <c r="A15" s="15" t="s">
        <v>21</v>
      </c>
      <c r="B15" s="15">
        <v>35</v>
      </c>
      <c r="C15" s="1" t="s">
        <v>120</v>
      </c>
      <c r="D15" s="12">
        <f>ROUND(($D$9*(COS($D$5*PI()/180))),0)</f>
        <v>541</v>
      </c>
      <c r="E15" s="16"/>
      <c r="F15" s="1"/>
      <c r="G15" s="1"/>
    </row>
    <row r="16" spans="1:7" ht="21">
      <c r="A16" s="1" t="s">
        <v>22</v>
      </c>
      <c r="B16" s="1"/>
      <c r="C16" s="1"/>
      <c r="D16" s="1"/>
      <c r="E16" s="15">
        <v>1400</v>
      </c>
      <c r="F16" s="1" t="s">
        <v>23</v>
      </c>
      <c r="G16" s="1"/>
    </row>
    <row r="17" spans="1:7" ht="21">
      <c r="A17" s="1" t="s">
        <v>115</v>
      </c>
      <c r="B17" s="1"/>
      <c r="C17" s="1"/>
      <c r="D17" s="1"/>
      <c r="E17" s="17">
        <f>E16/850</f>
        <v>1.6470588235294117</v>
      </c>
      <c r="F17" s="1" t="s">
        <v>23</v>
      </c>
      <c r="G17" s="1"/>
    </row>
    <row r="18" spans="1:7" ht="22.5">
      <c r="A18" s="1" t="s">
        <v>24</v>
      </c>
      <c r="B18" s="1"/>
      <c r="C18" s="1"/>
      <c r="D18" s="1"/>
      <c r="E18" s="17"/>
      <c r="F18" s="1"/>
      <c r="G18" s="1"/>
    </row>
    <row r="19" spans="1:7" ht="23.25">
      <c r="A19" s="1" t="s">
        <v>25</v>
      </c>
      <c r="B19" s="1"/>
      <c r="C19" s="1"/>
      <c r="D19" s="1"/>
      <c r="E19" s="11">
        <f>2.1*10^6</f>
        <v>2100000</v>
      </c>
      <c r="F19" s="1" t="s">
        <v>26</v>
      </c>
      <c r="G19" s="1" t="s">
        <v>27</v>
      </c>
    </row>
    <row r="20" spans="1:7" ht="23.25">
      <c r="A20" s="1" t="s">
        <v>28</v>
      </c>
      <c r="B20" s="1"/>
      <c r="C20" s="1"/>
      <c r="D20" s="1"/>
      <c r="E20" s="11">
        <v>1600</v>
      </c>
      <c r="F20" s="1" t="s">
        <v>26</v>
      </c>
      <c r="G20" s="1" t="s">
        <v>27</v>
      </c>
    </row>
    <row r="21" spans="1:7" ht="21">
      <c r="A21" s="1" t="s">
        <v>29</v>
      </c>
      <c r="B21" s="1"/>
      <c r="C21" s="1"/>
      <c r="D21" s="1"/>
      <c r="E21" s="1"/>
      <c r="F21" s="1"/>
      <c r="G21" s="1"/>
    </row>
    <row r="22" spans="1:7" ht="21">
      <c r="A22" s="1" t="s">
        <v>30</v>
      </c>
      <c r="B22" s="1"/>
      <c r="C22" s="1"/>
      <c r="D22" s="1"/>
      <c r="E22" s="1"/>
      <c r="F22" s="1"/>
      <c r="G22" s="1"/>
    </row>
    <row r="23" spans="1:7" ht="45" customHeight="1">
      <c r="A23" s="18" t="s">
        <v>31</v>
      </c>
      <c r="B23" s="1"/>
      <c r="C23" s="1"/>
      <c r="D23" s="1"/>
      <c r="E23" s="1"/>
      <c r="F23" s="19"/>
      <c r="G23" s="7">
        <f>$B$5/2*$B$4*$B$5+($B$7/2+$B$5)*$B$7*$B$8+(($D$11+$D$12/2)*$B$9*$B$10)*2+(($D$12+$D$11+$D$7/2)*$B$11*$D$9)*2</f>
        <v>21123671.799999997</v>
      </c>
    </row>
    <row r="24" spans="1:7" ht="34.5" customHeight="1">
      <c r="A24" s="18" t="s">
        <v>32</v>
      </c>
      <c r="B24" s="1"/>
      <c r="C24" s="1"/>
      <c r="D24" s="1"/>
      <c r="E24" s="1"/>
      <c r="F24" s="19"/>
      <c r="G24" s="20">
        <f>B4*B5+B7*B8+B9*B10*2+B11*$B$12*2</f>
        <v>28808</v>
      </c>
    </row>
    <row r="25" spans="1:7" ht="21">
      <c r="A25" s="21" t="s">
        <v>33</v>
      </c>
      <c r="B25" s="15" t="s">
        <v>34</v>
      </c>
      <c r="C25" s="22"/>
      <c r="D25" s="1"/>
      <c r="E25" s="1"/>
      <c r="F25" s="23"/>
      <c r="G25" s="24">
        <f>G23/G24</f>
        <v>733.2571438489307</v>
      </c>
    </row>
    <row r="26" spans="1:7" ht="47.25" customHeight="1">
      <c r="A26" s="18" t="s">
        <v>35</v>
      </c>
      <c r="B26" s="1"/>
      <c r="C26" s="1"/>
      <c r="D26" s="1"/>
      <c r="E26" s="19"/>
      <c r="F26" s="1"/>
      <c r="G26" s="7">
        <f>$D$15/2*$B$11*$B$12+($D$15+$D$15/2)*$B$11*$B$12+($B$14+$D$13/2)*$B$9*$B$10+($D$15+$B$8/2+$D$13/2)*$B$9*$B$10+($B$14+$D$13+$B$8/2)*$B$8*$B$7+($D$15-$B$4/2+$B$4/2)*$B$4*$B$5</f>
        <v>15585128</v>
      </c>
    </row>
    <row r="27" spans="1:7" ht="35.25" customHeight="1">
      <c r="A27" s="18" t="s">
        <v>32</v>
      </c>
      <c r="B27" s="1"/>
      <c r="C27" s="1"/>
      <c r="D27" s="1"/>
      <c r="E27" s="1"/>
      <c r="F27" s="19"/>
      <c r="G27" s="7">
        <f>$B$4*$B$5+$B$7*$B$8+($B$9*$B$10)*2+($B$11*$D$9)*2</f>
        <v>28808</v>
      </c>
    </row>
    <row r="28" spans="1:7" ht="21">
      <c r="A28" s="15" t="s">
        <v>36</v>
      </c>
      <c r="B28" s="15" t="s">
        <v>37</v>
      </c>
      <c r="C28" s="1"/>
      <c r="D28" s="1"/>
      <c r="E28" s="1"/>
      <c r="F28" s="23"/>
      <c r="G28" s="24">
        <f>E11/G27</f>
        <v>541</v>
      </c>
    </row>
    <row r="29" spans="1:7" ht="21">
      <c r="A29" s="1" t="s">
        <v>38</v>
      </c>
      <c r="B29" s="1"/>
      <c r="C29" s="1"/>
      <c r="D29" s="1"/>
      <c r="E29" s="1"/>
      <c r="F29" s="1"/>
      <c r="G29" s="1"/>
    </row>
    <row r="30" spans="1:7" ht="23.25">
      <c r="A30" s="1" t="s">
        <v>39</v>
      </c>
      <c r="B30" s="1"/>
      <c r="C30" s="1"/>
      <c r="D30" s="1"/>
      <c r="E30" s="1"/>
      <c r="F30" s="1"/>
      <c r="G30" s="1"/>
    </row>
    <row r="31" spans="1:7" ht="40.5" customHeight="1">
      <c r="A31" s="18" t="s">
        <v>40</v>
      </c>
      <c r="B31" s="1"/>
      <c r="C31" s="1"/>
      <c r="D31" s="1"/>
      <c r="E31" s="1"/>
      <c r="F31" s="1"/>
      <c r="G31" s="7">
        <f>B4*B5^3/12+(G25-B5/2)^2*B4*B5</f>
        <v>1430772381.8612978</v>
      </c>
    </row>
    <row r="32" spans="1:7" ht="38.25" customHeight="1">
      <c r="A32" s="18" t="s">
        <v>41</v>
      </c>
      <c r="B32" s="1"/>
      <c r="C32" s="1"/>
      <c r="D32" s="1"/>
      <c r="E32" s="1"/>
      <c r="F32" s="1"/>
      <c r="G32" s="7">
        <f>B8*B7^3/12+(G25-B5-B7/2)^2*B8*B7</f>
        <v>1091058873.1320667</v>
      </c>
    </row>
    <row r="33" spans="1:7" ht="35.25" customHeight="1">
      <c r="A33" s="18" t="s">
        <v>42</v>
      </c>
      <c r="B33" s="1"/>
      <c r="C33" s="1"/>
      <c r="D33" s="1"/>
      <c r="E33" s="1"/>
      <c r="F33" s="1"/>
      <c r="G33" s="7">
        <f>(D12^3*B9/12+(G25-D11-D12/2)^2*B9*B10)*2</f>
        <v>700563833.87984037</v>
      </c>
    </row>
    <row r="34" spans="1:7" ht="42.75" customHeight="1">
      <c r="A34" s="18" t="s">
        <v>43</v>
      </c>
      <c r="B34" s="1"/>
      <c r="C34" s="1"/>
      <c r="D34" s="1"/>
      <c r="E34" s="1"/>
      <c r="F34" s="15"/>
      <c r="G34" s="7">
        <f>(D7^3*B11/12+(G25-D11-D12-D7/2)^2*B11*B12)*2</f>
        <v>1914161773.8570044</v>
      </c>
    </row>
    <row r="35" spans="1:7" ht="21">
      <c r="A35" s="15" t="s">
        <v>44</v>
      </c>
      <c r="B35" s="1"/>
      <c r="C35" s="1"/>
      <c r="D35" s="1"/>
      <c r="E35" s="1"/>
      <c r="F35" s="23"/>
      <c r="G35" s="24">
        <f>G34+G33+G32+G31</f>
        <v>5136556862.7302094</v>
      </c>
    </row>
    <row r="36" spans="1:7" ht="23.25">
      <c r="A36" s="1" t="s">
        <v>45</v>
      </c>
      <c r="B36" s="1"/>
      <c r="C36" s="1"/>
      <c r="D36" s="1"/>
      <c r="E36" s="1"/>
      <c r="F36" s="1"/>
      <c r="G36" s="7"/>
    </row>
    <row r="37" spans="1:7" ht="38.25" customHeight="1">
      <c r="A37" s="18" t="s">
        <v>46</v>
      </c>
      <c r="B37" s="1"/>
      <c r="C37" s="1"/>
      <c r="D37" s="1"/>
      <c r="E37" s="1"/>
      <c r="F37" s="1"/>
      <c r="G37" s="7">
        <f>B4^3*B5/12</f>
        <v>6550666.666666667</v>
      </c>
    </row>
    <row r="38" spans="1:7" ht="38.25" customHeight="1">
      <c r="A38" s="18" t="s">
        <v>47</v>
      </c>
      <c r="B38" s="1"/>
      <c r="C38" s="1"/>
      <c r="D38" s="1"/>
      <c r="E38" s="1"/>
      <c r="F38" s="1"/>
      <c r="G38" s="7">
        <f>B7*B8^3/12</f>
        <v>37296</v>
      </c>
    </row>
    <row r="39" spans="1:7" ht="40.5" customHeight="1">
      <c r="A39" s="18" t="s">
        <v>48</v>
      </c>
      <c r="B39" s="1"/>
      <c r="C39" s="1"/>
      <c r="D39" s="1"/>
      <c r="E39" s="1"/>
      <c r="F39" s="1"/>
      <c r="G39" s="7">
        <f>(B9*D13^3/12+(G28-B8-D13/2)^2*B9*B10)*2</f>
        <v>1043666216</v>
      </c>
    </row>
    <row r="40" spans="1:7" ht="42.75" customHeight="1">
      <c r="A40" s="18" t="s">
        <v>49</v>
      </c>
      <c r="B40" s="1"/>
      <c r="C40" s="1"/>
      <c r="D40" s="1"/>
      <c r="E40" s="1"/>
      <c r="F40" s="1"/>
      <c r="G40" s="7">
        <f>(B11*D9^3/12+(G28-D15/2)^2*B11*B12)*2</f>
        <v>1079191260</v>
      </c>
    </row>
    <row r="41" spans="1:7" ht="21">
      <c r="A41" s="15" t="s">
        <v>50</v>
      </c>
      <c r="B41" s="1"/>
      <c r="C41" s="1"/>
      <c r="D41" s="1"/>
      <c r="E41" s="1"/>
      <c r="F41" s="23"/>
      <c r="G41" s="24">
        <f>G40+G39+G38+G37</f>
        <v>2129445438.6666667</v>
      </c>
    </row>
    <row r="42" spans="1:7" ht="21">
      <c r="A42" s="1"/>
      <c r="B42" s="1"/>
      <c r="C42" s="1"/>
      <c r="D42" s="1"/>
      <c r="E42" s="1"/>
      <c r="F42" s="1"/>
      <c r="G42" s="1"/>
    </row>
    <row r="43" spans="1:7" ht="21">
      <c r="A43" s="1"/>
      <c r="B43" s="1"/>
      <c r="C43" s="1"/>
      <c r="D43" s="1"/>
      <c r="E43" s="1"/>
      <c r="F43" s="36" t="s">
        <v>51</v>
      </c>
      <c r="G43" s="37"/>
    </row>
    <row r="44" spans="1:7" ht="23.25">
      <c r="A44" s="15"/>
      <c r="B44" s="1"/>
      <c r="C44" s="1"/>
      <c r="D44" s="1"/>
      <c r="E44" s="1"/>
      <c r="F44" s="25" t="s">
        <v>52</v>
      </c>
      <c r="G44" s="26">
        <f>$G$35/(100^2)</f>
        <v>513655.68627302093</v>
      </c>
    </row>
    <row r="45" spans="1:7" ht="23.25">
      <c r="A45" s="1"/>
      <c r="B45" s="1"/>
      <c r="C45" s="1"/>
      <c r="D45" s="1"/>
      <c r="E45" s="1"/>
      <c r="F45" s="25" t="s">
        <v>53</v>
      </c>
      <c r="G45" s="26">
        <f>$G$41/(100^2)</f>
        <v>212944.54386666667</v>
      </c>
    </row>
    <row r="46" spans="1:7" ht="21">
      <c r="A46" s="1"/>
      <c r="B46" s="1"/>
      <c r="C46" s="1"/>
      <c r="D46" s="1"/>
      <c r="E46" s="1"/>
      <c r="F46" s="25" t="s">
        <v>54</v>
      </c>
      <c r="G46" s="27">
        <f>$G$25/10</f>
        <v>73.325714384893075</v>
      </c>
    </row>
    <row r="47" spans="1:7" ht="21">
      <c r="A47" s="1"/>
      <c r="B47" s="1"/>
      <c r="C47" s="1"/>
      <c r="D47" s="1"/>
      <c r="E47" s="1"/>
      <c r="F47" s="25" t="s">
        <v>55</v>
      </c>
      <c r="G47" s="27">
        <f>$G$28/10</f>
        <v>54.1</v>
      </c>
    </row>
    <row r="48" spans="1:7" ht="23.25">
      <c r="A48" s="1"/>
      <c r="B48" s="1"/>
      <c r="C48" s="1"/>
      <c r="D48" s="1"/>
      <c r="E48" s="1"/>
      <c r="F48" s="25" t="s">
        <v>56</v>
      </c>
      <c r="G48" s="26">
        <f>$G$24/100</f>
        <v>288.08</v>
      </c>
    </row>
    <row r="49" spans="1:7" ht="21">
      <c r="A49" s="1" t="s">
        <v>57</v>
      </c>
      <c r="B49" s="1"/>
      <c r="C49" s="1"/>
      <c r="D49" s="1"/>
      <c r="E49" s="1"/>
      <c r="F49" s="1"/>
      <c r="G49" s="1"/>
    </row>
    <row r="50" spans="1:7" ht="21">
      <c r="A50" s="1"/>
      <c r="B50" s="1"/>
      <c r="C50" s="1" t="s">
        <v>58</v>
      </c>
      <c r="D50" s="1"/>
      <c r="E50" s="19"/>
      <c r="F50" s="1"/>
      <c r="G50" s="1"/>
    </row>
    <row r="51" spans="1:7" ht="21">
      <c r="A51" s="1" t="s">
        <v>59</v>
      </c>
      <c r="B51" s="1"/>
      <c r="C51" s="1"/>
      <c r="D51" s="1"/>
      <c r="E51" s="19"/>
      <c r="F51" s="1"/>
      <c r="G51" s="1"/>
    </row>
    <row r="52" spans="1:7" ht="18.75">
      <c r="A52" s="2"/>
      <c r="B52" s="2" t="s">
        <v>60</v>
      </c>
      <c r="C52" s="2"/>
      <c r="D52" s="2"/>
      <c r="E52" s="2"/>
      <c r="F52" s="2"/>
      <c r="G52" s="2"/>
    </row>
    <row r="53" spans="1:7" ht="18.75">
      <c r="A53" s="2" t="s">
        <v>61</v>
      </c>
      <c r="B53" s="2"/>
      <c r="C53" s="2"/>
      <c r="D53" s="2"/>
      <c r="E53" s="2"/>
      <c r="F53" s="2"/>
      <c r="G53" s="2"/>
    </row>
    <row r="54" spans="1:7" ht="18.75">
      <c r="A54" s="2"/>
      <c r="B54" s="28" t="s">
        <v>62</v>
      </c>
      <c r="C54" s="2"/>
      <c r="D54" s="2"/>
      <c r="E54" s="2" t="s">
        <v>63</v>
      </c>
      <c r="F54" s="2"/>
      <c r="G54" s="2"/>
    </row>
    <row r="55" spans="1:7" ht="18.75">
      <c r="A55" s="2"/>
      <c r="B55" s="28" t="s">
        <v>64</v>
      </c>
      <c r="C55" s="2"/>
      <c r="D55" s="2"/>
      <c r="E55" s="2" t="s">
        <v>63</v>
      </c>
      <c r="F55" s="2"/>
      <c r="G55" s="2"/>
    </row>
    <row r="56" spans="1:7" ht="20.25">
      <c r="A56" s="2" t="s">
        <v>65</v>
      </c>
      <c r="B56" s="2"/>
      <c r="C56" s="2"/>
      <c r="D56" s="2"/>
      <c r="E56" s="2" t="s">
        <v>32</v>
      </c>
      <c r="F56" s="29">
        <f>G48</f>
        <v>288.08</v>
      </c>
      <c r="G56" s="2" t="s">
        <v>66</v>
      </c>
    </row>
    <row r="57" spans="1:7" ht="18.75">
      <c r="A57" s="2" t="s">
        <v>67</v>
      </c>
      <c r="B57" s="29"/>
      <c r="C57" s="2"/>
      <c r="D57" s="2"/>
      <c r="E57" s="2" t="s">
        <v>68</v>
      </c>
      <c r="F57" s="29">
        <f>E16</f>
        <v>1400</v>
      </c>
      <c r="G57" s="29" t="s">
        <v>23</v>
      </c>
    </row>
    <row r="58" spans="1:7" ht="18.75">
      <c r="A58" s="2" t="s">
        <v>69</v>
      </c>
      <c r="B58" s="29"/>
      <c r="C58" s="2"/>
      <c r="D58" s="2"/>
      <c r="E58" s="2" t="s">
        <v>70</v>
      </c>
      <c r="F58" s="29">
        <f>(8+2)*1000</f>
        <v>10000</v>
      </c>
      <c r="G58" s="2" t="s">
        <v>71</v>
      </c>
    </row>
    <row r="59" spans="1:7" ht="18.75">
      <c r="A59" s="2" t="s">
        <v>72</v>
      </c>
      <c r="B59" s="29"/>
      <c r="C59" s="2"/>
      <c r="D59" s="2"/>
      <c r="E59" s="2" t="s">
        <v>73</v>
      </c>
      <c r="F59" s="30">
        <f>F56*0.000001*7850</f>
        <v>2.2614279999999995</v>
      </c>
      <c r="G59" s="2" t="s">
        <v>74</v>
      </c>
    </row>
    <row r="60" spans="1:7" ht="20.25">
      <c r="A60" s="2" t="s">
        <v>75</v>
      </c>
      <c r="B60" s="29"/>
      <c r="C60" s="2"/>
      <c r="D60" s="2"/>
      <c r="E60" s="2" t="s">
        <v>76</v>
      </c>
      <c r="F60" s="30">
        <f>G44</f>
        <v>513655.68627302093</v>
      </c>
      <c r="G60" s="2" t="s">
        <v>77</v>
      </c>
    </row>
    <row r="61" spans="1:7" ht="20.25">
      <c r="A61" s="2" t="s">
        <v>78</v>
      </c>
      <c r="B61" s="29"/>
      <c r="C61" s="2"/>
      <c r="D61" s="2"/>
      <c r="E61" s="2" t="s">
        <v>79</v>
      </c>
      <c r="F61" s="30">
        <f>F60/G46</f>
        <v>7005.1235174716112</v>
      </c>
      <c r="G61" s="2" t="s">
        <v>80</v>
      </c>
    </row>
    <row r="62" spans="1:7" ht="20.25">
      <c r="A62" s="2" t="s">
        <v>81</v>
      </c>
      <c r="B62" s="29"/>
      <c r="C62" s="2"/>
      <c r="D62" s="2"/>
      <c r="E62" s="2" t="s">
        <v>82</v>
      </c>
      <c r="F62" s="30">
        <f>G45</f>
        <v>212944.54386666667</v>
      </c>
      <c r="G62" s="2" t="s">
        <v>77</v>
      </c>
    </row>
    <row r="63" spans="1:7" ht="20.25">
      <c r="A63" s="2" t="s">
        <v>83</v>
      </c>
      <c r="B63" s="29"/>
      <c r="C63" s="2"/>
      <c r="D63" s="2"/>
      <c r="E63" s="2" t="s">
        <v>84</v>
      </c>
      <c r="F63" s="30">
        <f>F62/G47</f>
        <v>3936.1283524337646</v>
      </c>
      <c r="G63" s="2" t="s">
        <v>80</v>
      </c>
    </row>
    <row r="64" spans="1:7" ht="20.25">
      <c r="A64" s="2" t="s">
        <v>85</v>
      </c>
      <c r="B64" s="29"/>
      <c r="C64" s="2"/>
      <c r="D64" s="2"/>
      <c r="E64" s="2" t="s">
        <v>86</v>
      </c>
      <c r="F64" s="2">
        <f>F59*F57^2/8</f>
        <v>554049.85999999987</v>
      </c>
      <c r="G64" s="2" t="s">
        <v>87</v>
      </c>
    </row>
    <row r="65" spans="1:7" ht="18.75">
      <c r="A65" s="2" t="s">
        <v>88</v>
      </c>
      <c r="B65" s="2"/>
      <c r="C65" s="2"/>
      <c r="D65" s="2"/>
      <c r="E65" s="2" t="s">
        <v>89</v>
      </c>
      <c r="F65" s="2">
        <f>F58*F57/4</f>
        <v>3500000</v>
      </c>
      <c r="G65" s="2" t="s">
        <v>87</v>
      </c>
    </row>
    <row r="66" spans="1:7" ht="18.75">
      <c r="A66" s="2" t="s">
        <v>90</v>
      </c>
      <c r="B66" s="2"/>
      <c r="C66" s="2"/>
      <c r="D66" s="2"/>
      <c r="E66" s="2" t="s">
        <v>91</v>
      </c>
      <c r="F66" s="2">
        <f>1.05*(F64+1.25*F65)</f>
        <v>5175502.3529999992</v>
      </c>
      <c r="G66" s="2" t="s">
        <v>87</v>
      </c>
    </row>
    <row r="67" spans="1:7" ht="18.75">
      <c r="A67" s="2" t="s">
        <v>92</v>
      </c>
      <c r="B67" s="2"/>
      <c r="C67" s="2"/>
      <c r="D67" s="2"/>
      <c r="E67" s="2" t="s">
        <v>93</v>
      </c>
      <c r="F67" s="2">
        <f>0.05*(F64+F65)</f>
        <v>202702.49300000002</v>
      </c>
      <c r="G67" s="2" t="s">
        <v>87</v>
      </c>
    </row>
    <row r="68" spans="1:7" ht="20.25">
      <c r="A68" s="2" t="s">
        <v>94</v>
      </c>
      <c r="B68" s="2"/>
      <c r="C68" s="2"/>
      <c r="D68" s="2"/>
      <c r="E68" s="31" t="s">
        <v>95</v>
      </c>
      <c r="F68" s="2">
        <f>F66/F61+F67/F63</f>
        <v>790.31465387551509</v>
      </c>
      <c r="G68" s="2" t="s">
        <v>96</v>
      </c>
    </row>
    <row r="69" spans="1:7" ht="18.75">
      <c r="A69" s="2" t="s">
        <v>97</v>
      </c>
      <c r="B69" s="2"/>
      <c r="C69" s="2"/>
      <c r="D69" s="2"/>
      <c r="E69" s="32" t="s">
        <v>98</v>
      </c>
      <c r="F69" s="33">
        <f>ROUND((E20/F68),2)</f>
        <v>2.02</v>
      </c>
      <c r="G69" s="2"/>
    </row>
    <row r="70" spans="1:7" ht="18.75">
      <c r="A70" s="38" t="s">
        <v>99</v>
      </c>
      <c r="B70" s="39"/>
      <c r="C70" s="28" t="s">
        <v>100</v>
      </c>
      <c r="D70" s="2"/>
      <c r="E70" s="2"/>
      <c r="F70" s="2"/>
      <c r="G70" s="2"/>
    </row>
    <row r="71" spans="1:7" ht="18.75">
      <c r="A71" s="40"/>
      <c r="B71" s="41"/>
      <c r="C71" s="28" t="s">
        <v>101</v>
      </c>
      <c r="D71" s="2"/>
      <c r="E71" s="2"/>
      <c r="F71" s="2"/>
      <c r="G71" s="2"/>
    </row>
    <row r="72" spans="1:7" ht="18.75">
      <c r="A72" s="2" t="s">
        <v>102</v>
      </c>
      <c r="B72" s="28"/>
      <c r="C72" s="2"/>
      <c r="D72" s="2"/>
      <c r="E72" s="2"/>
      <c r="F72" s="2"/>
      <c r="G72" s="2"/>
    </row>
    <row r="73" spans="1:7" ht="20.25">
      <c r="A73" s="2" t="s">
        <v>103</v>
      </c>
      <c r="B73" s="2" t="s">
        <v>104</v>
      </c>
      <c r="C73" s="2"/>
      <c r="D73" s="2"/>
      <c r="E73" s="2"/>
      <c r="F73" s="34">
        <f>F58*F57^3/(48*E19*F60)+5*F59*F57^4/(384*E19*F60)</f>
        <v>0.6348380628264072</v>
      </c>
      <c r="G73" s="2" t="s">
        <v>23</v>
      </c>
    </row>
    <row r="74" spans="1:7" ht="18.75">
      <c r="A74" s="2"/>
      <c r="B74" s="2" t="s">
        <v>105</v>
      </c>
      <c r="C74" s="2"/>
      <c r="D74" s="2"/>
      <c r="E74" s="31"/>
      <c r="F74" s="33">
        <f>ROUND((E17/F73),2)</f>
        <v>2.59</v>
      </c>
      <c r="G74" s="2"/>
    </row>
    <row r="75" spans="1:7" ht="18.75">
      <c r="A75" s="38" t="s">
        <v>99</v>
      </c>
      <c r="B75" s="39"/>
      <c r="C75" s="2"/>
      <c r="D75" s="2" t="s">
        <v>106</v>
      </c>
      <c r="E75" s="2"/>
      <c r="F75" s="2"/>
      <c r="G75" s="2"/>
    </row>
    <row r="76" spans="1:7" ht="18.75">
      <c r="A76" s="40"/>
      <c r="B76" s="41"/>
      <c r="C76" s="2"/>
      <c r="D76" s="2" t="s">
        <v>107</v>
      </c>
      <c r="E76" s="2"/>
      <c r="F76" s="2"/>
      <c r="G76" s="35"/>
    </row>
    <row r="77" spans="1:7" ht="18.75">
      <c r="A77" s="2"/>
      <c r="B77" s="2"/>
      <c r="C77" s="2"/>
      <c r="D77" s="2" t="s">
        <v>108</v>
      </c>
      <c r="E77" s="2"/>
      <c r="F77" s="28"/>
      <c r="G77" s="35"/>
    </row>
    <row r="78" spans="1:7" ht="18.75">
      <c r="A78" s="2"/>
      <c r="B78" s="2"/>
      <c r="C78" s="2"/>
      <c r="D78" s="2"/>
      <c r="E78" s="2"/>
      <c r="F78" s="2"/>
      <c r="G78" s="35"/>
    </row>
    <row r="79" spans="1:7" ht="21">
      <c r="A79" s="1" t="s">
        <v>109</v>
      </c>
      <c r="B79" s="1"/>
      <c r="C79" s="1"/>
      <c r="D79" s="1"/>
      <c r="E79" s="1"/>
      <c r="F79" s="1"/>
      <c r="G79" s="1"/>
    </row>
    <row r="80" spans="1:7" ht="21">
      <c r="A80" s="1" t="s">
        <v>110</v>
      </c>
      <c r="B80" s="1"/>
      <c r="C80" s="1"/>
      <c r="D80" s="1"/>
      <c r="E80" s="19"/>
      <c r="F80" s="1"/>
      <c r="G80" s="1"/>
    </row>
    <row r="81" spans="1:7" ht="21">
      <c r="A81" s="1" t="s">
        <v>111</v>
      </c>
      <c r="B81" s="1"/>
      <c r="C81" s="1"/>
      <c r="D81" s="1"/>
      <c r="E81" s="19"/>
      <c r="F81" s="1"/>
      <c r="G81" s="1"/>
    </row>
    <row r="82" spans="1:7" ht="21">
      <c r="A82" s="1" t="s">
        <v>112</v>
      </c>
      <c r="B82" s="1"/>
      <c r="C82" s="1"/>
      <c r="D82" s="1"/>
      <c r="E82" s="19"/>
      <c r="F82" s="1"/>
      <c r="G82" s="1"/>
    </row>
    <row r="83" spans="1:7" ht="21">
      <c r="A83" s="1" t="s">
        <v>113</v>
      </c>
      <c r="B83" s="1"/>
      <c r="C83" s="1"/>
      <c r="D83" s="1"/>
      <c r="E83" s="19"/>
      <c r="F83" s="1"/>
      <c r="G83" s="1"/>
    </row>
    <row r="84" spans="1:7" ht="21">
      <c r="A84" s="1" t="s">
        <v>114</v>
      </c>
      <c r="B84" s="1"/>
      <c r="C84" s="1"/>
      <c r="D84" s="1"/>
      <c r="E84" s="19"/>
      <c r="F84" s="1"/>
      <c r="G84" s="1"/>
    </row>
  </sheetData>
  <mergeCells count="3">
    <mergeCell ref="F43:G43"/>
    <mergeCell ref="A70:B71"/>
    <mergeCell ref="A75:B7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DAM-V</vt:lpstr>
    </vt:vector>
  </TitlesOfParts>
  <Company>Mobile: 0903848771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2012-09-14T03:02:18Z</cp:lastPrinted>
  <dcterms:created xsi:type="dcterms:W3CDTF">2009-11-17T01:51:35Z</dcterms:created>
  <dcterms:modified xsi:type="dcterms:W3CDTF">2025-10-01T07:34:13Z</dcterms:modified>
</cp:coreProperties>
</file>