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86195\Desktop\duqu\zuankong\"/>
    </mc:Choice>
  </mc:AlternateContent>
  <xr:revisionPtr revIDLastSave="0" documentId="13_ncr:1_{F8C21DDD-3101-45C0-ACA5-5CF5709D6C9B}" xr6:coauthVersionLast="47" xr6:coauthVersionMax="47" xr10:uidLastSave="{00000000-0000-0000-0000-000000000000}"/>
  <bookViews>
    <workbookView xWindow="1116" yWindow="1284" windowWidth="16872" windowHeight="10392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9" i="1" l="1"/>
  <c r="AC36" i="1"/>
  <c r="AB36" i="1"/>
  <c r="AA36" i="1"/>
  <c r="Z36" i="1"/>
  <c r="Y36" i="1"/>
  <c r="W36" i="1"/>
  <c r="U36" i="1"/>
  <c r="I36" i="1"/>
  <c r="H36" i="1"/>
  <c r="G36" i="1"/>
  <c r="AC35" i="1"/>
  <c r="AB35" i="1"/>
  <c r="AA35" i="1"/>
  <c r="Z35" i="1"/>
  <c r="Y35" i="1"/>
  <c r="W35" i="1"/>
  <c r="V35" i="1"/>
  <c r="U35" i="1"/>
  <c r="T35" i="1"/>
  <c r="S35" i="1"/>
  <c r="Q35" i="1"/>
  <c r="P35" i="1"/>
  <c r="O35" i="1"/>
  <c r="I35" i="1"/>
  <c r="H35" i="1"/>
  <c r="G35" i="1"/>
  <c r="AC34" i="1"/>
  <c r="AB34" i="1"/>
  <c r="Y34" i="1"/>
  <c r="W34" i="1"/>
  <c r="V34" i="1"/>
  <c r="U34" i="1"/>
  <c r="S34" i="1"/>
  <c r="Q34" i="1"/>
  <c r="P34" i="1"/>
  <c r="O34" i="1"/>
  <c r="M34" i="1"/>
  <c r="K34" i="1"/>
  <c r="J34" i="1"/>
  <c r="I34" i="1"/>
  <c r="H34" i="1"/>
  <c r="G34" i="1"/>
  <c r="AC33" i="1"/>
  <c r="AB33" i="1"/>
  <c r="AA33" i="1"/>
  <c r="Z33" i="1"/>
  <c r="Y33" i="1"/>
  <c r="W33" i="1"/>
  <c r="V33" i="1"/>
  <c r="U33" i="1"/>
  <c r="T33" i="1"/>
  <c r="S33" i="1"/>
  <c r="Q33" i="1"/>
  <c r="I33" i="1"/>
  <c r="H33" i="1"/>
  <c r="G33" i="1"/>
  <c r="AC32" i="1"/>
  <c r="AB32" i="1"/>
  <c r="AA32" i="1"/>
  <c r="Z32" i="1"/>
  <c r="Y32" i="1"/>
  <c r="W32" i="1"/>
  <c r="V32" i="1"/>
  <c r="U32" i="1"/>
  <c r="T32" i="1"/>
  <c r="S32" i="1"/>
  <c r="I32" i="1"/>
  <c r="H32" i="1"/>
  <c r="G32" i="1"/>
  <c r="AC31" i="1"/>
  <c r="AB31" i="1"/>
  <c r="AA31" i="1"/>
  <c r="Z31" i="1"/>
  <c r="Y31" i="1"/>
  <c r="W31" i="1"/>
  <c r="V31" i="1"/>
  <c r="U31" i="1"/>
  <c r="T31" i="1"/>
  <c r="S31" i="1"/>
  <c r="I31" i="1"/>
  <c r="H31" i="1"/>
  <c r="G31" i="1"/>
  <c r="AC30" i="1"/>
  <c r="AB30" i="1"/>
  <c r="AA30" i="1"/>
  <c r="Z30" i="1"/>
  <c r="Y30" i="1"/>
  <c r="W30" i="1"/>
  <c r="V30" i="1"/>
  <c r="U30" i="1"/>
  <c r="S30" i="1"/>
  <c r="Q30" i="1"/>
  <c r="P30" i="1"/>
  <c r="O30" i="1"/>
  <c r="N30" i="1"/>
  <c r="M30" i="1"/>
  <c r="L30" i="1"/>
  <c r="I30" i="1"/>
  <c r="H30" i="1"/>
  <c r="G30" i="1"/>
  <c r="AC29" i="1"/>
  <c r="AB29" i="1"/>
  <c r="AA29" i="1"/>
  <c r="Z29" i="1"/>
  <c r="Y29" i="1"/>
  <c r="X29" i="1"/>
  <c r="W29" i="1"/>
  <c r="V29" i="1"/>
  <c r="S29" i="1"/>
  <c r="R29" i="1"/>
  <c r="Q29" i="1"/>
  <c r="P29" i="1"/>
  <c r="O29" i="1"/>
  <c r="I29" i="1"/>
  <c r="AC28" i="1"/>
  <c r="AB28" i="1"/>
  <c r="S28" i="1"/>
  <c r="Q28" i="1"/>
  <c r="P28" i="1"/>
  <c r="O28" i="1"/>
  <c r="I28" i="1"/>
  <c r="H28" i="1"/>
  <c r="AC27" i="1"/>
  <c r="AB27" i="1"/>
  <c r="AA27" i="1"/>
  <c r="Z27" i="1"/>
  <c r="Y27" i="1"/>
  <c r="W27" i="1"/>
  <c r="V27" i="1"/>
  <c r="U27" i="1"/>
  <c r="S27" i="1"/>
  <c r="R27" i="1"/>
  <c r="Q27" i="1"/>
  <c r="P27" i="1"/>
  <c r="O27" i="1"/>
  <c r="I27" i="1"/>
  <c r="H27" i="1"/>
  <c r="G27" i="1"/>
  <c r="AC26" i="1"/>
  <c r="AB26" i="1"/>
  <c r="Y26" i="1"/>
  <c r="W26" i="1"/>
  <c r="M26" i="1"/>
  <c r="I26" i="1"/>
  <c r="Y25" i="1"/>
  <c r="W25" i="1"/>
  <c r="V25" i="1"/>
  <c r="U25" i="1"/>
  <c r="S25" i="1"/>
  <c r="Q25" i="1"/>
  <c r="P25" i="1"/>
  <c r="O25" i="1"/>
  <c r="M25" i="1"/>
  <c r="I25" i="1"/>
  <c r="H25" i="1"/>
  <c r="G25" i="1"/>
  <c r="AC24" i="1"/>
  <c r="AB24" i="1"/>
  <c r="AA24" i="1"/>
  <c r="Z24" i="1"/>
  <c r="Y24" i="1"/>
  <c r="W24" i="1"/>
  <c r="V24" i="1"/>
  <c r="U24" i="1"/>
  <c r="N24" i="1"/>
  <c r="L24" i="1"/>
  <c r="K24" i="1"/>
  <c r="J24" i="1"/>
  <c r="I24" i="1"/>
  <c r="H24" i="1"/>
  <c r="G24" i="1"/>
  <c r="AC23" i="1"/>
  <c r="AB23" i="1"/>
  <c r="Y23" i="1"/>
  <c r="W23" i="1"/>
  <c r="I23" i="1"/>
  <c r="H23" i="1"/>
  <c r="G23" i="1"/>
  <c r="AC22" i="1"/>
  <c r="AB22" i="1"/>
  <c r="AA22" i="1"/>
  <c r="I22" i="1"/>
  <c r="H22" i="1"/>
  <c r="AA21" i="1"/>
  <c r="Z21" i="1"/>
  <c r="Y21" i="1"/>
  <c r="X21" i="1"/>
  <c r="W21" i="1"/>
  <c r="I21" i="1"/>
  <c r="H21" i="1"/>
  <c r="G21" i="1"/>
  <c r="AC20" i="1"/>
  <c r="AB20" i="1"/>
  <c r="AA20" i="1"/>
  <c r="Z20" i="1"/>
  <c r="Y20" i="1"/>
  <c r="W20" i="1"/>
  <c r="I20" i="1"/>
  <c r="H20" i="1"/>
  <c r="G20" i="1"/>
</calcChain>
</file>

<file path=xl/sharedStrings.xml><?xml version="1.0" encoding="utf-8"?>
<sst xmlns="http://schemas.openxmlformats.org/spreadsheetml/2006/main" count="651" uniqueCount="638">
  <si>
    <t>序号</t>
  </si>
  <si>
    <t>钻孔编号</t>
  </si>
  <si>
    <t>钻孔坐标</t>
  </si>
  <si>
    <t>高程</t>
  </si>
  <si>
    <t>终孔深度</t>
  </si>
  <si>
    <t>备注</t>
  </si>
  <si>
    <t>提取</t>
  </si>
  <si>
    <t>复核</t>
  </si>
  <si>
    <t>X</t>
  </si>
  <si>
    <t>Y</t>
  </si>
  <si>
    <r>
      <rPr>
        <b/>
        <sz val="12"/>
        <color theme="1"/>
        <rFont val="宋体"/>
        <family val="3"/>
        <charset val="134"/>
      </rPr>
      <t>2</t>
    </r>
    <r>
      <rPr>
        <b/>
        <vertAlign val="superscript"/>
        <sz val="12"/>
        <color theme="1"/>
        <rFont val="宋体"/>
        <family val="3"/>
        <charset val="134"/>
      </rPr>
      <t>#</t>
    </r>
    <r>
      <rPr>
        <b/>
        <sz val="12"/>
        <color theme="1"/>
        <rFont val="宋体"/>
        <family val="3"/>
        <charset val="134"/>
      </rPr>
      <t>煤</t>
    </r>
  </si>
  <si>
    <r>
      <rPr>
        <b/>
        <sz val="12"/>
        <color theme="1"/>
        <rFont val="宋体"/>
        <family val="3"/>
        <charset val="134"/>
      </rPr>
      <t>5</t>
    </r>
    <r>
      <rPr>
        <b/>
        <vertAlign val="superscript"/>
        <sz val="12"/>
        <color theme="1"/>
        <rFont val="宋体"/>
        <family val="3"/>
        <charset val="134"/>
      </rPr>
      <t>#</t>
    </r>
    <r>
      <rPr>
        <b/>
        <sz val="12"/>
        <color theme="1"/>
        <rFont val="宋体"/>
        <family val="3"/>
        <charset val="134"/>
      </rPr>
      <t>煤</t>
    </r>
  </si>
  <si>
    <t>9#煤</t>
  </si>
  <si>
    <t>0801</t>
  </si>
  <si>
    <t>孙</t>
  </si>
  <si>
    <t>管</t>
  </si>
  <si>
    <t>0802</t>
  </si>
  <si>
    <t>9煤-198.4（0.25）；9煤-201.2（0.25）</t>
  </si>
  <si>
    <t>1601</t>
  </si>
  <si>
    <t>2煤-199.91（0.31）；2煤-201.78（0.2）；2煤-202.25（0.13）；9煤-334.52（0.19）；9煤-335.97（0.14）；9煤-337.33（0.16）；9煤-338.38（0.17）</t>
  </si>
  <si>
    <t>1602</t>
  </si>
  <si>
    <t>4094401.62</t>
  </si>
  <si>
    <t>1901</t>
  </si>
  <si>
    <t>4094775.14</t>
  </si>
  <si>
    <t>38537936.50</t>
  </si>
  <si>
    <t>1902</t>
  </si>
  <si>
    <t>4094641.31</t>
  </si>
  <si>
    <t>38537897.10</t>
  </si>
  <si>
    <t>4095757</t>
  </si>
  <si>
    <t>38538377.5</t>
  </si>
  <si>
    <t>4097283.92</t>
  </si>
  <si>
    <t>38539451.46</t>
  </si>
  <si>
    <t>4098714</t>
  </si>
  <si>
    <t>38539804</t>
  </si>
  <si>
    <t>9煤-229.58（0.15）；9煤-230.62（0.2）；9煤-231.02（0.15）</t>
  </si>
  <si>
    <t>4095633</t>
  </si>
  <si>
    <t>38536992</t>
  </si>
  <si>
    <t>9煤-94.57（0.12）；9煤-95.6（0.48）；9煤-96.27（0.19）</t>
  </si>
  <si>
    <t>4097810.92</t>
  </si>
  <si>
    <t>38539433.24</t>
  </si>
  <si>
    <t>断-180.24（10）</t>
  </si>
  <si>
    <t>4096719</t>
  </si>
  <si>
    <t>38537699</t>
  </si>
  <si>
    <t>断-149.33（5.4）；9煤-165.86（0.39）；9煤-171.35（0.2）</t>
  </si>
  <si>
    <t>4097727</t>
  </si>
  <si>
    <t>38538411</t>
  </si>
  <si>
    <t>4094919.64</t>
  </si>
  <si>
    <t>38536607.89</t>
  </si>
  <si>
    <t>4097468</t>
  </si>
  <si>
    <t>38539046</t>
  </si>
  <si>
    <t>2煤-191.39（0.34）；断-203.99（31.69）</t>
  </si>
  <si>
    <t>4097211</t>
  </si>
  <si>
    <t>38538563</t>
  </si>
  <si>
    <t>2煤-186.76（0.99）；断-213.03（6.1）；9煤-300.16（0.39）；9煤-301.72（0.2）；9煤-307.98（0.2）</t>
  </si>
  <si>
    <t>4098509</t>
  </si>
  <si>
    <t>38538537</t>
  </si>
  <si>
    <t>9煤-108.12（0.2）</t>
  </si>
  <si>
    <t>顶</t>
    <phoneticPr fontId="6" type="noConversion"/>
  </si>
  <si>
    <t>底</t>
    <phoneticPr fontId="6" type="noConversion"/>
  </si>
  <si>
    <t>石盒子</t>
    <phoneticPr fontId="6" type="noConversion"/>
  </si>
  <si>
    <t>大煤</t>
    <phoneticPr fontId="6" type="noConversion"/>
  </si>
  <si>
    <t>野青灰</t>
    <phoneticPr fontId="6" type="noConversion"/>
  </si>
  <si>
    <t>伏青</t>
    <phoneticPr fontId="6" type="noConversion"/>
  </si>
  <si>
    <t>大青</t>
    <phoneticPr fontId="6" type="noConversion"/>
  </si>
  <si>
    <t>本溪</t>
    <phoneticPr fontId="6" type="noConversion"/>
  </si>
  <si>
    <t>奥陶</t>
    <phoneticPr fontId="6" type="noConversion"/>
  </si>
  <si>
    <t>橙色为修改，绿色为增添</t>
    <phoneticPr fontId="6" type="noConversion"/>
  </si>
  <si>
    <t>4097983</t>
  </si>
  <si>
    <t>38537926</t>
  </si>
  <si>
    <t>9煤-133.66（0.44）-136.96（0.2）</t>
  </si>
  <si>
    <t>4097366</t>
  </si>
  <si>
    <t>38537676</t>
  </si>
  <si>
    <t>9煤-113.82(0.2)</t>
  </si>
  <si>
    <t>4050</t>
  </si>
  <si>
    <t>4095971.13</t>
  </si>
  <si>
    <t>38537883.95</t>
  </si>
  <si>
    <t>94.96</t>
  </si>
  <si>
    <t>138.07</t>
  </si>
  <si>
    <t>断-24.04（14.4）</t>
  </si>
  <si>
    <t>4052</t>
  </si>
  <si>
    <t>4099186</t>
  </si>
  <si>
    <t>38538649</t>
  </si>
  <si>
    <t>83.3</t>
  </si>
  <si>
    <t>236.03</t>
  </si>
  <si>
    <t>9煤-99.06（0.39）;本溪组无芯钻进</t>
  </si>
  <si>
    <t>8302</t>
  </si>
  <si>
    <t>4094385.63</t>
  </si>
  <si>
    <t>38537886.4</t>
  </si>
  <si>
    <t>83.24</t>
  </si>
  <si>
    <t>405.96</t>
  </si>
  <si>
    <t>断-204.76（2.07）；断-107.19（5.47）；9煤-283.54（0.31）-284.55（0.31）</t>
  </si>
  <si>
    <t>8304</t>
  </si>
  <si>
    <t>4094341.52</t>
  </si>
  <si>
    <t>38537166.76</t>
  </si>
  <si>
    <t>84.26</t>
  </si>
  <si>
    <t>353.28</t>
  </si>
  <si>
    <t>2煤-95.03（0.24）-95.78（0.47）-97.34（0.62）；5煤-171.33(0.75);9煤-253.75(0.28)-255.03(0.28)-255.97(0.3)</t>
  </si>
  <si>
    <t>8306</t>
  </si>
  <si>
    <t>4094743.26</t>
  </si>
  <si>
    <t>38536348.78</t>
  </si>
  <si>
    <t>87.56</t>
  </si>
  <si>
    <t>202.73</t>
  </si>
  <si>
    <t>断-56.44（11.43）；9煤-71.33（0.26）-72.46（0.36）-73.56（0.26）</t>
  </si>
  <si>
    <t>8307</t>
  </si>
  <si>
    <t>4094226.09</t>
  </si>
  <si>
    <t>38536559.7</t>
  </si>
  <si>
    <t>88.1</t>
  </si>
  <si>
    <t>274.46</t>
  </si>
  <si>
    <t>9煤-141.44(0.29)-142.78(0.19)</t>
  </si>
  <si>
    <t>8308</t>
  </si>
  <si>
    <t>4094083</t>
  </si>
  <si>
    <t>38536634.98</t>
  </si>
  <si>
    <t>87.92</t>
  </si>
  <si>
    <t>201.54</t>
  </si>
  <si>
    <t>断-84.63（25.1）</t>
  </si>
  <si>
    <t>8309</t>
  </si>
  <si>
    <t>4094499.87</t>
  </si>
  <si>
    <t>85.21</t>
  </si>
  <si>
    <t>304.88</t>
  </si>
  <si>
    <t>9煤-183.06(0.38)-184.44(0.44)-185.59(0.28)-186.72(0.32)</t>
  </si>
  <si>
    <t>8310</t>
  </si>
  <si>
    <t>4094342.65</t>
  </si>
  <si>
    <t>38537500.88</t>
  </si>
  <si>
    <t>83.45</t>
  </si>
  <si>
    <t>392.45</t>
  </si>
  <si>
    <t>2煤-123.68(0.37);5煤-184.81(0.25);9煤-270.86(0.37)-272.17(0.33)-273.58(0.3)-274.7(0.28)</t>
  </si>
  <si>
    <t>9301</t>
  </si>
  <si>
    <t>4095447.91</t>
  </si>
  <si>
    <t>38537301.36</t>
  </si>
  <si>
    <t>96.97</t>
  </si>
  <si>
    <t>340.84</t>
  </si>
  <si>
    <t>断-67.77(0.2);9煤-138.52（0.2）-139.62（0.3）</t>
  </si>
  <si>
    <t>9302</t>
  </si>
  <si>
    <t>4095902.95</t>
  </si>
  <si>
    <t>38537460.57</t>
  </si>
  <si>
    <t>98.01</t>
  </si>
  <si>
    <t>360.16</t>
  </si>
  <si>
    <t>9煤-173.87(0.29)-175.19(0.26)</t>
  </si>
  <si>
    <t>9304</t>
  </si>
  <si>
    <t>4096110.4</t>
  </si>
  <si>
    <t>38537040.6</t>
  </si>
  <si>
    <t>84.95</t>
  </si>
  <si>
    <t>362.4</t>
  </si>
  <si>
    <t>9煤-189.97(0.27)-164.14(0.28)；断-183.11（1）;断-190.25(6.9)</t>
  </si>
  <si>
    <t>9801</t>
  </si>
  <si>
    <t>4094937.93</t>
  </si>
  <si>
    <t>38537946.36</t>
  </si>
  <si>
    <t>90.45</t>
  </si>
  <si>
    <t>518.91</t>
  </si>
  <si>
    <t>2煤-232.71(0.78)；挤压带-366.8（5.26）；断-376.07（15.99）</t>
  </si>
  <si>
    <t>BD-1</t>
  </si>
  <si>
    <t>4096437.5</t>
  </si>
  <si>
    <t>38537800.69</t>
  </si>
  <si>
    <t>94.79</t>
  </si>
  <si>
    <t>478</t>
  </si>
  <si>
    <t>D1</t>
  </si>
  <si>
    <t>4097666.4</t>
  </si>
  <si>
    <t>38538076.2</t>
  </si>
  <si>
    <t>92.01</t>
  </si>
  <si>
    <t>283.34</t>
  </si>
  <si>
    <t>断-106.59（0.6）；断-124.79（1.1）；9煤-113.25（0.65）-114.6（0.45）-117.3（0.25）-118.55（0.25）</t>
  </si>
  <si>
    <t>冲2</t>
  </si>
  <si>
    <t>38，39，40确定为隔水层，但是无法判断为哪一隔水层</t>
    <phoneticPr fontId="6" type="noConversion"/>
  </si>
  <si>
    <t>田</t>
    <phoneticPr fontId="6" type="noConversion"/>
  </si>
  <si>
    <t>贾</t>
    <phoneticPr fontId="6" type="noConversion"/>
  </si>
  <si>
    <t>冲3</t>
  </si>
  <si>
    <t>太原组为隔水层，具体无法判断。</t>
    <phoneticPr fontId="6" type="noConversion"/>
  </si>
  <si>
    <t>冲12</t>
  </si>
  <si>
    <t>冲16</t>
  </si>
  <si>
    <t>顶砾没有给顶的数据，可以判定隔水层3不存在，但是无法判定7是否存在。二煤-150.49（0.3）.断层-251.17（4.42）.九号煤-258.31（0.5）</t>
    <phoneticPr fontId="6" type="noConversion"/>
  </si>
  <si>
    <t>冲17</t>
  </si>
  <si>
    <t>二号煤-181.08（0.35）底砾和二号煤之间的部分无法确认</t>
    <phoneticPr fontId="6" type="noConversion"/>
  </si>
  <si>
    <t>底砾和伏青灰岩之间无法分别</t>
    <phoneticPr fontId="6" type="noConversion"/>
  </si>
  <si>
    <t>冲23</t>
  </si>
  <si>
    <t>二号煤-155.46（1.2）.九号煤-271.68（0.59）九号煤-273.2（0.68）</t>
    <phoneticPr fontId="6" type="noConversion"/>
  </si>
  <si>
    <t>扩7</t>
  </si>
  <si>
    <t>九煤-305.320（0.1）九煤-307.12(0.05)九煤-308.25（0.22）九煤-309.66（0.05）九煤-311.34（0.31）</t>
    <phoneticPr fontId="6" type="noConversion"/>
  </si>
  <si>
    <t>断层-215.19（2.5）缺失严重，其他无法判断。</t>
    <phoneticPr fontId="6" type="noConversion"/>
  </si>
  <si>
    <t>断层-369.93（10.98）二煤-250.7（0.36）二煤-252.65（0.23)</t>
    <phoneticPr fontId="6" type="noConversion"/>
  </si>
  <si>
    <t>扩23</t>
  </si>
  <si>
    <t>石河子砂岩含水层和大煤顶板砂岩无法区分。二煤-134.19（0.25）二煤-135.85（0.2）隔水层6和隔水层7无法区分.九号煤-275.24（0.26）九号煤-278.83(0.21)</t>
    <phoneticPr fontId="6" type="noConversion"/>
  </si>
  <si>
    <t>扩24</t>
  </si>
  <si>
    <t>断层-43.47（0.6）断层-89.1（2.15）断层-97.28（0.7）断层-102.57（1.05）.隔水层4和隔水层5无法区分.二煤-24.68（0.25）.二煤-26.29（0.19）</t>
    <phoneticPr fontId="6" type="noConversion"/>
  </si>
  <si>
    <t>扩27</t>
  </si>
  <si>
    <t>二煤-56.82（0.22）.九煤-203.827（0.27）九煤-205.247（0.35）九煤-209.477（0.1）. 5和7无法区分，隔水层6和隔水层7无法区分。</t>
    <phoneticPr fontId="6" type="noConversion"/>
  </si>
  <si>
    <t>扩31</t>
  </si>
  <si>
    <t>九煤-181.33（0.25）九煤-182.15（0.45）</t>
    <phoneticPr fontId="6" type="noConversion"/>
  </si>
  <si>
    <t>九煤-96.86（0.4）九煤-98.08（0.25）</t>
    <phoneticPr fontId="6" type="noConversion"/>
  </si>
  <si>
    <t>根据柱状图无法确定其他信息</t>
    <phoneticPr fontId="6" type="noConversion"/>
  </si>
  <si>
    <t>断层-119.23（0.39）断层-136.27（0.39）断层-200.06</t>
    <phoneticPr fontId="6" type="noConversion"/>
  </si>
  <si>
    <t>4098422</t>
  </si>
  <si>
    <t>38540375.03</t>
  </si>
  <si>
    <t>83.62</t>
  </si>
  <si>
    <t>二煤 -166.04(0.49)断-255.06(24.5)</t>
    <phoneticPr fontId="6" type="noConversion"/>
  </si>
  <si>
    <t>孟</t>
    <phoneticPr fontId="6" type="noConversion"/>
  </si>
  <si>
    <t>柯</t>
    <phoneticPr fontId="6" type="noConversion"/>
  </si>
  <si>
    <t>奥灰底不一定真底</t>
    <phoneticPr fontId="6" type="noConversion"/>
  </si>
  <si>
    <t>4096412.97</t>
  </si>
  <si>
    <t>38536601.84</t>
  </si>
  <si>
    <t>二煤 -191.67(0.2)断 -249.42(22.9)</t>
    <phoneticPr fontId="6" type="noConversion"/>
  </si>
  <si>
    <t>4097570</t>
  </si>
  <si>
    <t>38539997.3</t>
  </si>
  <si>
    <t>二煤 -254.51(0.69)</t>
    <phoneticPr fontId="6" type="noConversion"/>
  </si>
  <si>
    <t>38539121</t>
  </si>
  <si>
    <t>二煤 -290.33(0.53)九煤 -445.72(1.36)</t>
    <phoneticPr fontId="6" type="noConversion"/>
  </si>
  <si>
    <t>38540551.98</t>
  </si>
  <si>
    <t>38539926</t>
  </si>
  <si>
    <t>九煤 -150.4(0.2) -152.91(0.15)</t>
    <phoneticPr fontId="6" type="noConversion"/>
  </si>
  <si>
    <t>本溪灰处标识位置错误</t>
    <phoneticPr fontId="6" type="noConversion"/>
  </si>
  <si>
    <t>38537432</t>
  </si>
  <si>
    <t>九煤 -80.42(1.25) -82.75(0.3) -84.64(0.2) -85.83(0.2) -86.23(0.6)</t>
    <phoneticPr fontId="6" type="noConversion"/>
  </si>
  <si>
    <t>奥灰底不一定真底</t>
  </si>
  <si>
    <t>4051</t>
  </si>
  <si>
    <t>第四系底砾未标明顶板 奥灰底不一定真底</t>
    <phoneticPr fontId="6" type="noConversion"/>
  </si>
  <si>
    <t>4055</t>
  </si>
  <si>
    <t>九煤 -173.92(0.59)</t>
    <phoneticPr fontId="6" type="noConversion"/>
  </si>
  <si>
    <t>4057</t>
  </si>
  <si>
    <t>第四系底砾范围更正 奥灰底不一定真底</t>
    <phoneticPr fontId="6" type="noConversion"/>
  </si>
  <si>
    <t>断 -59.97(13.8)</t>
    <phoneticPr fontId="6" type="noConversion"/>
  </si>
  <si>
    <t>二煤 -438.69(0.39) -440.37(0.3) 九煤 -578.25(0.1) -578.64(0.49) -580.98(0.19) -582.05(0.29)</t>
    <phoneticPr fontId="6" type="noConversion"/>
  </si>
  <si>
    <t>补6</t>
  </si>
  <si>
    <t>补11</t>
  </si>
  <si>
    <t>二煤 -384.12(0.66) 五煤 -442.02(0.34)</t>
    <phoneticPr fontId="6" type="noConversion"/>
  </si>
  <si>
    <t>补21</t>
  </si>
  <si>
    <t>二煤 -215.73(0.46) 九煤-368.59(0.29) -372.27(0.39)</t>
    <phoneticPr fontId="6" type="noConversion"/>
  </si>
  <si>
    <t>本溪灰位置错动 本溪灰底不一定真底</t>
    <phoneticPr fontId="6" type="noConversion"/>
  </si>
  <si>
    <t>补32</t>
  </si>
  <si>
    <t>二煤 -306.25(0.39) 九煤 -443.87(6.3)</t>
    <phoneticPr fontId="6" type="noConversion"/>
  </si>
  <si>
    <t>补39</t>
  </si>
  <si>
    <t>二煤 -28.26(0.65)</t>
    <phoneticPr fontId="6" type="noConversion"/>
  </si>
  <si>
    <t>二煤 -166.26(0.3) 断 -230.37(9.05)</t>
    <phoneticPr fontId="6" type="noConversion"/>
  </si>
  <si>
    <t>无</t>
    <phoneticPr fontId="6" type="noConversion"/>
  </si>
  <si>
    <t>9#-88.31（0.29）</t>
    <phoneticPr fontId="6" type="noConversion"/>
  </si>
  <si>
    <t>补62</t>
  </si>
  <si>
    <t>9#-106.95（0.13）-107.14（0.05）-110.41（0.07）</t>
    <phoneticPr fontId="6" type="noConversion"/>
  </si>
  <si>
    <t>补63</t>
  </si>
  <si>
    <t>补64</t>
  </si>
  <si>
    <t>2#-48.72（0.08）断-54.69（9.81）</t>
    <phoneticPr fontId="6" type="noConversion"/>
  </si>
  <si>
    <t>冲4</t>
  </si>
  <si>
    <t>绿色部分通过野青灰岩的含化石推断而来，不确定</t>
    <phoneticPr fontId="6" type="noConversion"/>
  </si>
  <si>
    <t>冲6</t>
  </si>
  <si>
    <t xml:space="preserve"> -60.97~-67.93为3号层，以下无法判断</t>
    <phoneticPr fontId="6" type="noConversion"/>
  </si>
  <si>
    <t>冲8</t>
  </si>
  <si>
    <t>9#-110.37(0.12)-115.18(0.18)</t>
    <phoneticPr fontId="6" type="noConversion"/>
  </si>
  <si>
    <t>冲9</t>
  </si>
  <si>
    <t>2#-111.63(0.38)断-129.27（6.18）</t>
    <phoneticPr fontId="6" type="noConversion"/>
  </si>
  <si>
    <t>断-176.89（2.1）9#-211.21（0.21）-212.81（0.16）-213.67（0.25）-214.85（0.15）</t>
    <phoneticPr fontId="6" type="noConversion"/>
  </si>
  <si>
    <t>9#-269.93（0.3）-274.96（0.4）</t>
    <phoneticPr fontId="6" type="noConversion"/>
  </si>
  <si>
    <t>扩6</t>
  </si>
  <si>
    <t>两断层间为19</t>
    <phoneticPr fontId="6" type="noConversion"/>
  </si>
  <si>
    <t>扩12</t>
  </si>
  <si>
    <t>5#-111.14（0.21）9#-201.2（0.49）-204.16（0.36）-205.19（0.44）</t>
    <phoneticPr fontId="6" type="noConversion"/>
  </si>
  <si>
    <t>扩13</t>
  </si>
  <si>
    <t>2#-436.68（0.53）9#-560.47（2.31）-565.5（0.43）-566.62（0.44）</t>
    <phoneticPr fontId="6" type="noConversion"/>
  </si>
  <si>
    <t>岩性缺失严重</t>
    <phoneticPr fontId="6" type="noConversion"/>
  </si>
  <si>
    <t>扩28</t>
  </si>
  <si>
    <t>3层缺数据</t>
    <phoneticPr fontId="6" type="noConversion"/>
  </si>
  <si>
    <t>扩34</t>
  </si>
  <si>
    <t>绿色不确定</t>
  </si>
  <si>
    <t>O2D-2</t>
  </si>
  <si>
    <t>O2D-3</t>
  </si>
  <si>
    <t>补7</t>
  </si>
  <si>
    <t>2# -236.31（0.57）9#-386.17（0.15）-387.21（0.25）-389.46（0.1）</t>
    <phoneticPr fontId="6" type="noConversion"/>
  </si>
  <si>
    <t>补8</t>
  </si>
  <si>
    <t>2#-150.32（0.3）-152.69（0.4）-154.87（0.2）</t>
    <phoneticPr fontId="6" type="noConversion"/>
  </si>
  <si>
    <t>补9</t>
  </si>
  <si>
    <t>9#-359.59（0.15）-360.14（0.15）</t>
    <phoneticPr fontId="6" type="noConversion"/>
  </si>
  <si>
    <t>补12</t>
  </si>
  <si>
    <t>2# -202.9（1.08）9# -345.76(0.69)</t>
    <phoneticPr fontId="6" type="noConversion"/>
  </si>
  <si>
    <t>补13</t>
  </si>
  <si>
    <t>2# -276.27(0.88) -278.83(0.1) 5# -337.28(0.89) 9# -423.62(0.5)</t>
    <phoneticPr fontId="6" type="noConversion"/>
  </si>
  <si>
    <t>2# --205.07(0.34)  9# -313.58(0.1)</t>
    <phoneticPr fontId="6" type="noConversion"/>
  </si>
  <si>
    <t>2# -154.63(0.2) 9# -289.89(0.44）</t>
    <phoneticPr fontId="6" type="noConversion"/>
  </si>
  <si>
    <t>补27</t>
  </si>
  <si>
    <t>2# -114.89(0.48) 9# -232.17(0.56)</t>
    <phoneticPr fontId="6" type="noConversion"/>
  </si>
  <si>
    <t>补48</t>
  </si>
  <si>
    <t>2# -220.62(0.21) -221.1(0.37) -223.79(0.05) 9# -375(0.1)</t>
    <phoneticPr fontId="6" type="noConversion"/>
  </si>
  <si>
    <t>补49</t>
  </si>
  <si>
    <t>2# -176.23 (0.59) 9# -329.43(0.2)</t>
    <phoneticPr fontId="6" type="noConversion"/>
  </si>
  <si>
    <t>破碎带-122.463（4.54）；9煤-176.483（0.25）；9煤-177.933（0.25）；9煤-179.183（0.2）</t>
  </si>
  <si>
    <t>5煤-178.132（0.39）；5煤-178.522（0.16）；5煤-178.672（0.1）；断-177.172（23.8）；破碎带-128.072（7.6）；</t>
  </si>
  <si>
    <t>2煤-237.27（0.4）；破碎带-261.72（1.85）；破碎带-308.32（2.4）；9煤-388.77（0.8）；9煤-390.42（0.6）；破碎带-447.12（5）</t>
  </si>
  <si>
    <t>2煤-228.79（0.5）；断-238.44（1）：断-322.99（1.5）</t>
  </si>
  <si>
    <t>2煤-240.37（0.84）；9煤-384.55（0.69）；9煤-385.24（0.54）</t>
  </si>
  <si>
    <t>9煤-156.69（1.39）；9煤-158.08（1.39）</t>
  </si>
  <si>
    <r>
      <t xml:space="preserve">二煤 </t>
    </r>
    <r>
      <rPr>
        <sz val="12"/>
        <color rgb="FFFF0000"/>
        <rFont val="宋体"/>
        <family val="3"/>
        <charset val="134"/>
      </rPr>
      <t>-200.23</t>
    </r>
    <r>
      <rPr>
        <sz val="12"/>
        <color theme="1"/>
        <rFont val="宋体"/>
        <family val="3"/>
        <charset val="134"/>
      </rPr>
      <t>(0.73)九煤-352.1(0.1) -353.46(1.26) -356.44(0.3)断 -359.15(8.74)</t>
    </r>
    <phoneticPr fontId="6" type="noConversion"/>
  </si>
  <si>
    <r>
      <t>2#-46.8（0.18）</t>
    </r>
    <r>
      <rPr>
        <sz val="12"/>
        <color rgb="FFFF0000"/>
        <rFont val="宋体"/>
        <family val="3"/>
        <charset val="134"/>
      </rPr>
      <t>断 -148.69(7)</t>
    </r>
    <phoneticPr fontId="6" type="noConversion"/>
  </si>
  <si>
    <r>
      <t>9#-146.1（0.84）-149.79（0.09）</t>
    </r>
    <r>
      <rPr>
        <sz val="12"/>
        <color rgb="FFFF0000"/>
        <rFont val="宋体"/>
        <family val="3"/>
        <charset val="134"/>
      </rPr>
      <t>-150.39</t>
    </r>
    <r>
      <rPr>
        <sz val="12"/>
        <color theme="1"/>
        <rFont val="宋体"/>
        <family val="3"/>
        <charset val="134"/>
      </rPr>
      <t>（0.09）-151.69（0.09）</t>
    </r>
    <phoneticPr fontId="6" type="noConversion"/>
  </si>
  <si>
    <r>
      <t>9#-102.76（0.32）-108.52（0.44）断</t>
    </r>
    <r>
      <rPr>
        <sz val="12"/>
        <color rgb="FFFF0000"/>
        <rFont val="宋体"/>
        <family val="3"/>
        <charset val="134"/>
      </rPr>
      <t>-120.01</t>
    </r>
    <r>
      <rPr>
        <sz val="12"/>
        <color theme="1"/>
        <rFont val="宋体"/>
        <family val="3"/>
        <charset val="134"/>
      </rPr>
      <t>（7.9）</t>
    </r>
    <r>
      <rPr>
        <sz val="12"/>
        <color rgb="FFFF0000"/>
        <rFont val="宋体"/>
        <family val="3"/>
        <charset val="134"/>
      </rPr>
      <t>-133.88</t>
    </r>
    <r>
      <rPr>
        <sz val="12"/>
        <color theme="1"/>
        <rFont val="宋体"/>
        <family val="3"/>
        <charset val="134"/>
      </rPr>
      <t>（4.74）</t>
    </r>
    <phoneticPr fontId="6" type="noConversion"/>
  </si>
  <si>
    <r>
      <t>断-65.68（8.68）9#-44.81（0.2）-48.21（0.23）</t>
    </r>
    <r>
      <rPr>
        <sz val="12"/>
        <color rgb="FFFF0000"/>
        <rFont val="宋体"/>
        <family val="3"/>
        <charset val="134"/>
      </rPr>
      <t>-49.48</t>
    </r>
    <r>
      <rPr>
        <sz val="12"/>
        <color theme="1"/>
        <rFont val="宋体"/>
        <family val="3"/>
        <charset val="134"/>
      </rPr>
      <t>（0.3）</t>
    </r>
    <phoneticPr fontId="6" type="noConversion"/>
  </si>
  <si>
    <r>
      <t>9#-361.61（0.12）-363.59（0.5）</t>
    </r>
    <r>
      <rPr>
        <sz val="12"/>
        <color rgb="FFFF0000"/>
        <rFont val="宋体"/>
        <family val="3"/>
        <charset val="134"/>
      </rPr>
      <t>断-369.62(4.6)</t>
    </r>
    <phoneticPr fontId="6" type="noConversion"/>
  </si>
  <si>
    <r>
      <t>5#</t>
    </r>
    <r>
      <rPr>
        <sz val="12"/>
        <color rgb="FFFF0000"/>
        <rFont val="宋体"/>
        <family val="3"/>
        <charset val="134"/>
      </rPr>
      <t>-81.15</t>
    </r>
    <r>
      <rPr>
        <sz val="12"/>
        <color theme="1"/>
        <rFont val="宋体"/>
        <family val="3"/>
        <charset val="134"/>
      </rPr>
      <t>（0.52）9#-108.85（0.31）</t>
    </r>
    <r>
      <rPr>
        <sz val="12"/>
        <color rgb="FFFF0000"/>
        <rFont val="宋体"/>
        <family val="3"/>
        <charset val="134"/>
      </rPr>
      <t>-110.69</t>
    </r>
    <r>
      <rPr>
        <sz val="12"/>
        <color theme="1"/>
        <rFont val="宋体"/>
        <family val="3"/>
        <charset val="134"/>
      </rPr>
      <t>（0.35）断-78.12（1.59）-82.87（24.72）-112.05（2.62）</t>
    </r>
    <phoneticPr fontId="6" type="noConversion"/>
  </si>
  <si>
    <t>4098199.72</t>
  </si>
  <si>
    <t>38539713.42</t>
  </si>
  <si>
    <t>88.02</t>
  </si>
  <si>
    <t>625.1</t>
  </si>
  <si>
    <t>4098174.43</t>
  </si>
  <si>
    <t>88.56</t>
  </si>
  <si>
    <t>333.2</t>
  </si>
  <si>
    <t>4097474.76</t>
  </si>
  <si>
    <t>38537553.05</t>
  </si>
  <si>
    <t>94.76</t>
  </si>
  <si>
    <t>403.3</t>
  </si>
  <si>
    <t>4094720.97</t>
  </si>
  <si>
    <t>38536692.84</t>
  </si>
  <si>
    <t>86.36</t>
  </si>
  <si>
    <t>398</t>
  </si>
  <si>
    <t>4094122.213</t>
  </si>
  <si>
    <t>38536776.620</t>
  </si>
  <si>
    <t>87.38</t>
  </si>
  <si>
    <t>380.24</t>
  </si>
  <si>
    <t>4095774.13</t>
  </si>
  <si>
    <t>38538348.56</t>
  </si>
  <si>
    <t>92.15</t>
  </si>
  <si>
    <t>496.58</t>
  </si>
  <si>
    <t>4097582.79</t>
  </si>
  <si>
    <t>38538780.79</t>
  </si>
  <si>
    <t>88.08</t>
  </si>
  <si>
    <t>399.54</t>
  </si>
  <si>
    <t>4097286.06</t>
  </si>
  <si>
    <t>38539430.67</t>
  </si>
  <si>
    <t>87.6</t>
  </si>
  <si>
    <t>471.73</t>
  </si>
  <si>
    <t>4096888.73</t>
  </si>
  <si>
    <t>38538661.28</t>
  </si>
  <si>
    <t>90.8</t>
  </si>
  <si>
    <t>464.02</t>
  </si>
  <si>
    <t>4096674.24</t>
  </si>
  <si>
    <t>38539059.4</t>
  </si>
  <si>
    <t>89.15</t>
  </si>
  <si>
    <t>535.79</t>
  </si>
  <si>
    <t>4095064.9</t>
  </si>
  <si>
    <t>38538475.75</t>
  </si>
  <si>
    <t>90.34</t>
  </si>
  <si>
    <t>496.3</t>
  </si>
  <si>
    <t>4094494.07</t>
  </si>
  <si>
    <t>38538394.41</t>
  </si>
  <si>
    <t>81.21</t>
  </si>
  <si>
    <t>394.02</t>
  </si>
  <si>
    <t>4098284.61</t>
  </si>
  <si>
    <t>38538945.58</t>
  </si>
  <si>
    <t>88.65</t>
  </si>
  <si>
    <t>401.04</t>
  </si>
  <si>
    <t>4095521.1</t>
  </si>
  <si>
    <t>38537366.47</t>
  </si>
  <si>
    <t>96.53</t>
  </si>
  <si>
    <t>278.75</t>
  </si>
  <si>
    <t>4095418.9</t>
  </si>
  <si>
    <t>38538418.76</t>
  </si>
  <si>
    <t>91.11</t>
  </si>
  <si>
    <t>516.65</t>
  </si>
  <si>
    <t>4094821.95</t>
  </si>
  <si>
    <t>38538454.33</t>
  </si>
  <si>
    <t>88.8</t>
  </si>
  <si>
    <t>443.12</t>
  </si>
  <si>
    <t>4098190.1</t>
  </si>
  <si>
    <t>38538880.22</t>
  </si>
  <si>
    <t>88.92</t>
  </si>
  <si>
    <t>197.84</t>
  </si>
  <si>
    <t>4097840.29</t>
  </si>
  <si>
    <t>38539381.31</t>
  </si>
  <si>
    <t>253.35</t>
  </si>
  <si>
    <t>4098685.32</t>
  </si>
  <si>
    <t>38538342.96</t>
  </si>
  <si>
    <t>83.98</t>
  </si>
  <si>
    <t>185.41</t>
  </si>
  <si>
    <t>4096774.58</t>
  </si>
  <si>
    <t>38538879.77</t>
  </si>
  <si>
    <t>90.28</t>
  </si>
  <si>
    <t>278.13</t>
  </si>
  <si>
    <t>4098042.17</t>
  </si>
  <si>
    <t>38539169.63</t>
  </si>
  <si>
    <t>87.69</t>
  </si>
  <si>
    <t>378.12</t>
  </si>
  <si>
    <t>4097733.6</t>
  </si>
  <si>
    <t>38539630.12</t>
  </si>
  <si>
    <t>87.3</t>
  </si>
  <si>
    <t>275.71</t>
  </si>
  <si>
    <t>4097414.77</t>
  </si>
  <si>
    <t>38537552.01</t>
  </si>
  <si>
    <t>94.75</t>
  </si>
  <si>
    <t>217.16</t>
  </si>
  <si>
    <t>4097081.3</t>
  </si>
  <si>
    <t>38538254.82</t>
  </si>
  <si>
    <t>97.71</t>
  </si>
  <si>
    <t>453.59</t>
  </si>
  <si>
    <t>4098082.88</t>
  </si>
  <si>
    <t>38539680.56</t>
  </si>
  <si>
    <t>87.88</t>
  </si>
  <si>
    <t>414.71</t>
  </si>
  <si>
    <t>4097997.58</t>
  </si>
  <si>
    <t>38537778.76</t>
  </si>
  <si>
    <t>93.02</t>
  </si>
  <si>
    <t>235.03</t>
  </si>
  <si>
    <t>4095854.41</t>
  </si>
  <si>
    <t>38538100.67</t>
  </si>
  <si>
    <t>93.37</t>
  </si>
  <si>
    <t>478.04</t>
  </si>
  <si>
    <t>4094679.76</t>
  </si>
  <si>
    <t>38537789.67</t>
  </si>
  <si>
    <t>84.19</t>
  </si>
  <si>
    <t>390.75</t>
  </si>
  <si>
    <t>4095762.96</t>
  </si>
  <si>
    <t>38536628.87</t>
  </si>
  <si>
    <t>100.56</t>
  </si>
  <si>
    <t>221.17</t>
  </si>
  <si>
    <t>4094777.9</t>
  </si>
  <si>
    <t>38537037.12</t>
  </si>
  <si>
    <t>85.25</t>
  </si>
  <si>
    <t>304.12</t>
  </si>
  <si>
    <t>4095461.63</t>
  </si>
  <si>
    <t>38537523.09</t>
  </si>
  <si>
    <t>96.2</t>
  </si>
  <si>
    <t>298.29</t>
  </si>
  <si>
    <t>4095305.56</t>
  </si>
  <si>
    <t>38536772.82</t>
  </si>
  <si>
    <t>99.43</t>
  </si>
  <si>
    <t>216.63</t>
  </si>
  <si>
    <t>4095293.1</t>
  </si>
  <si>
    <t>38538123.2</t>
  </si>
  <si>
    <t>-189.11</t>
  </si>
  <si>
    <t>203.8</t>
  </si>
  <si>
    <t>4098971.69</t>
  </si>
  <si>
    <t>38539254.56</t>
  </si>
  <si>
    <t>87.81</t>
  </si>
  <si>
    <t>297.88</t>
  </si>
  <si>
    <t>4096663</t>
  </si>
  <si>
    <t>4099571.65</t>
  </si>
  <si>
    <t>4099973</t>
  </si>
  <si>
    <t>4098211</t>
  </si>
  <si>
    <t>4094296</t>
  </si>
  <si>
    <t>38539261</t>
  </si>
  <si>
    <t>78.87</t>
  </si>
  <si>
    <t>149.82</t>
  </si>
  <si>
    <t>4097233</t>
  </si>
  <si>
    <t>38536875</t>
  </si>
  <si>
    <t>96.6</t>
  </si>
  <si>
    <t>295.02</t>
  </si>
  <si>
    <t>4093643</t>
  </si>
  <si>
    <t>38537369</t>
  </si>
  <si>
    <t>84.42</t>
  </si>
  <si>
    <t>121.95</t>
  </si>
  <si>
    <t>4094471.2</t>
  </si>
  <si>
    <t>38538886.97</t>
  </si>
  <si>
    <t>80.03</t>
  </si>
  <si>
    <t>159.29</t>
  </si>
  <si>
    <t>4095215.01</t>
  </si>
  <si>
    <t>38539500.48</t>
  </si>
  <si>
    <t>87.58</t>
  </si>
  <si>
    <t>701.45</t>
  </si>
  <si>
    <t>4097969.53</t>
  </si>
  <si>
    <t>38540084.93</t>
  </si>
  <si>
    <t>85.65</t>
  </si>
  <si>
    <t>521.03</t>
  </si>
  <si>
    <t>4096473.89</t>
  </si>
  <si>
    <t>38539535.19</t>
  </si>
  <si>
    <t>86.52</t>
  </si>
  <si>
    <t>642.92</t>
  </si>
  <si>
    <t>4097877.61</t>
  </si>
  <si>
    <t>83.71</t>
  </si>
  <si>
    <t>487.91</t>
  </si>
  <si>
    <t>4097118.35</t>
  </si>
  <si>
    <t>38539810.51</t>
  </si>
  <si>
    <t>86.73</t>
  </si>
  <si>
    <t>568.32</t>
  </si>
  <si>
    <t>4097434.05</t>
  </si>
  <si>
    <t>38540104.77</t>
  </si>
  <si>
    <t>86.41</t>
  </si>
  <si>
    <t>522.79</t>
  </si>
  <si>
    <t>38540379.55</t>
  </si>
  <si>
    <t>84.47</t>
  </si>
  <si>
    <t>425.76</t>
  </si>
  <si>
    <t>4095768.89</t>
  </si>
  <si>
    <t>38536511.59</t>
  </si>
  <si>
    <t>101.06</t>
  </si>
  <si>
    <t>281.48</t>
  </si>
  <si>
    <t>84.16</t>
  </si>
  <si>
    <t>72.05</t>
  </si>
  <si>
    <t>-5.59</t>
  </si>
  <si>
    <t>-83.9</t>
  </si>
  <si>
    <t>4100294.92</t>
  </si>
  <si>
    <t>38539588.03</t>
  </si>
  <si>
    <t>79.65</t>
  </si>
  <si>
    <t>249.76</t>
  </si>
  <si>
    <t>59.69</t>
  </si>
  <si>
    <t>54.28</t>
  </si>
  <si>
    <t>-66.55</t>
  </si>
  <si>
    <t>4100220.81</t>
  </si>
  <si>
    <t>38539751.4</t>
  </si>
  <si>
    <t>78.81</t>
  </si>
  <si>
    <t>207.39</t>
  </si>
  <si>
    <t>60.87</t>
  </si>
  <si>
    <t>50.93</t>
  </si>
  <si>
    <t>-71.48</t>
  </si>
  <si>
    <t>4097631.85</t>
  </si>
  <si>
    <t>38537091.85</t>
  </si>
  <si>
    <t>95.82</t>
  </si>
  <si>
    <t>338.61</t>
  </si>
  <si>
    <t>80.62</t>
  </si>
  <si>
    <t>63.82</t>
  </si>
  <si>
    <t>-70.95</t>
  </si>
  <si>
    <t>4095853.6</t>
  </si>
  <si>
    <t>38536223.46</t>
  </si>
  <si>
    <t>101.49</t>
  </si>
  <si>
    <t>173.58</t>
  </si>
  <si>
    <t>86.51</t>
  </si>
  <si>
    <t>73.78</t>
  </si>
  <si>
    <t>-5.46</t>
  </si>
  <si>
    <t>4093139.99</t>
  </si>
  <si>
    <t>38535767.72</t>
  </si>
  <si>
    <t>91.3</t>
  </si>
  <si>
    <t>297.45</t>
  </si>
  <si>
    <t>74.41</t>
  </si>
  <si>
    <t>60.5</t>
  </si>
  <si>
    <t>-143.99</t>
  </si>
  <si>
    <t>-199.64</t>
  </si>
  <si>
    <t>4099908.24</t>
  </si>
  <si>
    <t>38539035.76</t>
  </si>
  <si>
    <t>79.43</t>
  </si>
  <si>
    <t>154.84</t>
  </si>
  <si>
    <t>65.45</t>
  </si>
  <si>
    <t>53.73</t>
  </si>
  <si>
    <t>-60.97</t>
  </si>
  <si>
    <t>4100228.9</t>
  </si>
  <si>
    <t>38539685.86</t>
  </si>
  <si>
    <t>79.12</t>
  </si>
  <si>
    <t>208.23</t>
  </si>
  <si>
    <t>66.66</t>
  </si>
  <si>
    <t>54.14</t>
  </si>
  <si>
    <t>-69.11</t>
  </si>
  <si>
    <t>4099803.1</t>
  </si>
  <si>
    <t>38540229.21</t>
  </si>
  <si>
    <t>77.43</t>
  </si>
  <si>
    <t>261.13</t>
  </si>
  <si>
    <t>61.16</t>
  </si>
  <si>
    <t>41.37</t>
  </si>
  <si>
    <t>-94.9</t>
  </si>
  <si>
    <t>4099628.99</t>
  </si>
  <si>
    <t>38540383.45</t>
  </si>
  <si>
    <t>76.27</t>
  </si>
  <si>
    <t>304.47</t>
  </si>
  <si>
    <t>60.64</t>
  </si>
  <si>
    <t>41.92</t>
  </si>
  <si>
    <t>-109.72</t>
  </si>
  <si>
    <t>4098872.09</t>
  </si>
  <si>
    <t>38540412.3</t>
  </si>
  <si>
    <t>74.86</t>
  </si>
  <si>
    <t>377.16</t>
  </si>
  <si>
    <t>62.34</t>
  </si>
  <si>
    <t>45.09</t>
  </si>
  <si>
    <t>-133.85</t>
  </si>
  <si>
    <t>-167.25</t>
  </si>
  <si>
    <t>4099232.59</t>
  </si>
  <si>
    <t>38538478.44</t>
  </si>
  <si>
    <t>82.33</t>
  </si>
  <si>
    <t>222.84</t>
  </si>
  <si>
    <t>69.85</t>
  </si>
  <si>
    <t>52.69</t>
  </si>
  <si>
    <t>-86.32</t>
  </si>
  <si>
    <t>4097065.05</t>
  </si>
  <si>
    <t>38537133.92</t>
  </si>
  <si>
    <t>96.67</t>
  </si>
  <si>
    <t>389.46</t>
  </si>
  <si>
    <t>63.27</t>
  </si>
  <si>
    <t>-84.33</t>
  </si>
  <si>
    <t>-100.83</t>
  </si>
  <si>
    <t>4095833.56</t>
  </si>
  <si>
    <t>38539427.7</t>
  </si>
  <si>
    <t>674.32</t>
  </si>
  <si>
    <t>71.35</t>
  </si>
  <si>
    <t>54.38</t>
  </si>
  <si>
    <t>-169.76</t>
  </si>
  <si>
    <t>-177.76</t>
  </si>
  <si>
    <t>-402.26</t>
  </si>
  <si>
    <t>-467.29</t>
  </si>
  <si>
    <t>4095203.52</t>
  </si>
  <si>
    <t>38536149.34</t>
  </si>
  <si>
    <t>89.69</t>
  </si>
  <si>
    <t>166.36</t>
  </si>
  <si>
    <t>78.89</t>
  </si>
  <si>
    <t>68.55</t>
  </si>
  <si>
    <t>-12.32</t>
  </si>
  <si>
    <t>4094678.3</t>
  </si>
  <si>
    <t>38539411.47</t>
  </si>
  <si>
    <t>89.64</t>
  </si>
  <si>
    <t>479.43</t>
  </si>
  <si>
    <t>73.48</t>
  </si>
  <si>
    <t>59.55</t>
  </si>
  <si>
    <t>-204.2</t>
  </si>
  <si>
    <t>-281.96</t>
  </si>
  <si>
    <t>4096371.01</t>
  </si>
  <si>
    <t>38536745.97</t>
  </si>
  <si>
    <t>98.41</t>
  </si>
  <si>
    <t>217.59</t>
  </si>
  <si>
    <t>87.41</t>
  </si>
  <si>
    <t>67.71</t>
  </si>
  <si>
    <t>-45.29</t>
  </si>
  <si>
    <t>4011</t>
  </si>
  <si>
    <t>4015</t>
  </si>
  <si>
    <t>4019</t>
  </si>
  <si>
    <t>4025</t>
  </si>
  <si>
    <t>4028</t>
  </si>
  <si>
    <t>4030</t>
  </si>
  <si>
    <t>4031</t>
  </si>
  <si>
    <t>4033</t>
  </si>
  <si>
    <t>4042</t>
  </si>
  <si>
    <t>4043</t>
  </si>
  <si>
    <t>4044</t>
  </si>
  <si>
    <t>4045</t>
  </si>
  <si>
    <t>4046</t>
  </si>
  <si>
    <t>I-DD2</t>
  </si>
  <si>
    <t>O2D-1</t>
  </si>
  <si>
    <t>奥观3</t>
  </si>
  <si>
    <t>补18</t>
  </si>
  <si>
    <t>补20</t>
  </si>
  <si>
    <t>补30</t>
  </si>
  <si>
    <t>冲1</t>
  </si>
  <si>
    <t>冲22</t>
  </si>
  <si>
    <t>扩9</t>
  </si>
  <si>
    <t>扩17</t>
  </si>
  <si>
    <t>扩33</t>
  </si>
  <si>
    <t>西水1</t>
  </si>
  <si>
    <t>邢10</t>
  </si>
  <si>
    <t>4010</t>
  </si>
  <si>
    <t>4014</t>
  </si>
  <si>
    <t>4018</t>
  </si>
  <si>
    <t>4027</t>
  </si>
  <si>
    <t>4029</t>
  </si>
  <si>
    <t>4041</t>
  </si>
  <si>
    <t>4047</t>
  </si>
  <si>
    <t>8311</t>
  </si>
  <si>
    <t>8601</t>
  </si>
  <si>
    <t>补52</t>
  </si>
  <si>
    <t>补57</t>
  </si>
  <si>
    <t>补61</t>
  </si>
  <si>
    <t>扩2</t>
  </si>
  <si>
    <t>扩4</t>
  </si>
  <si>
    <t>扩22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</si>
</sst>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3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vertAlign val="superscript"/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color rgb="FF00B05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0070C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4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/>
    <xf numFmtId="0" fontId="2" fillId="0" borderId="2" xfId="0" applyNumberFormat="1" applyFont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11" fillId="2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12" fillId="2" borderId="4" xfId="0" applyNumberFormat="1" applyFont="1" applyFill="1" applyBorder="1" applyAlignment="1">
      <alignment horizontal="center" vertical="center"/>
    </xf>
    <xf numFmtId="0" fontId="12" fillId="2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12" fillId="0" borderId="3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9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top"/>
    </xf>
    <xf numFmtId="0" fontId="2" fillId="2" borderId="3" xfId="0" applyNumberFormat="1" applyFont="1" applyFill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 vertical="top"/>
    </xf>
    <xf numFmtId="0" fontId="2" fillId="0" borderId="2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5"/>
  <sheetViews>
    <sheetView tabSelected="1" zoomScale="70" zoomScaleNormal="70" workbookViewId="0">
      <pane ySplit="2" topLeftCell="A3" activePane="bottomLeft" state="frozen"/>
      <selection pane="bottomLeft" activeCell="B1" sqref="B1:B1048576"/>
    </sheetView>
  </sheetViews>
  <sheetFormatPr defaultColWidth="9" defaultRowHeight="15.6" x14ac:dyDescent="0.25"/>
  <cols>
    <col min="1" max="1" width="5.77734375" style="3" customWidth="1"/>
    <col min="2" max="2" width="9.77734375" style="4" customWidth="1"/>
    <col min="3" max="4" width="16.77734375" style="5" customWidth="1"/>
    <col min="5" max="6" width="9.77734375" style="4" customWidth="1"/>
    <col min="7" max="26" width="10.77734375" style="3" customWidth="1"/>
    <col min="27" max="29" width="10.77734375" style="6" customWidth="1"/>
    <col min="30" max="30" width="163.88671875" style="8" customWidth="1"/>
    <col min="31" max="32" width="8.88671875" style="7"/>
    <col min="33" max="33" width="46.109375" customWidth="1"/>
  </cols>
  <sheetData>
    <row r="1" spans="1:33" s="1" customFormat="1" ht="19.95" customHeight="1" thickBot="1" x14ac:dyDescent="0.3">
      <c r="A1" s="37" t="s">
        <v>0</v>
      </c>
      <c r="B1" s="38" t="s">
        <v>1</v>
      </c>
      <c r="C1" s="37" t="s">
        <v>2</v>
      </c>
      <c r="D1" s="37"/>
      <c r="E1" s="37" t="s">
        <v>3</v>
      </c>
      <c r="F1" s="37" t="s">
        <v>4</v>
      </c>
      <c r="G1" s="10">
        <v>1</v>
      </c>
      <c r="H1" s="10">
        <v>2</v>
      </c>
      <c r="I1" s="10">
        <v>3</v>
      </c>
      <c r="J1" s="10">
        <v>4</v>
      </c>
      <c r="K1" s="10">
        <v>5</v>
      </c>
      <c r="L1" s="10">
        <v>6</v>
      </c>
      <c r="M1" s="10">
        <v>7</v>
      </c>
      <c r="N1" s="10">
        <v>8</v>
      </c>
      <c r="O1" s="10">
        <v>9</v>
      </c>
      <c r="P1" s="10">
        <v>10</v>
      </c>
      <c r="Q1" s="10">
        <v>11</v>
      </c>
      <c r="R1" s="10">
        <v>12</v>
      </c>
      <c r="S1" s="10">
        <v>13</v>
      </c>
      <c r="T1" s="10">
        <v>14</v>
      </c>
      <c r="U1" s="10">
        <v>15</v>
      </c>
      <c r="V1" s="10">
        <v>16</v>
      </c>
      <c r="W1" s="10">
        <v>17</v>
      </c>
      <c r="X1" s="10">
        <v>18</v>
      </c>
      <c r="Y1" s="10">
        <v>19</v>
      </c>
      <c r="Z1" s="10">
        <v>20</v>
      </c>
      <c r="AA1" s="10">
        <v>21</v>
      </c>
      <c r="AB1" s="10">
        <v>22</v>
      </c>
      <c r="AC1" s="10">
        <v>23</v>
      </c>
      <c r="AD1" s="42" t="s">
        <v>5</v>
      </c>
      <c r="AE1" s="41" t="s">
        <v>6</v>
      </c>
      <c r="AF1" s="41" t="s">
        <v>7</v>
      </c>
      <c r="AG1" s="11"/>
    </row>
    <row r="2" spans="1:33" s="2" customFormat="1" ht="19.95" customHeight="1" thickBot="1" x14ac:dyDescent="0.3">
      <c r="A2" s="37"/>
      <c r="B2" s="38"/>
      <c r="C2" s="12" t="s">
        <v>8</v>
      </c>
      <c r="D2" s="12" t="s">
        <v>9</v>
      </c>
      <c r="E2" s="37"/>
      <c r="F2" s="37"/>
      <c r="G2" s="13" t="s">
        <v>57</v>
      </c>
      <c r="H2" s="10"/>
      <c r="I2" s="13" t="s">
        <v>58</v>
      </c>
      <c r="J2" s="10"/>
      <c r="K2" s="13" t="s">
        <v>59</v>
      </c>
      <c r="L2" s="10"/>
      <c r="M2" s="13" t="s">
        <v>60</v>
      </c>
      <c r="N2" s="10" t="s">
        <v>10</v>
      </c>
      <c r="O2" s="10"/>
      <c r="P2" s="14" t="s">
        <v>61</v>
      </c>
      <c r="Q2" s="10"/>
      <c r="R2" s="10" t="s">
        <v>11</v>
      </c>
      <c r="S2" s="10"/>
      <c r="T2" s="13" t="s">
        <v>62</v>
      </c>
      <c r="U2" s="10"/>
      <c r="V2" s="13" t="s">
        <v>63</v>
      </c>
      <c r="W2" s="10"/>
      <c r="X2" s="10" t="s">
        <v>12</v>
      </c>
      <c r="Y2" s="10"/>
      <c r="Z2" s="13" t="s">
        <v>64</v>
      </c>
      <c r="AA2" s="15"/>
      <c r="AB2" s="13" t="s">
        <v>65</v>
      </c>
      <c r="AC2" s="10"/>
      <c r="AD2" s="42"/>
      <c r="AE2" s="41"/>
      <c r="AF2" s="41"/>
      <c r="AG2" s="16"/>
    </row>
    <row r="3" spans="1:33" s="2" customFormat="1" x14ac:dyDescent="0.25">
      <c r="A3" s="17">
        <v>1</v>
      </c>
      <c r="B3" s="30" t="s">
        <v>13</v>
      </c>
      <c r="C3" s="29">
        <v>4095009.4350000001</v>
      </c>
      <c r="D3" s="29">
        <v>38537452.844999999</v>
      </c>
      <c r="E3" s="29">
        <v>87.736999999999995</v>
      </c>
      <c r="F3" s="29">
        <v>346.18</v>
      </c>
      <c r="G3" s="29">
        <v>9999</v>
      </c>
      <c r="H3" s="29">
        <v>-73.962999999999994</v>
      </c>
      <c r="I3" s="29">
        <v>-93.643000000000001</v>
      </c>
      <c r="J3" s="29">
        <v>9999</v>
      </c>
      <c r="K3" s="29">
        <v>9999</v>
      </c>
      <c r="L3" s="29">
        <v>9999</v>
      </c>
      <c r="M3" s="29">
        <v>9999</v>
      </c>
      <c r="N3" s="29">
        <v>9999</v>
      </c>
      <c r="O3" s="29">
        <v>-97.563000000000017</v>
      </c>
      <c r="P3" s="29">
        <v>-113.71299999999999</v>
      </c>
      <c r="Q3" s="29">
        <v>-116.03300000000002</v>
      </c>
      <c r="R3" s="29">
        <v>-121.22300000000001</v>
      </c>
      <c r="S3" s="29">
        <v>9999</v>
      </c>
      <c r="T3" s="29">
        <v>9999</v>
      </c>
      <c r="U3" s="29">
        <v>-122.46299999999999</v>
      </c>
      <c r="V3" s="29">
        <v>-145.803</v>
      </c>
      <c r="W3" s="29">
        <v>-148.87300000000002</v>
      </c>
      <c r="X3" s="29">
        <v>-175.63300000000001</v>
      </c>
      <c r="Y3" s="29">
        <v>-180.31300000000002</v>
      </c>
      <c r="Z3" s="29">
        <v>-194.22299999999998</v>
      </c>
      <c r="AA3" s="29">
        <v>-200.51300000000001</v>
      </c>
      <c r="AB3" s="29">
        <v>-213.643</v>
      </c>
      <c r="AC3" s="29">
        <v>-248.37300000000002</v>
      </c>
      <c r="AD3" s="17" t="s">
        <v>279</v>
      </c>
      <c r="AE3" s="39" t="s">
        <v>14</v>
      </c>
      <c r="AF3" s="39" t="s">
        <v>15</v>
      </c>
      <c r="AG3" s="18" t="s">
        <v>66</v>
      </c>
    </row>
    <row r="4" spans="1:33" s="2" customFormat="1" x14ac:dyDescent="0.25">
      <c r="A4" s="9">
        <v>2</v>
      </c>
      <c r="B4" s="31" t="s">
        <v>16</v>
      </c>
      <c r="C4" s="29">
        <v>4094627.7080000001</v>
      </c>
      <c r="D4" s="29">
        <v>38536917.237000003</v>
      </c>
      <c r="E4" s="29">
        <v>85.4</v>
      </c>
      <c r="F4" s="29">
        <v>345.65</v>
      </c>
      <c r="G4" s="29">
        <v>85.4</v>
      </c>
      <c r="H4" s="29">
        <v>70.400000000000006</v>
      </c>
      <c r="I4" s="29">
        <v>-41</v>
      </c>
      <c r="J4" s="29">
        <v>9999</v>
      </c>
      <c r="K4" s="29">
        <v>9999</v>
      </c>
      <c r="L4" s="29">
        <v>9999</v>
      </c>
      <c r="M4" s="29">
        <v>9999</v>
      </c>
      <c r="N4" s="29">
        <v>9999</v>
      </c>
      <c r="O4" s="29">
        <v>-47.400000000000006</v>
      </c>
      <c r="P4" s="29">
        <v>-96.93</v>
      </c>
      <c r="Q4" s="29">
        <v>-99.63</v>
      </c>
      <c r="R4" s="29">
        <v>-108.01999999999998</v>
      </c>
      <c r="S4" s="29">
        <v>-109.93</v>
      </c>
      <c r="T4" s="29">
        <v>9999</v>
      </c>
      <c r="U4" s="29">
        <v>-124.41</v>
      </c>
      <c r="V4" s="29">
        <v>-178.98</v>
      </c>
      <c r="W4" s="29">
        <v>-182.79</v>
      </c>
      <c r="X4" s="29">
        <v>-197.54999999999998</v>
      </c>
      <c r="Y4" s="29">
        <v>-203.24999999999997</v>
      </c>
      <c r="Z4" s="29">
        <v>-219.62999999999997</v>
      </c>
      <c r="AA4" s="29">
        <v>-225.34</v>
      </c>
      <c r="AB4" s="29">
        <v>-235.07000000000002</v>
      </c>
      <c r="AC4" s="29">
        <v>-252.96</v>
      </c>
      <c r="AD4" s="9" t="s">
        <v>17</v>
      </c>
      <c r="AE4" s="39"/>
      <c r="AF4" s="39"/>
      <c r="AG4" s="16"/>
    </row>
    <row r="5" spans="1:33" s="2" customFormat="1" x14ac:dyDescent="0.25">
      <c r="A5" s="9">
        <v>3</v>
      </c>
      <c r="B5" s="31" t="s">
        <v>18</v>
      </c>
      <c r="C5" s="29">
        <v>4094340.61</v>
      </c>
      <c r="D5" s="29">
        <v>38538051.159999996</v>
      </c>
      <c r="E5" s="29">
        <v>83.42</v>
      </c>
      <c r="F5" s="29">
        <v>502.66</v>
      </c>
      <c r="G5" s="29">
        <v>75.27</v>
      </c>
      <c r="H5" s="29">
        <v>41.370000000000005</v>
      </c>
      <c r="I5" s="29">
        <v>-107.27999999999999</v>
      </c>
      <c r="J5" s="29">
        <v>-119.88000000000001</v>
      </c>
      <c r="K5" s="29">
        <v>-139.38</v>
      </c>
      <c r="L5" s="29">
        <v>-147.88</v>
      </c>
      <c r="M5" s="29">
        <v>-174.57999999999998</v>
      </c>
      <c r="N5" s="29">
        <v>-196.57999999999998</v>
      </c>
      <c r="O5" s="29">
        <v>-203.07999999999998</v>
      </c>
      <c r="P5" s="29">
        <v>-240.27999999999997</v>
      </c>
      <c r="Q5" s="29">
        <v>-244.47999999999996</v>
      </c>
      <c r="R5" s="29">
        <v>-250.27999999999997</v>
      </c>
      <c r="S5" s="29">
        <v>-252.07999999999998</v>
      </c>
      <c r="T5" s="29">
        <v>9999</v>
      </c>
      <c r="U5" s="29">
        <v>-259.33999999999997</v>
      </c>
      <c r="V5" s="29">
        <v>-308.99</v>
      </c>
      <c r="W5" s="29">
        <v>-312.02999999999997</v>
      </c>
      <c r="X5" s="29">
        <v>-333.93</v>
      </c>
      <c r="Y5" s="29">
        <v>-339.43</v>
      </c>
      <c r="Z5" s="29">
        <v>-356.16999999999996</v>
      </c>
      <c r="AA5" s="29">
        <v>-360.78</v>
      </c>
      <c r="AB5" s="29">
        <v>-366.49</v>
      </c>
      <c r="AC5" s="29">
        <v>-419.24</v>
      </c>
      <c r="AD5" s="9" t="s">
        <v>19</v>
      </c>
      <c r="AE5" s="39"/>
      <c r="AF5" s="39"/>
      <c r="AG5" s="16"/>
    </row>
    <row r="6" spans="1:33" s="2" customFormat="1" x14ac:dyDescent="0.25">
      <c r="A6" s="9">
        <v>4</v>
      </c>
      <c r="B6" s="31" t="s">
        <v>20</v>
      </c>
      <c r="C6" s="29">
        <v>4094401.62</v>
      </c>
      <c r="D6" s="29">
        <v>38538455.468999997</v>
      </c>
      <c r="E6" s="29">
        <v>81.927999999999997</v>
      </c>
      <c r="F6" s="29">
        <v>333.32</v>
      </c>
      <c r="G6" s="29">
        <v>77.977999999999994</v>
      </c>
      <c r="H6" s="29">
        <v>66.777999999999992</v>
      </c>
      <c r="I6" s="29">
        <v>-129.822</v>
      </c>
      <c r="J6" s="29">
        <v>9999</v>
      </c>
      <c r="K6" s="29">
        <v>9999</v>
      </c>
      <c r="L6" s="29">
        <v>9999</v>
      </c>
      <c r="M6" s="29">
        <v>-133.97200000000001</v>
      </c>
      <c r="N6" s="29">
        <v>-135.672</v>
      </c>
      <c r="O6" s="29">
        <v>-137.22200000000001</v>
      </c>
      <c r="P6" s="29">
        <v>-163.37200000000001</v>
      </c>
      <c r="Q6" s="29">
        <v>-166.542</v>
      </c>
      <c r="R6" s="29">
        <v>-177.17200000000003</v>
      </c>
      <c r="S6" s="29">
        <v>-177.67200000000003</v>
      </c>
      <c r="T6" s="29">
        <v>9999</v>
      </c>
      <c r="U6" s="29">
        <v>9999</v>
      </c>
      <c r="V6" s="29">
        <v>9999</v>
      </c>
      <c r="W6" s="29">
        <v>9999</v>
      </c>
      <c r="X6" s="29">
        <v>9999</v>
      </c>
      <c r="Y6" s="29">
        <v>9999</v>
      </c>
      <c r="Z6" s="29">
        <v>9999</v>
      </c>
      <c r="AA6" s="29">
        <v>9999</v>
      </c>
      <c r="AB6" s="29">
        <v>-200.97199999999998</v>
      </c>
      <c r="AC6" s="29">
        <v>-251.392</v>
      </c>
      <c r="AD6" s="9" t="s">
        <v>280</v>
      </c>
      <c r="AE6" s="39"/>
      <c r="AF6" s="39"/>
      <c r="AG6" s="16"/>
    </row>
    <row r="7" spans="1:33" s="2" customFormat="1" x14ac:dyDescent="0.25">
      <c r="A7" s="9">
        <v>5</v>
      </c>
      <c r="B7" s="31" t="s">
        <v>22</v>
      </c>
      <c r="C7" s="29">
        <v>4094775.14</v>
      </c>
      <c r="D7" s="29">
        <v>38537936.5</v>
      </c>
      <c r="E7" s="29">
        <v>90.88</v>
      </c>
      <c r="F7" s="29">
        <v>557</v>
      </c>
      <c r="G7" s="29">
        <v>75.22999999999999</v>
      </c>
      <c r="H7" s="29">
        <v>62.33</v>
      </c>
      <c r="I7" s="29">
        <v>-83.77000000000001</v>
      </c>
      <c r="J7" s="29">
        <v>-94.82</v>
      </c>
      <c r="K7" s="29">
        <v>-179.47000000000003</v>
      </c>
      <c r="L7" s="29">
        <v>-195.97000000000003</v>
      </c>
      <c r="M7" s="29">
        <v>-217.26999999999998</v>
      </c>
      <c r="N7" s="29">
        <v>-233.92000000000002</v>
      </c>
      <c r="O7" s="29">
        <v>-240.32</v>
      </c>
      <c r="P7" s="29">
        <v>-277.14</v>
      </c>
      <c r="Q7" s="29">
        <v>-281.44</v>
      </c>
      <c r="R7" s="29">
        <v>-289.74</v>
      </c>
      <c r="S7" s="29">
        <v>-290.64</v>
      </c>
      <c r="T7" s="29">
        <v>9999</v>
      </c>
      <c r="U7" s="29">
        <v>-305.92</v>
      </c>
      <c r="V7" s="29">
        <v>-363.94</v>
      </c>
      <c r="W7" s="29">
        <v>-366.84000000000003</v>
      </c>
      <c r="X7" s="29">
        <v>-388.02</v>
      </c>
      <c r="Y7" s="29">
        <v>-392.67</v>
      </c>
      <c r="Z7" s="29">
        <v>9999</v>
      </c>
      <c r="AA7" s="29">
        <v>-398.37</v>
      </c>
      <c r="AB7" s="29">
        <v>-416.02</v>
      </c>
      <c r="AC7" s="29">
        <v>-466.12</v>
      </c>
      <c r="AD7" s="9" t="s">
        <v>281</v>
      </c>
      <c r="AE7" s="39"/>
      <c r="AF7" s="39"/>
      <c r="AG7" s="16"/>
    </row>
    <row r="8" spans="1:33" s="2" customFormat="1" x14ac:dyDescent="0.25">
      <c r="A8" s="19">
        <v>6</v>
      </c>
      <c r="B8" s="32" t="s">
        <v>25</v>
      </c>
      <c r="C8" s="29">
        <v>4094641.31</v>
      </c>
      <c r="D8" s="29">
        <v>38537897.100000001</v>
      </c>
      <c r="E8" s="29">
        <v>90.06</v>
      </c>
      <c r="F8" s="29">
        <v>484.73</v>
      </c>
      <c r="G8" s="29">
        <v>76.16</v>
      </c>
      <c r="H8" s="29">
        <v>62.56</v>
      </c>
      <c r="I8" s="29">
        <v>-96.490000000000009</v>
      </c>
      <c r="J8" s="29">
        <v>-101.84</v>
      </c>
      <c r="K8" s="29">
        <v>-168.14</v>
      </c>
      <c r="L8" s="29">
        <v>-194.58999999999997</v>
      </c>
      <c r="M8" s="29">
        <v>-211.04000000000002</v>
      </c>
      <c r="N8" s="29">
        <v>-226.94</v>
      </c>
      <c r="O8" s="29">
        <v>-231.64</v>
      </c>
      <c r="P8" s="29">
        <v>-249.69</v>
      </c>
      <c r="Q8" s="29">
        <v>-253.54000000000002</v>
      </c>
      <c r="R8" s="29">
        <v>-261.44</v>
      </c>
      <c r="S8" s="29">
        <v>-263.49</v>
      </c>
      <c r="T8" s="29">
        <v>-284.19</v>
      </c>
      <c r="U8" s="29">
        <v>-284.83999999999997</v>
      </c>
      <c r="V8" s="29">
        <v>-315.79000000000002</v>
      </c>
      <c r="W8" s="29">
        <v>9999</v>
      </c>
      <c r="X8" s="29">
        <v>9999</v>
      </c>
      <c r="Y8" s="29">
        <v>-321.49</v>
      </c>
      <c r="Z8" s="29">
        <v>-328.39</v>
      </c>
      <c r="AA8" s="29">
        <v>-333.99</v>
      </c>
      <c r="AB8" s="29">
        <v>-341.84</v>
      </c>
      <c r="AC8" s="29">
        <v>-394.67</v>
      </c>
      <c r="AD8" s="9" t="s">
        <v>282</v>
      </c>
      <c r="AE8" s="39"/>
      <c r="AF8" s="39"/>
      <c r="AG8" s="16"/>
    </row>
    <row r="9" spans="1:33" s="2" customFormat="1" x14ac:dyDescent="0.25">
      <c r="A9" s="19">
        <v>7</v>
      </c>
      <c r="B9" s="32" t="s">
        <v>597</v>
      </c>
      <c r="C9" s="29">
        <v>4095757</v>
      </c>
      <c r="D9" s="29">
        <v>38538377.5</v>
      </c>
      <c r="E9" s="29">
        <v>97.7</v>
      </c>
      <c r="F9" s="29">
        <v>508.79</v>
      </c>
      <c r="G9" s="29">
        <v>81.850000000000009</v>
      </c>
      <c r="H9" s="29">
        <v>69.23</v>
      </c>
      <c r="I9" s="29">
        <v>-152.26</v>
      </c>
      <c r="J9" s="29">
        <v>-159.32999999999998</v>
      </c>
      <c r="K9" s="29">
        <v>-181.90000000000003</v>
      </c>
      <c r="L9" s="29">
        <v>-187.44</v>
      </c>
      <c r="M9" s="29">
        <v>-232</v>
      </c>
      <c r="N9" s="29">
        <v>-235.79000000000002</v>
      </c>
      <c r="O9" s="29">
        <v>-243.87</v>
      </c>
      <c r="P9" s="29">
        <v>-283.10000000000002</v>
      </c>
      <c r="Q9" s="29">
        <v>-287.52000000000004</v>
      </c>
      <c r="R9" s="29">
        <v>-296.91000000000003</v>
      </c>
      <c r="S9" s="29">
        <v>-299.37</v>
      </c>
      <c r="T9" s="29">
        <v>-334.35</v>
      </c>
      <c r="U9" s="29">
        <v>-336.76</v>
      </c>
      <c r="V9" s="29">
        <v>-379.1</v>
      </c>
      <c r="W9" s="29">
        <v>9999</v>
      </c>
      <c r="X9" s="29">
        <v>-382.09000000000003</v>
      </c>
      <c r="Y9" s="29">
        <v>-390.26</v>
      </c>
      <c r="Z9" s="29">
        <v>-407.89</v>
      </c>
      <c r="AA9" s="29">
        <v>-409.11</v>
      </c>
      <c r="AB9" s="29">
        <v>9999</v>
      </c>
      <c r="AC9" s="29">
        <v>9999</v>
      </c>
      <c r="AD9" s="9" t="s">
        <v>283</v>
      </c>
      <c r="AE9" s="39"/>
      <c r="AF9" s="39"/>
      <c r="AG9" s="16"/>
    </row>
    <row r="10" spans="1:33" s="2" customFormat="1" x14ac:dyDescent="0.25">
      <c r="A10" s="19">
        <v>8</v>
      </c>
      <c r="B10" s="32" t="s">
        <v>598</v>
      </c>
      <c r="C10" s="29">
        <v>4097283.92</v>
      </c>
      <c r="D10" s="29">
        <v>38539451.460000001</v>
      </c>
      <c r="E10" s="29">
        <v>87.58</v>
      </c>
      <c r="F10" s="29">
        <v>302.7</v>
      </c>
      <c r="G10" s="29">
        <v>69.28</v>
      </c>
      <c r="H10" s="29">
        <v>51.08</v>
      </c>
      <c r="I10" s="29">
        <v>-153.92000000000002</v>
      </c>
      <c r="J10" s="29">
        <v>-162.51999999999998</v>
      </c>
      <c r="K10" s="29">
        <v>-209.52000000000004</v>
      </c>
      <c r="L10" s="29">
        <v>-215.12</v>
      </c>
      <c r="M10" s="29">
        <v>9999</v>
      </c>
      <c r="N10" s="29">
        <v>9999</v>
      </c>
      <c r="O10" s="29">
        <v>9999</v>
      </c>
      <c r="P10" s="29">
        <v>9999</v>
      </c>
      <c r="Q10" s="29">
        <v>9999</v>
      </c>
      <c r="R10" s="29">
        <v>9999</v>
      </c>
      <c r="S10" s="29">
        <v>9999</v>
      </c>
      <c r="T10" s="29">
        <v>9999</v>
      </c>
      <c r="U10" s="29">
        <v>9999</v>
      </c>
      <c r="V10" s="29">
        <v>9999</v>
      </c>
      <c r="W10" s="29">
        <v>9999</v>
      </c>
      <c r="X10" s="29">
        <v>9999</v>
      </c>
      <c r="Y10" s="29">
        <v>9999</v>
      </c>
      <c r="Z10" s="29">
        <v>9999</v>
      </c>
      <c r="AA10" s="29">
        <v>9999</v>
      </c>
      <c r="AB10" s="29">
        <v>9999</v>
      </c>
      <c r="AC10" s="29">
        <v>9999</v>
      </c>
      <c r="AD10" s="9"/>
      <c r="AE10" s="39"/>
      <c r="AF10" s="39"/>
      <c r="AG10" s="16"/>
    </row>
    <row r="11" spans="1:33" s="2" customFormat="1" x14ac:dyDescent="0.25">
      <c r="A11" s="19">
        <v>9</v>
      </c>
      <c r="B11" s="32" t="s">
        <v>599</v>
      </c>
      <c r="C11" s="29">
        <v>4098714</v>
      </c>
      <c r="D11" s="29">
        <v>38539804</v>
      </c>
      <c r="E11" s="29">
        <v>86.2</v>
      </c>
      <c r="F11" s="29">
        <v>325.19</v>
      </c>
      <c r="G11" s="29">
        <v>67.28</v>
      </c>
      <c r="H11" s="29">
        <v>49.400000000000006</v>
      </c>
      <c r="I11" s="29">
        <v>-125.83999999999999</v>
      </c>
      <c r="J11" s="29">
        <v>9999</v>
      </c>
      <c r="K11" s="29">
        <v>9999</v>
      </c>
      <c r="L11" s="29">
        <v>9999</v>
      </c>
      <c r="M11" s="29">
        <v>9999</v>
      </c>
      <c r="N11" s="29">
        <v>9999</v>
      </c>
      <c r="O11" s="29">
        <v>9999</v>
      </c>
      <c r="P11" s="29">
        <v>9999</v>
      </c>
      <c r="Q11" s="29">
        <v>9999</v>
      </c>
      <c r="R11" s="29">
        <v>9999</v>
      </c>
      <c r="S11" s="29">
        <v>-137.08999999999997</v>
      </c>
      <c r="T11" s="29">
        <v>-174.28000000000003</v>
      </c>
      <c r="U11" s="29">
        <v>-176.45</v>
      </c>
      <c r="V11" s="29">
        <v>-209.57999999999998</v>
      </c>
      <c r="W11" s="29">
        <v>-213.62</v>
      </c>
      <c r="X11" s="29">
        <v>-228.79000000000002</v>
      </c>
      <c r="Y11" s="29">
        <v>-234.52000000000004</v>
      </c>
      <c r="Z11" s="29">
        <v>9999</v>
      </c>
      <c r="AA11" s="29">
        <v>9999</v>
      </c>
      <c r="AB11" s="29">
        <v>9999</v>
      </c>
      <c r="AC11" s="29">
        <v>9999</v>
      </c>
      <c r="AD11" s="9" t="s">
        <v>34</v>
      </c>
      <c r="AE11" s="39"/>
      <c r="AF11" s="39"/>
      <c r="AG11" s="16"/>
    </row>
    <row r="12" spans="1:33" s="2" customFormat="1" x14ac:dyDescent="0.25">
      <c r="A12" s="9">
        <v>10</v>
      </c>
      <c r="B12" s="31" t="s">
        <v>600</v>
      </c>
      <c r="C12" s="29">
        <v>4095633</v>
      </c>
      <c r="D12" s="29">
        <v>38536992</v>
      </c>
      <c r="E12" s="29">
        <v>98.4</v>
      </c>
      <c r="F12" s="29">
        <v>239.23</v>
      </c>
      <c r="G12" s="29">
        <v>84.97</v>
      </c>
      <c r="H12" s="29">
        <v>9999</v>
      </c>
      <c r="I12" s="29">
        <v>70.830000000000013</v>
      </c>
      <c r="J12" s="29">
        <v>9999</v>
      </c>
      <c r="K12" s="29">
        <v>9999</v>
      </c>
      <c r="L12" s="29">
        <v>9999</v>
      </c>
      <c r="M12" s="29">
        <v>9999</v>
      </c>
      <c r="N12" s="29">
        <v>9999</v>
      </c>
      <c r="O12" s="29">
        <v>9999</v>
      </c>
      <c r="P12" s="29">
        <v>9999</v>
      </c>
      <c r="Q12" s="29">
        <v>9999</v>
      </c>
      <c r="R12" s="29">
        <v>9999</v>
      </c>
      <c r="S12" s="29">
        <v>9999</v>
      </c>
      <c r="T12" s="29">
        <v>9999</v>
      </c>
      <c r="U12" s="29">
        <v>-20.58</v>
      </c>
      <c r="V12" s="29">
        <v>-85.789999999999992</v>
      </c>
      <c r="W12" s="29">
        <v>-93.53</v>
      </c>
      <c r="X12" s="29">
        <v>-93.63</v>
      </c>
      <c r="Y12" s="29">
        <v>-101.9</v>
      </c>
      <c r="Z12" s="29">
        <v>-114.78999999999999</v>
      </c>
      <c r="AA12" s="29">
        <v>-120.10999999999999</v>
      </c>
      <c r="AB12" s="29">
        <v>-126.88999999999999</v>
      </c>
      <c r="AC12" s="29">
        <v>-140.57999999999998</v>
      </c>
      <c r="AD12" s="9" t="s">
        <v>37</v>
      </c>
      <c r="AE12" s="39"/>
      <c r="AF12" s="39"/>
      <c r="AG12" s="16"/>
    </row>
    <row r="13" spans="1:33" s="2" customFormat="1" x14ac:dyDescent="0.25">
      <c r="A13" s="9">
        <v>11</v>
      </c>
      <c r="B13" s="31" t="s">
        <v>601</v>
      </c>
      <c r="C13" s="29">
        <v>4097810.92</v>
      </c>
      <c r="D13" s="29">
        <v>38539433.240000002</v>
      </c>
      <c r="E13" s="29">
        <v>87.37</v>
      </c>
      <c r="F13" s="29">
        <v>428.8</v>
      </c>
      <c r="G13" s="29">
        <v>73.13000000000001</v>
      </c>
      <c r="H13" s="29">
        <v>52.040000000000006</v>
      </c>
      <c r="I13" s="29">
        <v>-159.09</v>
      </c>
      <c r="J13" s="29">
        <v>9999</v>
      </c>
      <c r="K13" s="29">
        <v>9999</v>
      </c>
      <c r="L13" s="29">
        <v>9999</v>
      </c>
      <c r="M13" s="29">
        <v>-164.74</v>
      </c>
      <c r="N13" s="29">
        <v>-170.42000000000002</v>
      </c>
      <c r="O13" s="29">
        <v>-174.96999999999997</v>
      </c>
      <c r="P13" s="29">
        <v>-196.7</v>
      </c>
      <c r="Q13" s="29">
        <v>-197.42000000000002</v>
      </c>
      <c r="R13" s="29">
        <v>-213.24</v>
      </c>
      <c r="S13" s="29">
        <v>-214.46999999999997</v>
      </c>
      <c r="T13" s="29">
        <v>-239.56</v>
      </c>
      <c r="U13" s="29">
        <v>-242.01999999999998</v>
      </c>
      <c r="V13" s="29">
        <v>-282.2</v>
      </c>
      <c r="W13" s="29">
        <v>-289.18</v>
      </c>
      <c r="X13" s="29">
        <v>-291.74</v>
      </c>
      <c r="Y13" s="29">
        <v>-298.24</v>
      </c>
      <c r="Z13" s="29">
        <v>-318.3</v>
      </c>
      <c r="AA13" s="29">
        <v>-324.43</v>
      </c>
      <c r="AB13" s="29">
        <v>-335.33</v>
      </c>
      <c r="AC13" s="29">
        <v>-337.61</v>
      </c>
      <c r="AD13" s="9" t="s">
        <v>40</v>
      </c>
      <c r="AE13" s="39"/>
      <c r="AF13" s="39"/>
      <c r="AG13" s="16"/>
    </row>
    <row r="14" spans="1:33" s="2" customFormat="1" x14ac:dyDescent="0.25">
      <c r="A14" s="19">
        <v>12</v>
      </c>
      <c r="B14" s="32" t="s">
        <v>602</v>
      </c>
      <c r="C14" s="29">
        <v>4096719</v>
      </c>
      <c r="D14" s="29">
        <v>38537699</v>
      </c>
      <c r="E14" s="29">
        <v>93.6</v>
      </c>
      <c r="F14" s="29">
        <v>294.67</v>
      </c>
      <c r="G14" s="29">
        <v>77.949999999999989</v>
      </c>
      <c r="H14" s="29">
        <v>53.739999999999995</v>
      </c>
      <c r="I14" s="29">
        <v>-96.960000000000008</v>
      </c>
      <c r="J14" s="29">
        <v>9999</v>
      </c>
      <c r="K14" s="29">
        <v>9999</v>
      </c>
      <c r="L14" s="29">
        <v>9999</v>
      </c>
      <c r="M14" s="29">
        <v>9999</v>
      </c>
      <c r="N14" s="29">
        <v>9999</v>
      </c>
      <c r="O14" s="29">
        <v>9999</v>
      </c>
      <c r="P14" s="29">
        <v>9999</v>
      </c>
      <c r="Q14" s="29">
        <v>9999</v>
      </c>
      <c r="R14" s="29">
        <v>9999</v>
      </c>
      <c r="S14" s="29">
        <v>-102.85</v>
      </c>
      <c r="T14" s="29">
        <v>-129.78</v>
      </c>
      <c r="U14" s="29">
        <v>-131.20000000000002</v>
      </c>
      <c r="V14" s="29">
        <v>-154.73000000000002</v>
      </c>
      <c r="W14" s="29">
        <v>-159.01000000000002</v>
      </c>
      <c r="X14" s="29">
        <v>-165.27</v>
      </c>
      <c r="Y14" s="29">
        <v>-171.89000000000001</v>
      </c>
      <c r="Z14" s="29">
        <v>-187.42999999999998</v>
      </c>
      <c r="AA14" s="29">
        <v>-194.27</v>
      </c>
      <c r="AB14" s="29">
        <v>9999</v>
      </c>
      <c r="AC14" s="29">
        <v>9999</v>
      </c>
      <c r="AD14" s="9" t="s">
        <v>43</v>
      </c>
      <c r="AE14" s="39"/>
      <c r="AF14" s="39"/>
      <c r="AG14" s="16"/>
    </row>
    <row r="15" spans="1:33" s="2" customFormat="1" x14ac:dyDescent="0.25">
      <c r="A15" s="9">
        <v>13</v>
      </c>
      <c r="B15" s="31" t="s">
        <v>603</v>
      </c>
      <c r="C15" s="29">
        <v>4097727</v>
      </c>
      <c r="D15" s="29">
        <v>38538411</v>
      </c>
      <c r="E15" s="29">
        <v>91</v>
      </c>
      <c r="F15" s="29">
        <v>296.52999999999997</v>
      </c>
      <c r="G15" s="29">
        <v>74</v>
      </c>
      <c r="H15" s="29">
        <v>57.22</v>
      </c>
      <c r="I15" s="29">
        <v>-87</v>
      </c>
      <c r="J15" s="29">
        <v>9999</v>
      </c>
      <c r="K15" s="29">
        <v>9999</v>
      </c>
      <c r="L15" s="29">
        <v>9999</v>
      </c>
      <c r="M15" s="29">
        <v>9999</v>
      </c>
      <c r="N15" s="29">
        <v>9999</v>
      </c>
      <c r="O15" s="29">
        <v>-101.5</v>
      </c>
      <c r="P15" s="29">
        <v>-121.5</v>
      </c>
      <c r="Q15" s="29">
        <v>-123.57</v>
      </c>
      <c r="R15" s="29">
        <v>-130.57</v>
      </c>
      <c r="S15" s="29">
        <v>-131.46</v>
      </c>
      <c r="T15" s="29">
        <v>-160.69999999999999</v>
      </c>
      <c r="U15" s="29">
        <v>-162.57</v>
      </c>
      <c r="V15" s="29">
        <v>9999</v>
      </c>
      <c r="W15" s="29">
        <v>9999</v>
      </c>
      <c r="X15" s="29">
        <v>9999</v>
      </c>
      <c r="Y15" s="29">
        <v>9999</v>
      </c>
      <c r="Z15" s="29">
        <v>9999</v>
      </c>
      <c r="AA15" s="29">
        <v>9999</v>
      </c>
      <c r="AB15" s="29">
        <v>9999</v>
      </c>
      <c r="AC15" s="29">
        <v>9999</v>
      </c>
      <c r="AD15" s="9"/>
      <c r="AE15" s="39"/>
      <c r="AF15" s="39"/>
      <c r="AG15" s="16"/>
    </row>
    <row r="16" spans="1:33" s="2" customFormat="1" x14ac:dyDescent="0.25">
      <c r="A16" s="9">
        <v>14</v>
      </c>
      <c r="B16" s="31" t="s">
        <v>604</v>
      </c>
      <c r="C16" s="29">
        <v>4094919.64</v>
      </c>
      <c r="D16" s="29">
        <v>38536607.890000001</v>
      </c>
      <c r="E16" s="29">
        <v>88.96</v>
      </c>
      <c r="F16" s="29">
        <v>277.04000000000002</v>
      </c>
      <c r="G16" s="29">
        <v>85.19</v>
      </c>
      <c r="H16" s="29">
        <v>77.66</v>
      </c>
      <c r="I16" s="29">
        <v>-12.470000000000013</v>
      </c>
      <c r="J16" s="29">
        <v>9999</v>
      </c>
      <c r="K16" s="29">
        <v>9999</v>
      </c>
      <c r="L16" s="29">
        <v>9999</v>
      </c>
      <c r="M16" s="29">
        <v>9999</v>
      </c>
      <c r="N16" s="29">
        <v>9999</v>
      </c>
      <c r="O16" s="29">
        <v>-21.14</v>
      </c>
      <c r="P16" s="29">
        <v>-58.160000000000011</v>
      </c>
      <c r="Q16" s="29">
        <v>-60.250000000000014</v>
      </c>
      <c r="R16" s="29">
        <v>-68.77</v>
      </c>
      <c r="S16" s="29">
        <v>-70.160000000000011</v>
      </c>
      <c r="T16" s="29">
        <v>9999</v>
      </c>
      <c r="U16" s="29">
        <v>-102.44000000000001</v>
      </c>
      <c r="V16" s="29">
        <v>-135.38999999999999</v>
      </c>
      <c r="W16" s="29">
        <v>-139.30000000000001</v>
      </c>
      <c r="X16" s="29">
        <v>-155.90000000000003</v>
      </c>
      <c r="Y16" s="29">
        <v>-165.41000000000003</v>
      </c>
      <c r="Z16" s="29">
        <v>-181.68</v>
      </c>
      <c r="AA16" s="29">
        <v>-183.76000000000005</v>
      </c>
      <c r="AB16" s="29">
        <v>9999</v>
      </c>
      <c r="AC16" s="29">
        <v>9999</v>
      </c>
      <c r="AD16" s="9" t="s">
        <v>284</v>
      </c>
      <c r="AE16" s="39"/>
      <c r="AF16" s="39"/>
      <c r="AG16" s="16"/>
    </row>
    <row r="17" spans="1:33" s="2" customFormat="1" x14ac:dyDescent="0.25">
      <c r="A17" s="19">
        <v>15</v>
      </c>
      <c r="B17" s="32" t="s">
        <v>605</v>
      </c>
      <c r="C17" s="29">
        <v>4097468</v>
      </c>
      <c r="D17" s="29">
        <v>38539046</v>
      </c>
      <c r="E17" s="29">
        <v>89.8</v>
      </c>
      <c r="F17" s="29">
        <v>330.8</v>
      </c>
      <c r="G17" s="29">
        <v>71.099999999999994</v>
      </c>
      <c r="H17" s="29">
        <v>51.26</v>
      </c>
      <c r="I17" s="29">
        <v>-151.61000000000001</v>
      </c>
      <c r="J17" s="29">
        <v>9999</v>
      </c>
      <c r="K17" s="29">
        <v>9999</v>
      </c>
      <c r="L17" s="29">
        <v>9999</v>
      </c>
      <c r="M17" s="29">
        <v>-160.07999999999998</v>
      </c>
      <c r="N17" s="29">
        <v>-189.88</v>
      </c>
      <c r="O17" s="29">
        <v>-194.02999999999997</v>
      </c>
      <c r="P17" s="29">
        <v>9999</v>
      </c>
      <c r="Q17" s="29">
        <v>9999</v>
      </c>
      <c r="R17" s="29">
        <v>9999</v>
      </c>
      <c r="S17" s="29">
        <v>9999</v>
      </c>
      <c r="T17" s="29">
        <v>9999</v>
      </c>
      <c r="U17" s="29">
        <v>9999</v>
      </c>
      <c r="V17" s="29">
        <v>9999</v>
      </c>
      <c r="W17" s="29">
        <v>9999</v>
      </c>
      <c r="X17" s="29">
        <v>9999</v>
      </c>
      <c r="Y17" s="29">
        <v>9999</v>
      </c>
      <c r="Z17" s="29">
        <v>9999</v>
      </c>
      <c r="AA17" s="29">
        <v>9999</v>
      </c>
      <c r="AB17" s="29">
        <v>9999</v>
      </c>
      <c r="AC17" s="29">
        <v>9999</v>
      </c>
      <c r="AD17" s="9" t="s">
        <v>50</v>
      </c>
      <c r="AE17" s="39"/>
      <c r="AF17" s="39"/>
      <c r="AG17" s="16"/>
    </row>
    <row r="18" spans="1:33" s="2" customFormat="1" x14ac:dyDescent="0.25">
      <c r="A18" s="9">
        <v>16</v>
      </c>
      <c r="B18" s="31" t="s">
        <v>606</v>
      </c>
      <c r="C18" s="29">
        <v>4097211</v>
      </c>
      <c r="D18" s="29">
        <v>38538563</v>
      </c>
      <c r="E18" s="29">
        <v>91.79</v>
      </c>
      <c r="F18" s="29">
        <v>441.36</v>
      </c>
      <c r="G18" s="29">
        <v>78.940000000000012</v>
      </c>
      <c r="H18" s="29">
        <v>50.940000000000005</v>
      </c>
      <c r="I18" s="29">
        <v>-138.71999999999997</v>
      </c>
      <c r="J18" s="29">
        <v>9999</v>
      </c>
      <c r="K18" s="29">
        <v>9999</v>
      </c>
      <c r="L18" s="29">
        <v>-144.96999999999997</v>
      </c>
      <c r="M18" s="29">
        <v>-160.89999999999998</v>
      </c>
      <c r="N18" s="29">
        <v>-183.5</v>
      </c>
      <c r="O18" s="29">
        <v>-190.21999999999997</v>
      </c>
      <c r="P18" s="29">
        <v>9999</v>
      </c>
      <c r="Q18" s="29">
        <v>9999</v>
      </c>
      <c r="R18" s="29">
        <v>9999</v>
      </c>
      <c r="S18" s="29">
        <v>-219.13</v>
      </c>
      <c r="T18" s="29">
        <v>-245.98999999999995</v>
      </c>
      <c r="U18" s="29">
        <v>-247.98999999999995</v>
      </c>
      <c r="V18" s="29">
        <v>-290.46999999999997</v>
      </c>
      <c r="W18" s="29">
        <v>9999</v>
      </c>
      <c r="X18" s="29">
        <v>-299.27999999999997</v>
      </c>
      <c r="Y18" s="29">
        <v>-309.06</v>
      </c>
      <c r="Z18" s="29">
        <v>-326.65999999999997</v>
      </c>
      <c r="AA18" s="29">
        <v>-332.21999999999997</v>
      </c>
      <c r="AB18" s="29">
        <v>-346.21999999999997</v>
      </c>
      <c r="AC18" s="29">
        <v>-346.71</v>
      </c>
      <c r="AD18" s="9" t="s">
        <v>53</v>
      </c>
      <c r="AE18" s="39"/>
      <c r="AF18" s="39"/>
      <c r="AG18" s="16"/>
    </row>
    <row r="19" spans="1:33" s="2" customFormat="1" x14ac:dyDescent="0.25">
      <c r="A19" s="19">
        <v>17</v>
      </c>
      <c r="B19" s="32" t="s">
        <v>607</v>
      </c>
      <c r="C19" s="29">
        <v>4098509</v>
      </c>
      <c r="D19" s="29">
        <v>38538537</v>
      </c>
      <c r="E19" s="29">
        <v>89.8</v>
      </c>
      <c r="F19" s="29">
        <v>224.72</v>
      </c>
      <c r="G19" s="29">
        <v>76.61</v>
      </c>
      <c r="H19" s="29">
        <v>54.099999999999994</v>
      </c>
      <c r="I19" s="29">
        <v>-76.209999999999994</v>
      </c>
      <c r="J19" s="29">
        <v>9999</v>
      </c>
      <c r="K19" s="29">
        <v>9999</v>
      </c>
      <c r="L19" s="29">
        <v>9999</v>
      </c>
      <c r="M19" s="29">
        <v>9999</v>
      </c>
      <c r="N19" s="29">
        <v>9999</v>
      </c>
      <c r="O19" s="29">
        <v>9999</v>
      </c>
      <c r="P19" s="29">
        <v>9999</v>
      </c>
      <c r="Q19" s="29">
        <v>9999</v>
      </c>
      <c r="R19" s="29">
        <v>9999</v>
      </c>
      <c r="S19" s="29">
        <v>9999</v>
      </c>
      <c r="T19" s="29">
        <v>9999</v>
      </c>
      <c r="U19" s="29">
        <v>9999</v>
      </c>
      <c r="V19" s="29">
        <v>9999</v>
      </c>
      <c r="W19" s="29">
        <v>-92.24</v>
      </c>
      <c r="X19" s="29">
        <v>-105.07</v>
      </c>
      <c r="Y19" s="29">
        <v>-111.86999999999999</v>
      </c>
      <c r="Z19" s="29">
        <v>-111.86999999999999</v>
      </c>
      <c r="AA19" s="29">
        <v>9999</v>
      </c>
      <c r="AB19" s="29">
        <v>9999</v>
      </c>
      <c r="AC19" s="29">
        <v>9999</v>
      </c>
      <c r="AD19" s="9" t="s">
        <v>56</v>
      </c>
      <c r="AE19" s="40"/>
      <c r="AF19" s="40"/>
      <c r="AG19" s="16"/>
    </row>
    <row r="20" spans="1:33" s="2" customFormat="1" x14ac:dyDescent="0.25">
      <c r="A20" s="19">
        <v>18</v>
      </c>
      <c r="B20" s="32" t="s">
        <v>608</v>
      </c>
      <c r="C20" s="29">
        <v>4097983</v>
      </c>
      <c r="D20" s="29">
        <v>38537926</v>
      </c>
      <c r="E20" s="29">
        <v>93.8</v>
      </c>
      <c r="F20" s="29">
        <v>216.65</v>
      </c>
      <c r="G20" s="29">
        <f>(E20-17.26)*1</f>
        <v>76.539999999999992</v>
      </c>
      <c r="H20" s="29">
        <f>(E20-32.4)*1</f>
        <v>61.4</v>
      </c>
      <c r="I20" s="29">
        <f>(E20-177.24)*1</f>
        <v>-83.440000000000012</v>
      </c>
      <c r="J20" s="29">
        <v>9999</v>
      </c>
      <c r="K20" s="29">
        <v>9999</v>
      </c>
      <c r="L20" s="29">
        <v>9999</v>
      </c>
      <c r="M20" s="29">
        <v>9999</v>
      </c>
      <c r="N20" s="29">
        <v>9999</v>
      </c>
      <c r="O20" s="29">
        <v>9999</v>
      </c>
      <c r="P20" s="29">
        <v>9999</v>
      </c>
      <c r="Q20" s="29">
        <v>9999</v>
      </c>
      <c r="R20" s="29">
        <v>9999</v>
      </c>
      <c r="S20" s="29">
        <v>9999</v>
      </c>
      <c r="T20" s="29">
        <v>9999</v>
      </c>
      <c r="U20" s="29">
        <v>9999</v>
      </c>
      <c r="V20" s="29">
        <v>9999</v>
      </c>
      <c r="W20" s="29">
        <f>(E20-191.32)*1</f>
        <v>-97.52</v>
      </c>
      <c r="X20" s="29">
        <v>-132.63</v>
      </c>
      <c r="Y20" s="29">
        <f>(E20-231.55)*1</f>
        <v>-137.75</v>
      </c>
      <c r="Z20" s="29">
        <f>(E20-246.85)*1</f>
        <v>-153.05000000000001</v>
      </c>
      <c r="AA20" s="29">
        <f>(E20-247.45)*1</f>
        <v>-153.64999999999998</v>
      </c>
      <c r="AB20" s="29">
        <f>(E20-259.44)*1</f>
        <v>-165.64</v>
      </c>
      <c r="AC20" s="29">
        <f>(E20-261.6)*1</f>
        <v>-167.8</v>
      </c>
      <c r="AD20" s="19" t="s">
        <v>69</v>
      </c>
      <c r="AE20" s="35" t="s">
        <v>15</v>
      </c>
      <c r="AF20" s="35" t="s">
        <v>14</v>
      </c>
      <c r="AG20" s="16"/>
    </row>
    <row r="21" spans="1:33" s="2" customFormat="1" x14ac:dyDescent="0.25">
      <c r="A21" s="19">
        <v>19</v>
      </c>
      <c r="B21" s="33" t="s">
        <v>609</v>
      </c>
      <c r="C21" s="29">
        <v>4097366</v>
      </c>
      <c r="D21" s="29">
        <v>38537676</v>
      </c>
      <c r="E21" s="29">
        <v>94.7</v>
      </c>
      <c r="F21" s="29">
        <v>274.45</v>
      </c>
      <c r="G21" s="29">
        <f>(94.7-15.82)*1</f>
        <v>78.88</v>
      </c>
      <c r="H21" s="29">
        <f>(E21-36.1)*1</f>
        <v>58.6</v>
      </c>
      <c r="I21" s="29">
        <f>(E21-174.5)*1</f>
        <v>-79.8</v>
      </c>
      <c r="J21" s="29">
        <v>9999</v>
      </c>
      <c r="K21" s="29">
        <v>9999</v>
      </c>
      <c r="L21" s="29">
        <v>9999</v>
      </c>
      <c r="M21" s="29">
        <v>9999</v>
      </c>
      <c r="N21" s="29">
        <v>9999</v>
      </c>
      <c r="O21" s="29">
        <v>9999</v>
      </c>
      <c r="P21" s="29">
        <v>9999</v>
      </c>
      <c r="Q21" s="29">
        <v>9999</v>
      </c>
      <c r="R21" s="29">
        <v>9999</v>
      </c>
      <c r="S21" s="29">
        <v>9999</v>
      </c>
      <c r="T21" s="29">
        <v>9999</v>
      </c>
      <c r="U21" s="29">
        <v>9999</v>
      </c>
      <c r="V21" s="29">
        <v>9999</v>
      </c>
      <c r="W21" s="29">
        <f>(E21-179.4)*1</f>
        <v>-84.7</v>
      </c>
      <c r="X21" s="29">
        <f>(E21-227.83)*1</f>
        <v>-133.13</v>
      </c>
      <c r="Y21" s="29">
        <f>(E21-229.8)*1</f>
        <v>-135.10000000000002</v>
      </c>
      <c r="Z21" s="29">
        <f>(E21-255.66)*1</f>
        <v>-160.95999999999998</v>
      </c>
      <c r="AA21" s="29">
        <f>(E21-272.16)*1</f>
        <v>-177.46000000000004</v>
      </c>
      <c r="AB21" s="29">
        <v>9999</v>
      </c>
      <c r="AC21" s="29">
        <v>9999</v>
      </c>
      <c r="AD21" s="9" t="s">
        <v>72</v>
      </c>
      <c r="AE21" s="35"/>
      <c r="AF21" s="35"/>
      <c r="AG21" s="16"/>
    </row>
    <row r="22" spans="1:33" s="2" customFormat="1" x14ac:dyDescent="0.25">
      <c r="A22" s="19">
        <v>20</v>
      </c>
      <c r="B22" s="32" t="s">
        <v>73</v>
      </c>
      <c r="C22" s="29">
        <v>4095971.13</v>
      </c>
      <c r="D22" s="29">
        <v>38537883.950000003</v>
      </c>
      <c r="E22" s="29">
        <v>94.96</v>
      </c>
      <c r="F22" s="29">
        <v>138.07</v>
      </c>
      <c r="G22" s="29">
        <v>9999</v>
      </c>
      <c r="H22" s="29">
        <f>(E22-10.4)*1</f>
        <v>84.559999999999988</v>
      </c>
      <c r="I22" s="29">
        <f>(E22-103.87)*1</f>
        <v>-8.9100000000000108</v>
      </c>
      <c r="J22" s="29">
        <v>9999</v>
      </c>
      <c r="K22" s="29">
        <v>9999</v>
      </c>
      <c r="L22" s="29">
        <v>9999</v>
      </c>
      <c r="M22" s="29">
        <v>9999</v>
      </c>
      <c r="N22" s="29">
        <v>9999</v>
      </c>
      <c r="O22" s="29">
        <v>9999</v>
      </c>
      <c r="P22" s="29">
        <v>9999</v>
      </c>
      <c r="Q22" s="29">
        <v>9999</v>
      </c>
      <c r="R22" s="29">
        <v>9999</v>
      </c>
      <c r="S22" s="29">
        <v>9999</v>
      </c>
      <c r="T22" s="29">
        <v>9999</v>
      </c>
      <c r="U22" s="29">
        <v>9999</v>
      </c>
      <c r="V22" s="29">
        <v>9999</v>
      </c>
      <c r="W22" s="29">
        <v>9999</v>
      </c>
      <c r="X22" s="29">
        <v>9999</v>
      </c>
      <c r="Y22" s="29">
        <v>9999</v>
      </c>
      <c r="Z22" s="29">
        <v>9999</v>
      </c>
      <c r="AA22" s="29">
        <f>(E22-107.73)*1</f>
        <v>-12.77000000000001</v>
      </c>
      <c r="AB22" s="29">
        <f>(E22-133.4)*1</f>
        <v>-38.440000000000012</v>
      </c>
      <c r="AC22" s="29">
        <f>(E22-138.07)*1</f>
        <v>-43.11</v>
      </c>
      <c r="AD22" s="9" t="s">
        <v>78</v>
      </c>
      <c r="AE22" s="35"/>
      <c r="AF22" s="35"/>
      <c r="AG22" s="16"/>
    </row>
    <row r="23" spans="1:33" s="2" customFormat="1" x14ac:dyDescent="0.25">
      <c r="A23" s="19">
        <v>21</v>
      </c>
      <c r="B23" s="32" t="s">
        <v>79</v>
      </c>
      <c r="C23" s="29">
        <v>4099186</v>
      </c>
      <c r="D23" s="29">
        <v>38538649</v>
      </c>
      <c r="E23" s="29">
        <v>83.3</v>
      </c>
      <c r="F23" s="29">
        <v>236.03</v>
      </c>
      <c r="G23" s="29">
        <f>(E23-14.64)*1</f>
        <v>68.66</v>
      </c>
      <c r="H23" s="29">
        <f>(E23-35.32)*1</f>
        <v>47.98</v>
      </c>
      <c r="I23" s="29">
        <f>(E23-153.86)*1</f>
        <v>-70.560000000000016</v>
      </c>
      <c r="J23" s="29">
        <v>9999</v>
      </c>
      <c r="K23" s="29">
        <v>9999</v>
      </c>
      <c r="L23" s="29">
        <v>9999</v>
      </c>
      <c r="M23" s="29">
        <v>9999</v>
      </c>
      <c r="N23" s="29">
        <v>9999</v>
      </c>
      <c r="O23" s="29">
        <v>9999</v>
      </c>
      <c r="P23" s="29">
        <v>9999</v>
      </c>
      <c r="Q23" s="29">
        <v>9999</v>
      </c>
      <c r="R23" s="29">
        <v>9999</v>
      </c>
      <c r="S23" s="29">
        <v>9999</v>
      </c>
      <c r="T23" s="29">
        <v>9999</v>
      </c>
      <c r="U23" s="29">
        <v>9999</v>
      </c>
      <c r="V23" s="29">
        <v>9999</v>
      </c>
      <c r="W23" s="29">
        <f>(E23-171.5)*1</f>
        <v>-88.2</v>
      </c>
      <c r="X23" s="29">
        <v>-94.56</v>
      </c>
      <c r="Y23" s="29">
        <f>(E23-183.92)*1</f>
        <v>-100.61999999999999</v>
      </c>
      <c r="Z23" s="29">
        <v>9999</v>
      </c>
      <c r="AA23" s="29">
        <v>9999</v>
      </c>
      <c r="AB23" s="29">
        <f>(E23-222.29)*1</f>
        <v>-138.99</v>
      </c>
      <c r="AC23" s="29">
        <f>(E23-234.59)*1</f>
        <v>-151.29000000000002</v>
      </c>
      <c r="AD23" s="9" t="s">
        <v>84</v>
      </c>
      <c r="AE23" s="35"/>
      <c r="AF23" s="35"/>
      <c r="AG23" s="16"/>
    </row>
    <row r="24" spans="1:33" s="2" customFormat="1" x14ac:dyDescent="0.25">
      <c r="A24" s="19">
        <v>22</v>
      </c>
      <c r="B24" s="32" t="s">
        <v>85</v>
      </c>
      <c r="C24" s="29">
        <v>4094385.63</v>
      </c>
      <c r="D24" s="29">
        <v>38537886.399999999</v>
      </c>
      <c r="E24" s="29">
        <v>83.24</v>
      </c>
      <c r="F24" s="29">
        <v>405.96</v>
      </c>
      <c r="G24" s="29">
        <f>(E24-3.1)*1</f>
        <v>80.14</v>
      </c>
      <c r="H24" s="29">
        <f>(E24-20.01)*1</f>
        <v>63.22999999999999</v>
      </c>
      <c r="I24" s="29">
        <f>(E24-181.2)*1</f>
        <v>-97.96</v>
      </c>
      <c r="J24" s="29">
        <f>(E24-195.9)*1</f>
        <v>-112.66000000000001</v>
      </c>
      <c r="K24" s="29">
        <f>(E24-214.6)*1</f>
        <v>-131.36000000000001</v>
      </c>
      <c r="L24" s="29">
        <f>(E24-277.2)*1</f>
        <v>-193.95999999999998</v>
      </c>
      <c r="M24" s="29">
        <v>9999</v>
      </c>
      <c r="N24" s="29">
        <f>(E24-290.07)*1</f>
        <v>-206.82999999999998</v>
      </c>
      <c r="O24" s="29">
        <v>9999</v>
      </c>
      <c r="P24" s="29">
        <v>9999</v>
      </c>
      <c r="Q24" s="29">
        <v>9999</v>
      </c>
      <c r="R24" s="29">
        <v>9999</v>
      </c>
      <c r="S24" s="29">
        <v>9999</v>
      </c>
      <c r="T24" s="29">
        <v>9999</v>
      </c>
      <c r="U24" s="29">
        <f>(E24-295.9)*1</f>
        <v>-212.65999999999997</v>
      </c>
      <c r="V24" s="29">
        <f>(E24-341.97)*1</f>
        <v>-258.73</v>
      </c>
      <c r="W24" s="29">
        <f>(E24-345.83)*1</f>
        <v>-262.58999999999997</v>
      </c>
      <c r="X24" s="29">
        <v>-282.52999999999997</v>
      </c>
      <c r="Y24" s="29">
        <f>(E24-369.17)*1</f>
        <v>-285.93</v>
      </c>
      <c r="Z24" s="29">
        <f>(E24-391.02)*1</f>
        <v>-307.77999999999997</v>
      </c>
      <c r="AA24" s="29">
        <f>(E24-393.33)*1</f>
        <v>-310.08999999999997</v>
      </c>
      <c r="AB24" s="29">
        <f>(E24-402.13)*1</f>
        <v>-318.89</v>
      </c>
      <c r="AC24" s="29">
        <f>(E24-405.79)*1</f>
        <v>-322.55</v>
      </c>
      <c r="AD24" s="9" t="s">
        <v>90</v>
      </c>
      <c r="AE24" s="35"/>
      <c r="AF24" s="35"/>
      <c r="AG24" s="16"/>
    </row>
    <row r="25" spans="1:33" s="2" customFormat="1" x14ac:dyDescent="0.25">
      <c r="A25" s="20">
        <v>23</v>
      </c>
      <c r="B25" s="32" t="s">
        <v>91</v>
      </c>
      <c r="C25" s="29">
        <v>4094341.52</v>
      </c>
      <c r="D25" s="29">
        <v>38537166.759999998</v>
      </c>
      <c r="E25" s="29">
        <v>84.26</v>
      </c>
      <c r="F25" s="29">
        <v>353.28</v>
      </c>
      <c r="G25" s="29">
        <f>(E25-12.5)*1</f>
        <v>71.760000000000005</v>
      </c>
      <c r="H25" s="29">
        <f>(E25-20)*1</f>
        <v>64.260000000000005</v>
      </c>
      <c r="I25" s="29">
        <f>(E25-155.5)*1</f>
        <v>-71.239999999999995</v>
      </c>
      <c r="J25" s="29">
        <v>9999</v>
      </c>
      <c r="K25" s="29">
        <v>9999</v>
      </c>
      <c r="L25" s="29">
        <v>9999</v>
      </c>
      <c r="M25" s="29">
        <f>(E25-159)*1</f>
        <v>-74.739999999999995</v>
      </c>
      <c r="N25" s="29">
        <v>-92.47</v>
      </c>
      <c r="O25" s="29">
        <f>(E25-183.04)*1</f>
        <v>-98.779999999999987</v>
      </c>
      <c r="P25" s="29">
        <f>(E25-232.06)*1</f>
        <v>-147.80000000000001</v>
      </c>
      <c r="Q25" s="29">
        <f>(E25-236.29)*1</f>
        <v>-152.02999999999997</v>
      </c>
      <c r="R25" s="29">
        <v>-171.13</v>
      </c>
      <c r="S25" s="29">
        <f>(E25-256.56)*1</f>
        <v>-172.3</v>
      </c>
      <c r="T25" s="29">
        <v>9999</v>
      </c>
      <c r="U25" s="29">
        <f>(E25-306.09)*1</f>
        <v>-221.82999999999998</v>
      </c>
      <c r="V25" s="29">
        <f>(E25-310.99)*1</f>
        <v>-226.73000000000002</v>
      </c>
      <c r="W25" s="29">
        <f>(E25-314.26)*1</f>
        <v>-230</v>
      </c>
      <c r="X25" s="29">
        <v>-252.94</v>
      </c>
      <c r="Y25" s="29">
        <f>(E25-341.32)*1</f>
        <v>-257.06</v>
      </c>
      <c r="Z25" s="29">
        <v>9999</v>
      </c>
      <c r="AA25" s="29">
        <v>9999</v>
      </c>
      <c r="AB25" s="29">
        <v>9999</v>
      </c>
      <c r="AC25" s="29">
        <v>9999</v>
      </c>
      <c r="AD25" s="9" t="s">
        <v>96</v>
      </c>
      <c r="AE25" s="35"/>
      <c r="AF25" s="35"/>
      <c r="AG25" s="16"/>
    </row>
    <row r="26" spans="1:33" s="2" customFormat="1" x14ac:dyDescent="0.25">
      <c r="A26" s="19">
        <v>24</v>
      </c>
      <c r="B26" s="32" t="s">
        <v>97</v>
      </c>
      <c r="C26" s="29">
        <v>4094743.26</v>
      </c>
      <c r="D26" s="29">
        <v>38536348.780000001</v>
      </c>
      <c r="E26" s="29">
        <v>87.56</v>
      </c>
      <c r="F26" s="29">
        <v>202.73</v>
      </c>
      <c r="G26" s="29">
        <v>9999</v>
      </c>
      <c r="H26" s="29">
        <v>9999</v>
      </c>
      <c r="I26" s="29">
        <f>(E26-116.2)*1</f>
        <v>-28.64</v>
      </c>
      <c r="J26" s="29">
        <v>9999</v>
      </c>
      <c r="K26" s="29">
        <v>9999</v>
      </c>
      <c r="L26" s="29">
        <v>9999</v>
      </c>
      <c r="M26" s="29">
        <f>(E26-119.6)*1</f>
        <v>-32.039999999999992</v>
      </c>
      <c r="N26" s="29">
        <v>9999</v>
      </c>
      <c r="O26" s="29">
        <v>9999</v>
      </c>
      <c r="P26" s="29">
        <v>9999</v>
      </c>
      <c r="Q26" s="29">
        <v>9999</v>
      </c>
      <c r="R26" s="29">
        <v>9999</v>
      </c>
      <c r="S26" s="29">
        <v>9999</v>
      </c>
      <c r="T26" s="29">
        <v>9999</v>
      </c>
      <c r="U26" s="29">
        <v>9999</v>
      </c>
      <c r="V26" s="29">
        <v>9999</v>
      </c>
      <c r="W26" s="29">
        <f>(E26-155.43)*1</f>
        <v>-67.87</v>
      </c>
      <c r="X26" s="29">
        <v>-70.44</v>
      </c>
      <c r="Y26" s="29">
        <f>(E26-162.5)*1</f>
        <v>-74.94</v>
      </c>
      <c r="Z26" s="29">
        <v>9999</v>
      </c>
      <c r="AA26" s="29">
        <v>9999</v>
      </c>
      <c r="AB26" s="29">
        <f>(E26-195.8)*1</f>
        <v>-108.24000000000001</v>
      </c>
      <c r="AC26" s="29">
        <f>(E26-202.73)*1</f>
        <v>-115.16999999999999</v>
      </c>
      <c r="AD26" s="19" t="s">
        <v>102</v>
      </c>
      <c r="AE26" s="36"/>
      <c r="AF26" s="36"/>
      <c r="AG26" s="16"/>
    </row>
    <row r="27" spans="1:33" s="2" customFormat="1" x14ac:dyDescent="0.25">
      <c r="A27" s="19">
        <v>25</v>
      </c>
      <c r="B27" s="32" t="s">
        <v>103</v>
      </c>
      <c r="C27" s="29">
        <v>4094226.09</v>
      </c>
      <c r="D27" s="29">
        <v>38536559.700000003</v>
      </c>
      <c r="E27" s="29">
        <v>88.1</v>
      </c>
      <c r="F27" s="29">
        <v>274.45999999999998</v>
      </c>
      <c r="G27" s="29">
        <f>(E27-0.5)*1</f>
        <v>87.6</v>
      </c>
      <c r="H27" s="29">
        <f>(E27-12.8)*1</f>
        <v>75.3</v>
      </c>
      <c r="I27" s="29">
        <f>(E27-110.7)*1</f>
        <v>-22.600000000000009</v>
      </c>
      <c r="J27" s="29">
        <v>9999</v>
      </c>
      <c r="K27" s="29">
        <v>9999</v>
      </c>
      <c r="L27" s="29">
        <v>9999</v>
      </c>
      <c r="M27" s="29">
        <v>9999</v>
      </c>
      <c r="N27" s="29">
        <v>9999</v>
      </c>
      <c r="O27" s="29">
        <f>(E27-116.4)*1</f>
        <v>-28.300000000000011</v>
      </c>
      <c r="P27" s="29">
        <f>(E27-121.2)*1</f>
        <v>-33.100000000000009</v>
      </c>
      <c r="Q27" s="29">
        <f>(E27-122.8)*1</f>
        <v>-34.700000000000003</v>
      </c>
      <c r="R27" s="29">
        <f>(E27-132.13)*1</f>
        <v>-44.03</v>
      </c>
      <c r="S27" s="29">
        <f>(E27-133.62)*1</f>
        <v>-45.52000000000001</v>
      </c>
      <c r="T27" s="29">
        <v>9999</v>
      </c>
      <c r="U27" s="29">
        <f>(E27-190.06)*1</f>
        <v>-101.96000000000001</v>
      </c>
      <c r="V27" s="29">
        <f>(E27-205.78)*1</f>
        <v>-117.68</v>
      </c>
      <c r="W27" s="29">
        <f>(E27-210.54)*1</f>
        <v>-122.44</v>
      </c>
      <c r="X27" s="29">
        <v>-139.43</v>
      </c>
      <c r="Y27" s="29">
        <f>(E27-232.89)*1</f>
        <v>-144.79</v>
      </c>
      <c r="Z27" s="29">
        <f>(E27-251.53)*1</f>
        <v>-163.43</v>
      </c>
      <c r="AA27" s="29">
        <f>(E27-253.83)*1</f>
        <v>-165.73000000000002</v>
      </c>
      <c r="AB27" s="29">
        <f>(E27-266.93)*1</f>
        <v>-178.83</v>
      </c>
      <c r="AC27" s="29">
        <f>(E27-273.89)*1</f>
        <v>-185.79</v>
      </c>
      <c r="AD27" s="19" t="s">
        <v>108</v>
      </c>
      <c r="AE27" s="36"/>
      <c r="AF27" s="36"/>
      <c r="AG27" s="16"/>
    </row>
    <row r="28" spans="1:33" s="2" customFormat="1" x14ac:dyDescent="0.25">
      <c r="A28" s="19">
        <v>26</v>
      </c>
      <c r="B28" s="32" t="s">
        <v>109</v>
      </c>
      <c r="C28" s="29">
        <v>4094083</v>
      </c>
      <c r="D28" s="29">
        <v>38536634.979999997</v>
      </c>
      <c r="E28" s="29">
        <v>87.92</v>
      </c>
      <c r="F28" s="29">
        <v>201.54</v>
      </c>
      <c r="G28" s="29">
        <v>9999</v>
      </c>
      <c r="H28" s="29">
        <f>(E28-16.5)*1</f>
        <v>71.42</v>
      </c>
      <c r="I28" s="29">
        <f>(E28-114)*1</f>
        <v>-26.08</v>
      </c>
      <c r="J28" s="29">
        <v>9999</v>
      </c>
      <c r="K28" s="29">
        <v>9999</v>
      </c>
      <c r="L28" s="29">
        <v>9999</v>
      </c>
      <c r="M28" s="29">
        <v>9999</v>
      </c>
      <c r="N28" s="29">
        <v>9999</v>
      </c>
      <c r="O28" s="29">
        <f>(E28-121.4)*1</f>
        <v>-33.480000000000004</v>
      </c>
      <c r="P28" s="29">
        <f>(E28-125.6)*1</f>
        <v>-37.679999999999993</v>
      </c>
      <c r="Q28" s="29">
        <f>(E28-127.8)*1</f>
        <v>-39.879999999999995</v>
      </c>
      <c r="R28" s="29">
        <v>-47.08</v>
      </c>
      <c r="S28" s="29">
        <f>(E28-137.08)*1</f>
        <v>-49.160000000000011</v>
      </c>
      <c r="T28" s="29">
        <v>9999</v>
      </c>
      <c r="U28" s="29">
        <v>9999</v>
      </c>
      <c r="V28" s="29">
        <v>9999</v>
      </c>
      <c r="W28" s="29">
        <v>9999</v>
      </c>
      <c r="X28" s="29">
        <v>9999</v>
      </c>
      <c r="Y28" s="29">
        <v>9999</v>
      </c>
      <c r="Z28" s="29">
        <v>9999</v>
      </c>
      <c r="AA28" s="29">
        <v>9999</v>
      </c>
      <c r="AB28" s="29">
        <f>(E28-197.65)*1</f>
        <v>-109.73</v>
      </c>
      <c r="AC28" s="29">
        <f>(E28-201.49)*1</f>
        <v>-113.57000000000001</v>
      </c>
      <c r="AD28" s="9" t="s">
        <v>114</v>
      </c>
      <c r="AE28" s="35"/>
      <c r="AF28" s="35"/>
      <c r="AG28" s="16"/>
    </row>
    <row r="29" spans="1:33" s="2" customFormat="1" x14ac:dyDescent="0.25">
      <c r="A29" s="19">
        <v>27</v>
      </c>
      <c r="B29" s="32" t="s">
        <v>115</v>
      </c>
      <c r="C29" s="29">
        <v>4094499.87</v>
      </c>
      <c r="D29" s="29">
        <v>38536792.909999996</v>
      </c>
      <c r="E29" s="29">
        <v>85.21</v>
      </c>
      <c r="F29" s="29">
        <v>304.88</v>
      </c>
      <c r="G29" s="29">
        <v>9999</v>
      </c>
      <c r="H29" s="29">
        <v>9999</v>
      </c>
      <c r="I29" s="29">
        <f>(E29-118.4)*1</f>
        <v>-33.190000000000012</v>
      </c>
      <c r="J29" s="29">
        <v>9999</v>
      </c>
      <c r="K29" s="29">
        <v>9999</v>
      </c>
      <c r="L29" s="29">
        <v>9999</v>
      </c>
      <c r="M29" s="29">
        <v>9999</v>
      </c>
      <c r="N29" s="29">
        <v>9999</v>
      </c>
      <c r="O29" s="29">
        <f>(E29-134.3)*1</f>
        <v>-49.090000000000018</v>
      </c>
      <c r="P29" s="29">
        <f>(E29-164.25)*1</f>
        <v>-79.040000000000006</v>
      </c>
      <c r="Q29" s="29">
        <f>(E29-167.92)*1</f>
        <v>-82.71</v>
      </c>
      <c r="R29" s="29">
        <f>(E29-188.12)*1</f>
        <v>-102.91000000000001</v>
      </c>
      <c r="S29" s="29">
        <f>(E29-188.41)*1</f>
        <v>-103.2</v>
      </c>
      <c r="T29" s="29">
        <v>9999</v>
      </c>
      <c r="U29" s="29">
        <v>9999</v>
      </c>
      <c r="V29" s="29">
        <f>(E29-247.7)*1</f>
        <v>-162.49</v>
      </c>
      <c r="W29" s="29">
        <f>(E29-252.09)*1</f>
        <v>-166.88</v>
      </c>
      <c r="X29" s="29">
        <f>(E29-264.6)*1</f>
        <v>-179.39000000000004</v>
      </c>
      <c r="Y29" s="29">
        <f>(E29-270.91)*1</f>
        <v>-185.70000000000005</v>
      </c>
      <c r="Z29" s="29">
        <f>(E29-289.58)*1</f>
        <v>-204.37</v>
      </c>
      <c r="AA29" s="29">
        <f>(E29-290.88)*1</f>
        <v>-205.67000000000002</v>
      </c>
      <c r="AB29" s="29">
        <f>(E29-301.23)*1</f>
        <v>-216.02000000000004</v>
      </c>
      <c r="AC29" s="29">
        <f>(E29-304.88)*1</f>
        <v>-219.67000000000002</v>
      </c>
      <c r="AD29" s="20" t="s">
        <v>119</v>
      </c>
      <c r="AE29" s="35"/>
      <c r="AF29" s="35"/>
      <c r="AG29" s="16"/>
    </row>
    <row r="30" spans="1:33" s="2" customFormat="1" x14ac:dyDescent="0.25">
      <c r="A30" s="19">
        <v>28</v>
      </c>
      <c r="B30" s="32" t="s">
        <v>120</v>
      </c>
      <c r="C30" s="29">
        <v>4094342.65</v>
      </c>
      <c r="D30" s="29">
        <v>38537500.880000003</v>
      </c>
      <c r="E30" s="29">
        <v>83.45</v>
      </c>
      <c r="F30" s="29">
        <v>392.45</v>
      </c>
      <c r="G30" s="29">
        <f>(E30-28.5)*1</f>
        <v>54.95</v>
      </c>
      <c r="H30" s="29">
        <f>(E30-42.3)*1</f>
        <v>41.150000000000006</v>
      </c>
      <c r="I30" s="29">
        <f>(E30-176.2)*1</f>
        <v>-92.749999999999986</v>
      </c>
      <c r="J30" s="29">
        <v>9999</v>
      </c>
      <c r="K30" s="29">
        <v>9999</v>
      </c>
      <c r="L30" s="29">
        <f>(E30-183.3)*1</f>
        <v>-99.850000000000009</v>
      </c>
      <c r="M30" s="29">
        <f>(E30-185.1)*1</f>
        <v>-101.64999999999999</v>
      </c>
      <c r="N30" s="29">
        <f>(E30-203.66)*1</f>
        <v>-120.21</v>
      </c>
      <c r="O30" s="29">
        <f>(E30-210.19)*1</f>
        <v>-126.74</v>
      </c>
      <c r="P30" s="29">
        <f>(E30-254.46)*1</f>
        <v>-171.01</v>
      </c>
      <c r="Q30" s="29">
        <f>(E30-258.36)*1</f>
        <v>-174.91000000000003</v>
      </c>
      <c r="R30" s="29">
        <v>-183.88</v>
      </c>
      <c r="S30" s="29">
        <f>(E30-269.49)*1</f>
        <v>-186.04000000000002</v>
      </c>
      <c r="T30" s="29">
        <v>9999</v>
      </c>
      <c r="U30" s="29">
        <f>(E30-306.7)*1</f>
        <v>-223.25</v>
      </c>
      <c r="V30" s="29">
        <f>(E30-339.76)*1</f>
        <v>-256.31</v>
      </c>
      <c r="W30" s="29">
        <f>(E30-344.71)*1</f>
        <v>-261.26</v>
      </c>
      <c r="X30" s="29">
        <v>-269.95</v>
      </c>
      <c r="Y30" s="29">
        <f>(E30-359.4)*1</f>
        <v>-275.95</v>
      </c>
      <c r="Z30" s="29">
        <f>(E30-374.61)*1</f>
        <v>-291.16000000000003</v>
      </c>
      <c r="AA30" s="29">
        <f>(E30-376.58)*1</f>
        <v>-293.13</v>
      </c>
      <c r="AB30" s="29">
        <f>(E30-386.11)*1</f>
        <v>-302.66000000000003</v>
      </c>
      <c r="AC30" s="29">
        <f>(E30-392.26)*1</f>
        <v>-308.81</v>
      </c>
      <c r="AD30" s="19" t="s">
        <v>125</v>
      </c>
      <c r="AE30" s="35"/>
      <c r="AF30" s="35"/>
      <c r="AG30" s="16"/>
    </row>
    <row r="31" spans="1:33" s="2" customFormat="1" x14ac:dyDescent="0.25">
      <c r="A31" s="19">
        <v>29</v>
      </c>
      <c r="B31" s="32" t="s">
        <v>126</v>
      </c>
      <c r="C31" s="29">
        <v>4095447.91</v>
      </c>
      <c r="D31" s="29">
        <v>38537301.359999999</v>
      </c>
      <c r="E31" s="29">
        <v>96.97</v>
      </c>
      <c r="F31" s="29">
        <v>340.84</v>
      </c>
      <c r="G31" s="29">
        <f>(E31-16)*1</f>
        <v>80.97</v>
      </c>
      <c r="H31" s="29">
        <f>(E31-22.6)*1</f>
        <v>74.37</v>
      </c>
      <c r="I31" s="29">
        <f>(E31-157.6)*1</f>
        <v>-60.629999999999995</v>
      </c>
      <c r="J31" s="29">
        <v>9999</v>
      </c>
      <c r="K31" s="29">
        <v>9999</v>
      </c>
      <c r="L31" s="29">
        <v>9999</v>
      </c>
      <c r="M31" s="29">
        <v>9999</v>
      </c>
      <c r="N31" s="29">
        <v>9999</v>
      </c>
      <c r="O31" s="29">
        <v>9999</v>
      </c>
      <c r="P31" s="29">
        <v>9999</v>
      </c>
      <c r="Q31" s="29">
        <v>9999</v>
      </c>
      <c r="R31" s="29">
        <v>9999</v>
      </c>
      <c r="S31" s="29">
        <f>(E31-158.2)*1</f>
        <v>-61.22999999999999</v>
      </c>
      <c r="T31" s="29">
        <f>(E31-176.9)*1</f>
        <v>-79.930000000000007</v>
      </c>
      <c r="U31" s="29">
        <f>(E31-177.21)*1</f>
        <v>-80.240000000000009</v>
      </c>
      <c r="V31" s="29">
        <f>(E31-221.5)*1</f>
        <v>-124.53</v>
      </c>
      <c r="W31" s="29">
        <f>(E31-227.23)*1</f>
        <v>-130.26</v>
      </c>
      <c r="X31" s="29">
        <v>-136.03</v>
      </c>
      <c r="Y31" s="29">
        <f>(E31-238.38)*1</f>
        <v>-141.41</v>
      </c>
      <c r="Z31" s="29">
        <f>(E31-249.75)*1</f>
        <v>-152.78</v>
      </c>
      <c r="AA31" s="29">
        <f>(E31-254.48)*1</f>
        <v>-157.51</v>
      </c>
      <c r="AB31" s="29">
        <f>(E31-270.98)*1</f>
        <v>-174.01000000000002</v>
      </c>
      <c r="AC31" s="29">
        <f>(E31-340.82)*1</f>
        <v>-243.85</v>
      </c>
      <c r="AD31" s="9" t="s">
        <v>131</v>
      </c>
      <c r="AE31" s="35"/>
      <c r="AF31" s="35"/>
      <c r="AG31" s="16"/>
    </row>
    <row r="32" spans="1:33" s="2" customFormat="1" x14ac:dyDescent="0.25">
      <c r="A32" s="19">
        <v>30</v>
      </c>
      <c r="B32" s="32" t="s">
        <v>132</v>
      </c>
      <c r="C32" s="29">
        <v>4095902.95</v>
      </c>
      <c r="D32" s="29">
        <v>38537460.57</v>
      </c>
      <c r="E32" s="29">
        <v>98.01</v>
      </c>
      <c r="F32" s="29">
        <v>360.16</v>
      </c>
      <c r="G32" s="29">
        <f>(E32-10.8)*1</f>
        <v>87.210000000000008</v>
      </c>
      <c r="H32" s="29">
        <f>(E32-27.8)*1</f>
        <v>70.210000000000008</v>
      </c>
      <c r="I32" s="29">
        <f>(E32-170)*1</f>
        <v>-71.989999999999995</v>
      </c>
      <c r="J32" s="29">
        <v>9999</v>
      </c>
      <c r="K32" s="29">
        <v>9999</v>
      </c>
      <c r="L32" s="29">
        <v>9999</v>
      </c>
      <c r="M32" s="29">
        <v>9999</v>
      </c>
      <c r="N32" s="29">
        <v>9999</v>
      </c>
      <c r="O32" s="29">
        <v>9999</v>
      </c>
      <c r="P32" s="29">
        <v>9999</v>
      </c>
      <c r="Q32" s="29">
        <v>9999</v>
      </c>
      <c r="R32" s="29">
        <v>9999</v>
      </c>
      <c r="S32" s="29">
        <f>(E32-176.5)*1</f>
        <v>-78.489999999999995</v>
      </c>
      <c r="T32" s="29">
        <f>(E32-208.45)*1</f>
        <v>-110.43999999999998</v>
      </c>
      <c r="U32" s="29">
        <f>(E32-210.01)*1</f>
        <v>-111.99999999999999</v>
      </c>
      <c r="V32" s="29">
        <f>(E32-257.39)*1</f>
        <v>-159.38</v>
      </c>
      <c r="W32" s="29">
        <f>(E32-265.05)*1</f>
        <v>-167.04000000000002</v>
      </c>
      <c r="X32" s="29">
        <v>-171.09</v>
      </c>
      <c r="Y32" s="29">
        <f>(E32-275.01)*1</f>
        <v>-177</v>
      </c>
      <c r="Z32" s="29">
        <f>(E32-291.98)*1</f>
        <v>-193.97000000000003</v>
      </c>
      <c r="AA32" s="29">
        <f>(E32-293.88)*1</f>
        <v>-195.87</v>
      </c>
      <c r="AB32" s="29">
        <f>(E32-304.69)*1</f>
        <v>-206.68</v>
      </c>
      <c r="AC32" s="29">
        <f>(E32-359.79)*1</f>
        <v>-261.78000000000003</v>
      </c>
      <c r="AD32" s="19" t="s">
        <v>137</v>
      </c>
      <c r="AE32" s="35"/>
      <c r="AF32" s="35"/>
      <c r="AG32" s="16"/>
    </row>
    <row r="33" spans="1:33" s="2" customFormat="1" x14ac:dyDescent="0.25">
      <c r="A33" s="19">
        <v>31</v>
      </c>
      <c r="B33" s="32" t="s">
        <v>138</v>
      </c>
      <c r="C33" s="29">
        <v>4096110.4</v>
      </c>
      <c r="D33" s="29">
        <v>38537040.600000001</v>
      </c>
      <c r="E33" s="29">
        <v>84.95</v>
      </c>
      <c r="F33" s="29">
        <v>362.4</v>
      </c>
      <c r="G33" s="29">
        <f>(E33-16.2)*1</f>
        <v>68.75</v>
      </c>
      <c r="H33" s="29">
        <f>(E33-26.5)*1</f>
        <v>58.45</v>
      </c>
      <c r="I33" s="29">
        <f>(E33-142.57)*1</f>
        <v>-57.61999999999999</v>
      </c>
      <c r="J33" s="29">
        <v>9999</v>
      </c>
      <c r="K33" s="29">
        <v>9999</v>
      </c>
      <c r="L33" s="29">
        <v>9999</v>
      </c>
      <c r="M33" s="29">
        <v>9999</v>
      </c>
      <c r="N33" s="29">
        <v>9999</v>
      </c>
      <c r="O33" s="29">
        <v>9999</v>
      </c>
      <c r="P33" s="29">
        <v>9999</v>
      </c>
      <c r="Q33" s="29">
        <f>(E33-143.55)*1</f>
        <v>-58.600000000000009</v>
      </c>
      <c r="R33" s="29">
        <v>-76.3</v>
      </c>
      <c r="S33" s="29">
        <f>(E33-163.2)*1</f>
        <v>-78.249999999999986</v>
      </c>
      <c r="T33" s="29">
        <f>(E33-191.4)*1</f>
        <v>-106.45</v>
      </c>
      <c r="U33" s="29">
        <f>(E33-192.99)*1</f>
        <v>-108.04</v>
      </c>
      <c r="V33" s="29">
        <f>(E33-236.33)*1</f>
        <v>-151.38</v>
      </c>
      <c r="W33" s="29">
        <f>(E33-241.51)*1</f>
        <v>-156.56</v>
      </c>
      <c r="X33" s="29">
        <v>-161</v>
      </c>
      <c r="Y33" s="29">
        <f>(E33-250.56)*1</f>
        <v>-165.61</v>
      </c>
      <c r="Z33" s="29">
        <f>(E33-269.06)*1</f>
        <v>-184.11</v>
      </c>
      <c r="AA33" s="29">
        <f>(E33-275.2)*1</f>
        <v>-190.25</v>
      </c>
      <c r="AB33" s="29">
        <f>(E33-289.05)*1</f>
        <v>-204.10000000000002</v>
      </c>
      <c r="AC33" s="29">
        <f>(E33-361.45)*1</f>
        <v>-276.5</v>
      </c>
      <c r="AD33" s="9" t="s">
        <v>143</v>
      </c>
      <c r="AE33" s="35"/>
      <c r="AF33" s="35"/>
      <c r="AG33" s="16"/>
    </row>
    <row r="34" spans="1:33" s="2" customFormat="1" x14ac:dyDescent="0.25">
      <c r="A34" s="19">
        <v>32</v>
      </c>
      <c r="B34" s="32" t="s">
        <v>144</v>
      </c>
      <c r="C34" s="29">
        <v>4094937.93</v>
      </c>
      <c r="D34" s="29">
        <v>38537946.359999999</v>
      </c>
      <c r="E34" s="29">
        <v>90.45</v>
      </c>
      <c r="F34" s="29">
        <v>518.91</v>
      </c>
      <c r="G34" s="29">
        <f>(E34-11.8)*1</f>
        <v>78.650000000000006</v>
      </c>
      <c r="H34" s="29">
        <f>(E34-21.3)*1</f>
        <v>69.150000000000006</v>
      </c>
      <c r="I34" s="29">
        <f>(E34-176)*1</f>
        <v>-85.55</v>
      </c>
      <c r="J34" s="29">
        <f>(E34-192.61)*1</f>
        <v>-102.16000000000001</v>
      </c>
      <c r="K34" s="29">
        <f>(E34-255.1)*1</f>
        <v>-164.64999999999998</v>
      </c>
      <c r="L34" s="29">
        <v>9999</v>
      </c>
      <c r="M34" s="29">
        <f>(E34-290)*1</f>
        <v>-199.55</v>
      </c>
      <c r="N34" s="29">
        <v>-230.77</v>
      </c>
      <c r="O34" s="29">
        <f>(E34-326.44)*1</f>
        <v>-235.99</v>
      </c>
      <c r="P34" s="29">
        <f>(E34-368.79)*1</f>
        <v>-278.34000000000003</v>
      </c>
      <c r="Q34" s="29">
        <f>(E34-374.1)*1</f>
        <v>-283.65000000000003</v>
      </c>
      <c r="R34" s="29">
        <v>-291.66000000000003</v>
      </c>
      <c r="S34" s="29">
        <f>(E34-384.53)*1</f>
        <v>-294.08</v>
      </c>
      <c r="T34" s="29">
        <v>9999</v>
      </c>
      <c r="U34" s="29">
        <f>(E34-419.77)*1</f>
        <v>-329.32</v>
      </c>
      <c r="V34" s="29">
        <f>(E34-451.96)*1</f>
        <v>-361.51</v>
      </c>
      <c r="W34" s="29">
        <f>(E34-456.72)*1</f>
        <v>-366.27000000000004</v>
      </c>
      <c r="X34" s="29">
        <v>9999</v>
      </c>
      <c r="Y34" s="29">
        <f>(E34-462.51)*1</f>
        <v>-372.06</v>
      </c>
      <c r="Z34" s="29">
        <v>9999</v>
      </c>
      <c r="AA34" s="29">
        <v>9999</v>
      </c>
      <c r="AB34" s="29">
        <f>(E34-482.51)*1</f>
        <v>-392.06</v>
      </c>
      <c r="AC34" s="29">
        <f>(E34-518.33)*1</f>
        <v>-427.88000000000005</v>
      </c>
      <c r="AD34" s="19" t="s">
        <v>149</v>
      </c>
      <c r="AE34" s="35"/>
      <c r="AF34" s="35"/>
      <c r="AG34" s="16"/>
    </row>
    <row r="35" spans="1:33" s="2" customFormat="1" x14ac:dyDescent="0.25">
      <c r="A35" s="19">
        <v>33</v>
      </c>
      <c r="B35" s="32" t="s">
        <v>150</v>
      </c>
      <c r="C35" s="29">
        <v>4096437.5</v>
      </c>
      <c r="D35" s="29">
        <v>38537800.689999998</v>
      </c>
      <c r="E35" s="29">
        <v>94.79</v>
      </c>
      <c r="F35" s="29">
        <v>478</v>
      </c>
      <c r="G35" s="29">
        <f>(E35-15.8)*1</f>
        <v>78.990000000000009</v>
      </c>
      <c r="H35" s="29">
        <f>(E35-32.4)*1</f>
        <v>62.390000000000008</v>
      </c>
      <c r="I35" s="29">
        <f>(E35-215.63)*1</f>
        <v>-120.83999999999999</v>
      </c>
      <c r="J35" s="29">
        <v>9999</v>
      </c>
      <c r="K35" s="29">
        <v>9999</v>
      </c>
      <c r="L35" s="29">
        <v>9999</v>
      </c>
      <c r="M35" s="29">
        <v>9999</v>
      </c>
      <c r="N35" s="29">
        <v>9999</v>
      </c>
      <c r="O35" s="29">
        <f>(E35-220.13)*1</f>
        <v>-125.33999999999999</v>
      </c>
      <c r="P35" s="29">
        <f>(E35-235.7)*1</f>
        <v>-140.90999999999997</v>
      </c>
      <c r="Q35" s="29">
        <f>(E35-238.7)*1</f>
        <v>-143.90999999999997</v>
      </c>
      <c r="R35" s="29">
        <v>-152.5</v>
      </c>
      <c r="S35" s="29">
        <f>(E35-249.1)*1</f>
        <v>-154.31</v>
      </c>
      <c r="T35" s="29">
        <f>(E35-284.2)*1</f>
        <v>-189.40999999999997</v>
      </c>
      <c r="U35" s="29">
        <f>(E35-287)*1</f>
        <v>-192.20999999999998</v>
      </c>
      <c r="V35" s="29">
        <f>(E35-330.5)*1</f>
        <v>-235.70999999999998</v>
      </c>
      <c r="W35" s="29">
        <f>(E35-331.85)*1</f>
        <v>-237.06</v>
      </c>
      <c r="X35" s="29">
        <v>-240.54</v>
      </c>
      <c r="Y35" s="29">
        <f>(E35-338.58)*1</f>
        <v>-243.78999999999996</v>
      </c>
      <c r="Z35" s="29">
        <f>(E35-354.53)*1</f>
        <v>-259.73999999999995</v>
      </c>
      <c r="AA35" s="29">
        <f>(E35-359.57)*1</f>
        <v>-264.77999999999997</v>
      </c>
      <c r="AB35" s="29">
        <f>(E35-367.6)*1</f>
        <v>-272.81</v>
      </c>
      <c r="AC35" s="29">
        <f>(E35-476.86)*1</f>
        <v>-382.07</v>
      </c>
      <c r="AD35" s="19"/>
      <c r="AE35" s="35"/>
      <c r="AF35" s="35"/>
      <c r="AG35" s="16"/>
    </row>
    <row r="36" spans="1:33" s="2" customFormat="1" x14ac:dyDescent="0.25">
      <c r="A36" s="19">
        <v>34</v>
      </c>
      <c r="B36" s="32" t="s">
        <v>155</v>
      </c>
      <c r="C36" s="29">
        <v>4097666.4</v>
      </c>
      <c r="D36" s="29">
        <v>38538076.200000003</v>
      </c>
      <c r="E36" s="29">
        <v>92.01</v>
      </c>
      <c r="F36" s="29">
        <v>283.33999999999997</v>
      </c>
      <c r="G36" s="29">
        <f>(E36-6.95)*1</f>
        <v>85.06</v>
      </c>
      <c r="H36" s="29">
        <f>(E36-33.45)*1</f>
        <v>58.56</v>
      </c>
      <c r="I36" s="29">
        <f>(E36-171.75)*1</f>
        <v>-79.739999999999995</v>
      </c>
      <c r="J36" s="29">
        <v>9999</v>
      </c>
      <c r="K36" s="29">
        <v>9999</v>
      </c>
      <c r="L36" s="29">
        <v>9999</v>
      </c>
      <c r="M36" s="29">
        <v>9999</v>
      </c>
      <c r="N36" s="29">
        <v>9999</v>
      </c>
      <c r="O36" s="29">
        <v>9999</v>
      </c>
      <c r="P36" s="29">
        <v>9999</v>
      </c>
      <c r="Q36" s="29">
        <v>9999</v>
      </c>
      <c r="R36" s="29">
        <v>9999</v>
      </c>
      <c r="S36" s="29">
        <v>9999</v>
      </c>
      <c r="T36" s="29">
        <v>9999</v>
      </c>
      <c r="U36" s="29">
        <f>(E36-171.75)*1</f>
        <v>-79.739999999999995</v>
      </c>
      <c r="V36" s="29">
        <v>9999</v>
      </c>
      <c r="W36" s="29">
        <f>(E36-199.2)*1</f>
        <v>-107.18999999999998</v>
      </c>
      <c r="X36" s="29">
        <v>-110.95</v>
      </c>
      <c r="Y36" s="29">
        <f>(E36-212.01)*1</f>
        <v>-119.99999999999999</v>
      </c>
      <c r="Z36" s="29">
        <f>(E36-218.82)*1</f>
        <v>-126.80999999999999</v>
      </c>
      <c r="AA36" s="29">
        <f>(E36-224.3)*1</f>
        <v>-132.29000000000002</v>
      </c>
      <c r="AB36" s="29">
        <f>(E36-233.4)*1</f>
        <v>-141.38999999999999</v>
      </c>
      <c r="AC36" s="29">
        <f>(E36-290)*1</f>
        <v>-197.99</v>
      </c>
      <c r="AD36" s="20" t="s">
        <v>160</v>
      </c>
      <c r="AE36" s="35"/>
      <c r="AF36" s="35"/>
      <c r="AG36" s="16"/>
    </row>
    <row r="37" spans="1:33" s="2" customFormat="1" x14ac:dyDescent="0.25">
      <c r="A37" s="19">
        <v>35</v>
      </c>
      <c r="B37" s="32" t="s">
        <v>610</v>
      </c>
      <c r="C37" s="29">
        <v>4098199.72</v>
      </c>
      <c r="D37" s="29">
        <v>38539713.420000002</v>
      </c>
      <c r="E37" s="29">
        <v>88.02</v>
      </c>
      <c r="F37" s="29">
        <v>625.1</v>
      </c>
      <c r="G37" s="29">
        <v>66.52</v>
      </c>
      <c r="H37" s="29">
        <v>48.72</v>
      </c>
      <c r="I37" s="29">
        <v>-154.88</v>
      </c>
      <c r="J37" s="29">
        <v>9999</v>
      </c>
      <c r="K37" s="29">
        <v>-160.27000000000001</v>
      </c>
      <c r="L37" s="29">
        <v>9999</v>
      </c>
      <c r="M37" s="29">
        <v>-165.63</v>
      </c>
      <c r="N37" s="29">
        <v>9999</v>
      </c>
      <c r="O37" s="29">
        <v>-168.33</v>
      </c>
      <c r="P37" s="29">
        <v>-194.48</v>
      </c>
      <c r="Q37" s="29">
        <v>-194.18</v>
      </c>
      <c r="R37" s="29">
        <v>-212.44000000000003</v>
      </c>
      <c r="S37" s="29">
        <v>-213.66</v>
      </c>
      <c r="T37" s="29">
        <v>-243.28</v>
      </c>
      <c r="U37" s="29">
        <v>-245.23</v>
      </c>
      <c r="V37" s="29">
        <v>-281.3</v>
      </c>
      <c r="W37" s="29">
        <v>-281.5</v>
      </c>
      <c r="X37" s="29">
        <v>9999</v>
      </c>
      <c r="Y37" s="29">
        <v>9999</v>
      </c>
      <c r="Z37" s="29">
        <v>-287.72000000000003</v>
      </c>
      <c r="AA37" s="29">
        <v>-293.42</v>
      </c>
      <c r="AB37" s="29">
        <v>-487.62</v>
      </c>
      <c r="AC37" s="29">
        <v>-505.82</v>
      </c>
      <c r="AD37" s="19"/>
      <c r="AE37" s="36" t="s">
        <v>164</v>
      </c>
      <c r="AF37" s="36" t="s">
        <v>163</v>
      </c>
      <c r="AG37" s="16"/>
    </row>
    <row r="38" spans="1:33" s="2" customFormat="1" x14ac:dyDescent="0.25">
      <c r="A38" s="19">
        <v>36</v>
      </c>
      <c r="B38" s="32" t="s">
        <v>611</v>
      </c>
      <c r="C38" s="29">
        <v>4098174.43</v>
      </c>
      <c r="D38" s="29">
        <v>38538475.960000001</v>
      </c>
      <c r="E38" s="29">
        <v>88.56</v>
      </c>
      <c r="F38" s="29">
        <v>333.2</v>
      </c>
      <c r="G38" s="29">
        <v>73.06</v>
      </c>
      <c r="H38" s="29">
        <v>53.16</v>
      </c>
      <c r="I38" s="29">
        <v>-62.89</v>
      </c>
      <c r="J38" s="29">
        <v>9999</v>
      </c>
      <c r="K38" s="29">
        <v>9999</v>
      </c>
      <c r="L38" s="29">
        <v>9999</v>
      </c>
      <c r="M38" s="29">
        <v>9999</v>
      </c>
      <c r="N38" s="29">
        <v>9999</v>
      </c>
      <c r="O38" s="29">
        <v>9999</v>
      </c>
      <c r="P38" s="29">
        <v>9999</v>
      </c>
      <c r="Q38" s="29">
        <v>9999</v>
      </c>
      <c r="R38" s="29">
        <v>9999</v>
      </c>
      <c r="S38" s="29">
        <v>9999</v>
      </c>
      <c r="T38" s="29">
        <v>9999</v>
      </c>
      <c r="U38" s="29">
        <v>9999</v>
      </c>
      <c r="V38" s="29">
        <v>9999</v>
      </c>
      <c r="W38" s="29">
        <v>-90.24</v>
      </c>
      <c r="X38" s="29">
        <v>-119.29</v>
      </c>
      <c r="Y38" s="29">
        <v>-120.19</v>
      </c>
      <c r="Z38" s="29">
        <v>9999</v>
      </c>
      <c r="AA38" s="29">
        <v>9999</v>
      </c>
      <c r="AB38" s="29">
        <v>-142.13999999999999</v>
      </c>
      <c r="AC38" s="29">
        <v>9999</v>
      </c>
      <c r="AD38" s="19"/>
      <c r="AE38" s="36"/>
      <c r="AF38" s="36"/>
      <c r="AG38" s="16"/>
    </row>
    <row r="39" spans="1:33" s="2" customFormat="1" x14ac:dyDescent="0.25">
      <c r="A39" s="19">
        <v>37</v>
      </c>
      <c r="B39" s="32" t="s">
        <v>259</v>
      </c>
      <c r="C39" s="29">
        <v>4097474.76</v>
      </c>
      <c r="D39" s="29">
        <v>38537553.049999997</v>
      </c>
      <c r="E39" s="29">
        <v>94.76</v>
      </c>
      <c r="F39" s="29">
        <v>403.3</v>
      </c>
      <c r="G39" s="29">
        <v>80.760000000000005</v>
      </c>
      <c r="H39" s="29">
        <v>60.76</v>
      </c>
      <c r="I39" s="29">
        <v>-88.14</v>
      </c>
      <c r="J39" s="29">
        <v>9999</v>
      </c>
      <c r="K39" s="29">
        <v>9999</v>
      </c>
      <c r="L39" s="29">
        <v>9999</v>
      </c>
      <c r="M39" s="29">
        <v>9999</v>
      </c>
      <c r="N39" s="29">
        <v>9999</v>
      </c>
      <c r="O39" s="29">
        <v>9999</v>
      </c>
      <c r="P39" s="29">
        <v>9999</v>
      </c>
      <c r="Q39" s="29">
        <v>-93.54</v>
      </c>
      <c r="R39" s="29">
        <v>9999</v>
      </c>
      <c r="S39" s="29">
        <v>9999</v>
      </c>
      <c r="T39" s="29">
        <v>-126.44</v>
      </c>
      <c r="U39" s="29">
        <v>-126.84</v>
      </c>
      <c r="V39" s="29">
        <v>-154.24</v>
      </c>
      <c r="W39" s="29">
        <v>-157.34</v>
      </c>
      <c r="X39" s="29">
        <v>-169.89000000000001</v>
      </c>
      <c r="Y39" s="29">
        <v>-175.24</v>
      </c>
      <c r="Z39" s="29">
        <v>-194.4</v>
      </c>
      <c r="AA39" s="29">
        <v>-198.24</v>
      </c>
      <c r="AB39" s="29">
        <v>-203.74</v>
      </c>
      <c r="AC39" s="29">
        <v>9999</v>
      </c>
      <c r="AD39" s="19"/>
      <c r="AE39" s="36"/>
      <c r="AF39" s="36"/>
      <c r="AG39" s="16"/>
    </row>
    <row r="40" spans="1:33" s="2" customFormat="1" x14ac:dyDescent="0.25">
      <c r="A40" s="19">
        <v>38</v>
      </c>
      <c r="B40" s="32" t="s">
        <v>260</v>
      </c>
      <c r="C40" s="29">
        <v>4094720.97</v>
      </c>
      <c r="D40" s="29">
        <v>38536692.840000004</v>
      </c>
      <c r="E40" s="29">
        <v>86.36</v>
      </c>
      <c r="F40" s="29">
        <v>398</v>
      </c>
      <c r="G40" s="29">
        <v>86.36</v>
      </c>
      <c r="H40" s="29">
        <v>75.36</v>
      </c>
      <c r="I40" s="29">
        <v>-11.84</v>
      </c>
      <c r="J40" s="29">
        <v>9999</v>
      </c>
      <c r="K40" s="29">
        <v>9999</v>
      </c>
      <c r="L40" s="29">
        <v>9999</v>
      </c>
      <c r="M40" s="29">
        <v>9999</v>
      </c>
      <c r="N40" s="29">
        <v>9999</v>
      </c>
      <c r="O40" s="29">
        <v>9999</v>
      </c>
      <c r="P40" s="29">
        <v>9999</v>
      </c>
      <c r="Q40" s="29">
        <v>-29.14</v>
      </c>
      <c r="R40" s="29">
        <v>9999</v>
      </c>
      <c r="S40" s="29">
        <v>9999</v>
      </c>
      <c r="T40" s="29">
        <v>9999</v>
      </c>
      <c r="U40" s="29">
        <v>9999</v>
      </c>
      <c r="V40" s="29">
        <v>9999</v>
      </c>
      <c r="W40" s="29">
        <v>9999</v>
      </c>
      <c r="X40" s="29">
        <v>-179.59</v>
      </c>
      <c r="Y40" s="29">
        <v>-186.43</v>
      </c>
      <c r="Z40" s="29">
        <v>-194.84</v>
      </c>
      <c r="AA40" s="29">
        <v>9999</v>
      </c>
      <c r="AB40" s="29">
        <v>-207.14</v>
      </c>
      <c r="AC40" s="29">
        <v>9999</v>
      </c>
      <c r="AD40" s="19"/>
      <c r="AE40" s="36"/>
      <c r="AF40" s="36"/>
      <c r="AG40" s="16"/>
    </row>
    <row r="41" spans="1:33" s="2" customFormat="1" x14ac:dyDescent="0.25">
      <c r="A41" s="19">
        <v>39</v>
      </c>
      <c r="B41" s="32" t="s">
        <v>612</v>
      </c>
      <c r="C41" s="29">
        <v>4094122.213</v>
      </c>
      <c r="D41" s="29">
        <v>38536776.619999997</v>
      </c>
      <c r="E41" s="29">
        <v>87.38</v>
      </c>
      <c r="F41" s="29">
        <v>380.24</v>
      </c>
      <c r="G41" s="29">
        <v>9999</v>
      </c>
      <c r="H41" s="29">
        <v>9999</v>
      </c>
      <c r="I41" s="29">
        <v>9999</v>
      </c>
      <c r="J41" s="29">
        <v>9999</v>
      </c>
      <c r="K41" s="29">
        <v>9999</v>
      </c>
      <c r="L41" s="29">
        <v>9999</v>
      </c>
      <c r="M41" s="29">
        <v>9999</v>
      </c>
      <c r="N41" s="29">
        <v>9999</v>
      </c>
      <c r="O41" s="29">
        <v>9999</v>
      </c>
      <c r="P41" s="29">
        <v>9999</v>
      </c>
      <c r="Q41" s="29">
        <v>-36.119999999999997</v>
      </c>
      <c r="R41" s="29">
        <v>-52.38</v>
      </c>
      <c r="S41" s="29">
        <v>-54.03</v>
      </c>
      <c r="T41" s="29">
        <v>9999</v>
      </c>
      <c r="U41" s="29">
        <v>9999</v>
      </c>
      <c r="V41" s="29">
        <v>-116.42</v>
      </c>
      <c r="W41" s="29">
        <v>-122.02</v>
      </c>
      <c r="X41" s="29">
        <v>-143.82</v>
      </c>
      <c r="Y41" s="29">
        <v>-149.22</v>
      </c>
      <c r="Z41" s="29">
        <v>-159.62</v>
      </c>
      <c r="AA41" s="29">
        <v>-162.41999999999999</v>
      </c>
      <c r="AB41" s="29">
        <v>-167.72</v>
      </c>
      <c r="AC41" s="29">
        <v>9999</v>
      </c>
      <c r="AD41" s="19"/>
      <c r="AE41" s="36"/>
      <c r="AF41" s="36"/>
      <c r="AG41" s="16"/>
    </row>
    <row r="42" spans="1:33" s="2" customFormat="1" x14ac:dyDescent="0.25">
      <c r="A42" s="19">
        <v>40</v>
      </c>
      <c r="B42" s="32" t="s">
        <v>261</v>
      </c>
      <c r="C42" s="29">
        <v>4095774.13</v>
      </c>
      <c r="D42" s="29">
        <v>38538348.560000002</v>
      </c>
      <c r="E42" s="29">
        <v>92.15</v>
      </c>
      <c r="F42" s="29">
        <v>496.58</v>
      </c>
      <c r="G42" s="29">
        <v>76.13</v>
      </c>
      <c r="H42" s="29">
        <v>65.430000000000007</v>
      </c>
      <c r="I42" s="29">
        <v>-157.47</v>
      </c>
      <c r="J42" s="29">
        <v>-165.85</v>
      </c>
      <c r="K42" s="29">
        <v>-185.69</v>
      </c>
      <c r="L42" s="29">
        <v>-195.21</v>
      </c>
      <c r="M42" s="29">
        <v>-221.37</v>
      </c>
      <c r="N42" s="29">
        <v>-232.55999999999997</v>
      </c>
      <c r="O42" s="29">
        <v>-239.67</v>
      </c>
      <c r="P42" s="29">
        <v>-283.36</v>
      </c>
      <c r="Q42" s="29">
        <v>-287.51</v>
      </c>
      <c r="R42" s="29">
        <v>-298.42</v>
      </c>
      <c r="S42" s="29">
        <v>-301.08999999999997</v>
      </c>
      <c r="T42" s="29">
        <v>-330.19</v>
      </c>
      <c r="U42" s="29">
        <v>-332.24</v>
      </c>
      <c r="V42" s="29">
        <v>-374.91</v>
      </c>
      <c r="W42" s="29">
        <v>-382.91</v>
      </c>
      <c r="X42" s="29">
        <v>-384.67</v>
      </c>
      <c r="Y42" s="29">
        <v>-392.98</v>
      </c>
      <c r="Z42" s="29">
        <v>9999</v>
      </c>
      <c r="AA42" s="29">
        <v>9999</v>
      </c>
      <c r="AB42" s="29">
        <v>9999</v>
      </c>
      <c r="AC42" s="29">
        <v>9999</v>
      </c>
      <c r="AD42" s="19" t="s">
        <v>262</v>
      </c>
      <c r="AE42" s="36"/>
      <c r="AF42" s="36"/>
      <c r="AG42" s="16"/>
    </row>
    <row r="43" spans="1:33" s="2" customFormat="1" x14ac:dyDescent="0.25">
      <c r="A43" s="19">
        <v>41</v>
      </c>
      <c r="B43" s="32" t="s">
        <v>263</v>
      </c>
      <c r="C43" s="29">
        <v>4097582.79</v>
      </c>
      <c r="D43" s="29">
        <v>38538780.789999999</v>
      </c>
      <c r="E43" s="29">
        <v>88.08</v>
      </c>
      <c r="F43" s="29">
        <v>399.54</v>
      </c>
      <c r="G43" s="29">
        <v>70.400000000000006</v>
      </c>
      <c r="H43" s="29">
        <v>52.95</v>
      </c>
      <c r="I43" s="29">
        <v>-128.41</v>
      </c>
      <c r="J43" s="29">
        <v>9999</v>
      </c>
      <c r="K43" s="29">
        <v>9999</v>
      </c>
      <c r="L43" s="29">
        <v>-136.97</v>
      </c>
      <c r="M43" s="29">
        <v>-141.63</v>
      </c>
      <c r="N43" s="29">
        <v>-149.92000000000002</v>
      </c>
      <c r="O43" s="29">
        <v>-155.47</v>
      </c>
      <c r="P43" s="29">
        <v>-194.35</v>
      </c>
      <c r="Q43" s="29">
        <v>-195.55</v>
      </c>
      <c r="R43" s="29">
        <v>-209.41</v>
      </c>
      <c r="S43" s="29">
        <v>-210.2</v>
      </c>
      <c r="T43" s="29">
        <v>-236.61</v>
      </c>
      <c r="U43" s="29">
        <v>-238.95</v>
      </c>
      <c r="V43" s="29">
        <v>-278.08</v>
      </c>
      <c r="W43" s="29">
        <v>-285.2</v>
      </c>
      <c r="X43" s="29">
        <v>-287.23</v>
      </c>
      <c r="Y43" s="29">
        <v>-292.62</v>
      </c>
      <c r="Z43" s="29">
        <v>-305.49</v>
      </c>
      <c r="AA43" s="29">
        <v>9999</v>
      </c>
      <c r="AB43" s="29">
        <v>9999</v>
      </c>
      <c r="AC43" s="29">
        <v>9999</v>
      </c>
      <c r="AD43" s="19" t="s">
        <v>264</v>
      </c>
      <c r="AE43" s="36"/>
      <c r="AF43" s="36"/>
      <c r="AG43" s="16"/>
    </row>
    <row r="44" spans="1:33" s="2" customFormat="1" x14ac:dyDescent="0.25">
      <c r="A44" s="19">
        <v>42</v>
      </c>
      <c r="B44" s="32" t="s">
        <v>265</v>
      </c>
      <c r="C44" s="29">
        <v>4097286.06</v>
      </c>
      <c r="D44" s="29">
        <v>38539430.670000002</v>
      </c>
      <c r="E44" s="29">
        <v>87.6</v>
      </c>
      <c r="F44" s="29">
        <v>471.73</v>
      </c>
      <c r="G44" s="29">
        <v>70.22</v>
      </c>
      <c r="H44" s="29">
        <v>53.82</v>
      </c>
      <c r="I44" s="29">
        <v>-150.07</v>
      </c>
      <c r="J44" s="29">
        <v>-159.77000000000001</v>
      </c>
      <c r="K44" s="29">
        <v>-218.79</v>
      </c>
      <c r="L44" s="29">
        <v>-233.99</v>
      </c>
      <c r="M44" s="29">
        <v>-238.66</v>
      </c>
      <c r="N44" s="29">
        <v>-252</v>
      </c>
      <c r="O44" s="29">
        <v>-256.26</v>
      </c>
      <c r="P44" s="29">
        <v>-296</v>
      </c>
      <c r="Q44" s="29">
        <v>-296.89</v>
      </c>
      <c r="R44" s="29">
        <v>9999</v>
      </c>
      <c r="S44" s="29">
        <v>-306.83999999999997</v>
      </c>
      <c r="T44" s="29">
        <v>-316.16000000000003</v>
      </c>
      <c r="U44" s="29">
        <v>-318.56</v>
      </c>
      <c r="V44" s="29">
        <v>-343.95</v>
      </c>
      <c r="W44" s="29">
        <v>9999</v>
      </c>
      <c r="X44" s="29">
        <v>-354.53000000000003</v>
      </c>
      <c r="Y44" s="29">
        <v>-360.69</v>
      </c>
      <c r="Z44" s="29">
        <v>-370.86</v>
      </c>
      <c r="AA44" s="29">
        <v>-381.61</v>
      </c>
      <c r="AB44" s="29">
        <v>9999</v>
      </c>
      <c r="AC44" s="29">
        <v>9999</v>
      </c>
      <c r="AD44" s="19" t="s">
        <v>266</v>
      </c>
      <c r="AE44" s="36"/>
      <c r="AF44" s="36"/>
      <c r="AG44" s="16"/>
    </row>
    <row r="45" spans="1:33" s="2" customFormat="1" x14ac:dyDescent="0.25">
      <c r="A45" s="19">
        <v>43</v>
      </c>
      <c r="B45" s="32" t="s">
        <v>267</v>
      </c>
      <c r="C45" s="29">
        <v>4096888.73</v>
      </c>
      <c r="D45" s="29">
        <v>38538661.280000001</v>
      </c>
      <c r="E45" s="29">
        <v>90.8</v>
      </c>
      <c r="F45" s="29">
        <v>464.02</v>
      </c>
      <c r="G45" s="29">
        <v>77.13</v>
      </c>
      <c r="H45" s="29">
        <v>58.55</v>
      </c>
      <c r="I45" s="29">
        <v>-158.46</v>
      </c>
      <c r="J45" s="29">
        <v>-167.15</v>
      </c>
      <c r="K45" s="29">
        <v>9999</v>
      </c>
      <c r="L45" s="29">
        <v>-167.15</v>
      </c>
      <c r="M45" s="29">
        <v>-181.03</v>
      </c>
      <c r="N45" s="29">
        <v>-199.89000000000001</v>
      </c>
      <c r="O45" s="29">
        <v>-206.37</v>
      </c>
      <c r="P45" s="29">
        <v>-246.58</v>
      </c>
      <c r="Q45" s="29">
        <v>-247.76</v>
      </c>
      <c r="R45" s="29">
        <v>-262.49999999999994</v>
      </c>
      <c r="S45" s="29">
        <v>-263.29000000000002</v>
      </c>
      <c r="T45" s="29">
        <v>-290.75</v>
      </c>
      <c r="U45" s="29">
        <v>-293.70999999999998</v>
      </c>
      <c r="V45" s="29">
        <v>-335.77</v>
      </c>
      <c r="W45" s="29">
        <v>9999</v>
      </c>
      <c r="X45" s="29">
        <v>-343.45</v>
      </c>
      <c r="Y45" s="29">
        <v>-352.61</v>
      </c>
      <c r="Z45" s="29">
        <v>-365.81</v>
      </c>
      <c r="AA45" s="29">
        <v>9999</v>
      </c>
      <c r="AB45" s="29">
        <v>9999</v>
      </c>
      <c r="AC45" s="29">
        <v>9999</v>
      </c>
      <c r="AD45" s="19" t="s">
        <v>268</v>
      </c>
      <c r="AE45" s="36"/>
      <c r="AF45" s="36"/>
      <c r="AG45" s="16"/>
    </row>
    <row r="46" spans="1:33" s="2" customFormat="1" x14ac:dyDescent="0.25">
      <c r="A46" s="19">
        <v>44</v>
      </c>
      <c r="B46" s="32" t="s">
        <v>269</v>
      </c>
      <c r="C46" s="29">
        <v>4096674.24</v>
      </c>
      <c r="D46" s="29">
        <v>38539059.399999999</v>
      </c>
      <c r="E46" s="29">
        <v>89.15</v>
      </c>
      <c r="F46" s="29">
        <v>535.79</v>
      </c>
      <c r="G46" s="29">
        <v>78.55</v>
      </c>
      <c r="H46" s="29">
        <v>56.85</v>
      </c>
      <c r="I46" s="29">
        <v>-164.35</v>
      </c>
      <c r="J46" s="29">
        <v>-179.35</v>
      </c>
      <c r="K46" s="29">
        <v>-215.56</v>
      </c>
      <c r="L46" s="29">
        <v>-232.34</v>
      </c>
      <c r="M46" s="29">
        <v>-254.79</v>
      </c>
      <c r="N46" s="29">
        <v>-273.45</v>
      </c>
      <c r="O46" s="29">
        <v>-279.66000000000003</v>
      </c>
      <c r="P46" s="29">
        <v>-319.52</v>
      </c>
      <c r="Q46" s="29">
        <v>-320.36</v>
      </c>
      <c r="R46" s="29">
        <v>-336.05</v>
      </c>
      <c r="S46" s="29">
        <v>-338.51</v>
      </c>
      <c r="T46" s="29">
        <v>-368.72</v>
      </c>
      <c r="U46" s="29">
        <v>-371.34</v>
      </c>
      <c r="V46" s="29">
        <v>-410.91</v>
      </c>
      <c r="W46" s="29">
        <v>9999</v>
      </c>
      <c r="X46" s="29">
        <v>-418.39</v>
      </c>
      <c r="Y46" s="29">
        <v>-426.61</v>
      </c>
      <c r="Z46" s="29">
        <v>-442.69</v>
      </c>
      <c r="AA46" s="29">
        <v>9999</v>
      </c>
      <c r="AB46" s="29">
        <v>9999</v>
      </c>
      <c r="AC46" s="29">
        <v>9999</v>
      </c>
      <c r="AD46" s="19" t="s">
        <v>270</v>
      </c>
      <c r="AE46" s="36"/>
      <c r="AF46" s="36"/>
      <c r="AG46" s="16"/>
    </row>
    <row r="47" spans="1:33" s="2" customFormat="1" x14ac:dyDescent="0.25">
      <c r="A47" s="19">
        <v>45</v>
      </c>
      <c r="B47" s="32" t="s">
        <v>613</v>
      </c>
      <c r="C47" s="29">
        <v>4095064.9</v>
      </c>
      <c r="D47" s="29">
        <v>38538475.75</v>
      </c>
      <c r="E47" s="29">
        <v>90.34</v>
      </c>
      <c r="F47" s="29">
        <v>496.3</v>
      </c>
      <c r="G47" s="29">
        <v>76.56</v>
      </c>
      <c r="H47" s="29">
        <v>64.23</v>
      </c>
      <c r="I47" s="29">
        <v>-88.06</v>
      </c>
      <c r="J47" s="29">
        <v>-91.38</v>
      </c>
      <c r="K47" s="29">
        <v>-176.77</v>
      </c>
      <c r="L47" s="29">
        <v>-180.66</v>
      </c>
      <c r="M47" s="29">
        <v>-184.19</v>
      </c>
      <c r="N47" s="29">
        <v>-202.14</v>
      </c>
      <c r="O47" s="29">
        <v>-207.42</v>
      </c>
      <c r="P47" s="29">
        <v>-225.81</v>
      </c>
      <c r="Q47" s="29">
        <v>-227.17</v>
      </c>
      <c r="R47" s="29">
        <v>-239.69</v>
      </c>
      <c r="S47" s="29">
        <v>-240.27</v>
      </c>
      <c r="T47" s="29">
        <v>-259.52</v>
      </c>
      <c r="U47" s="29">
        <v>-260.3</v>
      </c>
      <c r="V47" s="29">
        <v>-302.36</v>
      </c>
      <c r="W47" s="29">
        <v>9999</v>
      </c>
      <c r="X47" s="29">
        <v>-308.10999999999996</v>
      </c>
      <c r="Y47" s="29">
        <v>-315.81</v>
      </c>
      <c r="Z47" s="29">
        <v>-330.07</v>
      </c>
      <c r="AA47" s="29">
        <v>-331.55</v>
      </c>
      <c r="AB47" s="29">
        <v>-345.85</v>
      </c>
      <c r="AC47" s="29">
        <v>9999</v>
      </c>
      <c r="AD47" s="19" t="s">
        <v>271</v>
      </c>
      <c r="AE47" s="36"/>
      <c r="AF47" s="36"/>
      <c r="AG47" s="16"/>
    </row>
    <row r="48" spans="1:33" s="2" customFormat="1" x14ac:dyDescent="0.25">
      <c r="A48" s="19">
        <v>46</v>
      </c>
      <c r="B48" s="32" t="s">
        <v>614</v>
      </c>
      <c r="C48" s="29">
        <v>4094494.07</v>
      </c>
      <c r="D48" s="29">
        <v>38538394.409999996</v>
      </c>
      <c r="E48" s="29">
        <v>81.209999999999994</v>
      </c>
      <c r="F48" s="29">
        <v>394.02</v>
      </c>
      <c r="G48" s="29">
        <v>77.98</v>
      </c>
      <c r="H48" s="29">
        <v>66.47</v>
      </c>
      <c r="I48" s="29">
        <v>-92.34</v>
      </c>
      <c r="J48" s="29">
        <v>-95.64</v>
      </c>
      <c r="K48" s="29">
        <v>-101.4</v>
      </c>
      <c r="L48" s="29">
        <v>-112.88</v>
      </c>
      <c r="M48" s="29">
        <v>-146.93</v>
      </c>
      <c r="N48" s="29">
        <v>-150.82</v>
      </c>
      <c r="O48" s="29">
        <v>-157.19999999999999</v>
      </c>
      <c r="P48" s="29">
        <v>-198.59</v>
      </c>
      <c r="Q48" s="29">
        <v>-201.91</v>
      </c>
      <c r="R48" s="29">
        <v>-211.02</v>
      </c>
      <c r="S48" s="29">
        <v>-212.86</v>
      </c>
      <c r="T48" s="29">
        <v>9999</v>
      </c>
      <c r="U48" s="29">
        <v>9999</v>
      </c>
      <c r="V48" s="29">
        <v>-283.83999999999997</v>
      </c>
      <c r="W48" s="29">
        <v>9999</v>
      </c>
      <c r="X48" s="29">
        <v>-288.82000000000005</v>
      </c>
      <c r="Y48" s="29">
        <v>-294.47000000000003</v>
      </c>
      <c r="Z48" s="29">
        <v>-304.73</v>
      </c>
      <c r="AA48" s="29">
        <v>9999</v>
      </c>
      <c r="AB48" s="29">
        <v>9999</v>
      </c>
      <c r="AC48" s="29">
        <v>9999</v>
      </c>
      <c r="AD48" s="19" t="s">
        <v>272</v>
      </c>
      <c r="AE48" s="36"/>
      <c r="AF48" s="36"/>
      <c r="AG48" s="16"/>
    </row>
    <row r="49" spans="1:33" s="2" customFormat="1" x14ac:dyDescent="0.25">
      <c r="A49" s="19">
        <v>47</v>
      </c>
      <c r="B49" s="32" t="s">
        <v>273</v>
      </c>
      <c r="C49" s="29">
        <v>4098284.61</v>
      </c>
      <c r="D49" s="29">
        <v>38538945.579999998</v>
      </c>
      <c r="E49" s="29">
        <v>88.65</v>
      </c>
      <c r="F49" s="29">
        <v>401.04</v>
      </c>
      <c r="G49" s="29">
        <v>74.849999999999994</v>
      </c>
      <c r="H49" s="29">
        <v>50.35</v>
      </c>
      <c r="I49" s="29">
        <v>-82.15</v>
      </c>
      <c r="J49" s="29">
        <v>-83.95</v>
      </c>
      <c r="K49" s="29">
        <v>-93.64</v>
      </c>
      <c r="L49" s="29">
        <v>-95.96</v>
      </c>
      <c r="M49" s="29">
        <v>9999</v>
      </c>
      <c r="N49" s="29">
        <v>-112.18999999999998</v>
      </c>
      <c r="O49" s="29">
        <v>-117.98</v>
      </c>
      <c r="P49" s="29">
        <v>-156.72999999999999</v>
      </c>
      <c r="Q49" s="29">
        <v>-156.93</v>
      </c>
      <c r="R49" s="29">
        <v>9999</v>
      </c>
      <c r="S49" s="29">
        <v>9999</v>
      </c>
      <c r="T49" s="29">
        <v>-184.11</v>
      </c>
      <c r="U49" s="29">
        <v>-185.95</v>
      </c>
      <c r="V49" s="29">
        <v>-221.21</v>
      </c>
      <c r="W49" s="29">
        <v>9999</v>
      </c>
      <c r="X49" s="29">
        <v>-227.82</v>
      </c>
      <c r="Y49" s="29">
        <v>-234.49</v>
      </c>
      <c r="Z49" s="29">
        <v>-249.85</v>
      </c>
      <c r="AA49" s="29">
        <v>-254.58</v>
      </c>
      <c r="AB49" s="29">
        <v>-265.45999999999998</v>
      </c>
      <c r="AC49" s="29">
        <v>9999</v>
      </c>
      <c r="AD49" s="19" t="s">
        <v>274</v>
      </c>
      <c r="AE49" s="36"/>
      <c r="AF49" s="36"/>
      <c r="AG49" s="16"/>
    </row>
    <row r="50" spans="1:33" s="2" customFormat="1" x14ac:dyDescent="0.25">
      <c r="A50" s="19">
        <v>48</v>
      </c>
      <c r="B50" s="32" t="s">
        <v>615</v>
      </c>
      <c r="C50" s="29">
        <v>4095521.1</v>
      </c>
      <c r="D50" s="29">
        <v>38537366.469999999</v>
      </c>
      <c r="E50" s="29">
        <v>96.53</v>
      </c>
      <c r="F50" s="29">
        <v>278.75</v>
      </c>
      <c r="G50" s="29">
        <v>85.59</v>
      </c>
      <c r="H50" s="29">
        <v>73.62</v>
      </c>
      <c r="I50" s="29">
        <v>-58</v>
      </c>
      <c r="J50" s="29">
        <v>9999</v>
      </c>
      <c r="K50" s="29">
        <v>9999</v>
      </c>
      <c r="L50" s="29">
        <v>9999</v>
      </c>
      <c r="M50" s="29">
        <v>9999</v>
      </c>
      <c r="N50" s="29">
        <v>9999</v>
      </c>
      <c r="O50" s="29">
        <v>9999</v>
      </c>
      <c r="P50" s="29">
        <v>9999</v>
      </c>
      <c r="Q50" s="29">
        <v>-59.71</v>
      </c>
      <c r="R50" s="29">
        <v>-70.469999999999985</v>
      </c>
      <c r="S50" s="29">
        <v>-72.61</v>
      </c>
      <c r="T50" s="29">
        <v>9999</v>
      </c>
      <c r="U50" s="29">
        <v>9999</v>
      </c>
      <c r="V50" s="29">
        <v>-153.44999999999999</v>
      </c>
      <c r="W50" s="29">
        <v>9999</v>
      </c>
      <c r="X50" s="29">
        <v>-154.91</v>
      </c>
      <c r="Y50" s="29">
        <v>-159.1</v>
      </c>
      <c r="Z50" s="29">
        <v>-173.84</v>
      </c>
      <c r="AA50" s="29">
        <v>9999</v>
      </c>
      <c r="AB50" s="29">
        <v>9999</v>
      </c>
      <c r="AC50" s="29">
        <v>9999</v>
      </c>
      <c r="AD50" s="19"/>
      <c r="AE50" s="36"/>
      <c r="AF50" s="36"/>
      <c r="AG50" s="16"/>
    </row>
    <row r="51" spans="1:33" s="2" customFormat="1" x14ac:dyDescent="0.25">
      <c r="A51" s="19">
        <v>49</v>
      </c>
      <c r="B51" s="32" t="s">
        <v>275</v>
      </c>
      <c r="C51" s="29">
        <v>4095418.9</v>
      </c>
      <c r="D51" s="29">
        <v>38538418.759999998</v>
      </c>
      <c r="E51" s="29">
        <v>91.11</v>
      </c>
      <c r="F51" s="29">
        <v>516.65</v>
      </c>
      <c r="G51" s="29">
        <v>77.22</v>
      </c>
      <c r="H51" s="29">
        <v>66.239999999999995</v>
      </c>
      <c r="I51" s="29">
        <v>-116.55</v>
      </c>
      <c r="J51" s="29">
        <v>-122.54</v>
      </c>
      <c r="K51" s="29">
        <v>-165.62</v>
      </c>
      <c r="L51" s="29">
        <v>-177.2</v>
      </c>
      <c r="M51" s="29">
        <v>-203.79</v>
      </c>
      <c r="N51" s="29">
        <v>-216.55999999999997</v>
      </c>
      <c r="O51" s="29">
        <v>-224.64</v>
      </c>
      <c r="P51" s="29">
        <v>-268.52</v>
      </c>
      <c r="Q51" s="29">
        <v>-273.57</v>
      </c>
      <c r="R51" s="29">
        <v>-281.84000000000003</v>
      </c>
      <c r="S51" s="29">
        <v>-283.74</v>
      </c>
      <c r="T51" s="29">
        <v>-317.42</v>
      </c>
      <c r="U51" s="29">
        <v>-319.17</v>
      </c>
      <c r="V51" s="29">
        <v>-361.72</v>
      </c>
      <c r="W51" s="29">
        <v>-369.15</v>
      </c>
      <c r="X51" s="29">
        <v>-369.39</v>
      </c>
      <c r="Y51" s="29">
        <v>-378.24</v>
      </c>
      <c r="Z51" s="29">
        <v>-391.37</v>
      </c>
      <c r="AA51" s="29">
        <v>-392.49</v>
      </c>
      <c r="AB51" s="29">
        <v>-404.73</v>
      </c>
      <c r="AC51" s="29">
        <v>9999</v>
      </c>
      <c r="AD51" s="19" t="s">
        <v>276</v>
      </c>
      <c r="AE51" s="36"/>
      <c r="AF51" s="36"/>
      <c r="AG51" s="16"/>
    </row>
    <row r="52" spans="1:33" s="2" customFormat="1" x14ac:dyDescent="0.25">
      <c r="A52" s="19">
        <v>50</v>
      </c>
      <c r="B52" s="32" t="s">
        <v>277</v>
      </c>
      <c r="C52" s="29">
        <v>4094821.95</v>
      </c>
      <c r="D52" s="29">
        <v>38538454.329999998</v>
      </c>
      <c r="E52" s="29">
        <v>88.8</v>
      </c>
      <c r="F52" s="29">
        <v>443.12</v>
      </c>
      <c r="G52" s="29">
        <v>77.010000000000005</v>
      </c>
      <c r="H52" s="29">
        <v>64.13</v>
      </c>
      <c r="I52" s="29">
        <v>-76.45</v>
      </c>
      <c r="J52" s="29">
        <v>-85.23</v>
      </c>
      <c r="K52" s="29">
        <v>-115.21</v>
      </c>
      <c r="L52" s="29">
        <v>-136.52000000000001</v>
      </c>
      <c r="M52" s="29">
        <v>-163.62</v>
      </c>
      <c r="N52" s="29">
        <v>-172.16</v>
      </c>
      <c r="O52" s="29">
        <v>-179.37</v>
      </c>
      <c r="P52" s="29">
        <v>-222.84</v>
      </c>
      <c r="Q52" s="29">
        <v>-226.97</v>
      </c>
      <c r="R52" s="29">
        <v>-236.23000000000002</v>
      </c>
      <c r="S52" s="29">
        <v>-237.87</v>
      </c>
      <c r="T52" s="29">
        <v>9999</v>
      </c>
      <c r="U52" s="29">
        <v>9999</v>
      </c>
      <c r="V52" s="29">
        <v>-317.63</v>
      </c>
      <c r="W52" s="29">
        <v>-323.12</v>
      </c>
      <c r="X52" s="29">
        <v>-323.87</v>
      </c>
      <c r="Y52" s="29">
        <v>-330.81</v>
      </c>
      <c r="Z52" s="29">
        <v>-341.02</v>
      </c>
      <c r="AA52" s="29">
        <v>-344.1</v>
      </c>
      <c r="AB52" s="29">
        <v>-349.57</v>
      </c>
      <c r="AC52" s="29">
        <v>9999</v>
      </c>
      <c r="AD52" s="19" t="s">
        <v>278</v>
      </c>
      <c r="AE52" s="36"/>
      <c r="AF52" s="36"/>
      <c r="AG52" s="16"/>
    </row>
    <row r="53" spans="1:33" s="2" customFormat="1" x14ac:dyDescent="0.25">
      <c r="A53" s="19">
        <v>51</v>
      </c>
      <c r="B53" s="32" t="s">
        <v>616</v>
      </c>
      <c r="C53" s="29">
        <v>4098190.1</v>
      </c>
      <c r="D53" s="29">
        <v>38538880.219999999</v>
      </c>
      <c r="E53" s="29">
        <v>88.92</v>
      </c>
      <c r="F53" s="29">
        <v>197.84</v>
      </c>
      <c r="G53" s="29">
        <v>70.2</v>
      </c>
      <c r="H53" s="29">
        <v>52.6</v>
      </c>
      <c r="I53" s="29">
        <v>9999</v>
      </c>
      <c r="J53" s="29">
        <v>9999</v>
      </c>
      <c r="K53" s="29">
        <v>9999</v>
      </c>
      <c r="L53" s="29">
        <v>9999</v>
      </c>
      <c r="M53" s="29">
        <v>9999</v>
      </c>
      <c r="N53" s="29">
        <v>9999</v>
      </c>
      <c r="O53" s="29">
        <v>9999</v>
      </c>
      <c r="P53" s="29">
        <v>9999</v>
      </c>
      <c r="Q53" s="29">
        <v>-98.71</v>
      </c>
      <c r="R53" s="29">
        <v>9999</v>
      </c>
      <c r="S53" s="29">
        <v>9999</v>
      </c>
      <c r="T53" s="29">
        <v>9999</v>
      </c>
      <c r="U53" s="29">
        <v>9999</v>
      </c>
      <c r="V53" s="29">
        <v>9999</v>
      </c>
      <c r="W53" s="29">
        <v>9999</v>
      </c>
      <c r="X53" s="29">
        <v>9999</v>
      </c>
      <c r="Y53" s="29">
        <v>9999</v>
      </c>
      <c r="Z53" s="29">
        <v>9999</v>
      </c>
      <c r="AA53" s="29">
        <v>9999</v>
      </c>
      <c r="AB53" s="29">
        <v>9999</v>
      </c>
      <c r="AC53" s="29">
        <v>9999</v>
      </c>
      <c r="AD53" s="19"/>
      <c r="AE53" s="36"/>
      <c r="AF53" s="36"/>
      <c r="AG53" s="16"/>
    </row>
    <row r="54" spans="1:33" s="2" customFormat="1" x14ac:dyDescent="0.25">
      <c r="A54" s="9">
        <v>52</v>
      </c>
      <c r="B54" s="31" t="s">
        <v>161</v>
      </c>
      <c r="C54" s="29">
        <v>4097840.29</v>
      </c>
      <c r="D54" s="29">
        <v>38539381.310000002</v>
      </c>
      <c r="E54" s="29">
        <v>88.56</v>
      </c>
      <c r="F54" s="29">
        <v>253.35</v>
      </c>
      <c r="G54" s="29">
        <v>72.92</v>
      </c>
      <c r="H54" s="29">
        <v>53.57</v>
      </c>
      <c r="I54" s="29">
        <v>-148.83000000000001</v>
      </c>
      <c r="J54" s="29">
        <v>9999</v>
      </c>
      <c r="K54" s="29">
        <v>9999</v>
      </c>
      <c r="L54" s="29">
        <v>9999</v>
      </c>
      <c r="M54" s="29">
        <v>9999</v>
      </c>
      <c r="N54" s="29">
        <v>9999</v>
      </c>
      <c r="O54" s="29">
        <v>9999</v>
      </c>
      <c r="P54" s="29">
        <v>-154.51</v>
      </c>
      <c r="Q54" s="29">
        <v>-162.24</v>
      </c>
      <c r="R54" s="29">
        <v>9999</v>
      </c>
      <c r="S54" s="29">
        <v>9999</v>
      </c>
      <c r="T54" s="29">
        <v>9999</v>
      </c>
      <c r="U54" s="29">
        <v>9999</v>
      </c>
      <c r="V54" s="29">
        <v>9999</v>
      </c>
      <c r="W54" s="29">
        <v>9999</v>
      </c>
      <c r="X54" s="29">
        <v>9999</v>
      </c>
      <c r="Y54" s="29">
        <v>9999</v>
      </c>
      <c r="Z54" s="29">
        <v>9999</v>
      </c>
      <c r="AA54" s="29">
        <v>9999</v>
      </c>
      <c r="AB54" s="29">
        <v>9999</v>
      </c>
      <c r="AC54" s="29">
        <v>9999</v>
      </c>
      <c r="AD54" s="9" t="s">
        <v>162</v>
      </c>
      <c r="AE54" s="35" t="s">
        <v>163</v>
      </c>
      <c r="AF54" s="35" t="s">
        <v>164</v>
      </c>
      <c r="AG54" s="16"/>
    </row>
    <row r="55" spans="1:33" s="2" customFormat="1" x14ac:dyDescent="0.25">
      <c r="A55" s="9">
        <v>53</v>
      </c>
      <c r="B55" s="31" t="s">
        <v>165</v>
      </c>
      <c r="C55" s="29">
        <v>4098685.32</v>
      </c>
      <c r="D55" s="29">
        <v>38538342.960000001</v>
      </c>
      <c r="E55" s="29">
        <v>83.98</v>
      </c>
      <c r="F55" s="29">
        <v>185.41</v>
      </c>
      <c r="G55" s="29">
        <v>70.599999999999994</v>
      </c>
      <c r="H55" s="29">
        <v>54.58</v>
      </c>
      <c r="I55" s="29">
        <v>-88.73</v>
      </c>
      <c r="J55" s="29">
        <v>9999</v>
      </c>
      <c r="K55" s="29">
        <v>9999</v>
      </c>
      <c r="L55" s="29">
        <v>9999</v>
      </c>
      <c r="M55" s="29">
        <v>9999</v>
      </c>
      <c r="N55" s="29">
        <v>9999</v>
      </c>
      <c r="O55" s="29">
        <v>9999</v>
      </c>
      <c r="P55" s="29">
        <v>9999</v>
      </c>
      <c r="Q55" s="29">
        <v>-100.13</v>
      </c>
      <c r="R55" s="29">
        <v>9999</v>
      </c>
      <c r="S55" s="29">
        <v>9999</v>
      </c>
      <c r="T55" s="29">
        <v>9999</v>
      </c>
      <c r="U55" s="29">
        <v>9999</v>
      </c>
      <c r="V55" s="29">
        <v>9999</v>
      </c>
      <c r="W55" s="29">
        <v>9999</v>
      </c>
      <c r="X55" s="29">
        <v>9999</v>
      </c>
      <c r="Y55" s="29">
        <v>9999</v>
      </c>
      <c r="Z55" s="29">
        <v>9999</v>
      </c>
      <c r="AA55" s="29">
        <v>9999</v>
      </c>
      <c r="AB55" s="29">
        <v>9999</v>
      </c>
      <c r="AC55" s="29">
        <v>9999</v>
      </c>
      <c r="AD55" s="9" t="s">
        <v>166</v>
      </c>
      <c r="AE55" s="35"/>
      <c r="AF55" s="35"/>
      <c r="AG55" s="16"/>
    </row>
    <row r="56" spans="1:33" s="2" customFormat="1" x14ac:dyDescent="0.25">
      <c r="A56" s="9">
        <v>54</v>
      </c>
      <c r="B56" s="31" t="s">
        <v>167</v>
      </c>
      <c r="C56" s="29">
        <v>4096774.58</v>
      </c>
      <c r="D56" s="29">
        <v>38538879.770000003</v>
      </c>
      <c r="E56" s="29">
        <v>90.28</v>
      </c>
      <c r="F56" s="29">
        <v>278.13</v>
      </c>
      <c r="G56" s="29">
        <v>75.89</v>
      </c>
      <c r="H56" s="29">
        <v>56.48</v>
      </c>
      <c r="I56" s="29">
        <v>-168.89</v>
      </c>
      <c r="J56" s="29">
        <v>-173.29</v>
      </c>
      <c r="K56" s="29">
        <v>-174.49</v>
      </c>
      <c r="L56" s="29">
        <v>9999</v>
      </c>
      <c r="M56" s="29">
        <v>9999</v>
      </c>
      <c r="N56" s="29">
        <v>9999</v>
      </c>
      <c r="O56" s="29">
        <v>9999</v>
      </c>
      <c r="P56" s="29">
        <v>9999</v>
      </c>
      <c r="Q56" s="29">
        <v>9999</v>
      </c>
      <c r="R56" s="29">
        <v>9999</v>
      </c>
      <c r="S56" s="29">
        <v>9999</v>
      </c>
      <c r="T56" s="29">
        <v>9999</v>
      </c>
      <c r="U56" s="29">
        <v>9999</v>
      </c>
      <c r="V56" s="29">
        <v>9999</v>
      </c>
      <c r="W56" s="29">
        <v>9999</v>
      </c>
      <c r="X56" s="29">
        <v>9999</v>
      </c>
      <c r="Y56" s="29">
        <v>9999</v>
      </c>
      <c r="Z56" s="29">
        <v>9999</v>
      </c>
      <c r="AA56" s="29">
        <v>9999</v>
      </c>
      <c r="AB56" s="29">
        <v>9999</v>
      </c>
      <c r="AC56" s="29">
        <v>9999</v>
      </c>
      <c r="AD56" s="9"/>
      <c r="AE56" s="35"/>
      <c r="AF56" s="35"/>
      <c r="AG56" s="16"/>
    </row>
    <row r="57" spans="1:33" s="2" customFormat="1" x14ac:dyDescent="0.25">
      <c r="A57" s="9">
        <v>55</v>
      </c>
      <c r="B57" s="31" t="s">
        <v>168</v>
      </c>
      <c r="C57" s="29">
        <v>4098042.17</v>
      </c>
      <c r="D57" s="29">
        <v>38539169.630000003</v>
      </c>
      <c r="E57" s="29">
        <v>87.69</v>
      </c>
      <c r="F57" s="29">
        <v>378.12</v>
      </c>
      <c r="G57" s="29">
        <v>87.69</v>
      </c>
      <c r="H57" s="29">
        <v>50.53</v>
      </c>
      <c r="I57" s="29">
        <v>-115</v>
      </c>
      <c r="J57" s="29">
        <v>-116.74</v>
      </c>
      <c r="K57" s="29">
        <v>9999</v>
      </c>
      <c r="L57" s="29">
        <v>9999</v>
      </c>
      <c r="M57" s="29">
        <v>9999</v>
      </c>
      <c r="N57" s="29">
        <v>-147.00000000000003</v>
      </c>
      <c r="O57" s="29">
        <v>-153.38999999999999</v>
      </c>
      <c r="P57" s="29">
        <v>-192.66</v>
      </c>
      <c r="Q57" s="29">
        <v>-194.1</v>
      </c>
      <c r="R57" s="29">
        <v>-209.91000000000003</v>
      </c>
      <c r="S57" s="29">
        <v>-211.61</v>
      </c>
      <c r="T57" s="29">
        <v>-234.69</v>
      </c>
      <c r="U57" s="29">
        <v>-236.94</v>
      </c>
      <c r="V57" s="29">
        <v>-255.59</v>
      </c>
      <c r="W57" s="29">
        <v>9999</v>
      </c>
      <c r="X57" s="29">
        <v>-256.31</v>
      </c>
      <c r="Y57" s="29">
        <v>-264.19</v>
      </c>
      <c r="Z57" s="29">
        <v>-282.25</v>
      </c>
      <c r="AA57" s="29">
        <v>-288.14999999999998</v>
      </c>
      <c r="AB57" s="29">
        <v>9999</v>
      </c>
      <c r="AC57" s="29">
        <v>9999</v>
      </c>
      <c r="AD57" s="9" t="s">
        <v>169</v>
      </c>
      <c r="AE57" s="35"/>
      <c r="AF57" s="35"/>
      <c r="AG57" s="16"/>
    </row>
    <row r="58" spans="1:33" s="2" customFormat="1" x14ac:dyDescent="0.25">
      <c r="A58" s="9">
        <v>56</v>
      </c>
      <c r="B58" s="31" t="s">
        <v>170</v>
      </c>
      <c r="C58" s="29">
        <v>4097733.6</v>
      </c>
      <c r="D58" s="29">
        <v>38539630.119999997</v>
      </c>
      <c r="E58" s="29">
        <v>87.3</v>
      </c>
      <c r="F58" s="29">
        <v>275.70999999999998</v>
      </c>
      <c r="G58" s="29">
        <v>69.010000000000005</v>
      </c>
      <c r="H58" s="29">
        <v>47.3</v>
      </c>
      <c r="I58" s="29">
        <v>-147.86000000000001</v>
      </c>
      <c r="J58" s="29">
        <v>9999</v>
      </c>
      <c r="K58" s="29">
        <v>9999</v>
      </c>
      <c r="L58" s="29">
        <v>-159.96</v>
      </c>
      <c r="M58" s="29">
        <v>-160.69</v>
      </c>
      <c r="N58" s="29">
        <v>-175.85</v>
      </c>
      <c r="O58" s="29">
        <v>-182.38</v>
      </c>
      <c r="P58" s="29">
        <v>9999</v>
      </c>
      <c r="Q58" s="29">
        <v>9999</v>
      </c>
      <c r="R58" s="29">
        <v>9999</v>
      </c>
      <c r="S58" s="29">
        <v>9999</v>
      </c>
      <c r="T58" s="29">
        <v>9999</v>
      </c>
      <c r="U58" s="29">
        <v>9999</v>
      </c>
      <c r="V58" s="29">
        <v>9999</v>
      </c>
      <c r="W58" s="29">
        <v>9999</v>
      </c>
      <c r="X58" s="29">
        <v>9999</v>
      </c>
      <c r="Y58" s="29">
        <v>9999</v>
      </c>
      <c r="Z58" s="29">
        <v>9999</v>
      </c>
      <c r="AA58" s="29">
        <v>9999</v>
      </c>
      <c r="AB58" s="29">
        <v>9999</v>
      </c>
      <c r="AC58" s="29">
        <v>9999</v>
      </c>
      <c r="AD58" s="9" t="s">
        <v>171</v>
      </c>
      <c r="AE58" s="35"/>
      <c r="AF58" s="35"/>
      <c r="AG58" s="16"/>
    </row>
    <row r="59" spans="1:33" s="2" customFormat="1" x14ac:dyDescent="0.25">
      <c r="A59" s="9">
        <v>57</v>
      </c>
      <c r="B59" s="31" t="s">
        <v>617</v>
      </c>
      <c r="C59" s="29">
        <v>4097414.77</v>
      </c>
      <c r="D59" s="29">
        <v>38537552.009999998</v>
      </c>
      <c r="E59" s="29">
        <v>94.75</v>
      </c>
      <c r="F59" s="29">
        <v>217.16</v>
      </c>
      <c r="G59" s="29">
        <v>78.88</v>
      </c>
      <c r="H59" s="29">
        <v>57.25</v>
      </c>
      <c r="I59" s="29">
        <v>-86.41</v>
      </c>
      <c r="J59" s="29">
        <v>9999</v>
      </c>
      <c r="K59" s="29">
        <v>9999</v>
      </c>
      <c r="L59" s="29">
        <v>9999</v>
      </c>
      <c r="M59" s="29">
        <v>9999</v>
      </c>
      <c r="N59" s="29">
        <v>9999</v>
      </c>
      <c r="O59" s="29">
        <v>9999</v>
      </c>
      <c r="P59" s="29">
        <v>9999</v>
      </c>
      <c r="Q59" s="29">
        <v>9999</v>
      </c>
      <c r="R59" s="29">
        <v>9999</v>
      </c>
      <c r="S59" s="29">
        <v>-87.7</v>
      </c>
      <c r="T59" s="29">
        <v>-119.53</v>
      </c>
      <c r="U59" s="29">
        <v>-121.19</v>
      </c>
      <c r="V59" s="29">
        <v>9999</v>
      </c>
      <c r="W59" s="29">
        <v>9999</v>
      </c>
      <c r="X59" s="29">
        <v>9999</v>
      </c>
      <c r="Y59" s="29">
        <v>9999</v>
      </c>
      <c r="Z59" s="29">
        <v>9999</v>
      </c>
      <c r="AA59" s="29">
        <v>9999</v>
      </c>
      <c r="AB59" s="29">
        <v>9999</v>
      </c>
      <c r="AC59" s="29">
        <v>9999</v>
      </c>
      <c r="AD59" s="9" t="s">
        <v>172</v>
      </c>
      <c r="AE59" s="35"/>
      <c r="AF59" s="35"/>
      <c r="AG59" s="16"/>
    </row>
    <row r="60" spans="1:33" s="2" customFormat="1" x14ac:dyDescent="0.25">
      <c r="A60" s="9">
        <v>58</v>
      </c>
      <c r="B60" s="31" t="s">
        <v>173</v>
      </c>
      <c r="C60" s="29">
        <v>4097081.3</v>
      </c>
      <c r="D60" s="29">
        <v>38538254.82</v>
      </c>
      <c r="E60" s="29">
        <v>97.71</v>
      </c>
      <c r="F60" s="29">
        <v>453.59</v>
      </c>
      <c r="G60" s="29">
        <v>81.180000000000007</v>
      </c>
      <c r="H60" s="29">
        <v>57.89</v>
      </c>
      <c r="I60" s="29">
        <v>-110.55</v>
      </c>
      <c r="J60" s="29">
        <v>9999</v>
      </c>
      <c r="K60" s="29">
        <v>-129.88</v>
      </c>
      <c r="L60" s="29">
        <v>-120.13</v>
      </c>
      <c r="M60" s="29">
        <v>-136.94</v>
      </c>
      <c r="N60" s="29">
        <v>-152.79</v>
      </c>
      <c r="O60" s="29">
        <v>-159.44</v>
      </c>
      <c r="P60" s="29">
        <v>-183.64</v>
      </c>
      <c r="Q60" s="29">
        <v>-187.89</v>
      </c>
      <c r="R60" s="29">
        <v>-197.84</v>
      </c>
      <c r="S60" s="29">
        <v>-199.56</v>
      </c>
      <c r="T60" s="29">
        <v>-230.33</v>
      </c>
      <c r="U60" s="29">
        <v>-232.24</v>
      </c>
      <c r="V60" s="29">
        <v>-267.47000000000003</v>
      </c>
      <c r="W60" s="29">
        <v>9999</v>
      </c>
      <c r="X60" s="29">
        <v>-271.14000000000004</v>
      </c>
      <c r="Y60" s="29">
        <v>-279.89999999999998</v>
      </c>
      <c r="Z60" s="29">
        <v>-292.7</v>
      </c>
      <c r="AA60" s="29">
        <v>-295.17</v>
      </c>
      <c r="AB60" s="29">
        <v>-301.39</v>
      </c>
      <c r="AC60" s="29">
        <v>9999</v>
      </c>
      <c r="AD60" s="9" t="s">
        <v>174</v>
      </c>
      <c r="AE60" s="35"/>
      <c r="AF60" s="35"/>
      <c r="AG60" s="16"/>
    </row>
    <row r="61" spans="1:33" s="2" customFormat="1" x14ac:dyDescent="0.25">
      <c r="A61" s="9">
        <v>59</v>
      </c>
      <c r="B61" s="31" t="s">
        <v>175</v>
      </c>
      <c r="C61" s="29">
        <v>4098082.88</v>
      </c>
      <c r="D61" s="29">
        <v>38539680.560000002</v>
      </c>
      <c r="E61" s="29">
        <v>87.88</v>
      </c>
      <c r="F61" s="29">
        <v>414.71</v>
      </c>
      <c r="G61" s="29">
        <v>71.010000000000005</v>
      </c>
      <c r="H61" s="29">
        <v>49.02</v>
      </c>
      <c r="I61" s="29">
        <v>-145.34</v>
      </c>
      <c r="J61" s="29">
        <v>9999</v>
      </c>
      <c r="K61" s="29">
        <v>9999</v>
      </c>
      <c r="L61" s="29">
        <v>9999</v>
      </c>
      <c r="M61" s="29">
        <v>9999</v>
      </c>
      <c r="N61" s="29">
        <v>-161.52000000000001</v>
      </c>
      <c r="O61" s="29">
        <v>-163.75</v>
      </c>
      <c r="P61" s="29">
        <v>-203.34</v>
      </c>
      <c r="Q61" s="29">
        <v>-204.74</v>
      </c>
      <c r="R61" s="29">
        <v>-221.86</v>
      </c>
      <c r="S61" s="29">
        <v>-223.16</v>
      </c>
      <c r="T61" s="29">
        <v>-252.77</v>
      </c>
      <c r="U61" s="29">
        <v>-254.58</v>
      </c>
      <c r="V61" s="29">
        <v>-293.08999999999997</v>
      </c>
      <c r="W61" s="29">
        <v>-300.42</v>
      </c>
      <c r="X61" s="29">
        <v>-305.01</v>
      </c>
      <c r="Y61" s="29">
        <v>-311.88</v>
      </c>
      <c r="Z61" s="29">
        <v>-325.98</v>
      </c>
      <c r="AA61" s="29">
        <v>9999</v>
      </c>
      <c r="AB61" s="29">
        <v>9999</v>
      </c>
      <c r="AC61" s="29">
        <v>9999</v>
      </c>
      <c r="AD61" s="9" t="s">
        <v>176</v>
      </c>
      <c r="AE61" s="35"/>
      <c r="AF61" s="35"/>
      <c r="AG61" s="16"/>
    </row>
    <row r="62" spans="1:33" s="2" customFormat="1" x14ac:dyDescent="0.25">
      <c r="A62" s="9">
        <v>60</v>
      </c>
      <c r="B62" s="31" t="s">
        <v>618</v>
      </c>
      <c r="C62" s="29">
        <v>4097997.58</v>
      </c>
      <c r="D62" s="29">
        <v>38537778.759999998</v>
      </c>
      <c r="E62" s="29">
        <v>93.02</v>
      </c>
      <c r="F62" s="29">
        <v>235.03</v>
      </c>
      <c r="G62" s="29">
        <v>77.28</v>
      </c>
      <c r="H62" s="29">
        <v>59.1</v>
      </c>
      <c r="I62" s="29">
        <v>-92.12</v>
      </c>
      <c r="J62" s="29">
        <v>9999</v>
      </c>
      <c r="K62" s="29">
        <v>9999</v>
      </c>
      <c r="L62" s="29">
        <v>9999</v>
      </c>
      <c r="M62" s="29">
        <v>9999</v>
      </c>
      <c r="N62" s="29">
        <v>9999</v>
      </c>
      <c r="O62" s="29">
        <v>9999</v>
      </c>
      <c r="P62" s="29">
        <v>9999</v>
      </c>
      <c r="Q62" s="29">
        <v>9999</v>
      </c>
      <c r="R62" s="29">
        <v>9999</v>
      </c>
      <c r="S62" s="29">
        <v>9999</v>
      </c>
      <c r="T62" s="29">
        <v>9999</v>
      </c>
      <c r="U62" s="29">
        <v>9999</v>
      </c>
      <c r="V62" s="29">
        <v>9999</v>
      </c>
      <c r="W62" s="29">
        <v>9999</v>
      </c>
      <c r="X62" s="29">
        <v>-217.69</v>
      </c>
      <c r="Y62" s="29">
        <v>-218.58</v>
      </c>
      <c r="Z62" s="29">
        <v>9999</v>
      </c>
      <c r="AA62" s="29">
        <v>9999</v>
      </c>
      <c r="AB62" s="29">
        <v>9999</v>
      </c>
      <c r="AC62" s="29">
        <v>9999</v>
      </c>
      <c r="AD62" s="9" t="s">
        <v>177</v>
      </c>
      <c r="AE62" s="35"/>
      <c r="AF62" s="35"/>
      <c r="AG62" s="16"/>
    </row>
    <row r="63" spans="1:33" s="2" customFormat="1" x14ac:dyDescent="0.25">
      <c r="A63" s="9">
        <v>61</v>
      </c>
      <c r="B63" s="31" t="s">
        <v>619</v>
      </c>
      <c r="C63" s="29">
        <v>4095854.41</v>
      </c>
      <c r="D63" s="29">
        <v>38538100.670000002</v>
      </c>
      <c r="E63" s="29">
        <v>93.37</v>
      </c>
      <c r="F63" s="29">
        <v>478.04</v>
      </c>
      <c r="G63" s="29">
        <v>77.7</v>
      </c>
      <c r="H63" s="29">
        <v>63.63</v>
      </c>
      <c r="I63" s="29">
        <v>-149.44999999999999</v>
      </c>
      <c r="J63" s="29">
        <v>-155.76</v>
      </c>
      <c r="K63" s="29">
        <v>-198.27</v>
      </c>
      <c r="L63" s="29">
        <v>-213.63</v>
      </c>
      <c r="M63" s="29">
        <v>-236.17</v>
      </c>
      <c r="N63" s="29">
        <v>-246.67</v>
      </c>
      <c r="O63" s="29">
        <v>-253.82</v>
      </c>
      <c r="P63" s="29">
        <v>-292.41000000000003</v>
      </c>
      <c r="Q63" s="29">
        <v>-296.51</v>
      </c>
      <c r="R63" s="29">
        <v>-301.41999999999996</v>
      </c>
      <c r="S63" s="29">
        <v>-302.91000000000003</v>
      </c>
      <c r="T63" s="29">
        <v>-337.31</v>
      </c>
      <c r="U63" s="29">
        <v>9999</v>
      </c>
      <c r="V63" s="29">
        <v>9999</v>
      </c>
      <c r="W63" s="29">
        <v>9999</v>
      </c>
      <c r="X63" s="29">
        <v>-371.86</v>
      </c>
      <c r="Y63" s="29">
        <v>-376.45</v>
      </c>
      <c r="Z63" s="29">
        <v>-378.84</v>
      </c>
      <c r="AA63" s="29">
        <v>-380.85</v>
      </c>
      <c r="AB63" s="29">
        <v>9999</v>
      </c>
      <c r="AC63" s="29">
        <v>9999</v>
      </c>
      <c r="AD63" s="9" t="s">
        <v>178</v>
      </c>
      <c r="AE63" s="35"/>
      <c r="AF63" s="35"/>
      <c r="AG63" s="16"/>
    </row>
    <row r="64" spans="1:33" s="2" customFormat="1" x14ac:dyDescent="0.25">
      <c r="A64" s="9">
        <v>62</v>
      </c>
      <c r="B64" s="31" t="s">
        <v>179</v>
      </c>
      <c r="C64" s="29">
        <v>4094679.76</v>
      </c>
      <c r="D64" s="29">
        <v>38537789.670000002</v>
      </c>
      <c r="E64" s="29">
        <v>84.19</v>
      </c>
      <c r="F64" s="29">
        <v>390.75</v>
      </c>
      <c r="G64" s="29">
        <v>80.989999999999995</v>
      </c>
      <c r="H64" s="29">
        <v>67.94</v>
      </c>
      <c r="I64" s="29">
        <v>-82.05</v>
      </c>
      <c r="J64" s="29">
        <v>9999</v>
      </c>
      <c r="K64" s="29">
        <v>9999</v>
      </c>
      <c r="L64" s="29">
        <v>9999</v>
      </c>
      <c r="M64" s="29">
        <v>-106.05</v>
      </c>
      <c r="N64" s="29">
        <v>-131.06</v>
      </c>
      <c r="O64" s="29">
        <v>-137.03</v>
      </c>
      <c r="P64" s="29">
        <v>-173.43</v>
      </c>
      <c r="Q64" s="29">
        <v>-176.3</v>
      </c>
      <c r="R64" s="29">
        <v>-185.17000000000002</v>
      </c>
      <c r="S64" s="29">
        <v>-187.37</v>
      </c>
      <c r="T64" s="29">
        <v>9999</v>
      </c>
      <c r="U64" s="29">
        <v>9999</v>
      </c>
      <c r="V64" s="29">
        <v>-252.19</v>
      </c>
      <c r="W64" s="29">
        <v>-254.51</v>
      </c>
      <c r="X64" s="29">
        <v>-274.7</v>
      </c>
      <c r="Y64" s="29">
        <v>-280</v>
      </c>
      <c r="Z64" s="29">
        <v>9999</v>
      </c>
      <c r="AA64" s="29">
        <v>9999</v>
      </c>
      <c r="AB64" s="29">
        <v>9999</v>
      </c>
      <c r="AC64" s="29">
        <v>9999</v>
      </c>
      <c r="AD64" s="9" t="s">
        <v>180</v>
      </c>
      <c r="AE64" s="35"/>
      <c r="AF64" s="35"/>
      <c r="AG64" s="16"/>
    </row>
    <row r="65" spans="1:33" s="2" customFormat="1" x14ac:dyDescent="0.25">
      <c r="A65" s="9">
        <v>63</v>
      </c>
      <c r="B65" s="31" t="s">
        <v>181</v>
      </c>
      <c r="C65" s="29">
        <v>4095762.96</v>
      </c>
      <c r="D65" s="29">
        <v>38536628.869999997</v>
      </c>
      <c r="E65" s="29">
        <v>100.56</v>
      </c>
      <c r="F65" s="29">
        <v>221.17</v>
      </c>
      <c r="G65" s="29">
        <v>84.34</v>
      </c>
      <c r="H65" s="29">
        <v>72.73</v>
      </c>
      <c r="I65" s="29">
        <v>-3.58</v>
      </c>
      <c r="J65" s="29">
        <v>-5.98</v>
      </c>
      <c r="K65" s="29">
        <v>-9.3000000000000007</v>
      </c>
      <c r="L65" s="29">
        <v>-18.88</v>
      </c>
      <c r="M65" s="29">
        <v>9999</v>
      </c>
      <c r="N65" s="29">
        <v>-22.600000000000009</v>
      </c>
      <c r="O65" s="29">
        <v>-27.49</v>
      </c>
      <c r="P65" s="29">
        <v>9999</v>
      </c>
      <c r="Q65" s="29">
        <v>9999</v>
      </c>
      <c r="R65" s="29">
        <v>-51.75</v>
      </c>
      <c r="S65" s="29">
        <v>-52.97</v>
      </c>
      <c r="T65" s="29">
        <v>9999</v>
      </c>
      <c r="U65" s="29">
        <v>9999</v>
      </c>
      <c r="V65" s="29">
        <v>9999</v>
      </c>
      <c r="W65" s="29">
        <v>9999</v>
      </c>
      <c r="X65" s="29">
        <v>9999</v>
      </c>
      <c r="Y65" s="29">
        <v>9999</v>
      </c>
      <c r="Z65" s="29">
        <v>-103.62</v>
      </c>
      <c r="AA65" s="29">
        <v>-104.96</v>
      </c>
      <c r="AB65" s="29">
        <v>9999</v>
      </c>
      <c r="AC65" s="29">
        <v>9999</v>
      </c>
      <c r="AD65" s="9" t="s">
        <v>182</v>
      </c>
      <c r="AE65" s="35"/>
      <c r="AF65" s="35"/>
      <c r="AG65" s="16"/>
    </row>
    <row r="66" spans="1:33" s="2" customFormat="1" x14ac:dyDescent="0.25">
      <c r="A66" s="9">
        <v>64</v>
      </c>
      <c r="B66" s="31" t="s">
        <v>183</v>
      </c>
      <c r="C66" s="29">
        <v>4094777.9</v>
      </c>
      <c r="D66" s="29">
        <v>38537037.119999997</v>
      </c>
      <c r="E66" s="29">
        <v>85.25</v>
      </c>
      <c r="F66" s="29">
        <v>304.12</v>
      </c>
      <c r="G66" s="29">
        <v>85.25</v>
      </c>
      <c r="H66" s="29">
        <v>71.75</v>
      </c>
      <c r="I66" s="29">
        <v>-30.6</v>
      </c>
      <c r="J66" s="29">
        <v>9999</v>
      </c>
      <c r="K66" s="29">
        <v>9999</v>
      </c>
      <c r="L66" s="29">
        <v>9999</v>
      </c>
      <c r="M66" s="29">
        <v>-41.6</v>
      </c>
      <c r="N66" s="29">
        <v>-53.150000000000006</v>
      </c>
      <c r="O66" s="29">
        <v>-59.68</v>
      </c>
      <c r="P66" s="29">
        <v>-107.48</v>
      </c>
      <c r="Q66" s="29">
        <v>-109.26</v>
      </c>
      <c r="R66" s="29">
        <v>-117.21000000000001</v>
      </c>
      <c r="S66" s="29">
        <v>-119.11</v>
      </c>
      <c r="T66" s="29">
        <v>9999</v>
      </c>
      <c r="U66" s="29">
        <v>9999</v>
      </c>
      <c r="V66" s="29">
        <v>-185.78700000000001</v>
      </c>
      <c r="W66" s="29">
        <v>-189.227</v>
      </c>
      <c r="X66" s="29">
        <v>-203.477</v>
      </c>
      <c r="Y66" s="29">
        <v>-210.83699999999999</v>
      </c>
      <c r="Z66" s="29">
        <v>9999</v>
      </c>
      <c r="AA66" s="29">
        <v>9999</v>
      </c>
      <c r="AB66" s="29">
        <v>9999</v>
      </c>
      <c r="AC66" s="29">
        <v>9999</v>
      </c>
      <c r="AD66" s="9" t="s">
        <v>184</v>
      </c>
      <c r="AE66" s="35"/>
      <c r="AF66" s="35"/>
      <c r="AG66" s="16"/>
    </row>
    <row r="67" spans="1:33" s="2" customFormat="1" x14ac:dyDescent="0.25">
      <c r="A67" s="9">
        <v>65</v>
      </c>
      <c r="B67" s="31" t="s">
        <v>185</v>
      </c>
      <c r="C67" s="29">
        <v>4095461.63</v>
      </c>
      <c r="D67" s="29">
        <v>38537523.090000004</v>
      </c>
      <c r="E67" s="29">
        <v>96.2</v>
      </c>
      <c r="F67" s="29">
        <v>298.29000000000002</v>
      </c>
      <c r="G67" s="29">
        <v>81.8</v>
      </c>
      <c r="H67" s="29">
        <v>71.2</v>
      </c>
      <c r="I67" s="29">
        <v>-63.8</v>
      </c>
      <c r="J67" s="29">
        <v>9999</v>
      </c>
      <c r="K67" s="29">
        <v>9999</v>
      </c>
      <c r="L67" s="29">
        <v>9999</v>
      </c>
      <c r="M67" s="29">
        <v>9999</v>
      </c>
      <c r="N67" s="29">
        <v>9999</v>
      </c>
      <c r="O67" s="29">
        <v>9999</v>
      </c>
      <c r="P67" s="29">
        <v>9999</v>
      </c>
      <c r="Q67" s="29">
        <v>9999</v>
      </c>
      <c r="R67" s="29">
        <v>-79.19</v>
      </c>
      <c r="S67" s="29">
        <v>-81.150000000000006</v>
      </c>
      <c r="T67" s="29">
        <v>-124.94</v>
      </c>
      <c r="U67" s="29">
        <v>-126.49</v>
      </c>
      <c r="V67" s="29">
        <v>-168.61</v>
      </c>
      <c r="W67" s="29">
        <v>-172.14</v>
      </c>
      <c r="X67" s="29">
        <v>-180.57000000000005</v>
      </c>
      <c r="Y67" s="29">
        <v>-187.27</v>
      </c>
      <c r="Z67" s="29">
        <v>9999</v>
      </c>
      <c r="AA67" s="29">
        <v>9999</v>
      </c>
      <c r="AB67" s="29">
        <v>9999</v>
      </c>
      <c r="AC67" s="29">
        <v>9999</v>
      </c>
      <c r="AD67" s="9" t="s">
        <v>186</v>
      </c>
      <c r="AE67" s="35"/>
      <c r="AF67" s="35"/>
      <c r="AG67" s="16"/>
    </row>
    <row r="68" spans="1:33" s="2" customFormat="1" x14ac:dyDescent="0.25">
      <c r="A68" s="9">
        <v>66</v>
      </c>
      <c r="B68" s="31" t="s">
        <v>620</v>
      </c>
      <c r="C68" s="29">
        <v>4095305.56</v>
      </c>
      <c r="D68" s="29">
        <v>38536772.82</v>
      </c>
      <c r="E68" s="29">
        <v>99.43</v>
      </c>
      <c r="F68" s="29">
        <v>216.63</v>
      </c>
      <c r="G68" s="29">
        <v>86.93</v>
      </c>
      <c r="H68" s="29">
        <v>75.680000000000007</v>
      </c>
      <c r="I68" s="29">
        <v>-9.9700000000000006</v>
      </c>
      <c r="J68" s="29">
        <v>9999</v>
      </c>
      <c r="K68" s="29">
        <v>9999</v>
      </c>
      <c r="L68" s="29">
        <v>9999</v>
      </c>
      <c r="M68" s="29">
        <v>9999</v>
      </c>
      <c r="N68" s="29">
        <v>9999</v>
      </c>
      <c r="O68" s="29">
        <v>9999</v>
      </c>
      <c r="P68" s="29">
        <v>9999</v>
      </c>
      <c r="Q68" s="29">
        <v>9999</v>
      </c>
      <c r="R68" s="29">
        <v>9999</v>
      </c>
      <c r="S68" s="29">
        <v>-15.97</v>
      </c>
      <c r="T68" s="29">
        <v>9999</v>
      </c>
      <c r="U68" s="29">
        <v>9999</v>
      </c>
      <c r="V68" s="29">
        <v>-69.819999999999993</v>
      </c>
      <c r="W68" s="29">
        <v>-73.39</v>
      </c>
      <c r="X68" s="29">
        <v>-94.17</v>
      </c>
      <c r="Y68" s="29">
        <v>-100.19</v>
      </c>
      <c r="Z68" s="29">
        <v>-101.39</v>
      </c>
      <c r="AA68" s="29">
        <v>-110.88</v>
      </c>
      <c r="AB68" s="29">
        <v>9999</v>
      </c>
      <c r="AC68" s="29">
        <v>9999</v>
      </c>
      <c r="AD68" s="9" t="s">
        <v>187</v>
      </c>
      <c r="AE68" s="35"/>
      <c r="AF68" s="35"/>
      <c r="AG68" s="16"/>
    </row>
    <row r="69" spans="1:33" s="2" customFormat="1" x14ac:dyDescent="0.25">
      <c r="A69" s="9">
        <v>67</v>
      </c>
      <c r="B69" s="31" t="s">
        <v>621</v>
      </c>
      <c r="C69" s="29">
        <v>4095293.1</v>
      </c>
      <c r="D69" s="29">
        <v>38538123.200000003</v>
      </c>
      <c r="E69" s="29">
        <v>-189.11</v>
      </c>
      <c r="F69" s="29">
        <v>203.8</v>
      </c>
      <c r="G69" s="29">
        <v>9999</v>
      </c>
      <c r="H69" s="29">
        <v>9999</v>
      </c>
      <c r="I69" s="29">
        <v>9999</v>
      </c>
      <c r="J69" s="29">
        <v>9999</v>
      </c>
      <c r="K69" s="29">
        <v>9999</v>
      </c>
      <c r="L69" s="29">
        <v>9999</v>
      </c>
      <c r="M69" s="29">
        <v>9999</v>
      </c>
      <c r="N69" s="29">
        <v>9999</v>
      </c>
      <c r="O69" s="29">
        <v>9999</v>
      </c>
      <c r="P69" s="29">
        <v>-209.41</v>
      </c>
      <c r="Q69" s="29">
        <v>9999</v>
      </c>
      <c r="R69" s="29">
        <v>9999</v>
      </c>
      <c r="S69" s="29">
        <f>(T68-212.21)*1</f>
        <v>9786.7900000000009</v>
      </c>
      <c r="T69" s="29">
        <v>9999</v>
      </c>
      <c r="U69" s="29">
        <v>9999</v>
      </c>
      <c r="V69" s="29">
        <v>-278.61</v>
      </c>
      <c r="W69" s="29">
        <v>-282.91000000000003</v>
      </c>
      <c r="X69" s="29">
        <v>-287.11</v>
      </c>
      <c r="Y69" s="29">
        <v>-291.70999999999998</v>
      </c>
      <c r="Z69" s="29">
        <v>-307.70999999999998</v>
      </c>
      <c r="AA69" s="29">
        <v>-309.51</v>
      </c>
      <c r="AB69" s="29">
        <v>-313.41000000000003</v>
      </c>
      <c r="AC69" s="29">
        <v>9999</v>
      </c>
      <c r="AD69" s="9" t="s">
        <v>188</v>
      </c>
      <c r="AE69" s="35"/>
      <c r="AF69" s="35"/>
      <c r="AG69" s="16"/>
    </row>
    <row r="70" spans="1:33" s="2" customFormat="1" x14ac:dyDescent="0.25">
      <c r="A70" s="9">
        <v>68</v>
      </c>
      <c r="B70" s="31" t="s">
        <v>622</v>
      </c>
      <c r="C70" s="29">
        <v>4098971.69</v>
      </c>
      <c r="D70" s="29">
        <v>38539254.560000002</v>
      </c>
      <c r="E70" s="29">
        <v>87.81</v>
      </c>
      <c r="F70" s="29">
        <v>297.88</v>
      </c>
      <c r="G70" s="29">
        <v>56.64</v>
      </c>
      <c r="H70" s="29">
        <v>40.72</v>
      </c>
      <c r="I70" s="29">
        <v>-49.95</v>
      </c>
      <c r="J70" s="29">
        <v>9999</v>
      </c>
      <c r="K70" s="29">
        <v>9999</v>
      </c>
      <c r="L70" s="29">
        <v>9999</v>
      </c>
      <c r="M70" s="29">
        <v>9999</v>
      </c>
      <c r="N70" s="29">
        <v>9999</v>
      </c>
      <c r="O70" s="29">
        <v>9999</v>
      </c>
      <c r="P70" s="29">
        <v>9999</v>
      </c>
      <c r="Q70" s="29">
        <v>9999</v>
      </c>
      <c r="R70" s="29">
        <v>-94.43</v>
      </c>
      <c r="S70" s="29">
        <v>-95.8</v>
      </c>
      <c r="T70" s="29">
        <v>-122.9</v>
      </c>
      <c r="U70" s="29">
        <v>-124.88</v>
      </c>
      <c r="V70" s="29">
        <v>-153.69999999999999</v>
      </c>
      <c r="W70" s="29">
        <v>-156.12</v>
      </c>
      <c r="X70" s="29">
        <v>-175.42000000000002</v>
      </c>
      <c r="Y70" s="29">
        <v>-180.54</v>
      </c>
      <c r="Z70" s="29">
        <v>-198.14</v>
      </c>
      <c r="AA70" s="29">
        <v>-199.96</v>
      </c>
      <c r="AB70" s="29">
        <v>-201.06</v>
      </c>
      <c r="AC70" s="29">
        <v>9999</v>
      </c>
      <c r="AD70" s="9" t="s">
        <v>189</v>
      </c>
      <c r="AE70" s="35"/>
      <c r="AF70" s="35"/>
      <c r="AG70" s="16"/>
    </row>
    <row r="71" spans="1:33" s="2" customFormat="1" x14ac:dyDescent="0.25">
      <c r="A71" s="22">
        <v>69</v>
      </c>
      <c r="B71" s="34" t="s">
        <v>623</v>
      </c>
      <c r="C71" s="29">
        <v>4098422</v>
      </c>
      <c r="D71" s="29">
        <v>38540375.030000001</v>
      </c>
      <c r="E71" s="29">
        <v>83.62</v>
      </c>
      <c r="F71" s="29">
        <v>395.71</v>
      </c>
      <c r="G71" s="29">
        <v>63.760000000000005</v>
      </c>
      <c r="H71" s="29">
        <v>46.330000000000005</v>
      </c>
      <c r="I71" s="29">
        <v>-127.85</v>
      </c>
      <c r="J71" s="29">
        <v>9999</v>
      </c>
      <c r="K71" s="29">
        <v>9999</v>
      </c>
      <c r="L71" s="29">
        <v>-131.38</v>
      </c>
      <c r="M71" s="29">
        <v>-157.61000000000001</v>
      </c>
      <c r="N71" s="29">
        <v>-163.48999999999998</v>
      </c>
      <c r="O71" s="29">
        <v>-168.98</v>
      </c>
      <c r="P71" s="29">
        <v>-205.45</v>
      </c>
      <c r="Q71" s="29">
        <v>-207.43</v>
      </c>
      <c r="R71" s="29">
        <v>-222.49</v>
      </c>
      <c r="S71" s="29">
        <v>-223.68</v>
      </c>
      <c r="T71" s="29">
        <v>-255.06</v>
      </c>
      <c r="U71" s="29">
        <v>9999</v>
      </c>
      <c r="V71" s="29">
        <v>9999</v>
      </c>
      <c r="W71" s="29">
        <v>9999</v>
      </c>
      <c r="X71" s="29">
        <v>9999</v>
      </c>
      <c r="Y71" s="29">
        <v>9999</v>
      </c>
      <c r="Z71" s="29">
        <v>9999</v>
      </c>
      <c r="AA71" s="29">
        <v>9999</v>
      </c>
      <c r="AB71" s="29">
        <v>-279.56</v>
      </c>
      <c r="AC71" s="29">
        <v>-306.92</v>
      </c>
      <c r="AD71" s="9" t="s">
        <v>193</v>
      </c>
      <c r="AE71" s="35" t="s">
        <v>194</v>
      </c>
      <c r="AF71" s="35" t="s">
        <v>195</v>
      </c>
      <c r="AG71" s="16" t="s">
        <v>196</v>
      </c>
    </row>
    <row r="72" spans="1:33" s="2" customFormat="1" x14ac:dyDescent="0.25">
      <c r="A72" s="22">
        <v>70</v>
      </c>
      <c r="B72" s="34" t="s">
        <v>624</v>
      </c>
      <c r="C72" s="29">
        <v>4096412.97</v>
      </c>
      <c r="D72" s="29">
        <v>38536601.840000004</v>
      </c>
      <c r="E72" s="29">
        <v>98.6</v>
      </c>
      <c r="F72" s="29">
        <v>370.99</v>
      </c>
      <c r="G72" s="29">
        <v>84.449999999999989</v>
      </c>
      <c r="H72" s="29">
        <v>68.139999999999986</v>
      </c>
      <c r="I72" s="29">
        <v>-38.960000000000008</v>
      </c>
      <c r="J72" s="29">
        <v>-40.409999999999997</v>
      </c>
      <c r="K72" s="29">
        <v>-145.86000000000001</v>
      </c>
      <c r="L72" s="29">
        <v>-148.98000000000002</v>
      </c>
      <c r="M72" s="29">
        <v>9999</v>
      </c>
      <c r="N72" s="29">
        <v>-189.75</v>
      </c>
      <c r="O72" s="29">
        <v>-193.28</v>
      </c>
      <c r="P72" s="29">
        <v>-235.56000000000003</v>
      </c>
      <c r="Q72" s="29">
        <v>-239.94000000000003</v>
      </c>
      <c r="R72" s="29">
        <v>9999</v>
      </c>
      <c r="S72" s="29">
        <v>9999</v>
      </c>
      <c r="T72" s="29">
        <v>9999</v>
      </c>
      <c r="U72" s="29">
        <v>9999</v>
      </c>
      <c r="V72" s="29">
        <v>9999</v>
      </c>
      <c r="W72" s="29">
        <v>9999</v>
      </c>
      <c r="X72" s="29">
        <v>9999</v>
      </c>
      <c r="Y72" s="29">
        <v>9999</v>
      </c>
      <c r="Z72" s="29">
        <v>9999</v>
      </c>
      <c r="AA72" s="29">
        <v>9999</v>
      </c>
      <c r="AB72" s="29">
        <v>9999</v>
      </c>
      <c r="AC72" s="29">
        <v>9999</v>
      </c>
      <c r="AD72" s="19" t="s">
        <v>199</v>
      </c>
      <c r="AE72" s="35"/>
      <c r="AF72" s="35"/>
      <c r="AG72" s="16"/>
    </row>
    <row r="73" spans="1:33" s="2" customFormat="1" x14ac:dyDescent="0.25">
      <c r="A73" s="22">
        <v>71</v>
      </c>
      <c r="B73" s="34" t="s">
        <v>625</v>
      </c>
      <c r="C73" s="29">
        <v>4097570</v>
      </c>
      <c r="D73" s="29">
        <v>38539997.299999997</v>
      </c>
      <c r="E73" s="29">
        <v>86.3</v>
      </c>
      <c r="F73" s="29">
        <v>487.97</v>
      </c>
      <c r="G73" s="29">
        <v>67.55</v>
      </c>
      <c r="H73" s="29">
        <v>52.349999999999994</v>
      </c>
      <c r="I73" s="29">
        <v>-128.55000000000001</v>
      </c>
      <c r="J73" s="29">
        <v>-140.05000000000001</v>
      </c>
      <c r="K73" s="29">
        <v>-188.82999999999998</v>
      </c>
      <c r="L73" s="29">
        <v>-219.55</v>
      </c>
      <c r="M73" s="29">
        <v>9999</v>
      </c>
      <c r="N73" s="29">
        <v>-251.46</v>
      </c>
      <c r="O73" s="29">
        <v>-257.56</v>
      </c>
      <c r="P73" s="29">
        <v>-296.45999999999998</v>
      </c>
      <c r="Q73" s="29">
        <v>-298.03999999999996</v>
      </c>
      <c r="R73" s="29">
        <v>-314.56</v>
      </c>
      <c r="S73" s="29">
        <v>-315.64</v>
      </c>
      <c r="T73" s="29">
        <v>-349.88</v>
      </c>
      <c r="U73" s="29">
        <v>-350.95</v>
      </c>
      <c r="V73" s="29">
        <v>9999</v>
      </c>
      <c r="W73" s="29">
        <v>9999</v>
      </c>
      <c r="X73" s="29">
        <v>9999</v>
      </c>
      <c r="Y73" s="29">
        <v>9999</v>
      </c>
      <c r="Z73" s="29">
        <v>9999</v>
      </c>
      <c r="AA73" s="29">
        <v>9999</v>
      </c>
      <c r="AB73" s="29">
        <v>9999</v>
      </c>
      <c r="AC73" s="29">
        <v>9999</v>
      </c>
      <c r="AD73" s="9" t="s">
        <v>202</v>
      </c>
      <c r="AE73" s="35"/>
      <c r="AF73" s="35"/>
      <c r="AG73" s="16"/>
    </row>
    <row r="74" spans="1:33" s="2" customFormat="1" x14ac:dyDescent="0.25">
      <c r="A74" s="23">
        <v>72</v>
      </c>
      <c r="B74" s="34" t="s">
        <v>626</v>
      </c>
      <c r="C74" s="29">
        <v>4096663</v>
      </c>
      <c r="D74" s="29">
        <v>38539121</v>
      </c>
      <c r="E74" s="29">
        <v>88.8</v>
      </c>
      <c r="F74" s="29">
        <v>542.77</v>
      </c>
      <c r="G74" s="29">
        <v>74.58</v>
      </c>
      <c r="H74" s="29">
        <v>56.099999999999994</v>
      </c>
      <c r="I74" s="29">
        <v>-160.60000000000002</v>
      </c>
      <c r="J74" s="29">
        <v>-173.58999999999997</v>
      </c>
      <c r="K74" s="29">
        <v>-223</v>
      </c>
      <c r="L74" s="29">
        <v>-228.59999999999997</v>
      </c>
      <c r="M74" s="29">
        <v>-274.64</v>
      </c>
      <c r="N74" s="29">
        <v>-287.24</v>
      </c>
      <c r="O74" s="29">
        <v>-293.51</v>
      </c>
      <c r="P74" s="29">
        <v>-332.11</v>
      </c>
      <c r="Q74" s="29">
        <v>-333.11</v>
      </c>
      <c r="R74" s="29">
        <v>-352.59</v>
      </c>
      <c r="S74" s="29">
        <v>-353.95</v>
      </c>
      <c r="T74" s="29">
        <v>-383.28</v>
      </c>
      <c r="U74" s="29">
        <v>-385.52</v>
      </c>
      <c r="V74" s="29">
        <v>-431.69</v>
      </c>
      <c r="W74" s="29">
        <v>9999</v>
      </c>
      <c r="X74" s="29">
        <v>-439.09</v>
      </c>
      <c r="Y74" s="29">
        <v>-447.85999999999996</v>
      </c>
      <c r="Z74" s="29">
        <v>9999</v>
      </c>
      <c r="AA74" s="29">
        <v>9999</v>
      </c>
      <c r="AB74" s="29">
        <v>9999</v>
      </c>
      <c r="AC74" s="29">
        <v>9999</v>
      </c>
      <c r="AD74" s="9" t="s">
        <v>204</v>
      </c>
      <c r="AE74" s="35"/>
      <c r="AF74" s="35"/>
      <c r="AG74" s="16"/>
    </row>
    <row r="75" spans="1:33" s="2" customFormat="1" x14ac:dyDescent="0.25">
      <c r="A75" s="23">
        <v>73</v>
      </c>
      <c r="B75" s="34" t="s">
        <v>627</v>
      </c>
      <c r="C75" s="29">
        <v>4099571.65</v>
      </c>
      <c r="D75" s="29">
        <v>38540551.979999997</v>
      </c>
      <c r="E75" s="29">
        <v>75.94</v>
      </c>
      <c r="F75" s="29">
        <v>394.14</v>
      </c>
      <c r="G75" s="29">
        <v>66.22</v>
      </c>
      <c r="H75" s="29">
        <v>41.44</v>
      </c>
      <c r="I75" s="29">
        <v>-116.25999999999999</v>
      </c>
      <c r="J75" s="29">
        <v>9999</v>
      </c>
      <c r="K75" s="29">
        <v>9999</v>
      </c>
      <c r="L75" s="29">
        <v>9999</v>
      </c>
      <c r="M75" s="29">
        <v>9999</v>
      </c>
      <c r="N75" s="29">
        <v>9999</v>
      </c>
      <c r="O75" s="29">
        <v>9999</v>
      </c>
      <c r="P75" s="29">
        <v>9999</v>
      </c>
      <c r="Q75" s="29">
        <v>-127.06</v>
      </c>
      <c r="R75" s="29">
        <v>-136.69</v>
      </c>
      <c r="S75" s="29">
        <v>-137.19999999999999</v>
      </c>
      <c r="T75" s="29">
        <v>-177.85</v>
      </c>
      <c r="U75" s="29">
        <v>-178.15</v>
      </c>
      <c r="V75" s="29">
        <v>-213.14999999999998</v>
      </c>
      <c r="W75" s="29">
        <v>-217.78000000000003</v>
      </c>
      <c r="X75" s="29">
        <v>-224.48</v>
      </c>
      <c r="Y75" s="29">
        <v>-229.89</v>
      </c>
      <c r="Z75" s="29">
        <v>-247.32</v>
      </c>
      <c r="AA75" s="29">
        <v>-252.75</v>
      </c>
      <c r="AB75" s="29">
        <v>-258.83999999999997</v>
      </c>
      <c r="AC75" s="29">
        <v>-318.17</v>
      </c>
      <c r="AD75" s="9"/>
      <c r="AE75" s="35"/>
      <c r="AF75" s="35"/>
      <c r="AG75" s="16" t="s">
        <v>196</v>
      </c>
    </row>
    <row r="76" spans="1:33" s="2" customFormat="1" x14ac:dyDescent="0.25">
      <c r="A76" s="23">
        <v>74</v>
      </c>
      <c r="B76" s="34" t="s">
        <v>628</v>
      </c>
      <c r="C76" s="29">
        <v>4099973</v>
      </c>
      <c r="D76" s="29">
        <v>38539926</v>
      </c>
      <c r="E76" s="29">
        <v>76.260000000000005</v>
      </c>
      <c r="F76" s="29">
        <v>254.02</v>
      </c>
      <c r="G76" s="29">
        <v>63.260000000000005</v>
      </c>
      <c r="H76" s="29">
        <v>14.260000000000005</v>
      </c>
      <c r="I76" s="29">
        <v>-81.239999999999995</v>
      </c>
      <c r="J76" s="29">
        <v>9999</v>
      </c>
      <c r="K76" s="29">
        <v>9999</v>
      </c>
      <c r="L76" s="29">
        <v>9999</v>
      </c>
      <c r="M76" s="29">
        <v>9999</v>
      </c>
      <c r="N76" s="29">
        <v>9999</v>
      </c>
      <c r="O76" s="29">
        <v>9999</v>
      </c>
      <c r="P76" s="29">
        <v>9999</v>
      </c>
      <c r="Q76" s="29">
        <v>9999</v>
      </c>
      <c r="R76" s="29">
        <v>9999</v>
      </c>
      <c r="S76" s="29">
        <v>9999</v>
      </c>
      <c r="T76" s="29">
        <v>9999</v>
      </c>
      <c r="U76" s="29">
        <v>9999</v>
      </c>
      <c r="V76" s="29">
        <v>-137.35000000000002</v>
      </c>
      <c r="W76" s="29">
        <v>-142.51999999999998</v>
      </c>
      <c r="X76" s="29">
        <v>-149.60999999999999</v>
      </c>
      <c r="Y76" s="29">
        <v>-154.33999999999997</v>
      </c>
      <c r="Z76" s="29">
        <v>-172.86</v>
      </c>
      <c r="AA76" s="29">
        <v>9999</v>
      </c>
      <c r="AB76" s="29">
        <v>9999</v>
      </c>
      <c r="AC76" s="29">
        <v>9999</v>
      </c>
      <c r="AD76" s="9" t="s">
        <v>207</v>
      </c>
      <c r="AE76" s="35"/>
      <c r="AF76" s="35"/>
      <c r="AG76" s="16" t="s">
        <v>208</v>
      </c>
    </row>
    <row r="77" spans="1:33" s="2" customFormat="1" x14ac:dyDescent="0.25">
      <c r="A77" s="23">
        <v>75</v>
      </c>
      <c r="B77" s="34" t="s">
        <v>629</v>
      </c>
      <c r="C77" s="29">
        <v>4098211</v>
      </c>
      <c r="D77" s="29">
        <v>38537432</v>
      </c>
      <c r="E77" s="29">
        <v>95</v>
      </c>
      <c r="F77" s="29">
        <v>214.44</v>
      </c>
      <c r="G77" s="29">
        <v>82.23</v>
      </c>
      <c r="H77" s="29">
        <v>61.33</v>
      </c>
      <c r="I77" s="29">
        <v>-59</v>
      </c>
      <c r="J77" s="29">
        <v>9999</v>
      </c>
      <c r="K77" s="29">
        <v>9999</v>
      </c>
      <c r="L77" s="29">
        <v>9999</v>
      </c>
      <c r="M77" s="29">
        <v>9999</v>
      </c>
      <c r="N77" s="29">
        <v>9999</v>
      </c>
      <c r="O77" s="29">
        <v>9999</v>
      </c>
      <c r="P77" s="29">
        <v>9999</v>
      </c>
      <c r="Q77" s="29">
        <v>9999</v>
      </c>
      <c r="R77" s="29">
        <v>9999</v>
      </c>
      <c r="S77" s="29">
        <v>9999</v>
      </c>
      <c r="T77" s="29">
        <v>9999</v>
      </c>
      <c r="U77" s="29">
        <v>9999</v>
      </c>
      <c r="V77" s="29">
        <v>9999</v>
      </c>
      <c r="W77" s="29">
        <v>-68.099999999999994</v>
      </c>
      <c r="X77" s="29">
        <v>-80.12</v>
      </c>
      <c r="Y77" s="29">
        <v>-87.62</v>
      </c>
      <c r="Z77" s="29">
        <v>9999</v>
      </c>
      <c r="AA77" s="29">
        <v>-101.87</v>
      </c>
      <c r="AB77" s="29">
        <v>-112.09</v>
      </c>
      <c r="AC77" s="29">
        <v>-119.09</v>
      </c>
      <c r="AD77" s="9" t="s">
        <v>210</v>
      </c>
      <c r="AE77" s="35"/>
      <c r="AF77" s="35"/>
      <c r="AG77" s="16" t="s">
        <v>211</v>
      </c>
    </row>
    <row r="78" spans="1:33" s="2" customFormat="1" x14ac:dyDescent="0.25">
      <c r="A78" s="23">
        <v>76</v>
      </c>
      <c r="B78" s="34" t="s">
        <v>212</v>
      </c>
      <c r="C78" s="29">
        <v>4094296</v>
      </c>
      <c r="D78" s="29">
        <v>38539261</v>
      </c>
      <c r="E78" s="29">
        <v>78.87</v>
      </c>
      <c r="F78" s="29">
        <v>149.82</v>
      </c>
      <c r="G78" s="29">
        <v>74.13000000000001</v>
      </c>
      <c r="H78" s="29">
        <v>9999</v>
      </c>
      <c r="I78" s="29">
        <v>9999</v>
      </c>
      <c r="J78" s="29">
        <v>9999</v>
      </c>
      <c r="K78" s="29">
        <v>9999</v>
      </c>
      <c r="L78" s="29">
        <v>9999</v>
      </c>
      <c r="M78" s="29">
        <v>9999</v>
      </c>
      <c r="N78" s="29">
        <v>9999</v>
      </c>
      <c r="O78" s="29">
        <v>9999</v>
      </c>
      <c r="P78" s="29">
        <v>9999</v>
      </c>
      <c r="Q78" s="29">
        <v>9999</v>
      </c>
      <c r="R78" s="29">
        <v>9999</v>
      </c>
      <c r="S78" s="29">
        <v>9999</v>
      </c>
      <c r="T78" s="29">
        <v>9999</v>
      </c>
      <c r="U78" s="29">
        <v>9999</v>
      </c>
      <c r="V78" s="29">
        <v>9999</v>
      </c>
      <c r="W78" s="29">
        <v>9999</v>
      </c>
      <c r="X78" s="29">
        <v>9999</v>
      </c>
      <c r="Y78" s="29">
        <v>9999</v>
      </c>
      <c r="Z78" s="29">
        <v>9999</v>
      </c>
      <c r="AA78" s="29">
        <v>9999</v>
      </c>
      <c r="AB78" s="29">
        <v>-66.66</v>
      </c>
      <c r="AC78" s="29">
        <v>-70.949999999999989</v>
      </c>
      <c r="AD78" s="9"/>
      <c r="AE78" s="35"/>
      <c r="AF78" s="35"/>
      <c r="AG78" s="16" t="s">
        <v>213</v>
      </c>
    </row>
    <row r="79" spans="1:33" s="2" customFormat="1" x14ac:dyDescent="0.25">
      <c r="A79" s="23">
        <v>77</v>
      </c>
      <c r="B79" s="34" t="s">
        <v>214</v>
      </c>
      <c r="C79" s="29">
        <v>4097233</v>
      </c>
      <c r="D79" s="29">
        <v>38536875</v>
      </c>
      <c r="E79" s="29">
        <v>96.6</v>
      </c>
      <c r="F79" s="29">
        <v>295.02</v>
      </c>
      <c r="G79" s="29">
        <v>80.039999999999992</v>
      </c>
      <c r="H79" s="29">
        <v>60.599999999999994</v>
      </c>
      <c r="I79" s="29">
        <v>-84.510000000000019</v>
      </c>
      <c r="J79" s="29">
        <v>9999</v>
      </c>
      <c r="K79" s="29">
        <v>9999</v>
      </c>
      <c r="L79" s="29">
        <v>9999</v>
      </c>
      <c r="M79" s="29">
        <v>9999</v>
      </c>
      <c r="N79" s="29">
        <v>9999</v>
      </c>
      <c r="O79" s="29">
        <v>9999</v>
      </c>
      <c r="P79" s="29">
        <v>9999</v>
      </c>
      <c r="Q79" s="29">
        <v>-84.88</v>
      </c>
      <c r="R79" s="29">
        <v>-92.060000000000016</v>
      </c>
      <c r="S79" s="29">
        <v>-94.420000000000016</v>
      </c>
      <c r="T79" s="29">
        <v>-118.05000000000001</v>
      </c>
      <c r="U79" s="29">
        <v>-119.88</v>
      </c>
      <c r="V79" s="29">
        <v>-155.28</v>
      </c>
      <c r="W79" s="29">
        <v>-160.27000000000001</v>
      </c>
      <c r="X79" s="29">
        <v>-172.64</v>
      </c>
      <c r="Y79" s="29">
        <v>-177.54999999999998</v>
      </c>
      <c r="Z79" s="29">
        <v>9999</v>
      </c>
      <c r="AA79" s="29">
        <v>9999</v>
      </c>
      <c r="AB79" s="29">
        <v>9999</v>
      </c>
      <c r="AC79" s="29">
        <v>9999</v>
      </c>
      <c r="AD79" s="9" t="s">
        <v>215</v>
      </c>
      <c r="AE79" s="35"/>
      <c r="AF79" s="35"/>
      <c r="AG79" s="16"/>
    </row>
    <row r="80" spans="1:33" s="2" customFormat="1" x14ac:dyDescent="0.25">
      <c r="A80" s="23">
        <v>78</v>
      </c>
      <c r="B80" s="34" t="s">
        <v>216</v>
      </c>
      <c r="C80" s="29">
        <v>4093643</v>
      </c>
      <c r="D80" s="29">
        <v>38537369</v>
      </c>
      <c r="E80" s="29">
        <v>84.42</v>
      </c>
      <c r="F80" s="29">
        <v>121.95</v>
      </c>
      <c r="G80" s="29">
        <v>84.42</v>
      </c>
      <c r="H80" s="29">
        <v>70.680000000000007</v>
      </c>
      <c r="I80" s="29">
        <v>-23.849999999999994</v>
      </c>
      <c r="J80" s="29">
        <v>9999</v>
      </c>
      <c r="K80" s="29">
        <v>9999</v>
      </c>
      <c r="L80" s="29">
        <v>9999</v>
      </c>
      <c r="M80" s="29">
        <v>9999</v>
      </c>
      <c r="N80" s="29">
        <v>9999</v>
      </c>
      <c r="O80" s="29">
        <v>9999</v>
      </c>
      <c r="P80" s="29">
        <v>9999</v>
      </c>
      <c r="Q80" s="29">
        <v>9999</v>
      </c>
      <c r="R80" s="29">
        <v>9999</v>
      </c>
      <c r="S80" s="29">
        <v>9999</v>
      </c>
      <c r="T80" s="29">
        <v>9999</v>
      </c>
      <c r="U80" s="29">
        <v>9999</v>
      </c>
      <c r="V80" s="29">
        <v>9999</v>
      </c>
      <c r="W80" s="29">
        <v>9999</v>
      </c>
      <c r="X80" s="29">
        <v>9999</v>
      </c>
      <c r="Y80" s="29">
        <v>9999</v>
      </c>
      <c r="Z80" s="29">
        <v>9999</v>
      </c>
      <c r="AA80" s="29">
        <v>9999</v>
      </c>
      <c r="AB80" s="29">
        <v>-32.08</v>
      </c>
      <c r="AC80" s="29">
        <v>-37.53</v>
      </c>
      <c r="AD80" s="9"/>
      <c r="AE80" s="35"/>
      <c r="AF80" s="35"/>
      <c r="AG80" s="16" t="s">
        <v>217</v>
      </c>
    </row>
    <row r="81" spans="1:33" s="2" customFormat="1" x14ac:dyDescent="0.25">
      <c r="A81" s="23">
        <v>79</v>
      </c>
      <c r="B81" s="34" t="s">
        <v>630</v>
      </c>
      <c r="C81" s="29">
        <v>4094471.2</v>
      </c>
      <c r="D81" s="29">
        <v>38538886.969999999</v>
      </c>
      <c r="E81" s="29">
        <v>80.03</v>
      </c>
      <c r="F81" s="29">
        <v>159.29</v>
      </c>
      <c r="G81" s="29">
        <v>75.650000000000006</v>
      </c>
      <c r="H81" s="29">
        <v>61.03</v>
      </c>
      <c r="I81" s="29">
        <v>-56.569999999999993</v>
      </c>
      <c r="J81" s="29">
        <v>9999</v>
      </c>
      <c r="K81" s="29">
        <v>9999</v>
      </c>
      <c r="L81" s="29">
        <v>9999</v>
      </c>
      <c r="M81" s="29">
        <v>9999</v>
      </c>
      <c r="N81" s="29">
        <v>9999</v>
      </c>
      <c r="O81" s="29">
        <v>9999</v>
      </c>
      <c r="P81" s="29">
        <v>9999</v>
      </c>
      <c r="Q81" s="29">
        <v>9999</v>
      </c>
      <c r="R81" s="29">
        <v>9999</v>
      </c>
      <c r="S81" s="29">
        <v>9999</v>
      </c>
      <c r="T81" s="29">
        <v>9999</v>
      </c>
      <c r="U81" s="29">
        <v>9999</v>
      </c>
      <c r="V81" s="29">
        <v>9999</v>
      </c>
      <c r="W81" s="29">
        <v>9999</v>
      </c>
      <c r="X81" s="29">
        <v>9999</v>
      </c>
      <c r="Y81" s="29">
        <v>9999</v>
      </c>
      <c r="Z81" s="29">
        <v>9999</v>
      </c>
      <c r="AA81" s="29">
        <v>9999</v>
      </c>
      <c r="AB81" s="29">
        <v>-73.77000000000001</v>
      </c>
      <c r="AC81" s="29">
        <v>-79.169999999999987</v>
      </c>
      <c r="AD81" s="9" t="s">
        <v>218</v>
      </c>
      <c r="AE81" s="35"/>
      <c r="AF81" s="35"/>
      <c r="AG81" s="16" t="s">
        <v>196</v>
      </c>
    </row>
    <row r="82" spans="1:33" s="2" customFormat="1" x14ac:dyDescent="0.25">
      <c r="A82" s="23">
        <v>80</v>
      </c>
      <c r="B82" s="34" t="s">
        <v>631</v>
      </c>
      <c r="C82" s="29">
        <v>4095215.01</v>
      </c>
      <c r="D82" s="29">
        <v>38539500.479999997</v>
      </c>
      <c r="E82" s="29">
        <v>87.58</v>
      </c>
      <c r="F82" s="29">
        <v>701.45</v>
      </c>
      <c r="G82" s="29">
        <v>77.08</v>
      </c>
      <c r="H82" s="29">
        <v>57.08</v>
      </c>
      <c r="I82" s="29">
        <v>-113.17</v>
      </c>
      <c r="J82" s="29">
        <v>-119.17</v>
      </c>
      <c r="K82" s="29">
        <v>-398.62</v>
      </c>
      <c r="L82" s="29">
        <v>-400.51</v>
      </c>
      <c r="M82" s="29">
        <v>9999</v>
      </c>
      <c r="N82" s="29">
        <v>-434.65</v>
      </c>
      <c r="O82" s="29">
        <v>-441.07</v>
      </c>
      <c r="P82" s="29">
        <v>-479.86000000000007</v>
      </c>
      <c r="Q82" s="29">
        <v>-481.06</v>
      </c>
      <c r="R82" s="29">
        <v>-500.46000000000004</v>
      </c>
      <c r="S82" s="29">
        <v>-502.65000000000003</v>
      </c>
      <c r="T82" s="29">
        <v>-528.96999999999991</v>
      </c>
      <c r="U82" s="29">
        <v>-530.66999999999996</v>
      </c>
      <c r="V82" s="29">
        <v>-568.28</v>
      </c>
      <c r="W82" s="29">
        <v>-574.59999999999991</v>
      </c>
      <c r="X82" s="29">
        <v>-577.66999999999996</v>
      </c>
      <c r="Y82" s="29">
        <v>-583.21999999999991</v>
      </c>
      <c r="Z82" s="29">
        <v>-595.91999999999996</v>
      </c>
      <c r="AA82" s="29">
        <v>-599.29999999999995</v>
      </c>
      <c r="AB82" s="29">
        <v>-606.12</v>
      </c>
      <c r="AC82" s="29">
        <v>-612.96999999999991</v>
      </c>
      <c r="AD82" s="9" t="s">
        <v>219</v>
      </c>
      <c r="AE82" s="35"/>
      <c r="AF82" s="35"/>
      <c r="AG82" s="16" t="s">
        <v>196</v>
      </c>
    </row>
    <row r="83" spans="1:33" s="2" customFormat="1" x14ac:dyDescent="0.25">
      <c r="A83" s="23">
        <v>81</v>
      </c>
      <c r="B83" s="34" t="s">
        <v>220</v>
      </c>
      <c r="C83" s="29">
        <v>4097969.53</v>
      </c>
      <c r="D83" s="29">
        <v>38540084.93</v>
      </c>
      <c r="E83" s="29">
        <v>85.65</v>
      </c>
      <c r="F83" s="29">
        <v>521.03</v>
      </c>
      <c r="G83" s="29">
        <v>65.490000000000009</v>
      </c>
      <c r="H83" s="29">
        <v>45.180000000000007</v>
      </c>
      <c r="I83" s="29">
        <v>-131.94999999999999</v>
      </c>
      <c r="J83" s="29">
        <v>-139.88999999999999</v>
      </c>
      <c r="K83" s="29">
        <v>-151.56</v>
      </c>
      <c r="L83" s="29">
        <v>-170.92999999999998</v>
      </c>
      <c r="M83" s="29">
        <v>-183.14000000000001</v>
      </c>
      <c r="N83" s="29">
        <v>-198.17999999999998</v>
      </c>
      <c r="O83" s="29">
        <v>-203.36999999999998</v>
      </c>
      <c r="P83" s="29">
        <v>-243.34</v>
      </c>
      <c r="Q83" s="29">
        <v>-244.21</v>
      </c>
      <c r="R83" s="29">
        <v>-260.01</v>
      </c>
      <c r="S83" s="29">
        <v>-260.90999999999997</v>
      </c>
      <c r="T83" s="29">
        <v>-293.82000000000005</v>
      </c>
      <c r="U83" s="29">
        <v>-295.93999999999994</v>
      </c>
      <c r="V83" s="29">
        <v>-339.14</v>
      </c>
      <c r="W83" s="29">
        <v>-344.55999999999995</v>
      </c>
      <c r="X83" s="29">
        <v>-349.44</v>
      </c>
      <c r="Y83" s="29">
        <v>-357.01</v>
      </c>
      <c r="Z83" s="29">
        <v>9999</v>
      </c>
      <c r="AA83" s="29">
        <v>9999</v>
      </c>
      <c r="AB83" s="29">
        <v>-377.89</v>
      </c>
      <c r="AC83" s="29">
        <v>-427.97</v>
      </c>
      <c r="AD83" s="9" t="s">
        <v>285</v>
      </c>
      <c r="AE83" s="35"/>
      <c r="AF83" s="35"/>
      <c r="AG83" s="16" t="s">
        <v>196</v>
      </c>
    </row>
    <row r="84" spans="1:33" s="2" customFormat="1" x14ac:dyDescent="0.25">
      <c r="A84" s="23">
        <v>82</v>
      </c>
      <c r="B84" s="34" t="s">
        <v>221</v>
      </c>
      <c r="C84" s="29">
        <v>4096473.89</v>
      </c>
      <c r="D84" s="29">
        <v>38539535.189999998</v>
      </c>
      <c r="E84" s="29">
        <v>86.52</v>
      </c>
      <c r="F84" s="29">
        <v>642.91999999999996</v>
      </c>
      <c r="G84" s="29">
        <v>72.41</v>
      </c>
      <c r="H84" s="29">
        <v>50.52</v>
      </c>
      <c r="I84" s="29">
        <v>-179.18</v>
      </c>
      <c r="J84" s="29">
        <v>-186.26</v>
      </c>
      <c r="K84" s="29">
        <v>-322.64000000000004</v>
      </c>
      <c r="L84" s="29">
        <v>-346.74</v>
      </c>
      <c r="M84" s="29">
        <v>-365.79</v>
      </c>
      <c r="N84" s="29">
        <v>-380.74000000000007</v>
      </c>
      <c r="O84" s="29">
        <v>-387.14000000000004</v>
      </c>
      <c r="P84" s="29">
        <v>-423.21000000000004</v>
      </c>
      <c r="Q84" s="29">
        <v>-424.39000000000004</v>
      </c>
      <c r="R84" s="29">
        <v>-440.84</v>
      </c>
      <c r="S84" s="29">
        <v>-442.9</v>
      </c>
      <c r="T84" s="29">
        <v>-475.39</v>
      </c>
      <c r="U84" s="29">
        <v>-476.82000000000005</v>
      </c>
      <c r="V84" s="29">
        <v>-511.51</v>
      </c>
      <c r="W84" s="29">
        <v>9999</v>
      </c>
      <c r="X84" s="29">
        <v>-520.84</v>
      </c>
      <c r="Y84" s="29">
        <v>-526.73</v>
      </c>
      <c r="Z84" s="29">
        <v>9999</v>
      </c>
      <c r="AA84" s="29">
        <v>9999</v>
      </c>
      <c r="AB84" s="29">
        <v>9999</v>
      </c>
      <c r="AC84" s="29">
        <v>9999</v>
      </c>
      <c r="AD84" s="9" t="s">
        <v>222</v>
      </c>
      <c r="AE84" s="35"/>
      <c r="AF84" s="35"/>
      <c r="AG84" s="16"/>
    </row>
    <row r="85" spans="1:33" s="2" customFormat="1" x14ac:dyDescent="0.25">
      <c r="A85" s="23">
        <v>83</v>
      </c>
      <c r="B85" s="34" t="s">
        <v>223</v>
      </c>
      <c r="C85" s="29">
        <v>4097877.61</v>
      </c>
      <c r="D85" s="29">
        <v>38540459.609999999</v>
      </c>
      <c r="E85" s="29">
        <v>83.71</v>
      </c>
      <c r="F85" s="29">
        <v>487.91</v>
      </c>
      <c r="G85" s="29">
        <v>64.209999999999994</v>
      </c>
      <c r="H85" s="29">
        <v>46.709999999999994</v>
      </c>
      <c r="I85" s="29">
        <v>-135.42000000000002</v>
      </c>
      <c r="J85" s="29">
        <v>-139.88999999999999</v>
      </c>
      <c r="K85" s="29">
        <v>-164.82999999999998</v>
      </c>
      <c r="L85" s="29">
        <v>-183.24</v>
      </c>
      <c r="M85" s="29">
        <v>-202.55</v>
      </c>
      <c r="N85" s="29">
        <v>-212.37</v>
      </c>
      <c r="O85" s="29">
        <v>-218.59000000000003</v>
      </c>
      <c r="P85" s="29">
        <v>-255.38</v>
      </c>
      <c r="Q85" s="29">
        <v>-256.67</v>
      </c>
      <c r="R85" s="29">
        <v>-271.52</v>
      </c>
      <c r="S85" s="29">
        <v>-272.61</v>
      </c>
      <c r="T85" s="29">
        <v>-313.49</v>
      </c>
      <c r="U85" s="29">
        <v>-315.75</v>
      </c>
      <c r="V85" s="29">
        <v>-355.36</v>
      </c>
      <c r="W85" s="29">
        <v>-360.95000000000005</v>
      </c>
      <c r="X85" s="29">
        <v>-367.26000000000005</v>
      </c>
      <c r="Y85" s="29">
        <v>-373.94</v>
      </c>
      <c r="Z85" s="29">
        <v>-392.74</v>
      </c>
      <c r="AA85" s="29">
        <v>-400.79</v>
      </c>
      <c r="AB85" s="29">
        <v>9999</v>
      </c>
      <c r="AC85" s="29">
        <v>9999</v>
      </c>
      <c r="AD85" s="9" t="s">
        <v>224</v>
      </c>
      <c r="AE85" s="35"/>
      <c r="AF85" s="35"/>
      <c r="AG85" s="16" t="s">
        <v>225</v>
      </c>
    </row>
    <row r="86" spans="1:33" s="2" customFormat="1" x14ac:dyDescent="0.25">
      <c r="A86" s="23">
        <v>84</v>
      </c>
      <c r="B86" s="34" t="s">
        <v>226</v>
      </c>
      <c r="C86" s="29">
        <v>4097118.35</v>
      </c>
      <c r="D86" s="29">
        <v>38539810.509999998</v>
      </c>
      <c r="E86" s="29">
        <v>86.73</v>
      </c>
      <c r="F86" s="29">
        <v>568.32000000000005</v>
      </c>
      <c r="G86" s="29">
        <v>67.570000000000007</v>
      </c>
      <c r="H86" s="29">
        <v>55.210000000000008</v>
      </c>
      <c r="I86" s="29">
        <v>-148.90999999999997</v>
      </c>
      <c r="J86" s="29">
        <v>-154.83999999999997</v>
      </c>
      <c r="K86" s="29">
        <v>-251.90999999999997</v>
      </c>
      <c r="L86" s="29">
        <v>-271.03999999999996</v>
      </c>
      <c r="M86" s="29">
        <v>9999</v>
      </c>
      <c r="N86" s="29">
        <v>-302.74</v>
      </c>
      <c r="O86" s="29">
        <v>-309.52999999999997</v>
      </c>
      <c r="P86" s="29">
        <v>-346.71</v>
      </c>
      <c r="Q86" s="29">
        <v>-347.94</v>
      </c>
      <c r="R86" s="29">
        <v>-363.77</v>
      </c>
      <c r="S86" s="29">
        <v>-364.85999999999996</v>
      </c>
      <c r="T86" s="29">
        <v>-392.28999999999996</v>
      </c>
      <c r="U86" s="29">
        <v>-395</v>
      </c>
      <c r="V86" s="29">
        <v>-434.74</v>
      </c>
      <c r="W86" s="29">
        <v>-442.96000000000004</v>
      </c>
      <c r="X86" s="29">
        <v>-443.56999999999994</v>
      </c>
      <c r="Y86" s="29">
        <v>-451.15999999999997</v>
      </c>
      <c r="Z86" s="29">
        <v>-465.13</v>
      </c>
      <c r="AA86" s="29">
        <v>-472.82999999999993</v>
      </c>
      <c r="AB86" s="29">
        <v>9999</v>
      </c>
      <c r="AC86" s="29">
        <v>9999</v>
      </c>
      <c r="AD86" s="9" t="s">
        <v>227</v>
      </c>
      <c r="AE86" s="35"/>
      <c r="AF86" s="35"/>
      <c r="AG86" s="16"/>
    </row>
    <row r="87" spans="1:33" s="2" customFormat="1" x14ac:dyDescent="0.25">
      <c r="A87" s="23">
        <v>85</v>
      </c>
      <c r="B87" s="34" t="s">
        <v>228</v>
      </c>
      <c r="C87" s="29">
        <v>4097434.05</v>
      </c>
      <c r="D87" s="29">
        <v>38540104.770000003</v>
      </c>
      <c r="E87" s="29">
        <v>86.41</v>
      </c>
      <c r="F87" s="29">
        <v>522.79</v>
      </c>
      <c r="G87" s="29">
        <v>9999</v>
      </c>
      <c r="H87" s="29">
        <v>9999</v>
      </c>
      <c r="I87" s="29">
        <v>9999</v>
      </c>
      <c r="J87" s="29">
        <v>86.41</v>
      </c>
      <c r="K87" s="29">
        <v>10.89</v>
      </c>
      <c r="L87" s="29">
        <v>2.1400000000000006</v>
      </c>
      <c r="M87" s="29">
        <v>-14.14</v>
      </c>
      <c r="N87" s="29">
        <v>-24.790000000000006</v>
      </c>
      <c r="O87" s="29">
        <v>-31.490000000000009</v>
      </c>
      <c r="P87" s="29">
        <v>-71.800000000000011</v>
      </c>
      <c r="Q87" s="29">
        <v>-73.289999999999992</v>
      </c>
      <c r="R87" s="29">
        <v>-88.110000000000014</v>
      </c>
      <c r="S87" s="29">
        <v>-89.32</v>
      </c>
      <c r="T87" s="29">
        <v>-123.83</v>
      </c>
      <c r="U87" s="29">
        <v>-125.56</v>
      </c>
      <c r="V87" s="29">
        <v>-165.73</v>
      </c>
      <c r="W87" s="29">
        <v>-170.92</v>
      </c>
      <c r="X87" s="29">
        <v>-173.39000000000001</v>
      </c>
      <c r="Y87" s="29">
        <v>-178.04</v>
      </c>
      <c r="Z87" s="29">
        <v>9999</v>
      </c>
      <c r="AA87" s="29">
        <v>9999</v>
      </c>
      <c r="AB87" s="29">
        <v>9999</v>
      </c>
      <c r="AC87" s="29">
        <v>9999</v>
      </c>
      <c r="AD87" s="9" t="s">
        <v>229</v>
      </c>
      <c r="AE87" s="35"/>
      <c r="AF87" s="35"/>
      <c r="AG87" s="16"/>
    </row>
    <row r="88" spans="1:33" s="2" customFormat="1" x14ac:dyDescent="0.25">
      <c r="A88" s="23">
        <v>86</v>
      </c>
      <c r="B88" s="34" t="s">
        <v>632</v>
      </c>
      <c r="C88" s="29">
        <v>4098446.55</v>
      </c>
      <c r="D88" s="29">
        <v>38540379.549999997</v>
      </c>
      <c r="E88" s="29">
        <v>84.47</v>
      </c>
      <c r="F88" s="29">
        <v>425.76</v>
      </c>
      <c r="G88" s="29">
        <v>63.55</v>
      </c>
      <c r="H88" s="29">
        <v>46.17</v>
      </c>
      <c r="I88" s="29">
        <v>-126.87</v>
      </c>
      <c r="J88" s="29">
        <v>9999</v>
      </c>
      <c r="K88" s="29">
        <v>-128.88</v>
      </c>
      <c r="L88" s="29">
        <v>-132.26</v>
      </c>
      <c r="M88" s="29">
        <v>9999</v>
      </c>
      <c r="N88" s="29">
        <v>-163.78</v>
      </c>
      <c r="O88" s="29">
        <v>-169.09</v>
      </c>
      <c r="P88" s="29">
        <v>-205.48999999999998</v>
      </c>
      <c r="Q88" s="29">
        <v>-206.63000000000002</v>
      </c>
      <c r="R88" s="29">
        <v>-222.46</v>
      </c>
      <c r="S88" s="29">
        <v>-223.59</v>
      </c>
      <c r="T88" s="29">
        <v>9999</v>
      </c>
      <c r="U88" s="29">
        <v>9999</v>
      </c>
      <c r="V88" s="29">
        <v>9999</v>
      </c>
      <c r="W88" s="29">
        <v>-239.42</v>
      </c>
      <c r="X88" s="29">
        <v>-251.15</v>
      </c>
      <c r="Y88" s="29">
        <v>-256.76</v>
      </c>
      <c r="Z88" s="29">
        <v>-275.03999999999996</v>
      </c>
      <c r="AA88" s="29">
        <v>-277.28999999999996</v>
      </c>
      <c r="AB88" s="29">
        <v>-331.1</v>
      </c>
      <c r="AC88" s="29">
        <v>-335.70000000000005</v>
      </c>
      <c r="AD88" s="9" t="s">
        <v>230</v>
      </c>
      <c r="AE88" s="35"/>
      <c r="AF88" s="35"/>
      <c r="AG88" s="16" t="s">
        <v>196</v>
      </c>
    </row>
    <row r="89" spans="1:33" s="2" customFormat="1" x14ac:dyDescent="0.25">
      <c r="A89" s="24">
        <v>87</v>
      </c>
      <c r="B89" s="32" t="s">
        <v>633</v>
      </c>
      <c r="C89" s="29">
        <v>4095768.89</v>
      </c>
      <c r="D89" s="29">
        <v>38536511.590000004</v>
      </c>
      <c r="E89" s="29">
        <v>101.06</v>
      </c>
      <c r="F89" s="29">
        <v>281.48</v>
      </c>
      <c r="G89" s="29">
        <v>84.16</v>
      </c>
      <c r="H89" s="29">
        <v>72.05</v>
      </c>
      <c r="I89" s="29">
        <v>-5.59</v>
      </c>
      <c r="J89" s="29">
        <v>9999</v>
      </c>
      <c r="K89" s="29">
        <v>9999</v>
      </c>
      <c r="L89" s="29">
        <v>-8.41</v>
      </c>
      <c r="M89" s="29">
        <v>9999</v>
      </c>
      <c r="N89" s="29">
        <v>-43.519999999999989</v>
      </c>
      <c r="O89" s="29">
        <v>-48.42</v>
      </c>
      <c r="P89" s="29">
        <v>-83.9</v>
      </c>
      <c r="Q89" s="29">
        <v>-85.72</v>
      </c>
      <c r="R89" s="29">
        <v>9999</v>
      </c>
      <c r="S89" s="29">
        <v>-110.16</v>
      </c>
      <c r="T89" s="29">
        <v>-130.55000000000001</v>
      </c>
      <c r="U89" s="29">
        <v>-130.6</v>
      </c>
      <c r="V89" s="29">
        <v>9999</v>
      </c>
      <c r="W89" s="29">
        <v>9999</v>
      </c>
      <c r="X89" s="29">
        <v>9999</v>
      </c>
      <c r="Y89" s="29">
        <v>9999</v>
      </c>
      <c r="Z89" s="29">
        <v>9999</v>
      </c>
      <c r="AA89" s="29">
        <v>9999</v>
      </c>
      <c r="AB89" s="29">
        <v>-155.69</v>
      </c>
      <c r="AC89" s="29">
        <v>9999</v>
      </c>
      <c r="AD89" s="19" t="s">
        <v>286</v>
      </c>
      <c r="AE89" s="35" t="s">
        <v>195</v>
      </c>
      <c r="AF89" s="35" t="s">
        <v>194</v>
      </c>
      <c r="AG89" s="25" t="s">
        <v>258</v>
      </c>
    </row>
    <row r="90" spans="1:33" s="2" customFormat="1" x14ac:dyDescent="0.25">
      <c r="A90" s="26">
        <v>88</v>
      </c>
      <c r="B90" s="31" t="s">
        <v>634</v>
      </c>
      <c r="C90" s="29">
        <v>4100294.92</v>
      </c>
      <c r="D90" s="29">
        <v>38539588.030000001</v>
      </c>
      <c r="E90" s="29">
        <v>79.650000000000006</v>
      </c>
      <c r="F90" s="29">
        <v>249.76</v>
      </c>
      <c r="G90" s="29">
        <v>59.69</v>
      </c>
      <c r="H90" s="29">
        <v>54.28</v>
      </c>
      <c r="I90" s="29">
        <v>-66.55</v>
      </c>
      <c r="J90" s="29">
        <v>9999</v>
      </c>
      <c r="K90" s="29">
        <v>9999</v>
      </c>
      <c r="L90" s="29">
        <v>9999</v>
      </c>
      <c r="M90" s="29">
        <v>9999</v>
      </c>
      <c r="N90" s="29">
        <v>9999</v>
      </c>
      <c r="O90" s="29">
        <v>9999</v>
      </c>
      <c r="P90" s="29">
        <v>9999</v>
      </c>
      <c r="Q90" s="29">
        <v>9999</v>
      </c>
      <c r="R90" s="29">
        <v>9999</v>
      </c>
      <c r="S90" s="29">
        <v>9999</v>
      </c>
      <c r="T90" s="29">
        <v>9999</v>
      </c>
      <c r="U90" s="29">
        <v>-74.5</v>
      </c>
      <c r="V90" s="29">
        <v>-78.91</v>
      </c>
      <c r="W90" s="29">
        <v>-80.53</v>
      </c>
      <c r="X90" s="29">
        <v>-87.609999999999985</v>
      </c>
      <c r="Y90" s="29">
        <v>-90.73</v>
      </c>
      <c r="Z90" s="29">
        <v>-114.01</v>
      </c>
      <c r="AA90" s="29">
        <v>-115.1</v>
      </c>
      <c r="AB90" s="29">
        <v>-117.57</v>
      </c>
      <c r="AC90" s="29">
        <v>9999</v>
      </c>
      <c r="AD90" s="9" t="s">
        <v>232</v>
      </c>
      <c r="AE90" s="35"/>
      <c r="AF90" s="35"/>
      <c r="AG90" s="16"/>
    </row>
    <row r="91" spans="1:33" s="2" customFormat="1" x14ac:dyDescent="0.25">
      <c r="A91" s="26">
        <v>89</v>
      </c>
      <c r="B91" s="31" t="s">
        <v>233</v>
      </c>
      <c r="C91" s="29">
        <v>4100220.81</v>
      </c>
      <c r="D91" s="29">
        <v>38539751.399999999</v>
      </c>
      <c r="E91" s="29">
        <v>78.81</v>
      </c>
      <c r="F91" s="29">
        <v>207.39</v>
      </c>
      <c r="G91" s="29">
        <v>60.87</v>
      </c>
      <c r="H91" s="29">
        <v>50.93</v>
      </c>
      <c r="I91" s="29">
        <v>-71.48</v>
      </c>
      <c r="J91" s="29">
        <v>9999</v>
      </c>
      <c r="K91" s="29">
        <v>9999</v>
      </c>
      <c r="L91" s="29">
        <v>9999</v>
      </c>
      <c r="M91" s="29">
        <v>9999</v>
      </c>
      <c r="N91" s="29">
        <v>9999</v>
      </c>
      <c r="O91" s="29">
        <v>9999</v>
      </c>
      <c r="P91" s="29">
        <v>9999</v>
      </c>
      <c r="Q91" s="29">
        <v>9999</v>
      </c>
      <c r="R91" s="29">
        <v>9999</v>
      </c>
      <c r="S91" s="29">
        <v>9999</v>
      </c>
      <c r="T91" s="29">
        <v>9999</v>
      </c>
      <c r="U91" s="29">
        <v>-73.760000000000005</v>
      </c>
      <c r="V91" s="29">
        <v>-92.83</v>
      </c>
      <c r="W91" s="29">
        <v>-96.11</v>
      </c>
      <c r="X91" s="29">
        <v>-106.03</v>
      </c>
      <c r="Y91" s="29">
        <v>-111.6</v>
      </c>
      <c r="Z91" s="29">
        <v>9999</v>
      </c>
      <c r="AA91" s="29">
        <v>9999</v>
      </c>
      <c r="AB91" s="29">
        <v>9999</v>
      </c>
      <c r="AC91" s="29">
        <v>9999</v>
      </c>
      <c r="AD91" s="9" t="s">
        <v>234</v>
      </c>
      <c r="AE91" s="35"/>
      <c r="AF91" s="35"/>
      <c r="AG91" s="16"/>
    </row>
    <row r="92" spans="1:33" s="2" customFormat="1" x14ac:dyDescent="0.25">
      <c r="A92" s="26">
        <v>90</v>
      </c>
      <c r="B92" s="31" t="s">
        <v>235</v>
      </c>
      <c r="C92" s="29">
        <v>4097631.85</v>
      </c>
      <c r="D92" s="29">
        <v>38537091.850000001</v>
      </c>
      <c r="E92" s="29">
        <v>95.82</v>
      </c>
      <c r="F92" s="29">
        <v>338.61</v>
      </c>
      <c r="G92" s="29">
        <v>80.62</v>
      </c>
      <c r="H92" s="29">
        <v>63.82</v>
      </c>
      <c r="I92" s="29">
        <v>-70.95</v>
      </c>
      <c r="J92" s="29">
        <v>9999</v>
      </c>
      <c r="K92" s="29">
        <v>9999</v>
      </c>
      <c r="L92" s="29">
        <v>9999</v>
      </c>
      <c r="M92" s="29">
        <v>9999</v>
      </c>
      <c r="N92" s="29">
        <v>9999</v>
      </c>
      <c r="O92" s="29">
        <v>9999</v>
      </c>
      <c r="P92" s="29">
        <v>9999</v>
      </c>
      <c r="Q92" s="29">
        <v>9999</v>
      </c>
      <c r="R92" s="29">
        <v>9999</v>
      </c>
      <c r="S92" s="29">
        <v>-72.91</v>
      </c>
      <c r="T92" s="29">
        <v>-92.82</v>
      </c>
      <c r="U92" s="29">
        <v>-94.51</v>
      </c>
      <c r="V92" s="29">
        <v>-126.84</v>
      </c>
      <c r="W92" s="29">
        <v>-130.76</v>
      </c>
      <c r="X92" s="29">
        <v>-145.16999999999999</v>
      </c>
      <c r="Y92" s="29">
        <v>-152.25</v>
      </c>
      <c r="Z92" s="29">
        <v>-173.45</v>
      </c>
      <c r="AA92" s="29">
        <v>-175.45</v>
      </c>
      <c r="AB92" s="29">
        <v>-182.82</v>
      </c>
      <c r="AC92" s="29">
        <v>9999</v>
      </c>
      <c r="AD92" s="9" t="s">
        <v>287</v>
      </c>
      <c r="AE92" s="35"/>
      <c r="AF92" s="35"/>
      <c r="AG92" s="16"/>
    </row>
    <row r="93" spans="1:33" s="2" customFormat="1" x14ac:dyDescent="0.25">
      <c r="A93" s="26">
        <v>91</v>
      </c>
      <c r="B93" s="31" t="s">
        <v>236</v>
      </c>
      <c r="C93" s="29">
        <v>4095853.6</v>
      </c>
      <c r="D93" s="29">
        <v>38536223.460000001</v>
      </c>
      <c r="E93" s="29">
        <v>101.49</v>
      </c>
      <c r="F93" s="29">
        <v>173.58</v>
      </c>
      <c r="G93" s="29">
        <v>86.51</v>
      </c>
      <c r="H93" s="29">
        <v>73.78</v>
      </c>
      <c r="I93" s="29">
        <v>-5.46</v>
      </c>
      <c r="J93" s="29">
        <v>9999</v>
      </c>
      <c r="K93" s="29">
        <v>9999</v>
      </c>
      <c r="L93" s="29">
        <v>-8.84</v>
      </c>
      <c r="M93" s="29">
        <v>-45.19</v>
      </c>
      <c r="N93" s="29">
        <v>-46.160000000000011</v>
      </c>
      <c r="O93" s="29">
        <v>-51.6</v>
      </c>
      <c r="P93" s="29">
        <v>9999</v>
      </c>
      <c r="Q93" s="29">
        <v>9999</v>
      </c>
      <c r="R93" s="29">
        <v>9999</v>
      </c>
      <c r="S93" s="29">
        <v>9999</v>
      </c>
      <c r="T93" s="29">
        <v>9999</v>
      </c>
      <c r="U93" s="29">
        <v>9999</v>
      </c>
      <c r="V93" s="29">
        <v>9999</v>
      </c>
      <c r="W93" s="29">
        <v>9999</v>
      </c>
      <c r="X93" s="29">
        <v>9999</v>
      </c>
      <c r="Y93" s="29">
        <v>9999</v>
      </c>
      <c r="Z93" s="29">
        <v>9999</v>
      </c>
      <c r="AA93" s="29">
        <v>9999</v>
      </c>
      <c r="AB93" s="29">
        <v>-64.5</v>
      </c>
      <c r="AC93" s="29">
        <v>9999</v>
      </c>
      <c r="AD93" s="9" t="s">
        <v>237</v>
      </c>
      <c r="AE93" s="35"/>
      <c r="AF93" s="35"/>
      <c r="AG93" s="16"/>
    </row>
    <row r="94" spans="1:33" s="2" customFormat="1" x14ac:dyDescent="0.25">
      <c r="A94" s="26">
        <v>92</v>
      </c>
      <c r="B94" s="31" t="s">
        <v>238</v>
      </c>
      <c r="C94" s="29">
        <v>4093139.99</v>
      </c>
      <c r="D94" s="29">
        <v>38535767.719999999</v>
      </c>
      <c r="E94" s="29">
        <v>91.3</v>
      </c>
      <c r="F94" s="29">
        <v>297.45</v>
      </c>
      <c r="G94" s="29">
        <v>74.41</v>
      </c>
      <c r="H94" s="29">
        <v>60.5</v>
      </c>
      <c r="I94" s="29">
        <v>-143.99</v>
      </c>
      <c r="J94" s="29">
        <v>9999</v>
      </c>
      <c r="K94" s="29">
        <v>9999</v>
      </c>
      <c r="L94" s="29">
        <v>9999</v>
      </c>
      <c r="M94" s="29">
        <v>9999</v>
      </c>
      <c r="N94" s="29">
        <v>9999</v>
      </c>
      <c r="O94" s="29">
        <v>-152.44</v>
      </c>
      <c r="P94" s="29">
        <v>-199.64</v>
      </c>
      <c r="Q94" s="29">
        <v>-202.05</v>
      </c>
      <c r="R94" s="29">
        <v>9999</v>
      </c>
      <c r="S94" s="29">
        <v>9999</v>
      </c>
      <c r="T94" s="29">
        <v>9999</v>
      </c>
      <c r="U94" s="29">
        <v>9999</v>
      </c>
      <c r="V94" s="29">
        <v>9999</v>
      </c>
      <c r="W94" s="29">
        <v>9999</v>
      </c>
      <c r="X94" s="29">
        <v>9999</v>
      </c>
      <c r="Y94" s="29">
        <v>9999</v>
      </c>
      <c r="Z94" s="29">
        <v>9999</v>
      </c>
      <c r="AA94" s="29">
        <v>9999</v>
      </c>
      <c r="AB94" s="29">
        <v>9999</v>
      </c>
      <c r="AC94" s="29">
        <v>9999</v>
      </c>
      <c r="AD94" s="21" t="s">
        <v>231</v>
      </c>
      <c r="AE94" s="35"/>
      <c r="AF94" s="35"/>
      <c r="AG94" s="27" t="s">
        <v>239</v>
      </c>
    </row>
    <row r="95" spans="1:33" s="2" customFormat="1" x14ac:dyDescent="0.25">
      <c r="A95" s="26">
        <v>93</v>
      </c>
      <c r="B95" s="32" t="s">
        <v>240</v>
      </c>
      <c r="C95" s="29">
        <v>4099908.24</v>
      </c>
      <c r="D95" s="29">
        <v>38539035.759999998</v>
      </c>
      <c r="E95" s="29">
        <v>79.430000000000007</v>
      </c>
      <c r="F95" s="29">
        <v>154.84</v>
      </c>
      <c r="G95" s="29">
        <v>65.45</v>
      </c>
      <c r="H95" s="29">
        <v>53.73</v>
      </c>
      <c r="I95" s="29">
        <v>-60.97</v>
      </c>
      <c r="J95" s="29">
        <v>9999</v>
      </c>
      <c r="K95" s="29">
        <v>9999</v>
      </c>
      <c r="L95" s="29">
        <v>9999</v>
      </c>
      <c r="M95" s="29">
        <v>9999</v>
      </c>
      <c r="N95" s="29">
        <v>9999</v>
      </c>
      <c r="O95" s="29">
        <v>9999</v>
      </c>
      <c r="P95" s="29">
        <v>9999</v>
      </c>
      <c r="Q95" s="29">
        <v>9999</v>
      </c>
      <c r="R95" s="29">
        <v>9999</v>
      </c>
      <c r="S95" s="29">
        <v>9999</v>
      </c>
      <c r="T95" s="29">
        <v>9999</v>
      </c>
      <c r="U95" s="29">
        <v>9999</v>
      </c>
      <c r="V95" s="29">
        <v>9999</v>
      </c>
      <c r="W95" s="29">
        <v>9999</v>
      </c>
      <c r="X95" s="29">
        <v>9999</v>
      </c>
      <c r="Y95" s="29">
        <v>9999</v>
      </c>
      <c r="Z95" s="29">
        <v>9999</v>
      </c>
      <c r="AA95" s="29">
        <v>9999</v>
      </c>
      <c r="AB95" s="29">
        <v>9999</v>
      </c>
      <c r="AC95" s="29">
        <v>9999</v>
      </c>
      <c r="AD95" s="9"/>
      <c r="AE95" s="35"/>
      <c r="AF95" s="35"/>
      <c r="AG95" s="21" t="s">
        <v>241</v>
      </c>
    </row>
    <row r="96" spans="1:33" s="2" customFormat="1" x14ac:dyDescent="0.25">
      <c r="A96" s="26">
        <v>94</v>
      </c>
      <c r="B96" s="31" t="s">
        <v>242</v>
      </c>
      <c r="C96" s="29">
        <v>4100228.9</v>
      </c>
      <c r="D96" s="29">
        <v>38539685.859999999</v>
      </c>
      <c r="E96" s="29">
        <v>79.12</v>
      </c>
      <c r="F96" s="29">
        <v>208.23</v>
      </c>
      <c r="G96" s="29">
        <v>66.66</v>
      </c>
      <c r="H96" s="29">
        <v>54.14</v>
      </c>
      <c r="I96" s="29">
        <v>-69.11</v>
      </c>
      <c r="J96" s="29">
        <v>9999</v>
      </c>
      <c r="K96" s="29">
        <v>9999</v>
      </c>
      <c r="L96" s="29">
        <v>9999</v>
      </c>
      <c r="M96" s="29">
        <v>9999</v>
      </c>
      <c r="N96" s="29">
        <v>9999</v>
      </c>
      <c r="O96" s="29">
        <v>9999</v>
      </c>
      <c r="P96" s="29">
        <v>9999</v>
      </c>
      <c r="Q96" s="29">
        <v>9999</v>
      </c>
      <c r="R96" s="29">
        <v>9999</v>
      </c>
      <c r="S96" s="29">
        <v>9999</v>
      </c>
      <c r="T96" s="29">
        <v>9999</v>
      </c>
      <c r="U96" s="29">
        <v>-73.180000000000007</v>
      </c>
      <c r="V96" s="29">
        <v>-96</v>
      </c>
      <c r="W96" s="29">
        <v>-99.45</v>
      </c>
      <c r="X96" s="29">
        <v>-109.43</v>
      </c>
      <c r="Y96" s="29">
        <v>-115.53</v>
      </c>
      <c r="Z96" s="29">
        <v>9999</v>
      </c>
      <c r="AA96" s="29">
        <v>9999</v>
      </c>
      <c r="AB96" s="29">
        <v>9999</v>
      </c>
      <c r="AC96" s="29">
        <v>9999</v>
      </c>
      <c r="AD96" s="9" t="s">
        <v>243</v>
      </c>
      <c r="AE96" s="35"/>
      <c r="AF96" s="35"/>
      <c r="AG96" s="16"/>
    </row>
    <row r="97" spans="1:33" s="2" customFormat="1" x14ac:dyDescent="0.25">
      <c r="A97" s="26">
        <v>95</v>
      </c>
      <c r="B97" s="31" t="s">
        <v>244</v>
      </c>
      <c r="C97" s="29">
        <v>4099803.1</v>
      </c>
      <c r="D97" s="29">
        <v>38540229.210000001</v>
      </c>
      <c r="E97" s="29">
        <v>77.430000000000007</v>
      </c>
      <c r="F97" s="29">
        <v>261.13</v>
      </c>
      <c r="G97" s="29">
        <v>61.16</v>
      </c>
      <c r="H97" s="29">
        <v>41.37</v>
      </c>
      <c r="I97" s="29">
        <v>-94.9</v>
      </c>
      <c r="J97" s="29">
        <v>9999</v>
      </c>
      <c r="K97" s="29">
        <v>9999</v>
      </c>
      <c r="L97" s="29">
        <v>9999</v>
      </c>
      <c r="M97" s="29">
        <v>-97.35</v>
      </c>
      <c r="N97" s="29">
        <v>-108.48999999999998</v>
      </c>
      <c r="O97" s="29">
        <v>-114.77</v>
      </c>
      <c r="P97" s="29">
        <v>9999</v>
      </c>
      <c r="Q97" s="29">
        <v>9999</v>
      </c>
      <c r="R97" s="29">
        <v>9999</v>
      </c>
      <c r="S97" s="29">
        <v>-135.44999999999999</v>
      </c>
      <c r="T97" s="29">
        <v>-136.4</v>
      </c>
      <c r="U97" s="29">
        <v>-137.36000000000001</v>
      </c>
      <c r="V97" s="29">
        <v>-172.48</v>
      </c>
      <c r="W97" s="29">
        <v>-179.07</v>
      </c>
      <c r="X97" s="29">
        <v>9999</v>
      </c>
      <c r="Y97" s="29">
        <v>9999</v>
      </c>
      <c r="Z97" s="29">
        <v>9999</v>
      </c>
      <c r="AA97" s="29">
        <v>9999</v>
      </c>
      <c r="AB97" s="29">
        <v>9999</v>
      </c>
      <c r="AC97" s="29">
        <v>9999</v>
      </c>
      <c r="AD97" s="9" t="s">
        <v>245</v>
      </c>
      <c r="AE97" s="35"/>
      <c r="AF97" s="35"/>
      <c r="AG97" s="16"/>
    </row>
    <row r="98" spans="1:33" s="2" customFormat="1" x14ac:dyDescent="0.25">
      <c r="A98" s="26">
        <v>96</v>
      </c>
      <c r="B98" s="31" t="s">
        <v>635</v>
      </c>
      <c r="C98" s="29">
        <v>4099628.99</v>
      </c>
      <c r="D98" s="29">
        <v>38540383.450000003</v>
      </c>
      <c r="E98" s="29">
        <v>76.27</v>
      </c>
      <c r="F98" s="29">
        <v>304.47000000000003</v>
      </c>
      <c r="G98" s="29">
        <v>60.64</v>
      </c>
      <c r="H98" s="29">
        <v>41.92</v>
      </c>
      <c r="I98" s="29">
        <v>-109.72</v>
      </c>
      <c r="J98" s="29">
        <v>9999</v>
      </c>
      <c r="K98" s="29">
        <v>9999</v>
      </c>
      <c r="L98" s="29">
        <v>9999</v>
      </c>
      <c r="M98" s="29">
        <v>9999</v>
      </c>
      <c r="N98" s="29">
        <v>9999</v>
      </c>
      <c r="O98" s="29">
        <v>-117.75</v>
      </c>
      <c r="P98" s="29">
        <v>9999</v>
      </c>
      <c r="Q98" s="29">
        <v>-134.69999999999999</v>
      </c>
      <c r="R98" s="29">
        <v>-148.44999999999999</v>
      </c>
      <c r="S98" s="29">
        <v>-149.51</v>
      </c>
      <c r="T98" s="29">
        <v>9999</v>
      </c>
      <c r="U98" s="29">
        <v>-178.99</v>
      </c>
      <c r="V98" s="29">
        <v>-197.74</v>
      </c>
      <c r="W98" s="29">
        <v>-202.67</v>
      </c>
      <c r="X98" s="29">
        <v>-210.00000000000003</v>
      </c>
      <c r="Y98" s="29">
        <v>-215.27</v>
      </c>
      <c r="Z98" s="29">
        <v>9999</v>
      </c>
      <c r="AA98" s="29">
        <v>9999</v>
      </c>
      <c r="AB98" s="29">
        <v>9999</v>
      </c>
      <c r="AC98" s="29">
        <v>9999</v>
      </c>
      <c r="AD98" s="9" t="s">
        <v>246</v>
      </c>
      <c r="AE98" s="35"/>
      <c r="AF98" s="35"/>
      <c r="AG98" s="16"/>
    </row>
    <row r="99" spans="1:33" s="2" customFormat="1" x14ac:dyDescent="0.25">
      <c r="A99" s="26">
        <v>97</v>
      </c>
      <c r="B99" s="31" t="s">
        <v>636</v>
      </c>
      <c r="C99" s="29">
        <v>4098872.09</v>
      </c>
      <c r="D99" s="29">
        <v>38540412.299999997</v>
      </c>
      <c r="E99" s="29">
        <v>74.86</v>
      </c>
      <c r="F99" s="29">
        <v>377.16</v>
      </c>
      <c r="G99" s="29">
        <v>62.34</v>
      </c>
      <c r="H99" s="29">
        <v>45.09</v>
      </c>
      <c r="I99" s="29">
        <v>-133.85</v>
      </c>
      <c r="J99" s="29">
        <v>9999</v>
      </c>
      <c r="K99" s="29">
        <v>9999</v>
      </c>
      <c r="L99" s="29">
        <v>9999</v>
      </c>
      <c r="M99" s="29">
        <v>9999</v>
      </c>
      <c r="N99" s="29">
        <v>9999</v>
      </c>
      <c r="O99" s="29">
        <v>-137.08000000000001</v>
      </c>
      <c r="P99" s="29">
        <v>-167.25</v>
      </c>
      <c r="Q99" s="29">
        <v>-169.73</v>
      </c>
      <c r="R99" s="29">
        <v>-185.51999999999998</v>
      </c>
      <c r="S99" s="29">
        <v>-186.52</v>
      </c>
      <c r="T99" s="29">
        <v>-218.51</v>
      </c>
      <c r="U99" s="29">
        <v>-220.96</v>
      </c>
      <c r="V99" s="29">
        <v>-257.37</v>
      </c>
      <c r="W99" s="29">
        <v>-264.55</v>
      </c>
      <c r="X99" s="29">
        <v>-269.33</v>
      </c>
      <c r="Y99" s="29">
        <v>-275.58999999999997</v>
      </c>
      <c r="Z99" s="29">
        <v>-294.49</v>
      </c>
      <c r="AA99" s="29">
        <v>-298.64999999999998</v>
      </c>
      <c r="AB99" s="29">
        <v>9999</v>
      </c>
      <c r="AC99" s="29">
        <v>9999</v>
      </c>
      <c r="AD99" s="9" t="s">
        <v>247</v>
      </c>
      <c r="AE99" s="35"/>
      <c r="AF99" s="35"/>
      <c r="AG99" s="16"/>
    </row>
    <row r="100" spans="1:33" s="2" customFormat="1" x14ac:dyDescent="0.25">
      <c r="A100" s="26">
        <v>98</v>
      </c>
      <c r="B100" s="31" t="s">
        <v>248</v>
      </c>
      <c r="C100" s="29">
        <v>4099232.59</v>
      </c>
      <c r="D100" s="29">
        <v>38538478.439999998</v>
      </c>
      <c r="E100" s="29">
        <v>82.33</v>
      </c>
      <c r="F100" s="29">
        <v>222.84</v>
      </c>
      <c r="G100" s="29">
        <v>69.849999999999994</v>
      </c>
      <c r="H100" s="29">
        <v>52.69</v>
      </c>
      <c r="I100" s="29">
        <v>-86.32</v>
      </c>
      <c r="J100" s="29">
        <v>9999</v>
      </c>
      <c r="K100" s="29">
        <v>9999</v>
      </c>
      <c r="L100" s="29">
        <v>9999</v>
      </c>
      <c r="M100" s="29">
        <v>9999</v>
      </c>
      <c r="N100" s="29">
        <v>9999</v>
      </c>
      <c r="O100" s="29">
        <v>9999</v>
      </c>
      <c r="P100" s="29">
        <v>9999</v>
      </c>
      <c r="Q100" s="29">
        <v>9999</v>
      </c>
      <c r="R100" s="29">
        <v>9999</v>
      </c>
      <c r="S100" s="29">
        <v>9999</v>
      </c>
      <c r="T100" s="29">
        <v>9999</v>
      </c>
      <c r="U100" s="29">
        <v>9999</v>
      </c>
      <c r="V100" s="29">
        <v>9999</v>
      </c>
      <c r="W100" s="29">
        <v>-90.06</v>
      </c>
      <c r="X100" s="29">
        <v>-102.16000000000001</v>
      </c>
      <c r="Y100" s="29">
        <v>109.07</v>
      </c>
      <c r="Z100" s="29">
        <v>9999</v>
      </c>
      <c r="AA100" s="29">
        <v>9999</v>
      </c>
      <c r="AB100" s="29">
        <v>-138.62</v>
      </c>
      <c r="AC100" s="29">
        <v>9999</v>
      </c>
      <c r="AD100" s="9" t="s">
        <v>288</v>
      </c>
      <c r="AE100" s="35"/>
      <c r="AF100" s="35"/>
      <c r="AG100" s="28" t="s">
        <v>249</v>
      </c>
    </row>
    <row r="101" spans="1:33" s="2" customFormat="1" x14ac:dyDescent="0.25">
      <c r="A101" s="26">
        <v>99</v>
      </c>
      <c r="B101" s="31" t="s">
        <v>250</v>
      </c>
      <c r="C101" s="29">
        <v>4097065.05</v>
      </c>
      <c r="D101" s="29">
        <v>38537133.920000002</v>
      </c>
      <c r="E101" s="29">
        <v>96.67</v>
      </c>
      <c r="F101" s="29">
        <v>389.46</v>
      </c>
      <c r="G101" s="29">
        <v>82.09</v>
      </c>
      <c r="H101" s="29">
        <v>63.27</v>
      </c>
      <c r="I101" s="29">
        <v>-84.33</v>
      </c>
      <c r="J101" s="29">
        <v>9999</v>
      </c>
      <c r="K101" s="29">
        <v>9999</v>
      </c>
      <c r="L101" s="29">
        <v>9999</v>
      </c>
      <c r="M101" s="29">
        <v>9999</v>
      </c>
      <c r="N101" s="29">
        <v>9999</v>
      </c>
      <c r="O101" s="29">
        <v>-84.53</v>
      </c>
      <c r="P101" s="29">
        <v>-100.83</v>
      </c>
      <c r="Q101" s="29">
        <v>-103.18</v>
      </c>
      <c r="R101" s="29">
        <v>-110.16999999999999</v>
      </c>
      <c r="S101" s="29">
        <v>-111.97</v>
      </c>
      <c r="T101" s="29">
        <v>-150.47</v>
      </c>
      <c r="U101" s="29">
        <v>-152.83000000000001</v>
      </c>
      <c r="V101" s="29">
        <v>-189</v>
      </c>
      <c r="W101" s="29">
        <v>-191.13</v>
      </c>
      <c r="X101" s="29">
        <v>-200.73999999999998</v>
      </c>
      <c r="Y101" s="29">
        <v>-206.59</v>
      </c>
      <c r="Z101" s="29">
        <v>-234.14</v>
      </c>
      <c r="AA101" s="29">
        <v>-235.61</v>
      </c>
      <c r="AB101" s="29">
        <v>-241.71</v>
      </c>
      <c r="AC101" s="29">
        <v>9999</v>
      </c>
      <c r="AD101" s="9" t="s">
        <v>251</v>
      </c>
      <c r="AE101" s="35"/>
      <c r="AF101" s="35"/>
      <c r="AG101" s="16"/>
    </row>
    <row r="102" spans="1:33" s="2" customFormat="1" x14ac:dyDescent="0.25">
      <c r="A102" s="26">
        <v>100</v>
      </c>
      <c r="B102" s="31" t="s">
        <v>252</v>
      </c>
      <c r="C102" s="29">
        <v>4095833.56</v>
      </c>
      <c r="D102" s="29">
        <v>38539427.700000003</v>
      </c>
      <c r="E102" s="29">
        <v>87.88</v>
      </c>
      <c r="F102" s="29">
        <v>674.32</v>
      </c>
      <c r="G102" s="29">
        <v>71.349999999999994</v>
      </c>
      <c r="H102" s="29">
        <v>54.38</v>
      </c>
      <c r="I102" s="29">
        <v>-169.76</v>
      </c>
      <c r="J102" s="29">
        <v>-177.76</v>
      </c>
      <c r="K102" s="29">
        <v>-402.26</v>
      </c>
      <c r="L102" s="29">
        <v>-405.7</v>
      </c>
      <c r="M102" s="29">
        <v>9999</v>
      </c>
      <c r="N102" s="29">
        <v>-432.59</v>
      </c>
      <c r="O102" s="29">
        <v>-439.14</v>
      </c>
      <c r="P102" s="29">
        <v>-467.29</v>
      </c>
      <c r="Q102" s="29">
        <v>-468.26</v>
      </c>
      <c r="R102" s="29">
        <v>-483.82000000000005</v>
      </c>
      <c r="S102" s="29">
        <v>-485.1</v>
      </c>
      <c r="T102" s="29">
        <v>-509.55</v>
      </c>
      <c r="U102" s="29">
        <v>-510.79</v>
      </c>
      <c r="V102" s="29">
        <v>-551.04999999999995</v>
      </c>
      <c r="W102" s="29">
        <v>9999</v>
      </c>
      <c r="X102" s="29">
        <v>-560.12</v>
      </c>
      <c r="Y102" s="29">
        <v>-569.07000000000005</v>
      </c>
      <c r="Z102" s="29">
        <v>9999</v>
      </c>
      <c r="AA102" s="29">
        <v>9999</v>
      </c>
      <c r="AB102" s="29">
        <v>9999</v>
      </c>
      <c r="AC102" s="29">
        <v>9999</v>
      </c>
      <c r="AD102" s="9" t="s">
        <v>253</v>
      </c>
      <c r="AE102" s="35"/>
      <c r="AF102" s="35"/>
      <c r="AG102" s="28" t="s">
        <v>254</v>
      </c>
    </row>
    <row r="103" spans="1:33" s="2" customFormat="1" x14ac:dyDescent="0.25">
      <c r="A103" s="26">
        <v>101</v>
      </c>
      <c r="B103" s="31" t="s">
        <v>637</v>
      </c>
      <c r="C103" s="29">
        <v>4095203.52</v>
      </c>
      <c r="D103" s="29">
        <v>38536149.340000004</v>
      </c>
      <c r="E103" s="29">
        <v>89.69</v>
      </c>
      <c r="F103" s="29">
        <v>166.36</v>
      </c>
      <c r="G103" s="29">
        <v>78.89</v>
      </c>
      <c r="H103" s="29">
        <v>68.55</v>
      </c>
      <c r="I103" s="29">
        <v>-12.32</v>
      </c>
      <c r="J103" s="29">
        <v>9999</v>
      </c>
      <c r="K103" s="29">
        <v>9999</v>
      </c>
      <c r="L103" s="29">
        <v>9999</v>
      </c>
      <c r="M103" s="29">
        <v>9999</v>
      </c>
      <c r="N103" s="29">
        <v>9999</v>
      </c>
      <c r="O103" s="29">
        <v>9999</v>
      </c>
      <c r="P103" s="29">
        <v>9999</v>
      </c>
      <c r="Q103" s="29">
        <v>9999</v>
      </c>
      <c r="R103" s="29">
        <v>9999</v>
      </c>
      <c r="S103" s="29">
        <v>9999</v>
      </c>
      <c r="T103" s="29">
        <v>9999</v>
      </c>
      <c r="U103" s="29">
        <v>9999</v>
      </c>
      <c r="V103" s="29">
        <v>9999</v>
      </c>
      <c r="W103" s="29">
        <v>-22.26</v>
      </c>
      <c r="X103" s="29">
        <v>-44.620000000000019</v>
      </c>
      <c r="Y103" s="29">
        <v>-50.39</v>
      </c>
      <c r="Z103" s="29">
        <v>9999</v>
      </c>
      <c r="AA103" s="29">
        <v>9999</v>
      </c>
      <c r="AB103" s="29">
        <v>-74.36</v>
      </c>
      <c r="AC103" s="29">
        <v>9999</v>
      </c>
      <c r="AD103" s="9" t="s">
        <v>289</v>
      </c>
      <c r="AE103" s="35"/>
      <c r="AF103" s="35"/>
      <c r="AG103" s="16"/>
    </row>
    <row r="104" spans="1:33" s="2" customFormat="1" x14ac:dyDescent="0.25">
      <c r="A104" s="26">
        <v>102</v>
      </c>
      <c r="B104" s="31" t="s">
        <v>255</v>
      </c>
      <c r="C104" s="29">
        <v>4094678.3</v>
      </c>
      <c r="D104" s="29">
        <v>38539411.469999999</v>
      </c>
      <c r="E104" s="29">
        <v>89.64</v>
      </c>
      <c r="F104" s="29">
        <v>479.43</v>
      </c>
      <c r="G104" s="29">
        <v>73.48</v>
      </c>
      <c r="H104" s="29">
        <v>59.55</v>
      </c>
      <c r="I104" s="29">
        <v>9999</v>
      </c>
      <c r="J104" s="29">
        <v>-109.62</v>
      </c>
      <c r="K104" s="29">
        <v>-204.2</v>
      </c>
      <c r="L104" s="29">
        <v>-210.56</v>
      </c>
      <c r="M104" s="29">
        <v>9999</v>
      </c>
      <c r="N104" s="29">
        <v>-247.59000000000003</v>
      </c>
      <c r="O104" s="29">
        <v>-252.78</v>
      </c>
      <c r="P104" s="29">
        <v>-281.95999999999998</v>
      </c>
      <c r="Q104" s="29">
        <v>-283.43</v>
      </c>
      <c r="R104" s="29">
        <v>-299.58</v>
      </c>
      <c r="S104" s="29">
        <v>-301.2</v>
      </c>
      <c r="T104" s="29">
        <v>-320.64999999999998</v>
      </c>
      <c r="U104" s="29">
        <v>-322.81</v>
      </c>
      <c r="V104" s="29">
        <v>-354.8</v>
      </c>
      <c r="W104" s="29">
        <v>9999</v>
      </c>
      <c r="X104" s="29">
        <v>-360.67</v>
      </c>
      <c r="Y104" s="29">
        <v>-365.43</v>
      </c>
      <c r="Z104" s="29">
        <v>-374.22</v>
      </c>
      <c r="AA104" s="29">
        <v>9999</v>
      </c>
      <c r="AB104" s="29">
        <v>9999</v>
      </c>
      <c r="AC104" s="29">
        <v>9999</v>
      </c>
      <c r="AD104" s="9" t="s">
        <v>290</v>
      </c>
      <c r="AE104" s="35"/>
      <c r="AF104" s="35"/>
      <c r="AG104" s="28" t="s">
        <v>256</v>
      </c>
    </row>
    <row r="105" spans="1:33" s="2" customFormat="1" x14ac:dyDescent="0.25">
      <c r="A105" s="26">
        <v>103</v>
      </c>
      <c r="B105" s="31" t="s">
        <v>257</v>
      </c>
      <c r="C105" s="29">
        <v>4096371.01</v>
      </c>
      <c r="D105" s="29">
        <v>38536745.969999999</v>
      </c>
      <c r="E105" s="29">
        <v>98.41</v>
      </c>
      <c r="F105" s="29">
        <v>217.59</v>
      </c>
      <c r="G105" s="29">
        <v>87.41</v>
      </c>
      <c r="H105" s="29">
        <v>67.709999999999994</v>
      </c>
      <c r="I105" s="29">
        <v>-45.29</v>
      </c>
      <c r="J105" s="29">
        <v>9999</v>
      </c>
      <c r="K105" s="29">
        <v>9999</v>
      </c>
      <c r="L105" s="29">
        <v>-45.46</v>
      </c>
      <c r="M105" s="29">
        <v>9999</v>
      </c>
      <c r="N105" s="29">
        <v>-71.89</v>
      </c>
      <c r="O105" s="29">
        <v>-76.53</v>
      </c>
      <c r="P105" s="29">
        <v>9999</v>
      </c>
      <c r="Q105" s="29">
        <v>9999</v>
      </c>
      <c r="R105" s="29">
        <v>-79.710000000000008</v>
      </c>
      <c r="S105" s="29">
        <v>9999</v>
      </c>
      <c r="T105" s="29">
        <v>9999</v>
      </c>
      <c r="U105" s="29">
        <v>9999</v>
      </c>
      <c r="V105" s="29">
        <v>9999</v>
      </c>
      <c r="W105" s="29">
        <v>9999</v>
      </c>
      <c r="X105" s="29">
        <v>-107.59000000000002</v>
      </c>
      <c r="Y105" s="29">
        <v>9999</v>
      </c>
      <c r="Z105" s="29">
        <v>9999</v>
      </c>
      <c r="AA105" s="29">
        <v>9999</v>
      </c>
      <c r="AB105" s="29">
        <v>-114.67</v>
      </c>
      <c r="AC105" s="29">
        <v>9999</v>
      </c>
      <c r="AD105" s="9" t="s">
        <v>291</v>
      </c>
      <c r="AE105" s="35"/>
      <c r="AF105" s="35"/>
      <c r="AG105" s="16"/>
    </row>
  </sheetData>
  <mergeCells count="20">
    <mergeCell ref="AE3:AE19"/>
    <mergeCell ref="AF3:AF19"/>
    <mergeCell ref="AF1:AF2"/>
    <mergeCell ref="AD1:AD2"/>
    <mergeCell ref="AE1:AE2"/>
    <mergeCell ref="C1:D1"/>
    <mergeCell ref="A1:A2"/>
    <mergeCell ref="B1:B2"/>
    <mergeCell ref="E1:E2"/>
    <mergeCell ref="F1:F2"/>
    <mergeCell ref="AE89:AE105"/>
    <mergeCell ref="AF89:AF105"/>
    <mergeCell ref="AE37:AE53"/>
    <mergeCell ref="AF37:AF53"/>
    <mergeCell ref="AE20:AE36"/>
    <mergeCell ref="AF20:AF36"/>
    <mergeCell ref="AE54:AE70"/>
    <mergeCell ref="AF54:AF70"/>
    <mergeCell ref="AE71:AE88"/>
    <mergeCell ref="AF71:AF88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A441-52B2-4F06-B0BF-0E0147F2DFBD}">
  <dimension ref="A1:AA103"/>
  <sheetViews>
    <sheetView zoomScaleNormal="100" workbookViewId="0">
      <selection activeCell="N11" sqref="N11"/>
    </sheetView>
  </sheetViews>
  <sheetFormatPr defaultRowHeight="13.8" x14ac:dyDescent="0.25"/>
  <sheetData>
    <row r="1" spans="1:27" x14ac:dyDescent="0.25">
      <c r="A1">
        <v>4095009.4350000001</v>
      </c>
      <c r="B1">
        <v>38537452.844999999</v>
      </c>
      <c r="C1">
        <v>87.736999999999995</v>
      </c>
      <c r="D1">
        <v>346.18</v>
      </c>
      <c r="E1">
        <v>9999</v>
      </c>
      <c r="F1">
        <v>-73.962999999999994</v>
      </c>
      <c r="G1">
        <v>-93.643000000000001</v>
      </c>
      <c r="H1">
        <v>9999</v>
      </c>
      <c r="I1">
        <v>9999</v>
      </c>
      <c r="J1">
        <v>9999</v>
      </c>
      <c r="K1">
        <v>9999</v>
      </c>
      <c r="L1">
        <v>9999</v>
      </c>
      <c r="M1">
        <v>-97.563000000000017</v>
      </c>
      <c r="N1">
        <v>-113.71299999999999</v>
      </c>
      <c r="O1">
        <v>-116.03300000000002</v>
      </c>
      <c r="P1">
        <v>-121.22300000000001</v>
      </c>
      <c r="Q1">
        <v>9999</v>
      </c>
      <c r="R1">
        <v>9999</v>
      </c>
      <c r="S1">
        <v>-122.46299999999999</v>
      </c>
      <c r="T1">
        <v>-145.803</v>
      </c>
      <c r="U1">
        <v>-148.87300000000002</v>
      </c>
      <c r="V1">
        <v>-175.63300000000001</v>
      </c>
      <c r="W1">
        <v>-180.31300000000002</v>
      </c>
      <c r="X1">
        <v>-194.22299999999998</v>
      </c>
      <c r="Y1">
        <v>-200.51300000000001</v>
      </c>
      <c r="Z1">
        <v>-213.643</v>
      </c>
      <c r="AA1">
        <v>-248.37300000000002</v>
      </c>
    </row>
    <row r="2" spans="1:27" x14ac:dyDescent="0.25">
      <c r="A2">
        <v>4094627.7080000001</v>
      </c>
      <c r="B2">
        <v>38536917.237000003</v>
      </c>
      <c r="C2">
        <v>85.4</v>
      </c>
      <c r="D2">
        <v>345.65</v>
      </c>
      <c r="E2">
        <v>85.4</v>
      </c>
      <c r="F2">
        <v>70.400000000000006</v>
      </c>
      <c r="G2">
        <v>-41</v>
      </c>
      <c r="H2">
        <v>9999</v>
      </c>
      <c r="I2">
        <v>9999</v>
      </c>
      <c r="J2">
        <v>9999</v>
      </c>
      <c r="K2">
        <v>9999</v>
      </c>
      <c r="L2">
        <v>9999</v>
      </c>
      <c r="M2">
        <v>-47.400000000000006</v>
      </c>
      <c r="N2">
        <v>-96.93</v>
      </c>
      <c r="O2">
        <v>-99.63</v>
      </c>
      <c r="P2">
        <v>-108.01999999999998</v>
      </c>
      <c r="Q2">
        <v>-109.93</v>
      </c>
      <c r="R2">
        <v>9999</v>
      </c>
      <c r="S2">
        <v>-124.41</v>
      </c>
      <c r="T2">
        <v>-178.98</v>
      </c>
      <c r="U2">
        <v>-182.79</v>
      </c>
      <c r="V2">
        <v>-197.54999999999998</v>
      </c>
      <c r="W2">
        <v>-203.24999999999997</v>
      </c>
      <c r="X2">
        <v>-219.62999999999997</v>
      </c>
      <c r="Y2">
        <v>-225.34</v>
      </c>
      <c r="Z2">
        <v>-235.07000000000002</v>
      </c>
      <c r="AA2">
        <v>-252.96</v>
      </c>
    </row>
    <row r="3" spans="1:27" x14ac:dyDescent="0.25">
      <c r="A3">
        <v>4094340.61</v>
      </c>
      <c r="B3">
        <v>38538051.159999996</v>
      </c>
      <c r="C3">
        <v>83.42</v>
      </c>
      <c r="D3">
        <v>502.66</v>
      </c>
      <c r="E3">
        <v>75.27</v>
      </c>
      <c r="F3">
        <v>41.370000000000005</v>
      </c>
      <c r="G3">
        <v>-107.27999999999999</v>
      </c>
      <c r="H3">
        <v>-119.88000000000001</v>
      </c>
      <c r="I3">
        <v>-139.38</v>
      </c>
      <c r="J3">
        <v>-147.88</v>
      </c>
      <c r="K3">
        <v>-174.57999999999998</v>
      </c>
      <c r="L3">
        <v>-196.57999999999998</v>
      </c>
      <c r="M3">
        <v>-203.07999999999998</v>
      </c>
      <c r="N3">
        <v>-240.27999999999997</v>
      </c>
      <c r="O3">
        <v>-244.47999999999996</v>
      </c>
      <c r="P3">
        <v>-250.27999999999997</v>
      </c>
      <c r="Q3">
        <v>-252.07999999999998</v>
      </c>
      <c r="R3">
        <v>9999</v>
      </c>
      <c r="S3">
        <v>-259.33999999999997</v>
      </c>
      <c r="T3">
        <v>-308.99</v>
      </c>
      <c r="U3">
        <v>-312.02999999999997</v>
      </c>
      <c r="V3">
        <v>-333.93</v>
      </c>
      <c r="W3">
        <v>-339.43</v>
      </c>
      <c r="X3">
        <v>-356.16999999999996</v>
      </c>
      <c r="Y3">
        <v>-360.78</v>
      </c>
      <c r="Z3">
        <v>-366.49</v>
      </c>
      <c r="AA3">
        <v>-419.24</v>
      </c>
    </row>
    <row r="4" spans="1:27" x14ac:dyDescent="0.25">
      <c r="A4" t="s">
        <v>21</v>
      </c>
      <c r="B4">
        <v>38538455.468999997</v>
      </c>
      <c r="C4">
        <v>81.927999999999997</v>
      </c>
      <c r="D4">
        <v>333.32</v>
      </c>
      <c r="E4">
        <v>77.977999999999994</v>
      </c>
      <c r="F4">
        <v>66.777999999999992</v>
      </c>
      <c r="G4">
        <v>-129.822</v>
      </c>
      <c r="H4">
        <v>9999</v>
      </c>
      <c r="I4">
        <v>9999</v>
      </c>
      <c r="J4">
        <v>9999</v>
      </c>
      <c r="K4">
        <v>-133.97200000000001</v>
      </c>
      <c r="L4">
        <v>-135.672</v>
      </c>
      <c r="M4">
        <v>-137.22200000000001</v>
      </c>
      <c r="N4">
        <v>-163.37200000000001</v>
      </c>
      <c r="O4">
        <v>-166.542</v>
      </c>
      <c r="P4">
        <v>-177.17200000000003</v>
      </c>
      <c r="Q4">
        <v>-177.67200000000003</v>
      </c>
      <c r="R4">
        <v>9999</v>
      </c>
      <c r="S4">
        <v>9999</v>
      </c>
      <c r="T4">
        <v>9999</v>
      </c>
      <c r="U4">
        <v>9999</v>
      </c>
      <c r="V4">
        <v>9999</v>
      </c>
      <c r="W4">
        <v>9999</v>
      </c>
      <c r="X4">
        <v>9999</v>
      </c>
      <c r="Y4">
        <v>9999</v>
      </c>
      <c r="Z4">
        <v>-200.97199999999998</v>
      </c>
      <c r="AA4">
        <v>-251.392</v>
      </c>
    </row>
    <row r="5" spans="1:27" x14ac:dyDescent="0.25">
      <c r="A5" t="s">
        <v>23</v>
      </c>
      <c r="B5" t="s">
        <v>24</v>
      </c>
      <c r="C5">
        <v>90.88</v>
      </c>
      <c r="D5">
        <v>557</v>
      </c>
      <c r="E5">
        <v>75.22999999999999</v>
      </c>
      <c r="F5">
        <v>62.33</v>
      </c>
      <c r="G5">
        <v>-83.77000000000001</v>
      </c>
      <c r="H5">
        <v>-94.82</v>
      </c>
      <c r="I5">
        <v>-179.47000000000003</v>
      </c>
      <c r="J5">
        <v>-195.97000000000003</v>
      </c>
      <c r="K5">
        <v>-217.26999999999998</v>
      </c>
      <c r="L5">
        <v>-233.92000000000002</v>
      </c>
      <c r="M5">
        <v>-240.32</v>
      </c>
      <c r="N5">
        <v>-277.14</v>
      </c>
      <c r="O5">
        <v>-281.44</v>
      </c>
      <c r="P5">
        <v>-289.74</v>
      </c>
      <c r="Q5">
        <v>-290.64</v>
      </c>
      <c r="R5">
        <v>9999</v>
      </c>
      <c r="S5">
        <v>-305.92</v>
      </c>
      <c r="T5">
        <v>-363.94</v>
      </c>
      <c r="U5">
        <v>-366.84000000000003</v>
      </c>
      <c r="V5">
        <v>-388.02</v>
      </c>
      <c r="W5">
        <v>-392.67</v>
      </c>
      <c r="X5">
        <v>9999</v>
      </c>
      <c r="Y5">
        <v>-398.37</v>
      </c>
      <c r="Z5">
        <v>-416.02</v>
      </c>
      <c r="AA5">
        <v>-466.12</v>
      </c>
    </row>
    <row r="6" spans="1:27" x14ac:dyDescent="0.25">
      <c r="A6" t="s">
        <v>26</v>
      </c>
      <c r="B6" t="s">
        <v>27</v>
      </c>
      <c r="C6">
        <v>90.06</v>
      </c>
      <c r="D6">
        <v>484.73</v>
      </c>
      <c r="E6">
        <v>76.16</v>
      </c>
      <c r="F6">
        <v>62.56</v>
      </c>
      <c r="G6">
        <v>-96.490000000000009</v>
      </c>
      <c r="H6">
        <v>-101.84</v>
      </c>
      <c r="I6">
        <v>-168.14</v>
      </c>
      <c r="J6">
        <v>-194.58999999999997</v>
      </c>
      <c r="K6">
        <v>-211.04000000000002</v>
      </c>
      <c r="L6">
        <v>-226.94</v>
      </c>
      <c r="M6">
        <v>-231.64</v>
      </c>
      <c r="N6">
        <v>-249.69</v>
      </c>
      <c r="O6">
        <v>-253.54000000000002</v>
      </c>
      <c r="P6">
        <v>-261.44</v>
      </c>
      <c r="Q6">
        <v>-263.49</v>
      </c>
      <c r="R6">
        <v>-284.19</v>
      </c>
      <c r="S6">
        <v>-284.83999999999997</v>
      </c>
      <c r="T6">
        <v>-315.79000000000002</v>
      </c>
      <c r="U6">
        <v>9999</v>
      </c>
      <c r="V6">
        <v>9999</v>
      </c>
      <c r="W6">
        <v>-321.49</v>
      </c>
      <c r="X6">
        <v>-328.39</v>
      </c>
      <c r="Y6">
        <v>-333.99</v>
      </c>
      <c r="Z6">
        <v>-341.84</v>
      </c>
      <c r="AA6">
        <v>-394.67</v>
      </c>
    </row>
    <row r="7" spans="1:27" x14ac:dyDescent="0.25">
      <c r="A7" t="s">
        <v>28</v>
      </c>
      <c r="B7" t="s">
        <v>29</v>
      </c>
      <c r="C7">
        <v>97.7</v>
      </c>
      <c r="D7">
        <v>508.79</v>
      </c>
      <c r="E7">
        <v>81.850000000000009</v>
      </c>
      <c r="F7">
        <v>69.23</v>
      </c>
      <c r="G7">
        <v>-152.26</v>
      </c>
      <c r="H7">
        <v>-159.32999999999998</v>
      </c>
      <c r="I7">
        <v>-181.90000000000003</v>
      </c>
      <c r="J7">
        <v>-187.44</v>
      </c>
      <c r="K7">
        <v>-232</v>
      </c>
      <c r="L7">
        <v>-235.79000000000002</v>
      </c>
      <c r="M7">
        <v>-243.87</v>
      </c>
      <c r="N7">
        <v>-283.10000000000002</v>
      </c>
      <c r="O7">
        <v>-287.52000000000004</v>
      </c>
      <c r="P7">
        <v>-296.91000000000003</v>
      </c>
      <c r="Q7">
        <v>-299.37</v>
      </c>
      <c r="R7">
        <v>-334.35</v>
      </c>
      <c r="S7">
        <v>-336.76</v>
      </c>
      <c r="T7">
        <v>-379.1</v>
      </c>
      <c r="U7">
        <v>9999</v>
      </c>
      <c r="V7">
        <v>-382.09000000000003</v>
      </c>
      <c r="W7">
        <v>-390.26</v>
      </c>
      <c r="X7">
        <v>-407.89</v>
      </c>
      <c r="Y7">
        <v>-409.11</v>
      </c>
      <c r="Z7">
        <v>9999</v>
      </c>
      <c r="AA7">
        <v>9999</v>
      </c>
    </row>
    <row r="8" spans="1:27" x14ac:dyDescent="0.25">
      <c r="A8" t="s">
        <v>30</v>
      </c>
      <c r="B8" t="s">
        <v>31</v>
      </c>
      <c r="C8">
        <v>87.58</v>
      </c>
      <c r="D8">
        <v>302.7</v>
      </c>
      <c r="E8">
        <v>69.28</v>
      </c>
      <c r="F8">
        <v>51.08</v>
      </c>
      <c r="G8">
        <v>-153.92000000000002</v>
      </c>
      <c r="H8">
        <v>-162.51999999999998</v>
      </c>
      <c r="I8">
        <v>-209.52000000000004</v>
      </c>
      <c r="J8">
        <v>-215.12</v>
      </c>
      <c r="K8">
        <v>9999</v>
      </c>
      <c r="L8">
        <v>9999</v>
      </c>
      <c r="M8">
        <v>9999</v>
      </c>
      <c r="N8">
        <v>9999</v>
      </c>
      <c r="O8">
        <v>9999</v>
      </c>
      <c r="P8">
        <v>9999</v>
      </c>
      <c r="Q8">
        <v>9999</v>
      </c>
      <c r="R8">
        <v>9999</v>
      </c>
      <c r="S8">
        <v>9999</v>
      </c>
      <c r="T8">
        <v>9999</v>
      </c>
      <c r="U8">
        <v>9999</v>
      </c>
      <c r="V8">
        <v>9999</v>
      </c>
      <c r="W8">
        <v>9999</v>
      </c>
      <c r="X8">
        <v>9999</v>
      </c>
      <c r="Y8">
        <v>9999</v>
      </c>
      <c r="Z8">
        <v>9999</v>
      </c>
      <c r="AA8">
        <v>9999</v>
      </c>
    </row>
    <row r="9" spans="1:27" x14ac:dyDescent="0.25">
      <c r="A9" t="s">
        <v>32</v>
      </c>
      <c r="B9" t="s">
        <v>33</v>
      </c>
      <c r="C9">
        <v>86.2</v>
      </c>
      <c r="D9">
        <v>325.19</v>
      </c>
      <c r="E9">
        <v>67.28</v>
      </c>
      <c r="F9">
        <v>49.400000000000006</v>
      </c>
      <c r="G9">
        <v>-125.83999999999999</v>
      </c>
      <c r="H9">
        <v>9999</v>
      </c>
      <c r="I9">
        <v>9999</v>
      </c>
      <c r="J9">
        <v>9999</v>
      </c>
      <c r="K9">
        <v>9999</v>
      </c>
      <c r="L9">
        <v>9999</v>
      </c>
      <c r="M9">
        <v>9999</v>
      </c>
      <c r="N9">
        <v>9999</v>
      </c>
      <c r="O9">
        <v>9999</v>
      </c>
      <c r="P9">
        <v>9999</v>
      </c>
      <c r="Q9">
        <v>-137.08999999999997</v>
      </c>
      <c r="R9">
        <v>-174.28000000000003</v>
      </c>
      <c r="S9">
        <v>-176.45</v>
      </c>
      <c r="T9">
        <v>-209.57999999999998</v>
      </c>
      <c r="U9">
        <v>-213.62</v>
      </c>
      <c r="V9">
        <v>-228.79000000000002</v>
      </c>
      <c r="W9">
        <v>-234.52000000000004</v>
      </c>
      <c r="X9">
        <v>9999</v>
      </c>
      <c r="Y9">
        <v>9999</v>
      </c>
      <c r="Z9">
        <v>9999</v>
      </c>
      <c r="AA9">
        <v>9999</v>
      </c>
    </row>
    <row r="10" spans="1:27" x14ac:dyDescent="0.25">
      <c r="A10" t="s">
        <v>35</v>
      </c>
      <c r="B10" t="s">
        <v>36</v>
      </c>
      <c r="C10">
        <v>98.4</v>
      </c>
      <c r="D10">
        <v>239.23</v>
      </c>
      <c r="E10">
        <v>84.97</v>
      </c>
      <c r="F10">
        <v>9999</v>
      </c>
      <c r="G10">
        <v>70.830000000000013</v>
      </c>
      <c r="H10">
        <v>9999</v>
      </c>
      <c r="I10">
        <v>9999</v>
      </c>
      <c r="J10">
        <v>9999</v>
      </c>
      <c r="K10">
        <v>9999</v>
      </c>
      <c r="L10">
        <v>9999</v>
      </c>
      <c r="M10">
        <v>9999</v>
      </c>
      <c r="N10">
        <v>9999</v>
      </c>
      <c r="O10">
        <v>9999</v>
      </c>
      <c r="P10">
        <v>9999</v>
      </c>
      <c r="Q10">
        <v>9999</v>
      </c>
      <c r="R10">
        <v>9999</v>
      </c>
      <c r="S10">
        <v>-20.58</v>
      </c>
      <c r="T10">
        <v>-85.789999999999992</v>
      </c>
      <c r="U10">
        <v>-93.53</v>
      </c>
      <c r="V10">
        <v>-93.63</v>
      </c>
      <c r="W10">
        <v>-101.9</v>
      </c>
      <c r="X10">
        <v>-114.78999999999999</v>
      </c>
      <c r="Y10">
        <v>-120.10999999999999</v>
      </c>
      <c r="Z10">
        <v>-126.88999999999999</v>
      </c>
      <c r="AA10">
        <v>-140.57999999999998</v>
      </c>
    </row>
    <row r="11" spans="1:27" x14ac:dyDescent="0.25">
      <c r="A11" t="s">
        <v>38</v>
      </c>
      <c r="B11" t="s">
        <v>39</v>
      </c>
      <c r="C11">
        <v>87.37</v>
      </c>
      <c r="D11">
        <v>428.8</v>
      </c>
      <c r="E11">
        <v>73.13000000000001</v>
      </c>
      <c r="F11">
        <v>52.040000000000006</v>
      </c>
      <c r="G11">
        <v>-159.09</v>
      </c>
      <c r="H11">
        <v>9999</v>
      </c>
      <c r="I11">
        <v>9999</v>
      </c>
      <c r="J11">
        <v>9999</v>
      </c>
      <c r="K11">
        <v>-164.74</v>
      </c>
      <c r="L11">
        <v>-170.42000000000002</v>
      </c>
      <c r="M11">
        <v>-174.96999999999997</v>
      </c>
      <c r="N11">
        <v>-196.7</v>
      </c>
      <c r="O11">
        <v>-197.42000000000002</v>
      </c>
      <c r="P11">
        <v>-213.24</v>
      </c>
      <c r="Q11">
        <v>-214.46999999999997</v>
      </c>
      <c r="R11">
        <v>-239.56</v>
      </c>
      <c r="S11">
        <v>-242.01999999999998</v>
      </c>
      <c r="T11">
        <v>-282.2</v>
      </c>
      <c r="U11">
        <v>-289.18</v>
      </c>
      <c r="V11">
        <v>-291.74</v>
      </c>
      <c r="W11">
        <v>-298.24</v>
      </c>
      <c r="X11">
        <v>-318.3</v>
      </c>
      <c r="Y11">
        <v>-324.43</v>
      </c>
      <c r="Z11">
        <v>-335.33</v>
      </c>
      <c r="AA11">
        <v>-337.61</v>
      </c>
    </row>
    <row r="12" spans="1:27" x14ac:dyDescent="0.25">
      <c r="A12" t="s">
        <v>41</v>
      </c>
      <c r="B12" t="s">
        <v>42</v>
      </c>
      <c r="C12">
        <v>93.6</v>
      </c>
      <c r="D12">
        <v>294.67</v>
      </c>
      <c r="E12">
        <v>77.949999999999989</v>
      </c>
      <c r="F12">
        <v>53.739999999999995</v>
      </c>
      <c r="G12">
        <v>-96.960000000000008</v>
      </c>
      <c r="H12">
        <v>9999</v>
      </c>
      <c r="I12">
        <v>9999</v>
      </c>
      <c r="J12">
        <v>9999</v>
      </c>
      <c r="K12">
        <v>9999</v>
      </c>
      <c r="L12">
        <v>9999</v>
      </c>
      <c r="M12">
        <v>9999</v>
      </c>
      <c r="N12">
        <v>9999</v>
      </c>
      <c r="O12">
        <v>9999</v>
      </c>
      <c r="P12">
        <v>9999</v>
      </c>
      <c r="Q12">
        <v>-102.85</v>
      </c>
      <c r="R12">
        <v>-129.78</v>
      </c>
      <c r="S12">
        <v>-131.20000000000002</v>
      </c>
      <c r="T12">
        <v>-154.73000000000002</v>
      </c>
      <c r="U12">
        <v>-159.01000000000002</v>
      </c>
      <c r="V12">
        <v>-165.27</v>
      </c>
      <c r="W12">
        <v>-171.89000000000001</v>
      </c>
      <c r="X12">
        <v>-187.42999999999998</v>
      </c>
      <c r="Y12">
        <v>-194.27</v>
      </c>
      <c r="Z12">
        <v>9999</v>
      </c>
      <c r="AA12">
        <v>9999</v>
      </c>
    </row>
    <row r="13" spans="1:27" x14ac:dyDescent="0.25">
      <c r="A13" t="s">
        <v>44</v>
      </c>
      <c r="B13" t="s">
        <v>45</v>
      </c>
      <c r="C13">
        <v>91</v>
      </c>
      <c r="D13">
        <v>296.52999999999997</v>
      </c>
      <c r="E13">
        <v>74</v>
      </c>
      <c r="F13">
        <v>57.22</v>
      </c>
      <c r="G13">
        <v>-87</v>
      </c>
      <c r="H13">
        <v>9999</v>
      </c>
      <c r="I13">
        <v>9999</v>
      </c>
      <c r="J13">
        <v>9999</v>
      </c>
      <c r="K13">
        <v>9999</v>
      </c>
      <c r="L13">
        <v>9999</v>
      </c>
      <c r="M13">
        <v>-101.5</v>
      </c>
      <c r="N13">
        <v>-121.5</v>
      </c>
      <c r="O13">
        <v>-123.57</v>
      </c>
      <c r="P13">
        <v>-130.57</v>
      </c>
      <c r="Q13">
        <v>-131.46</v>
      </c>
      <c r="R13">
        <v>-160.69999999999999</v>
      </c>
      <c r="S13">
        <v>-162.57</v>
      </c>
      <c r="T13">
        <v>9999</v>
      </c>
      <c r="U13">
        <v>9999</v>
      </c>
      <c r="V13">
        <v>9999</v>
      </c>
      <c r="W13">
        <v>9999</v>
      </c>
      <c r="X13">
        <v>9999</v>
      </c>
      <c r="Y13">
        <v>9999</v>
      </c>
      <c r="Z13">
        <v>9999</v>
      </c>
      <c r="AA13">
        <v>9999</v>
      </c>
    </row>
    <row r="14" spans="1:27" x14ac:dyDescent="0.25">
      <c r="A14" t="s">
        <v>46</v>
      </c>
      <c r="B14" t="s">
        <v>47</v>
      </c>
      <c r="C14">
        <v>88.96</v>
      </c>
      <c r="D14">
        <v>277.04000000000002</v>
      </c>
      <c r="E14">
        <v>85.19</v>
      </c>
      <c r="F14">
        <v>77.66</v>
      </c>
      <c r="G14">
        <v>-12.470000000000013</v>
      </c>
      <c r="H14">
        <v>9999</v>
      </c>
      <c r="I14">
        <v>9999</v>
      </c>
      <c r="J14">
        <v>9999</v>
      </c>
      <c r="K14">
        <v>9999</v>
      </c>
      <c r="L14">
        <v>9999</v>
      </c>
      <c r="M14">
        <v>-21.14</v>
      </c>
      <c r="N14">
        <v>-58.160000000000011</v>
      </c>
      <c r="O14">
        <v>-60.250000000000014</v>
      </c>
      <c r="P14">
        <v>-68.77</v>
      </c>
      <c r="Q14">
        <v>-70.160000000000011</v>
      </c>
      <c r="R14">
        <v>9999</v>
      </c>
      <c r="S14">
        <v>-102.44000000000001</v>
      </c>
      <c r="T14">
        <v>-135.38999999999999</v>
      </c>
      <c r="U14">
        <v>-139.30000000000001</v>
      </c>
      <c r="V14">
        <v>-155.90000000000003</v>
      </c>
      <c r="W14">
        <v>-165.41000000000003</v>
      </c>
      <c r="X14">
        <v>-181.68</v>
      </c>
      <c r="Y14">
        <v>-183.76000000000005</v>
      </c>
      <c r="Z14">
        <v>9999</v>
      </c>
      <c r="AA14">
        <v>9999</v>
      </c>
    </row>
    <row r="15" spans="1:27" x14ac:dyDescent="0.25">
      <c r="A15" t="s">
        <v>48</v>
      </c>
      <c r="B15" t="s">
        <v>49</v>
      </c>
      <c r="C15">
        <v>89.8</v>
      </c>
      <c r="D15">
        <v>330.8</v>
      </c>
      <c r="E15">
        <v>71.099999999999994</v>
      </c>
      <c r="F15">
        <v>51.26</v>
      </c>
      <c r="G15">
        <v>-151.61000000000001</v>
      </c>
      <c r="H15">
        <v>9999</v>
      </c>
      <c r="I15">
        <v>9999</v>
      </c>
      <c r="J15">
        <v>9999</v>
      </c>
      <c r="K15">
        <v>-160.07999999999998</v>
      </c>
      <c r="L15">
        <v>-189.88</v>
      </c>
      <c r="M15">
        <v>-194.02999999999997</v>
      </c>
      <c r="N15">
        <v>9999</v>
      </c>
      <c r="O15">
        <v>9999</v>
      </c>
      <c r="P15">
        <v>9999</v>
      </c>
      <c r="Q15">
        <v>9999</v>
      </c>
      <c r="R15">
        <v>9999</v>
      </c>
      <c r="S15">
        <v>9999</v>
      </c>
      <c r="T15">
        <v>9999</v>
      </c>
      <c r="U15">
        <v>9999</v>
      </c>
      <c r="V15">
        <v>9999</v>
      </c>
      <c r="W15">
        <v>9999</v>
      </c>
      <c r="X15">
        <v>9999</v>
      </c>
      <c r="Y15">
        <v>9999</v>
      </c>
      <c r="Z15">
        <v>9999</v>
      </c>
      <c r="AA15">
        <v>9999</v>
      </c>
    </row>
    <row r="16" spans="1:27" x14ac:dyDescent="0.25">
      <c r="A16" t="s">
        <v>51</v>
      </c>
      <c r="B16" t="s">
        <v>52</v>
      </c>
      <c r="C16">
        <v>91.79</v>
      </c>
      <c r="D16">
        <v>441.36</v>
      </c>
      <c r="E16">
        <v>78.940000000000012</v>
      </c>
      <c r="F16">
        <v>50.940000000000005</v>
      </c>
      <c r="G16">
        <v>-138.71999999999997</v>
      </c>
      <c r="H16">
        <v>9999</v>
      </c>
      <c r="I16">
        <v>9999</v>
      </c>
      <c r="J16">
        <v>-144.96999999999997</v>
      </c>
      <c r="K16">
        <v>-160.89999999999998</v>
      </c>
      <c r="L16">
        <v>-183.5</v>
      </c>
      <c r="M16">
        <v>-190.21999999999997</v>
      </c>
      <c r="N16">
        <v>9999</v>
      </c>
      <c r="O16">
        <v>9999</v>
      </c>
      <c r="P16">
        <v>9999</v>
      </c>
      <c r="Q16">
        <v>-219.13</v>
      </c>
      <c r="R16">
        <v>-245.98999999999995</v>
      </c>
      <c r="S16">
        <v>-247.98999999999995</v>
      </c>
      <c r="T16">
        <v>-290.46999999999997</v>
      </c>
      <c r="U16">
        <v>9999</v>
      </c>
      <c r="V16">
        <v>-299.27999999999997</v>
      </c>
      <c r="W16">
        <v>-309.06</v>
      </c>
      <c r="X16">
        <v>-326.65999999999997</v>
      </c>
      <c r="Y16">
        <v>-332.21999999999997</v>
      </c>
      <c r="Z16">
        <v>-346.21999999999997</v>
      </c>
      <c r="AA16">
        <v>-346.71</v>
      </c>
    </row>
    <row r="17" spans="1:27" x14ac:dyDescent="0.25">
      <c r="A17" t="s">
        <v>54</v>
      </c>
      <c r="B17" t="s">
        <v>55</v>
      </c>
      <c r="C17">
        <v>89.8</v>
      </c>
      <c r="D17">
        <v>224.72</v>
      </c>
      <c r="E17">
        <v>76.61</v>
      </c>
      <c r="F17">
        <v>54.099999999999994</v>
      </c>
      <c r="G17">
        <v>-76.209999999999994</v>
      </c>
      <c r="H17">
        <v>9999</v>
      </c>
      <c r="I17">
        <v>9999</v>
      </c>
      <c r="J17">
        <v>9999</v>
      </c>
      <c r="K17">
        <v>9999</v>
      </c>
      <c r="L17">
        <v>9999</v>
      </c>
      <c r="M17">
        <v>9999</v>
      </c>
      <c r="N17">
        <v>9999</v>
      </c>
      <c r="O17">
        <v>9999</v>
      </c>
      <c r="P17">
        <v>9999</v>
      </c>
      <c r="Q17">
        <v>9999</v>
      </c>
      <c r="R17">
        <v>9999</v>
      </c>
      <c r="S17">
        <v>9999</v>
      </c>
      <c r="T17">
        <v>9999</v>
      </c>
      <c r="U17">
        <v>-92.24</v>
      </c>
      <c r="V17">
        <v>-105.07</v>
      </c>
      <c r="W17">
        <v>-111.86999999999999</v>
      </c>
      <c r="X17">
        <v>-111.86999999999999</v>
      </c>
      <c r="Y17">
        <v>9999</v>
      </c>
      <c r="Z17">
        <v>9999</v>
      </c>
      <c r="AA17">
        <v>9999</v>
      </c>
    </row>
    <row r="18" spans="1:27" x14ac:dyDescent="0.25">
      <c r="A18" t="s">
        <v>67</v>
      </c>
      <c r="B18" t="s">
        <v>68</v>
      </c>
      <c r="C18">
        <v>93.8</v>
      </c>
      <c r="D18">
        <v>216.65</v>
      </c>
      <c r="E18">
        <v>76.539999999999992</v>
      </c>
      <c r="F18">
        <v>61.4</v>
      </c>
      <c r="G18">
        <v>-83.440000000000012</v>
      </c>
      <c r="H18">
        <v>9999</v>
      </c>
      <c r="I18">
        <v>9999</v>
      </c>
      <c r="J18">
        <v>9999</v>
      </c>
      <c r="K18">
        <v>9999</v>
      </c>
      <c r="L18">
        <v>9999</v>
      </c>
      <c r="M18">
        <v>9999</v>
      </c>
      <c r="N18">
        <v>9999</v>
      </c>
      <c r="O18">
        <v>9999</v>
      </c>
      <c r="P18">
        <v>9999</v>
      </c>
      <c r="Q18">
        <v>9999</v>
      </c>
      <c r="R18">
        <v>9999</v>
      </c>
      <c r="S18">
        <v>9999</v>
      </c>
      <c r="T18">
        <v>9999</v>
      </c>
      <c r="U18">
        <v>-97.52</v>
      </c>
      <c r="V18">
        <v>-132.63</v>
      </c>
      <c r="W18">
        <v>-137.75</v>
      </c>
      <c r="X18">
        <v>-153.05000000000001</v>
      </c>
      <c r="Y18">
        <v>-153.64999999999998</v>
      </c>
      <c r="Z18">
        <v>-165.64</v>
      </c>
      <c r="AA18">
        <v>-167.8</v>
      </c>
    </row>
    <row r="19" spans="1:27" x14ac:dyDescent="0.25">
      <c r="A19" t="s">
        <v>70</v>
      </c>
      <c r="B19" t="s">
        <v>71</v>
      </c>
      <c r="C19">
        <v>94.7</v>
      </c>
      <c r="D19">
        <v>274.45</v>
      </c>
      <c r="E19">
        <v>78.88</v>
      </c>
      <c r="F19">
        <v>58.6</v>
      </c>
      <c r="G19">
        <v>-79.8</v>
      </c>
      <c r="H19">
        <v>9999</v>
      </c>
      <c r="I19">
        <v>9999</v>
      </c>
      <c r="J19">
        <v>9999</v>
      </c>
      <c r="K19">
        <v>9999</v>
      </c>
      <c r="L19">
        <v>9999</v>
      </c>
      <c r="M19">
        <v>9999</v>
      </c>
      <c r="N19">
        <v>9999</v>
      </c>
      <c r="O19">
        <v>9999</v>
      </c>
      <c r="P19">
        <v>9999</v>
      </c>
      <c r="Q19">
        <v>9999</v>
      </c>
      <c r="R19">
        <v>9999</v>
      </c>
      <c r="S19">
        <v>9999</v>
      </c>
      <c r="T19">
        <v>9999</v>
      </c>
      <c r="U19">
        <v>-84.7</v>
      </c>
      <c r="V19">
        <v>-133.13</v>
      </c>
      <c r="W19">
        <v>-135.10000000000002</v>
      </c>
      <c r="X19">
        <v>-160.95999999999998</v>
      </c>
      <c r="Y19">
        <v>-177.46000000000004</v>
      </c>
      <c r="Z19">
        <v>9999</v>
      </c>
      <c r="AA19">
        <v>9999</v>
      </c>
    </row>
    <row r="20" spans="1:27" x14ac:dyDescent="0.25">
      <c r="A20" t="s">
        <v>74</v>
      </c>
      <c r="B20" t="s">
        <v>75</v>
      </c>
      <c r="C20" t="s">
        <v>76</v>
      </c>
      <c r="D20" t="s">
        <v>77</v>
      </c>
      <c r="E20">
        <v>9999</v>
      </c>
      <c r="F20">
        <v>84.559999999999988</v>
      </c>
      <c r="G20">
        <v>-8.9100000000000108</v>
      </c>
      <c r="H20">
        <v>9999</v>
      </c>
      <c r="I20">
        <v>9999</v>
      </c>
      <c r="J20">
        <v>9999</v>
      </c>
      <c r="K20">
        <v>9999</v>
      </c>
      <c r="L20">
        <v>9999</v>
      </c>
      <c r="M20">
        <v>9999</v>
      </c>
      <c r="N20">
        <v>9999</v>
      </c>
      <c r="O20">
        <v>9999</v>
      </c>
      <c r="P20">
        <v>9999</v>
      </c>
      <c r="Q20">
        <v>9999</v>
      </c>
      <c r="R20">
        <v>9999</v>
      </c>
      <c r="S20">
        <v>9999</v>
      </c>
      <c r="T20">
        <v>9999</v>
      </c>
      <c r="U20">
        <v>9999</v>
      </c>
      <c r="V20">
        <v>9999</v>
      </c>
      <c r="W20">
        <v>9999</v>
      </c>
      <c r="X20">
        <v>9999</v>
      </c>
      <c r="Y20">
        <v>-12.77000000000001</v>
      </c>
      <c r="Z20">
        <v>-38.440000000000012</v>
      </c>
      <c r="AA20">
        <v>-43.11</v>
      </c>
    </row>
    <row r="21" spans="1:27" x14ac:dyDescent="0.25">
      <c r="A21" t="s">
        <v>80</v>
      </c>
      <c r="B21" t="s">
        <v>81</v>
      </c>
      <c r="C21" t="s">
        <v>82</v>
      </c>
      <c r="D21" t="s">
        <v>83</v>
      </c>
      <c r="E21">
        <v>68.66</v>
      </c>
      <c r="F21">
        <v>47.98</v>
      </c>
      <c r="G21">
        <v>-70.560000000000016</v>
      </c>
      <c r="H21">
        <v>9999</v>
      </c>
      <c r="I21">
        <v>9999</v>
      </c>
      <c r="J21">
        <v>9999</v>
      </c>
      <c r="K21">
        <v>9999</v>
      </c>
      <c r="L21">
        <v>9999</v>
      </c>
      <c r="M21">
        <v>9999</v>
      </c>
      <c r="N21">
        <v>9999</v>
      </c>
      <c r="O21">
        <v>9999</v>
      </c>
      <c r="P21">
        <v>9999</v>
      </c>
      <c r="Q21">
        <v>9999</v>
      </c>
      <c r="R21">
        <v>9999</v>
      </c>
      <c r="S21">
        <v>9999</v>
      </c>
      <c r="T21">
        <v>9999</v>
      </c>
      <c r="U21">
        <v>-88.2</v>
      </c>
      <c r="V21">
        <v>-94.56</v>
      </c>
      <c r="W21">
        <v>-100.61999999999999</v>
      </c>
      <c r="X21">
        <v>9999</v>
      </c>
      <c r="Y21">
        <v>9999</v>
      </c>
      <c r="Z21">
        <v>-138.99</v>
      </c>
      <c r="AA21">
        <v>-151.29000000000002</v>
      </c>
    </row>
    <row r="22" spans="1:27" x14ac:dyDescent="0.25">
      <c r="A22" t="s">
        <v>86</v>
      </c>
      <c r="B22" t="s">
        <v>87</v>
      </c>
      <c r="C22" t="s">
        <v>88</v>
      </c>
      <c r="D22" t="s">
        <v>89</v>
      </c>
      <c r="E22">
        <v>80.14</v>
      </c>
      <c r="F22">
        <v>63.22999999999999</v>
      </c>
      <c r="G22">
        <v>-97.96</v>
      </c>
      <c r="H22">
        <v>-112.66000000000001</v>
      </c>
      <c r="I22">
        <v>-131.36000000000001</v>
      </c>
      <c r="J22">
        <v>-193.95999999999998</v>
      </c>
      <c r="K22">
        <v>9999</v>
      </c>
      <c r="L22">
        <v>-206.82999999999998</v>
      </c>
      <c r="M22">
        <v>9999</v>
      </c>
      <c r="N22">
        <v>9999</v>
      </c>
      <c r="O22">
        <v>9999</v>
      </c>
      <c r="P22">
        <v>9999</v>
      </c>
      <c r="Q22">
        <v>9999</v>
      </c>
      <c r="R22">
        <v>9999</v>
      </c>
      <c r="S22">
        <v>-212.65999999999997</v>
      </c>
      <c r="T22">
        <v>-258.73</v>
      </c>
      <c r="U22">
        <v>-262.58999999999997</v>
      </c>
      <c r="V22">
        <v>-282.52999999999997</v>
      </c>
      <c r="W22">
        <v>-285.93</v>
      </c>
      <c r="X22">
        <v>-307.77999999999997</v>
      </c>
      <c r="Y22">
        <v>-310.08999999999997</v>
      </c>
      <c r="Z22">
        <v>-318.89</v>
      </c>
      <c r="AA22">
        <v>-322.55</v>
      </c>
    </row>
    <row r="23" spans="1:27" x14ac:dyDescent="0.25">
      <c r="A23" t="s">
        <v>92</v>
      </c>
      <c r="B23" t="s">
        <v>93</v>
      </c>
      <c r="C23" t="s">
        <v>94</v>
      </c>
      <c r="D23" t="s">
        <v>95</v>
      </c>
      <c r="E23">
        <v>71.760000000000005</v>
      </c>
      <c r="F23">
        <v>64.260000000000005</v>
      </c>
      <c r="G23">
        <v>-71.239999999999995</v>
      </c>
      <c r="H23">
        <v>9999</v>
      </c>
      <c r="I23">
        <v>9999</v>
      </c>
      <c r="J23">
        <v>9999</v>
      </c>
      <c r="K23">
        <v>-74.739999999999995</v>
      </c>
      <c r="L23">
        <v>-92.47</v>
      </c>
      <c r="M23">
        <v>-98.779999999999987</v>
      </c>
      <c r="N23">
        <v>-147.80000000000001</v>
      </c>
      <c r="O23">
        <v>-152.02999999999997</v>
      </c>
      <c r="P23">
        <v>-171.13</v>
      </c>
      <c r="Q23">
        <v>-172.3</v>
      </c>
      <c r="R23">
        <v>9999</v>
      </c>
      <c r="S23">
        <v>-221.82999999999998</v>
      </c>
      <c r="T23">
        <v>-226.73000000000002</v>
      </c>
      <c r="U23">
        <v>-230</v>
      </c>
      <c r="V23">
        <v>-252.94</v>
      </c>
      <c r="W23">
        <v>-257.06</v>
      </c>
      <c r="X23">
        <v>9999</v>
      </c>
      <c r="Y23">
        <v>9999</v>
      </c>
      <c r="Z23">
        <v>9999</v>
      </c>
      <c r="AA23">
        <v>9999</v>
      </c>
    </row>
    <row r="24" spans="1:27" x14ac:dyDescent="0.25">
      <c r="A24" t="s">
        <v>98</v>
      </c>
      <c r="B24" t="s">
        <v>99</v>
      </c>
      <c r="C24" t="s">
        <v>100</v>
      </c>
      <c r="D24" t="s">
        <v>101</v>
      </c>
      <c r="E24">
        <v>9999</v>
      </c>
      <c r="F24">
        <v>9999</v>
      </c>
      <c r="G24">
        <v>-28.64</v>
      </c>
      <c r="H24">
        <v>9999</v>
      </c>
      <c r="I24">
        <v>9999</v>
      </c>
      <c r="J24">
        <v>9999</v>
      </c>
      <c r="K24">
        <v>-32.039999999999992</v>
      </c>
      <c r="L24">
        <v>9999</v>
      </c>
      <c r="M24">
        <v>9999</v>
      </c>
      <c r="N24">
        <v>9999</v>
      </c>
      <c r="O24">
        <v>9999</v>
      </c>
      <c r="P24">
        <v>9999</v>
      </c>
      <c r="Q24">
        <v>9999</v>
      </c>
      <c r="R24">
        <v>9999</v>
      </c>
      <c r="S24">
        <v>9999</v>
      </c>
      <c r="T24">
        <v>9999</v>
      </c>
      <c r="U24">
        <v>-67.87</v>
      </c>
      <c r="V24">
        <v>-70.44</v>
      </c>
      <c r="W24">
        <v>-74.94</v>
      </c>
      <c r="X24">
        <v>9999</v>
      </c>
      <c r="Y24">
        <v>9999</v>
      </c>
      <c r="Z24">
        <v>-108.24000000000001</v>
      </c>
      <c r="AA24">
        <v>-115.16999999999999</v>
      </c>
    </row>
    <row r="25" spans="1:27" x14ac:dyDescent="0.25">
      <c r="A25" t="s">
        <v>104</v>
      </c>
      <c r="B25" t="s">
        <v>105</v>
      </c>
      <c r="C25" t="s">
        <v>106</v>
      </c>
      <c r="D25" t="s">
        <v>107</v>
      </c>
      <c r="E25">
        <v>87.6</v>
      </c>
      <c r="F25">
        <v>75.3</v>
      </c>
      <c r="G25">
        <v>-22.600000000000009</v>
      </c>
      <c r="H25">
        <v>9999</v>
      </c>
      <c r="I25">
        <v>9999</v>
      </c>
      <c r="J25">
        <v>9999</v>
      </c>
      <c r="K25">
        <v>9999</v>
      </c>
      <c r="L25">
        <v>9999</v>
      </c>
      <c r="M25">
        <v>-28.300000000000011</v>
      </c>
      <c r="N25">
        <v>-33.100000000000009</v>
      </c>
      <c r="O25">
        <v>-34.700000000000003</v>
      </c>
      <c r="P25">
        <v>-44.03</v>
      </c>
      <c r="Q25">
        <v>-45.52000000000001</v>
      </c>
      <c r="R25">
        <v>9999</v>
      </c>
      <c r="S25">
        <v>-101.96000000000001</v>
      </c>
      <c r="T25">
        <v>-117.68</v>
      </c>
      <c r="U25">
        <v>-122.44</v>
      </c>
      <c r="V25">
        <v>-139.43</v>
      </c>
      <c r="W25">
        <v>-144.79</v>
      </c>
      <c r="X25">
        <v>-163.43</v>
      </c>
      <c r="Y25">
        <v>-165.73000000000002</v>
      </c>
      <c r="Z25">
        <v>-178.83</v>
      </c>
      <c r="AA25">
        <v>-185.79</v>
      </c>
    </row>
    <row r="26" spans="1:27" x14ac:dyDescent="0.25">
      <c r="A26" t="s">
        <v>110</v>
      </c>
      <c r="B26" t="s">
        <v>111</v>
      </c>
      <c r="C26" t="s">
        <v>112</v>
      </c>
      <c r="D26" t="s">
        <v>113</v>
      </c>
      <c r="E26">
        <v>9999</v>
      </c>
      <c r="F26">
        <v>71.42</v>
      </c>
      <c r="G26">
        <v>-26.08</v>
      </c>
      <c r="H26">
        <v>9999</v>
      </c>
      <c r="I26">
        <v>9999</v>
      </c>
      <c r="J26">
        <v>9999</v>
      </c>
      <c r="K26">
        <v>9999</v>
      </c>
      <c r="L26">
        <v>9999</v>
      </c>
      <c r="M26">
        <v>-33.480000000000004</v>
      </c>
      <c r="N26">
        <v>-37.679999999999993</v>
      </c>
      <c r="O26">
        <v>-39.879999999999995</v>
      </c>
      <c r="P26">
        <v>-47.08</v>
      </c>
      <c r="Q26">
        <v>-49.160000000000011</v>
      </c>
      <c r="R26">
        <v>9999</v>
      </c>
      <c r="S26">
        <v>9999</v>
      </c>
      <c r="T26">
        <v>9999</v>
      </c>
      <c r="U26">
        <v>9999</v>
      </c>
      <c r="V26">
        <v>9999</v>
      </c>
      <c r="W26">
        <v>9999</v>
      </c>
      <c r="X26">
        <v>9999</v>
      </c>
      <c r="Y26">
        <v>9999</v>
      </c>
      <c r="Z26">
        <v>-109.73</v>
      </c>
      <c r="AA26">
        <v>-113.57000000000001</v>
      </c>
    </row>
    <row r="27" spans="1:27" x14ac:dyDescent="0.25">
      <c r="A27" t="s">
        <v>116</v>
      </c>
      <c r="B27">
        <v>38536792.909999996</v>
      </c>
      <c r="C27" t="s">
        <v>117</v>
      </c>
      <c r="D27" t="s">
        <v>118</v>
      </c>
      <c r="E27">
        <v>9999</v>
      </c>
      <c r="F27">
        <v>9999</v>
      </c>
      <c r="G27">
        <v>-33.190000000000012</v>
      </c>
      <c r="H27">
        <v>9999</v>
      </c>
      <c r="I27">
        <v>9999</v>
      </c>
      <c r="J27">
        <v>9999</v>
      </c>
      <c r="K27">
        <v>9999</v>
      </c>
      <c r="L27">
        <v>9999</v>
      </c>
      <c r="M27">
        <v>-49.090000000000018</v>
      </c>
      <c r="N27">
        <v>-79.040000000000006</v>
      </c>
      <c r="O27">
        <v>-82.71</v>
      </c>
      <c r="P27">
        <v>-102.91000000000001</v>
      </c>
      <c r="Q27">
        <v>-103.2</v>
      </c>
      <c r="R27">
        <v>9999</v>
      </c>
      <c r="S27">
        <v>9999</v>
      </c>
      <c r="T27">
        <v>-162.49</v>
      </c>
      <c r="U27">
        <v>-166.88</v>
      </c>
      <c r="V27">
        <v>-179.39000000000004</v>
      </c>
      <c r="W27">
        <v>-185.70000000000005</v>
      </c>
      <c r="X27">
        <v>-204.37</v>
      </c>
      <c r="Y27">
        <v>-205.67000000000002</v>
      </c>
      <c r="Z27">
        <v>-216.02000000000004</v>
      </c>
      <c r="AA27">
        <v>-219.67000000000002</v>
      </c>
    </row>
    <row r="28" spans="1:27" x14ac:dyDescent="0.25">
      <c r="A28" t="s">
        <v>121</v>
      </c>
      <c r="B28" t="s">
        <v>122</v>
      </c>
      <c r="C28" t="s">
        <v>123</v>
      </c>
      <c r="D28" t="s">
        <v>124</v>
      </c>
      <c r="E28">
        <v>54.95</v>
      </c>
      <c r="F28">
        <v>41.150000000000006</v>
      </c>
      <c r="G28">
        <v>-92.749999999999986</v>
      </c>
      <c r="H28">
        <v>9999</v>
      </c>
      <c r="I28">
        <v>9999</v>
      </c>
      <c r="J28">
        <v>-99.850000000000009</v>
      </c>
      <c r="K28">
        <v>-101.64999999999999</v>
      </c>
      <c r="L28">
        <v>-120.21</v>
      </c>
      <c r="M28">
        <v>-126.74</v>
      </c>
      <c r="N28">
        <v>-171.01</v>
      </c>
      <c r="O28">
        <v>-174.91000000000003</v>
      </c>
      <c r="P28">
        <v>-183.88</v>
      </c>
      <c r="Q28">
        <v>-186.04000000000002</v>
      </c>
      <c r="R28">
        <v>9999</v>
      </c>
      <c r="S28">
        <v>-223.25</v>
      </c>
      <c r="T28">
        <v>-256.31</v>
      </c>
      <c r="U28">
        <v>-261.26</v>
      </c>
      <c r="V28">
        <v>-269.95</v>
      </c>
      <c r="W28">
        <v>-275.95</v>
      </c>
      <c r="X28">
        <v>-291.16000000000003</v>
      </c>
      <c r="Y28">
        <v>-293.13</v>
      </c>
      <c r="Z28">
        <v>-302.66000000000003</v>
      </c>
      <c r="AA28">
        <v>-308.81</v>
      </c>
    </row>
    <row r="29" spans="1:27" x14ac:dyDescent="0.25">
      <c r="A29" t="s">
        <v>127</v>
      </c>
      <c r="B29" t="s">
        <v>128</v>
      </c>
      <c r="C29" t="s">
        <v>129</v>
      </c>
      <c r="D29" t="s">
        <v>130</v>
      </c>
      <c r="E29">
        <v>80.97</v>
      </c>
      <c r="F29">
        <v>74.37</v>
      </c>
      <c r="G29">
        <v>-60.629999999999995</v>
      </c>
      <c r="H29">
        <v>9999</v>
      </c>
      <c r="I29">
        <v>9999</v>
      </c>
      <c r="J29">
        <v>9999</v>
      </c>
      <c r="K29">
        <v>9999</v>
      </c>
      <c r="L29">
        <v>9999</v>
      </c>
      <c r="M29">
        <v>9999</v>
      </c>
      <c r="N29">
        <v>9999</v>
      </c>
      <c r="O29">
        <v>9999</v>
      </c>
      <c r="P29">
        <v>9999</v>
      </c>
      <c r="Q29">
        <v>-61.22999999999999</v>
      </c>
      <c r="R29">
        <v>-79.930000000000007</v>
      </c>
      <c r="S29">
        <v>-80.240000000000009</v>
      </c>
      <c r="T29">
        <v>-124.53</v>
      </c>
      <c r="U29">
        <v>-130.26</v>
      </c>
      <c r="V29">
        <v>-136.03</v>
      </c>
      <c r="W29">
        <v>-141.41</v>
      </c>
      <c r="X29">
        <v>-152.78</v>
      </c>
      <c r="Y29">
        <v>-157.51</v>
      </c>
      <c r="Z29">
        <v>-174.01000000000002</v>
      </c>
      <c r="AA29">
        <v>-243.85</v>
      </c>
    </row>
    <row r="30" spans="1:27" x14ac:dyDescent="0.25">
      <c r="A30" t="s">
        <v>133</v>
      </c>
      <c r="B30" t="s">
        <v>134</v>
      </c>
      <c r="C30" t="s">
        <v>135</v>
      </c>
      <c r="D30" t="s">
        <v>136</v>
      </c>
      <c r="E30">
        <v>87.210000000000008</v>
      </c>
      <c r="F30">
        <v>70.210000000000008</v>
      </c>
      <c r="G30">
        <v>-71.989999999999995</v>
      </c>
      <c r="H30">
        <v>9999</v>
      </c>
      <c r="I30">
        <v>9999</v>
      </c>
      <c r="J30">
        <v>9999</v>
      </c>
      <c r="K30">
        <v>9999</v>
      </c>
      <c r="L30">
        <v>9999</v>
      </c>
      <c r="M30">
        <v>9999</v>
      </c>
      <c r="N30">
        <v>9999</v>
      </c>
      <c r="O30">
        <v>9999</v>
      </c>
      <c r="P30">
        <v>9999</v>
      </c>
      <c r="Q30">
        <v>-78.489999999999995</v>
      </c>
      <c r="R30">
        <v>-110.43999999999998</v>
      </c>
      <c r="S30">
        <v>-111.99999999999999</v>
      </c>
      <c r="T30">
        <v>-159.38</v>
      </c>
      <c r="U30">
        <v>-167.04000000000002</v>
      </c>
      <c r="V30">
        <v>-171.09</v>
      </c>
      <c r="W30">
        <v>-177</v>
      </c>
      <c r="X30">
        <v>-193.97000000000003</v>
      </c>
      <c r="Y30">
        <v>-195.87</v>
      </c>
      <c r="Z30">
        <v>-206.68</v>
      </c>
      <c r="AA30">
        <v>-261.78000000000003</v>
      </c>
    </row>
    <row r="31" spans="1:27" x14ac:dyDescent="0.25">
      <c r="A31" t="s">
        <v>139</v>
      </c>
      <c r="B31" t="s">
        <v>140</v>
      </c>
      <c r="C31" t="s">
        <v>141</v>
      </c>
      <c r="D31" t="s">
        <v>142</v>
      </c>
      <c r="E31">
        <v>68.75</v>
      </c>
      <c r="F31">
        <v>58.45</v>
      </c>
      <c r="G31">
        <v>-57.61999999999999</v>
      </c>
      <c r="H31">
        <v>9999</v>
      </c>
      <c r="I31">
        <v>9999</v>
      </c>
      <c r="J31">
        <v>9999</v>
      </c>
      <c r="K31">
        <v>9999</v>
      </c>
      <c r="L31">
        <v>9999</v>
      </c>
      <c r="M31">
        <v>9999</v>
      </c>
      <c r="N31">
        <v>9999</v>
      </c>
      <c r="O31">
        <v>-58.600000000000009</v>
      </c>
      <c r="P31">
        <v>-76.3</v>
      </c>
      <c r="Q31">
        <v>-78.249999999999986</v>
      </c>
      <c r="R31">
        <v>-106.45</v>
      </c>
      <c r="S31">
        <v>-108.04</v>
      </c>
      <c r="T31">
        <v>-151.38</v>
      </c>
      <c r="U31">
        <v>-156.56</v>
      </c>
      <c r="V31">
        <v>-161</v>
      </c>
      <c r="W31">
        <v>-165.61</v>
      </c>
      <c r="X31">
        <v>-184.11</v>
      </c>
      <c r="Y31">
        <v>-190.25</v>
      </c>
      <c r="Z31">
        <v>-204.10000000000002</v>
      </c>
      <c r="AA31">
        <v>-276.5</v>
      </c>
    </row>
    <row r="32" spans="1:27" x14ac:dyDescent="0.25">
      <c r="A32" t="s">
        <v>145</v>
      </c>
      <c r="B32" t="s">
        <v>146</v>
      </c>
      <c r="C32" t="s">
        <v>147</v>
      </c>
      <c r="D32" t="s">
        <v>148</v>
      </c>
      <c r="E32">
        <v>78.650000000000006</v>
      </c>
      <c r="F32">
        <v>69.150000000000006</v>
      </c>
      <c r="G32">
        <v>-85.55</v>
      </c>
      <c r="H32">
        <v>-102.16000000000001</v>
      </c>
      <c r="I32">
        <v>-164.64999999999998</v>
      </c>
      <c r="J32">
        <v>9999</v>
      </c>
      <c r="K32">
        <v>-199.55</v>
      </c>
      <c r="L32">
        <v>-230.77</v>
      </c>
      <c r="M32">
        <v>-235.99</v>
      </c>
      <c r="N32">
        <v>-278.34000000000003</v>
      </c>
      <c r="O32">
        <v>-283.65000000000003</v>
      </c>
      <c r="P32">
        <v>-291.66000000000003</v>
      </c>
      <c r="Q32">
        <v>-294.08</v>
      </c>
      <c r="R32">
        <v>9999</v>
      </c>
      <c r="S32">
        <v>-329.32</v>
      </c>
      <c r="T32">
        <v>-361.51</v>
      </c>
      <c r="U32">
        <v>-366.27000000000004</v>
      </c>
      <c r="V32">
        <v>9999</v>
      </c>
      <c r="W32">
        <v>-372.06</v>
      </c>
      <c r="X32">
        <v>9999</v>
      </c>
      <c r="Y32">
        <v>9999</v>
      </c>
      <c r="Z32">
        <v>-392.06</v>
      </c>
      <c r="AA32">
        <v>-427.88000000000005</v>
      </c>
    </row>
    <row r="33" spans="1:27" x14ac:dyDescent="0.25">
      <c r="A33" t="s">
        <v>151</v>
      </c>
      <c r="B33" t="s">
        <v>152</v>
      </c>
      <c r="C33" t="s">
        <v>153</v>
      </c>
      <c r="D33" t="s">
        <v>154</v>
      </c>
      <c r="E33">
        <v>78.990000000000009</v>
      </c>
      <c r="F33">
        <v>62.390000000000008</v>
      </c>
      <c r="G33">
        <v>-120.83999999999999</v>
      </c>
      <c r="H33">
        <v>9999</v>
      </c>
      <c r="I33">
        <v>9999</v>
      </c>
      <c r="J33">
        <v>9999</v>
      </c>
      <c r="K33">
        <v>9999</v>
      </c>
      <c r="L33">
        <v>9999</v>
      </c>
      <c r="M33">
        <v>-125.33999999999999</v>
      </c>
      <c r="N33">
        <v>-140.90999999999997</v>
      </c>
      <c r="O33">
        <v>-143.90999999999997</v>
      </c>
      <c r="P33">
        <v>-152.5</v>
      </c>
      <c r="Q33">
        <v>-154.31</v>
      </c>
      <c r="R33">
        <v>-189.40999999999997</v>
      </c>
      <c r="S33">
        <v>-192.20999999999998</v>
      </c>
      <c r="T33">
        <v>-235.70999999999998</v>
      </c>
      <c r="U33">
        <v>-237.06</v>
      </c>
      <c r="V33">
        <v>-240.54</v>
      </c>
      <c r="W33">
        <v>-243.78999999999996</v>
      </c>
      <c r="X33">
        <v>-259.73999999999995</v>
      </c>
      <c r="Y33">
        <v>-264.77999999999997</v>
      </c>
      <c r="Z33">
        <v>-272.81</v>
      </c>
      <c r="AA33">
        <v>-382.07</v>
      </c>
    </row>
    <row r="34" spans="1:27" x14ac:dyDescent="0.25">
      <c r="A34" t="s">
        <v>156</v>
      </c>
      <c r="B34" t="s">
        <v>157</v>
      </c>
      <c r="C34" t="s">
        <v>158</v>
      </c>
      <c r="D34" t="s">
        <v>159</v>
      </c>
      <c r="E34">
        <v>85.06</v>
      </c>
      <c r="F34">
        <v>58.56</v>
      </c>
      <c r="G34">
        <v>-79.739999999999995</v>
      </c>
      <c r="H34">
        <v>9999</v>
      </c>
      <c r="I34">
        <v>9999</v>
      </c>
      <c r="J34">
        <v>9999</v>
      </c>
      <c r="K34">
        <v>9999</v>
      </c>
      <c r="L34">
        <v>9999</v>
      </c>
      <c r="M34">
        <v>9999</v>
      </c>
      <c r="N34">
        <v>9999</v>
      </c>
      <c r="O34">
        <v>9999</v>
      </c>
      <c r="P34">
        <v>9999</v>
      </c>
      <c r="Q34">
        <v>9999</v>
      </c>
      <c r="R34">
        <v>9999</v>
      </c>
      <c r="S34">
        <v>-79.739999999999995</v>
      </c>
      <c r="T34">
        <v>9999</v>
      </c>
      <c r="U34">
        <v>-107.18999999999998</v>
      </c>
      <c r="V34">
        <v>-110.95</v>
      </c>
      <c r="W34">
        <v>-119.99999999999999</v>
      </c>
      <c r="X34">
        <v>-126.80999999999999</v>
      </c>
      <c r="Y34">
        <v>-132.29000000000002</v>
      </c>
      <c r="Z34">
        <v>-141.38999999999999</v>
      </c>
      <c r="AA34">
        <v>-197.99</v>
      </c>
    </row>
    <row r="35" spans="1:27" x14ac:dyDescent="0.25">
      <c r="A35" t="s">
        <v>292</v>
      </c>
      <c r="B35" t="s">
        <v>293</v>
      </c>
      <c r="C35" t="s">
        <v>294</v>
      </c>
      <c r="D35" t="s">
        <v>295</v>
      </c>
      <c r="E35">
        <v>66.52</v>
      </c>
      <c r="F35">
        <v>48.72</v>
      </c>
      <c r="G35">
        <v>-154.88</v>
      </c>
      <c r="H35">
        <v>9999</v>
      </c>
      <c r="I35">
        <v>-160.27000000000001</v>
      </c>
      <c r="J35">
        <v>9999</v>
      </c>
      <c r="K35">
        <v>-165.63</v>
      </c>
      <c r="L35">
        <v>9999</v>
      </c>
      <c r="M35">
        <v>-168.33</v>
      </c>
      <c r="N35">
        <v>-194.48</v>
      </c>
      <c r="O35">
        <v>-194.18</v>
      </c>
      <c r="P35">
        <v>-212.44000000000003</v>
      </c>
      <c r="Q35">
        <v>-213.66</v>
      </c>
      <c r="R35">
        <v>-243.28</v>
      </c>
      <c r="S35">
        <v>-245.23</v>
      </c>
      <c r="T35">
        <v>-281.3</v>
      </c>
      <c r="U35">
        <v>-281.5</v>
      </c>
      <c r="V35">
        <v>9999</v>
      </c>
      <c r="W35">
        <v>9999</v>
      </c>
      <c r="X35">
        <v>-287.72000000000003</v>
      </c>
      <c r="Y35">
        <v>-293.42</v>
      </c>
      <c r="Z35">
        <v>-487.62</v>
      </c>
      <c r="AA35">
        <v>-505.82</v>
      </c>
    </row>
    <row r="36" spans="1:27" x14ac:dyDescent="0.25">
      <c r="A36" t="s">
        <v>296</v>
      </c>
      <c r="B36">
        <v>38538475.960000001</v>
      </c>
      <c r="C36" t="s">
        <v>297</v>
      </c>
      <c r="D36" t="s">
        <v>298</v>
      </c>
      <c r="E36">
        <v>73.06</v>
      </c>
      <c r="F36">
        <v>53.16</v>
      </c>
      <c r="G36">
        <v>-62.89</v>
      </c>
      <c r="H36">
        <v>9999</v>
      </c>
      <c r="I36">
        <v>9999</v>
      </c>
      <c r="J36">
        <v>9999</v>
      </c>
      <c r="K36">
        <v>9999</v>
      </c>
      <c r="L36">
        <v>9999</v>
      </c>
      <c r="M36">
        <v>9999</v>
      </c>
      <c r="N36">
        <v>9999</v>
      </c>
      <c r="O36">
        <v>9999</v>
      </c>
      <c r="P36">
        <v>9999</v>
      </c>
      <c r="Q36">
        <v>9999</v>
      </c>
      <c r="R36">
        <v>9999</v>
      </c>
      <c r="S36">
        <v>9999</v>
      </c>
      <c r="T36">
        <v>9999</v>
      </c>
      <c r="U36">
        <v>-90.24</v>
      </c>
      <c r="V36">
        <v>-119.29</v>
      </c>
      <c r="W36">
        <v>-120.19</v>
      </c>
      <c r="X36">
        <v>9999</v>
      </c>
      <c r="Y36">
        <v>9999</v>
      </c>
      <c r="Z36">
        <v>-142.13999999999999</v>
      </c>
      <c r="AA36">
        <v>9999</v>
      </c>
    </row>
    <row r="37" spans="1:27" x14ac:dyDescent="0.25">
      <c r="A37" t="s">
        <v>299</v>
      </c>
      <c r="B37" t="s">
        <v>300</v>
      </c>
      <c r="C37" t="s">
        <v>301</v>
      </c>
      <c r="D37" t="s">
        <v>302</v>
      </c>
      <c r="E37">
        <v>80.760000000000005</v>
      </c>
      <c r="F37">
        <v>60.76</v>
      </c>
      <c r="G37">
        <v>-88.14</v>
      </c>
      <c r="H37">
        <v>9999</v>
      </c>
      <c r="I37">
        <v>9999</v>
      </c>
      <c r="J37">
        <v>9999</v>
      </c>
      <c r="K37">
        <v>9999</v>
      </c>
      <c r="L37">
        <v>9999</v>
      </c>
      <c r="M37">
        <v>9999</v>
      </c>
      <c r="N37">
        <v>9999</v>
      </c>
      <c r="O37">
        <v>-93.54</v>
      </c>
      <c r="P37">
        <v>9999</v>
      </c>
      <c r="Q37">
        <v>9999</v>
      </c>
      <c r="R37">
        <v>-126.44</v>
      </c>
      <c r="S37">
        <v>-126.84</v>
      </c>
      <c r="T37">
        <v>-154.24</v>
      </c>
      <c r="U37">
        <v>-157.34</v>
      </c>
      <c r="V37">
        <v>-169.89000000000001</v>
      </c>
      <c r="W37">
        <v>-175.24</v>
      </c>
      <c r="X37">
        <v>-194.4</v>
      </c>
      <c r="Y37">
        <v>-198.24</v>
      </c>
      <c r="Z37">
        <v>-203.74</v>
      </c>
      <c r="AA37">
        <v>9999</v>
      </c>
    </row>
    <row r="38" spans="1:27" x14ac:dyDescent="0.25">
      <c r="A38" t="s">
        <v>303</v>
      </c>
      <c r="B38" t="s">
        <v>304</v>
      </c>
      <c r="C38" t="s">
        <v>305</v>
      </c>
      <c r="D38" t="s">
        <v>306</v>
      </c>
      <c r="E38">
        <v>86.36</v>
      </c>
      <c r="F38">
        <v>75.36</v>
      </c>
      <c r="G38">
        <v>-11.84</v>
      </c>
      <c r="H38">
        <v>9999</v>
      </c>
      <c r="I38">
        <v>9999</v>
      </c>
      <c r="J38">
        <v>9999</v>
      </c>
      <c r="K38">
        <v>9999</v>
      </c>
      <c r="L38">
        <v>9999</v>
      </c>
      <c r="M38">
        <v>9999</v>
      </c>
      <c r="N38">
        <v>9999</v>
      </c>
      <c r="O38">
        <v>-29.14</v>
      </c>
      <c r="P38">
        <v>9999</v>
      </c>
      <c r="Q38">
        <v>9999</v>
      </c>
      <c r="R38">
        <v>9999</v>
      </c>
      <c r="S38">
        <v>9999</v>
      </c>
      <c r="T38">
        <v>9999</v>
      </c>
      <c r="U38">
        <v>9999</v>
      </c>
      <c r="V38">
        <v>-179.59</v>
      </c>
      <c r="W38">
        <v>-186.43</v>
      </c>
      <c r="X38">
        <v>-194.84</v>
      </c>
      <c r="Y38">
        <v>9999</v>
      </c>
      <c r="Z38">
        <v>-207.14</v>
      </c>
      <c r="AA38">
        <v>9999</v>
      </c>
    </row>
    <row r="39" spans="1:27" x14ac:dyDescent="0.25">
      <c r="A39" t="s">
        <v>307</v>
      </c>
      <c r="B39" t="s">
        <v>308</v>
      </c>
      <c r="C39" t="s">
        <v>309</v>
      </c>
      <c r="D39" t="s">
        <v>310</v>
      </c>
      <c r="E39">
        <v>9999</v>
      </c>
      <c r="F39">
        <v>9999</v>
      </c>
      <c r="G39">
        <v>9999</v>
      </c>
      <c r="H39">
        <v>9999</v>
      </c>
      <c r="I39">
        <v>9999</v>
      </c>
      <c r="J39">
        <v>9999</v>
      </c>
      <c r="K39">
        <v>9999</v>
      </c>
      <c r="L39">
        <v>9999</v>
      </c>
      <c r="M39">
        <v>9999</v>
      </c>
      <c r="N39">
        <v>9999</v>
      </c>
      <c r="O39">
        <v>-36.119999999999997</v>
      </c>
      <c r="P39">
        <v>-52.38</v>
      </c>
      <c r="Q39">
        <v>-54.03</v>
      </c>
      <c r="R39">
        <v>9999</v>
      </c>
      <c r="S39">
        <v>9999</v>
      </c>
      <c r="T39">
        <v>-116.42</v>
      </c>
      <c r="U39">
        <v>-122.02</v>
      </c>
      <c r="V39">
        <v>-143.82</v>
      </c>
      <c r="W39">
        <v>-149.22</v>
      </c>
      <c r="X39">
        <v>-159.62</v>
      </c>
      <c r="Y39">
        <v>-162.41999999999999</v>
      </c>
      <c r="Z39">
        <v>-167.72</v>
      </c>
      <c r="AA39">
        <v>9999</v>
      </c>
    </row>
    <row r="40" spans="1:27" x14ac:dyDescent="0.25">
      <c r="A40" t="s">
        <v>311</v>
      </c>
      <c r="B40" t="s">
        <v>312</v>
      </c>
      <c r="C40" t="s">
        <v>313</v>
      </c>
      <c r="D40" t="s">
        <v>314</v>
      </c>
      <c r="E40">
        <v>76.13</v>
      </c>
      <c r="F40">
        <v>65.430000000000007</v>
      </c>
      <c r="G40">
        <v>-157.47</v>
      </c>
      <c r="H40">
        <v>-165.85</v>
      </c>
      <c r="I40">
        <v>-185.69</v>
      </c>
      <c r="J40">
        <v>-195.21</v>
      </c>
      <c r="K40">
        <v>-221.37</v>
      </c>
      <c r="L40">
        <v>-232.55999999999997</v>
      </c>
      <c r="M40">
        <v>-239.67</v>
      </c>
      <c r="N40">
        <v>-283.36</v>
      </c>
      <c r="O40">
        <v>-287.51</v>
      </c>
      <c r="P40">
        <v>-298.42</v>
      </c>
      <c r="Q40">
        <v>-301.08999999999997</v>
      </c>
      <c r="R40">
        <v>-330.19</v>
      </c>
      <c r="S40">
        <v>-332.24</v>
      </c>
      <c r="T40">
        <v>-374.91</v>
      </c>
      <c r="U40">
        <v>-382.91</v>
      </c>
      <c r="V40">
        <v>-384.67</v>
      </c>
      <c r="W40">
        <v>-392.98</v>
      </c>
      <c r="X40">
        <v>9999</v>
      </c>
      <c r="Y40">
        <v>9999</v>
      </c>
      <c r="Z40">
        <v>9999</v>
      </c>
      <c r="AA40">
        <v>9999</v>
      </c>
    </row>
    <row r="41" spans="1:27" x14ac:dyDescent="0.25">
      <c r="A41" t="s">
        <v>315</v>
      </c>
      <c r="B41" t="s">
        <v>316</v>
      </c>
      <c r="C41" t="s">
        <v>317</v>
      </c>
      <c r="D41" t="s">
        <v>318</v>
      </c>
      <c r="E41">
        <v>70.400000000000006</v>
      </c>
      <c r="F41">
        <v>52.95</v>
      </c>
      <c r="G41">
        <v>-128.41</v>
      </c>
      <c r="H41">
        <v>9999</v>
      </c>
      <c r="I41">
        <v>9999</v>
      </c>
      <c r="J41">
        <v>-136.97</v>
      </c>
      <c r="K41">
        <v>-141.63</v>
      </c>
      <c r="L41">
        <v>-149.92000000000002</v>
      </c>
      <c r="M41">
        <v>-155.47</v>
      </c>
      <c r="N41">
        <v>-194.35</v>
      </c>
      <c r="O41">
        <v>-195.55</v>
      </c>
      <c r="P41">
        <v>-209.41</v>
      </c>
      <c r="Q41">
        <v>-210.2</v>
      </c>
      <c r="R41">
        <v>-236.61</v>
      </c>
      <c r="S41">
        <v>-238.95</v>
      </c>
      <c r="T41">
        <v>-278.08</v>
      </c>
      <c r="U41">
        <v>-285.2</v>
      </c>
      <c r="V41">
        <v>-287.23</v>
      </c>
      <c r="W41">
        <v>-292.62</v>
      </c>
      <c r="X41">
        <v>-305.49</v>
      </c>
      <c r="Y41">
        <v>9999</v>
      </c>
      <c r="Z41">
        <v>9999</v>
      </c>
      <c r="AA41">
        <v>9999</v>
      </c>
    </row>
    <row r="42" spans="1:27" x14ac:dyDescent="0.25">
      <c r="A42" t="s">
        <v>319</v>
      </c>
      <c r="B42" t="s">
        <v>320</v>
      </c>
      <c r="C42" t="s">
        <v>321</v>
      </c>
      <c r="D42" t="s">
        <v>322</v>
      </c>
      <c r="E42">
        <v>70.22</v>
      </c>
      <c r="F42">
        <v>53.82</v>
      </c>
      <c r="G42">
        <v>-150.07</v>
      </c>
      <c r="H42">
        <v>-159.77000000000001</v>
      </c>
      <c r="I42">
        <v>-218.79</v>
      </c>
      <c r="J42">
        <v>-233.99</v>
      </c>
      <c r="K42">
        <v>-238.66</v>
      </c>
      <c r="L42">
        <v>-252</v>
      </c>
      <c r="M42">
        <v>-256.26</v>
      </c>
      <c r="N42">
        <v>-296</v>
      </c>
      <c r="O42">
        <v>-296.89</v>
      </c>
      <c r="P42">
        <v>9999</v>
      </c>
      <c r="Q42">
        <v>-306.83999999999997</v>
      </c>
      <c r="R42">
        <v>-316.16000000000003</v>
      </c>
      <c r="S42">
        <v>-318.56</v>
      </c>
      <c r="T42">
        <v>-343.95</v>
      </c>
      <c r="U42">
        <v>9999</v>
      </c>
      <c r="V42">
        <v>-354.53000000000003</v>
      </c>
      <c r="W42">
        <v>-360.69</v>
      </c>
      <c r="X42">
        <v>-370.86</v>
      </c>
      <c r="Y42">
        <v>-381.61</v>
      </c>
      <c r="Z42">
        <v>9999</v>
      </c>
      <c r="AA42">
        <v>9999</v>
      </c>
    </row>
    <row r="43" spans="1:27" x14ac:dyDescent="0.25">
      <c r="A43" t="s">
        <v>323</v>
      </c>
      <c r="B43" t="s">
        <v>324</v>
      </c>
      <c r="C43" t="s">
        <v>325</v>
      </c>
      <c r="D43" t="s">
        <v>326</v>
      </c>
      <c r="E43">
        <v>77.13</v>
      </c>
      <c r="F43">
        <v>58.55</v>
      </c>
      <c r="G43">
        <v>-158.46</v>
      </c>
      <c r="H43">
        <v>-167.15</v>
      </c>
      <c r="I43">
        <v>9999</v>
      </c>
      <c r="J43">
        <v>-167.15</v>
      </c>
      <c r="K43">
        <v>-181.03</v>
      </c>
      <c r="L43">
        <v>-199.89000000000001</v>
      </c>
      <c r="M43">
        <v>-206.37</v>
      </c>
      <c r="N43">
        <v>-246.58</v>
      </c>
      <c r="O43">
        <v>-247.76</v>
      </c>
      <c r="P43">
        <v>-262.49999999999994</v>
      </c>
      <c r="Q43">
        <v>-263.29000000000002</v>
      </c>
      <c r="R43">
        <v>-290.75</v>
      </c>
      <c r="S43">
        <v>-293.70999999999998</v>
      </c>
      <c r="T43">
        <v>-335.77</v>
      </c>
      <c r="U43">
        <v>9999</v>
      </c>
      <c r="V43">
        <v>-343.45</v>
      </c>
      <c r="W43">
        <v>-352.61</v>
      </c>
      <c r="X43">
        <v>-365.81</v>
      </c>
      <c r="Y43">
        <v>9999</v>
      </c>
      <c r="Z43">
        <v>9999</v>
      </c>
      <c r="AA43">
        <v>9999</v>
      </c>
    </row>
    <row r="44" spans="1:27" x14ac:dyDescent="0.25">
      <c r="A44" t="s">
        <v>327</v>
      </c>
      <c r="B44" t="s">
        <v>328</v>
      </c>
      <c r="C44" t="s">
        <v>329</v>
      </c>
      <c r="D44" t="s">
        <v>330</v>
      </c>
      <c r="E44">
        <v>78.55</v>
      </c>
      <c r="F44">
        <v>56.85</v>
      </c>
      <c r="G44">
        <v>-164.35</v>
      </c>
      <c r="H44">
        <v>-179.35</v>
      </c>
      <c r="I44">
        <v>-215.56</v>
      </c>
      <c r="J44">
        <v>-232.34</v>
      </c>
      <c r="K44">
        <v>-254.79</v>
      </c>
      <c r="L44">
        <v>-273.45</v>
      </c>
      <c r="M44">
        <v>-279.66000000000003</v>
      </c>
      <c r="N44">
        <v>-319.52</v>
      </c>
      <c r="O44">
        <v>-320.36</v>
      </c>
      <c r="P44">
        <v>-336.05</v>
      </c>
      <c r="Q44">
        <v>-338.51</v>
      </c>
      <c r="R44">
        <v>-368.72</v>
      </c>
      <c r="S44">
        <v>-371.34</v>
      </c>
      <c r="T44">
        <v>-410.91</v>
      </c>
      <c r="U44">
        <v>9999</v>
      </c>
      <c r="V44">
        <v>-418.39</v>
      </c>
      <c r="W44">
        <v>-426.61</v>
      </c>
      <c r="X44">
        <v>-442.69</v>
      </c>
      <c r="Y44">
        <v>9999</v>
      </c>
      <c r="Z44">
        <v>9999</v>
      </c>
      <c r="AA44">
        <v>9999</v>
      </c>
    </row>
    <row r="45" spans="1:27" x14ac:dyDescent="0.25">
      <c r="A45" t="s">
        <v>331</v>
      </c>
      <c r="B45" t="s">
        <v>332</v>
      </c>
      <c r="C45" t="s">
        <v>333</v>
      </c>
      <c r="D45" t="s">
        <v>334</v>
      </c>
      <c r="E45">
        <v>76.56</v>
      </c>
      <c r="F45">
        <v>64.23</v>
      </c>
      <c r="G45">
        <v>-88.06</v>
      </c>
      <c r="H45">
        <v>-91.38</v>
      </c>
      <c r="I45">
        <v>-176.77</v>
      </c>
      <c r="J45">
        <v>-180.66</v>
      </c>
      <c r="K45">
        <v>-184.19</v>
      </c>
      <c r="L45">
        <v>-202.14</v>
      </c>
      <c r="M45">
        <v>-207.42</v>
      </c>
      <c r="N45">
        <v>-225.81</v>
      </c>
      <c r="O45">
        <v>-227.17</v>
      </c>
      <c r="P45">
        <v>-239.69</v>
      </c>
      <c r="Q45">
        <v>-240.27</v>
      </c>
      <c r="R45">
        <v>-259.52</v>
      </c>
      <c r="S45">
        <v>-260.3</v>
      </c>
      <c r="T45">
        <v>-302.36</v>
      </c>
      <c r="U45">
        <v>9999</v>
      </c>
      <c r="V45">
        <v>-308.10999999999996</v>
      </c>
      <c r="W45">
        <v>-315.81</v>
      </c>
      <c r="X45">
        <v>-330.07</v>
      </c>
      <c r="Y45">
        <v>-331.55</v>
      </c>
      <c r="Z45">
        <v>-345.85</v>
      </c>
      <c r="AA45">
        <v>9999</v>
      </c>
    </row>
    <row r="46" spans="1:27" x14ac:dyDescent="0.25">
      <c r="A46" t="s">
        <v>335</v>
      </c>
      <c r="B46" t="s">
        <v>336</v>
      </c>
      <c r="C46" t="s">
        <v>337</v>
      </c>
      <c r="D46" t="s">
        <v>338</v>
      </c>
      <c r="E46">
        <v>77.98</v>
      </c>
      <c r="F46">
        <v>66.47</v>
      </c>
      <c r="G46">
        <v>-92.34</v>
      </c>
      <c r="H46">
        <v>-95.64</v>
      </c>
      <c r="I46">
        <v>-101.4</v>
      </c>
      <c r="J46">
        <v>-112.88</v>
      </c>
      <c r="K46">
        <v>-146.93</v>
      </c>
      <c r="L46">
        <v>-150.82</v>
      </c>
      <c r="M46">
        <v>-157.19999999999999</v>
      </c>
      <c r="N46">
        <v>-198.59</v>
      </c>
      <c r="O46">
        <v>-201.91</v>
      </c>
      <c r="P46">
        <v>-211.02</v>
      </c>
      <c r="Q46">
        <v>-212.86</v>
      </c>
      <c r="R46">
        <v>9999</v>
      </c>
      <c r="S46">
        <v>9999</v>
      </c>
      <c r="T46">
        <v>-283.83999999999997</v>
      </c>
      <c r="U46">
        <v>9999</v>
      </c>
      <c r="V46">
        <v>-288.82000000000005</v>
      </c>
      <c r="W46">
        <v>-294.47000000000003</v>
      </c>
      <c r="X46">
        <v>-304.73</v>
      </c>
      <c r="Y46">
        <v>9999</v>
      </c>
      <c r="Z46">
        <v>9999</v>
      </c>
      <c r="AA46">
        <v>9999</v>
      </c>
    </row>
    <row r="47" spans="1:27" x14ac:dyDescent="0.25">
      <c r="A47" t="s">
        <v>339</v>
      </c>
      <c r="B47" t="s">
        <v>340</v>
      </c>
      <c r="C47" t="s">
        <v>341</v>
      </c>
      <c r="D47" t="s">
        <v>342</v>
      </c>
      <c r="E47">
        <v>74.849999999999994</v>
      </c>
      <c r="F47">
        <v>50.35</v>
      </c>
      <c r="G47">
        <v>-82.15</v>
      </c>
      <c r="H47">
        <v>-83.95</v>
      </c>
      <c r="I47">
        <v>-93.64</v>
      </c>
      <c r="J47">
        <v>-95.96</v>
      </c>
      <c r="K47">
        <v>9999</v>
      </c>
      <c r="L47">
        <v>-112.18999999999998</v>
      </c>
      <c r="M47">
        <v>-117.98</v>
      </c>
      <c r="N47">
        <v>-156.72999999999999</v>
      </c>
      <c r="O47">
        <v>-156.93</v>
      </c>
      <c r="P47">
        <v>9999</v>
      </c>
      <c r="Q47">
        <v>9999</v>
      </c>
      <c r="R47">
        <v>-184.11</v>
      </c>
      <c r="S47">
        <v>-185.95</v>
      </c>
      <c r="T47">
        <v>-221.21</v>
      </c>
      <c r="U47">
        <v>9999</v>
      </c>
      <c r="V47">
        <v>-227.82</v>
      </c>
      <c r="W47">
        <v>-234.49</v>
      </c>
      <c r="X47">
        <v>-249.85</v>
      </c>
      <c r="Y47">
        <v>-254.58</v>
      </c>
      <c r="Z47">
        <v>-265.45999999999998</v>
      </c>
      <c r="AA47">
        <v>9999</v>
      </c>
    </row>
    <row r="48" spans="1:27" x14ac:dyDescent="0.25">
      <c r="A48" t="s">
        <v>343</v>
      </c>
      <c r="B48" t="s">
        <v>344</v>
      </c>
      <c r="C48" t="s">
        <v>345</v>
      </c>
      <c r="D48" t="s">
        <v>346</v>
      </c>
      <c r="E48">
        <v>85.59</v>
      </c>
      <c r="F48">
        <v>73.62</v>
      </c>
      <c r="G48">
        <v>-58</v>
      </c>
      <c r="H48">
        <v>9999</v>
      </c>
      <c r="I48">
        <v>9999</v>
      </c>
      <c r="J48">
        <v>9999</v>
      </c>
      <c r="K48">
        <v>9999</v>
      </c>
      <c r="L48">
        <v>9999</v>
      </c>
      <c r="M48">
        <v>9999</v>
      </c>
      <c r="N48">
        <v>9999</v>
      </c>
      <c r="O48">
        <v>-59.71</v>
      </c>
      <c r="P48">
        <v>-70.469999999999985</v>
      </c>
      <c r="Q48">
        <v>-72.61</v>
      </c>
      <c r="R48">
        <v>9999</v>
      </c>
      <c r="S48">
        <v>9999</v>
      </c>
      <c r="T48">
        <v>-153.44999999999999</v>
      </c>
      <c r="U48">
        <v>9999</v>
      </c>
      <c r="V48">
        <v>-154.91</v>
      </c>
      <c r="W48">
        <v>-159.1</v>
      </c>
      <c r="X48">
        <v>-173.84</v>
      </c>
      <c r="Y48">
        <v>9999</v>
      </c>
      <c r="Z48">
        <v>9999</v>
      </c>
      <c r="AA48">
        <v>9999</v>
      </c>
    </row>
    <row r="49" spans="1:27" x14ac:dyDescent="0.25">
      <c r="A49" t="s">
        <v>347</v>
      </c>
      <c r="B49" t="s">
        <v>348</v>
      </c>
      <c r="C49" t="s">
        <v>349</v>
      </c>
      <c r="D49" t="s">
        <v>350</v>
      </c>
      <c r="E49">
        <v>77.22</v>
      </c>
      <c r="F49">
        <v>66.239999999999995</v>
      </c>
      <c r="G49">
        <v>-116.55</v>
      </c>
      <c r="H49">
        <v>-122.54</v>
      </c>
      <c r="I49">
        <v>-165.62</v>
      </c>
      <c r="J49">
        <v>-177.2</v>
      </c>
      <c r="K49">
        <v>-203.79</v>
      </c>
      <c r="L49">
        <v>-216.55999999999997</v>
      </c>
      <c r="M49">
        <v>-224.64</v>
      </c>
      <c r="N49">
        <v>-268.52</v>
      </c>
      <c r="O49">
        <v>-273.57</v>
      </c>
      <c r="P49">
        <v>-281.84000000000003</v>
      </c>
      <c r="Q49">
        <v>-283.74</v>
      </c>
      <c r="R49">
        <v>-317.42</v>
      </c>
      <c r="S49">
        <v>-319.17</v>
      </c>
      <c r="T49">
        <v>-361.72</v>
      </c>
      <c r="U49">
        <v>-369.15</v>
      </c>
      <c r="V49">
        <v>-369.39</v>
      </c>
      <c r="W49">
        <v>-378.24</v>
      </c>
      <c r="X49">
        <v>-391.37</v>
      </c>
      <c r="Y49">
        <v>-392.49</v>
      </c>
      <c r="Z49">
        <v>-404.73</v>
      </c>
      <c r="AA49">
        <v>9999</v>
      </c>
    </row>
    <row r="50" spans="1:27" x14ac:dyDescent="0.25">
      <c r="A50" t="s">
        <v>351</v>
      </c>
      <c r="B50" t="s">
        <v>352</v>
      </c>
      <c r="C50" t="s">
        <v>353</v>
      </c>
      <c r="D50" t="s">
        <v>354</v>
      </c>
      <c r="E50">
        <v>77.010000000000005</v>
      </c>
      <c r="F50">
        <v>64.13</v>
      </c>
      <c r="G50">
        <v>-76.45</v>
      </c>
      <c r="H50">
        <v>-85.23</v>
      </c>
      <c r="I50">
        <v>-115.21</v>
      </c>
      <c r="J50">
        <v>-136.52000000000001</v>
      </c>
      <c r="K50">
        <v>-163.62</v>
      </c>
      <c r="L50">
        <v>-172.16</v>
      </c>
      <c r="M50">
        <v>-179.37</v>
      </c>
      <c r="N50">
        <v>-222.84</v>
      </c>
      <c r="O50">
        <v>-226.97</v>
      </c>
      <c r="P50">
        <v>-236.23000000000002</v>
      </c>
      <c r="Q50">
        <v>-237.87</v>
      </c>
      <c r="R50">
        <v>9999</v>
      </c>
      <c r="S50">
        <v>9999</v>
      </c>
      <c r="T50">
        <v>-317.63</v>
      </c>
      <c r="U50">
        <v>-323.12</v>
      </c>
      <c r="V50">
        <v>-323.87</v>
      </c>
      <c r="W50">
        <v>-330.81</v>
      </c>
      <c r="X50">
        <v>-341.02</v>
      </c>
      <c r="Y50">
        <v>-344.1</v>
      </c>
      <c r="Z50">
        <v>-349.57</v>
      </c>
      <c r="AA50">
        <v>9999</v>
      </c>
    </row>
    <row r="51" spans="1:27" x14ac:dyDescent="0.25">
      <c r="A51" t="s">
        <v>355</v>
      </c>
      <c r="B51" t="s">
        <v>356</v>
      </c>
      <c r="C51" t="s">
        <v>357</v>
      </c>
      <c r="D51" t="s">
        <v>358</v>
      </c>
      <c r="E51">
        <v>70.2</v>
      </c>
      <c r="F51">
        <v>52.6</v>
      </c>
      <c r="G51">
        <v>9999</v>
      </c>
      <c r="H51">
        <v>9999</v>
      </c>
      <c r="I51">
        <v>9999</v>
      </c>
      <c r="J51">
        <v>9999</v>
      </c>
      <c r="K51">
        <v>9999</v>
      </c>
      <c r="L51">
        <v>9999</v>
      </c>
      <c r="M51">
        <v>9999</v>
      </c>
      <c r="N51">
        <v>9999</v>
      </c>
      <c r="O51">
        <v>-98.71</v>
      </c>
      <c r="P51">
        <v>9999</v>
      </c>
      <c r="Q51">
        <v>9999</v>
      </c>
      <c r="R51">
        <v>9999</v>
      </c>
      <c r="S51">
        <v>9999</v>
      </c>
      <c r="T51">
        <v>9999</v>
      </c>
      <c r="U51">
        <v>9999</v>
      </c>
      <c r="V51">
        <v>9999</v>
      </c>
      <c r="W51">
        <v>9999</v>
      </c>
      <c r="X51">
        <v>9999</v>
      </c>
      <c r="Y51">
        <v>9999</v>
      </c>
      <c r="Z51">
        <v>9999</v>
      </c>
      <c r="AA51">
        <v>9999</v>
      </c>
    </row>
    <row r="52" spans="1:27" x14ac:dyDescent="0.25">
      <c r="A52" t="s">
        <v>359</v>
      </c>
      <c r="B52" t="s">
        <v>360</v>
      </c>
      <c r="C52" t="s">
        <v>297</v>
      </c>
      <c r="D52" t="s">
        <v>361</v>
      </c>
      <c r="E52">
        <v>72.92</v>
      </c>
      <c r="F52">
        <v>53.57</v>
      </c>
      <c r="G52">
        <v>-148.83000000000001</v>
      </c>
      <c r="H52">
        <v>9999</v>
      </c>
      <c r="I52">
        <v>9999</v>
      </c>
      <c r="J52">
        <v>9999</v>
      </c>
      <c r="K52">
        <v>9999</v>
      </c>
      <c r="L52">
        <v>9999</v>
      </c>
      <c r="M52">
        <v>9999</v>
      </c>
      <c r="N52">
        <v>-154.51</v>
      </c>
      <c r="O52">
        <v>-162.24</v>
      </c>
      <c r="P52">
        <v>9999</v>
      </c>
      <c r="Q52">
        <v>9999</v>
      </c>
      <c r="R52">
        <v>9999</v>
      </c>
      <c r="S52">
        <v>9999</v>
      </c>
      <c r="T52">
        <v>9999</v>
      </c>
      <c r="U52">
        <v>9999</v>
      </c>
      <c r="V52">
        <v>9999</v>
      </c>
      <c r="W52">
        <v>9999</v>
      </c>
      <c r="X52">
        <v>9999</v>
      </c>
      <c r="Y52">
        <v>9999</v>
      </c>
      <c r="Z52">
        <v>9999</v>
      </c>
      <c r="AA52">
        <v>9999</v>
      </c>
    </row>
    <row r="53" spans="1:27" x14ac:dyDescent="0.25">
      <c r="A53" t="s">
        <v>362</v>
      </c>
      <c r="B53" t="s">
        <v>363</v>
      </c>
      <c r="C53" t="s">
        <v>364</v>
      </c>
      <c r="D53" t="s">
        <v>365</v>
      </c>
      <c r="E53">
        <v>70.599999999999994</v>
      </c>
      <c r="F53">
        <v>54.58</v>
      </c>
      <c r="G53">
        <v>-88.73</v>
      </c>
      <c r="H53">
        <v>9999</v>
      </c>
      <c r="I53">
        <v>9999</v>
      </c>
      <c r="J53">
        <v>9999</v>
      </c>
      <c r="K53">
        <v>9999</v>
      </c>
      <c r="L53">
        <v>9999</v>
      </c>
      <c r="M53">
        <v>9999</v>
      </c>
      <c r="N53">
        <v>9999</v>
      </c>
      <c r="O53">
        <v>-100.13</v>
      </c>
      <c r="P53">
        <v>9999</v>
      </c>
      <c r="Q53">
        <v>9999</v>
      </c>
      <c r="R53">
        <v>9999</v>
      </c>
      <c r="S53">
        <v>9999</v>
      </c>
      <c r="T53">
        <v>9999</v>
      </c>
      <c r="U53">
        <v>9999</v>
      </c>
      <c r="V53">
        <v>9999</v>
      </c>
      <c r="W53">
        <v>9999</v>
      </c>
      <c r="X53">
        <v>9999</v>
      </c>
      <c r="Y53">
        <v>9999</v>
      </c>
      <c r="Z53">
        <v>9999</v>
      </c>
      <c r="AA53">
        <v>9999</v>
      </c>
    </row>
    <row r="54" spans="1:27" x14ac:dyDescent="0.25">
      <c r="A54" t="s">
        <v>366</v>
      </c>
      <c r="B54" t="s">
        <v>367</v>
      </c>
      <c r="C54" t="s">
        <v>368</v>
      </c>
      <c r="D54" t="s">
        <v>369</v>
      </c>
      <c r="E54">
        <v>75.89</v>
      </c>
      <c r="F54">
        <v>56.48</v>
      </c>
      <c r="G54">
        <v>-168.89</v>
      </c>
      <c r="H54">
        <v>-173.29</v>
      </c>
      <c r="I54">
        <v>-174.49</v>
      </c>
      <c r="J54">
        <v>9999</v>
      </c>
      <c r="K54">
        <v>9999</v>
      </c>
      <c r="L54">
        <v>9999</v>
      </c>
      <c r="M54">
        <v>9999</v>
      </c>
      <c r="N54">
        <v>9999</v>
      </c>
      <c r="O54">
        <v>9999</v>
      </c>
      <c r="P54">
        <v>9999</v>
      </c>
      <c r="Q54">
        <v>9999</v>
      </c>
      <c r="R54">
        <v>9999</v>
      </c>
      <c r="S54">
        <v>9999</v>
      </c>
      <c r="T54">
        <v>9999</v>
      </c>
      <c r="U54">
        <v>9999</v>
      </c>
      <c r="V54">
        <v>9999</v>
      </c>
      <c r="W54">
        <v>9999</v>
      </c>
      <c r="X54">
        <v>9999</v>
      </c>
      <c r="Y54">
        <v>9999</v>
      </c>
      <c r="Z54">
        <v>9999</v>
      </c>
      <c r="AA54">
        <v>9999</v>
      </c>
    </row>
    <row r="55" spans="1:27" x14ac:dyDescent="0.25">
      <c r="A55" t="s">
        <v>370</v>
      </c>
      <c r="B55" t="s">
        <v>371</v>
      </c>
      <c r="C55" t="s">
        <v>372</v>
      </c>
      <c r="D55" t="s">
        <v>373</v>
      </c>
      <c r="E55">
        <v>87.69</v>
      </c>
      <c r="F55">
        <v>50.53</v>
      </c>
      <c r="G55">
        <v>-115</v>
      </c>
      <c r="H55">
        <v>-116.74</v>
      </c>
      <c r="I55">
        <v>9999</v>
      </c>
      <c r="J55">
        <v>9999</v>
      </c>
      <c r="K55">
        <v>9999</v>
      </c>
      <c r="L55">
        <v>-147.00000000000003</v>
      </c>
      <c r="M55">
        <v>-153.38999999999999</v>
      </c>
      <c r="N55">
        <v>-192.66</v>
      </c>
      <c r="O55">
        <v>-194.1</v>
      </c>
      <c r="P55">
        <v>-209.91000000000003</v>
      </c>
      <c r="Q55">
        <v>-211.61</v>
      </c>
      <c r="R55">
        <v>-234.69</v>
      </c>
      <c r="S55">
        <v>-236.94</v>
      </c>
      <c r="T55">
        <v>-255.59</v>
      </c>
      <c r="U55">
        <v>9999</v>
      </c>
      <c r="V55">
        <v>-256.31</v>
      </c>
      <c r="W55">
        <v>-264.19</v>
      </c>
      <c r="X55">
        <v>-282.25</v>
      </c>
      <c r="Y55">
        <v>-288.14999999999998</v>
      </c>
      <c r="Z55">
        <v>9999</v>
      </c>
      <c r="AA55">
        <v>9999</v>
      </c>
    </row>
    <row r="56" spans="1:27" x14ac:dyDescent="0.25">
      <c r="A56" t="s">
        <v>374</v>
      </c>
      <c r="B56" t="s">
        <v>375</v>
      </c>
      <c r="C56" t="s">
        <v>376</v>
      </c>
      <c r="D56" t="s">
        <v>377</v>
      </c>
      <c r="E56">
        <v>69.010000000000005</v>
      </c>
      <c r="F56">
        <v>47.3</v>
      </c>
      <c r="G56">
        <v>-147.86000000000001</v>
      </c>
      <c r="H56">
        <v>9999</v>
      </c>
      <c r="I56">
        <v>9999</v>
      </c>
      <c r="J56">
        <v>-159.96</v>
      </c>
      <c r="K56">
        <v>-160.69</v>
      </c>
      <c r="L56">
        <v>-175.85</v>
      </c>
      <c r="M56">
        <v>-182.38</v>
      </c>
      <c r="N56">
        <v>9999</v>
      </c>
      <c r="O56">
        <v>9999</v>
      </c>
      <c r="P56">
        <v>9999</v>
      </c>
      <c r="Q56">
        <v>9999</v>
      </c>
      <c r="R56">
        <v>9999</v>
      </c>
      <c r="S56">
        <v>9999</v>
      </c>
      <c r="T56">
        <v>9999</v>
      </c>
      <c r="U56">
        <v>9999</v>
      </c>
      <c r="V56">
        <v>9999</v>
      </c>
      <c r="W56">
        <v>9999</v>
      </c>
      <c r="X56">
        <v>9999</v>
      </c>
      <c r="Y56">
        <v>9999</v>
      </c>
      <c r="Z56">
        <v>9999</v>
      </c>
      <c r="AA56">
        <v>9999</v>
      </c>
    </row>
    <row r="57" spans="1:27" x14ac:dyDescent="0.25">
      <c r="A57" t="s">
        <v>378</v>
      </c>
      <c r="B57" t="s">
        <v>379</v>
      </c>
      <c r="C57" t="s">
        <v>380</v>
      </c>
      <c r="D57" t="s">
        <v>381</v>
      </c>
      <c r="E57">
        <v>78.88</v>
      </c>
      <c r="F57">
        <v>57.25</v>
      </c>
      <c r="G57">
        <v>-86.41</v>
      </c>
      <c r="H57">
        <v>9999</v>
      </c>
      <c r="I57">
        <v>9999</v>
      </c>
      <c r="J57">
        <v>9999</v>
      </c>
      <c r="K57">
        <v>9999</v>
      </c>
      <c r="L57">
        <v>9999</v>
      </c>
      <c r="M57">
        <v>9999</v>
      </c>
      <c r="N57">
        <v>9999</v>
      </c>
      <c r="O57">
        <v>9999</v>
      </c>
      <c r="P57">
        <v>9999</v>
      </c>
      <c r="Q57">
        <v>-87.7</v>
      </c>
      <c r="R57">
        <v>-119.53</v>
      </c>
      <c r="S57">
        <v>-121.19</v>
      </c>
      <c r="T57">
        <v>9999</v>
      </c>
      <c r="U57">
        <v>9999</v>
      </c>
      <c r="V57">
        <v>9999</v>
      </c>
      <c r="W57">
        <v>9999</v>
      </c>
      <c r="X57">
        <v>9999</v>
      </c>
      <c r="Y57">
        <v>9999</v>
      </c>
      <c r="Z57">
        <v>9999</v>
      </c>
      <c r="AA57">
        <v>9999</v>
      </c>
    </row>
    <row r="58" spans="1:27" x14ac:dyDescent="0.25">
      <c r="A58" t="s">
        <v>382</v>
      </c>
      <c r="B58" t="s">
        <v>383</v>
      </c>
      <c r="C58" t="s">
        <v>384</v>
      </c>
      <c r="D58" t="s">
        <v>385</v>
      </c>
      <c r="E58">
        <v>81.180000000000007</v>
      </c>
      <c r="F58">
        <v>57.89</v>
      </c>
      <c r="G58">
        <v>-110.55</v>
      </c>
      <c r="H58">
        <v>9999</v>
      </c>
      <c r="I58">
        <v>-129.88</v>
      </c>
      <c r="J58">
        <v>-120.13</v>
      </c>
      <c r="K58">
        <v>-136.94</v>
      </c>
      <c r="L58">
        <v>-152.79</v>
      </c>
      <c r="M58">
        <v>-159.44</v>
      </c>
      <c r="N58">
        <v>-183.64</v>
      </c>
      <c r="O58">
        <v>-187.89</v>
      </c>
      <c r="P58">
        <v>-197.84</v>
      </c>
      <c r="Q58">
        <v>-199.56</v>
      </c>
      <c r="R58">
        <v>-230.33</v>
      </c>
      <c r="S58">
        <v>-232.24</v>
      </c>
      <c r="T58">
        <v>-267.47000000000003</v>
      </c>
      <c r="U58">
        <v>9999</v>
      </c>
      <c r="V58">
        <v>-271.14000000000004</v>
      </c>
      <c r="W58">
        <v>-279.89999999999998</v>
      </c>
      <c r="X58">
        <v>-292.7</v>
      </c>
      <c r="Y58">
        <v>-295.17</v>
      </c>
      <c r="Z58">
        <v>-301.39</v>
      </c>
      <c r="AA58">
        <v>9999</v>
      </c>
    </row>
    <row r="59" spans="1:27" x14ac:dyDescent="0.25">
      <c r="A59" t="s">
        <v>386</v>
      </c>
      <c r="B59" t="s">
        <v>387</v>
      </c>
      <c r="C59" t="s">
        <v>388</v>
      </c>
      <c r="D59" t="s">
        <v>389</v>
      </c>
      <c r="E59">
        <v>71.010000000000005</v>
      </c>
      <c r="F59">
        <v>49.02</v>
      </c>
      <c r="G59">
        <v>-145.34</v>
      </c>
      <c r="H59">
        <v>9999</v>
      </c>
      <c r="I59">
        <v>9999</v>
      </c>
      <c r="J59">
        <v>9999</v>
      </c>
      <c r="K59">
        <v>9999</v>
      </c>
      <c r="L59">
        <v>-161.52000000000001</v>
      </c>
      <c r="M59">
        <v>-163.75</v>
      </c>
      <c r="N59">
        <v>-203.34</v>
      </c>
      <c r="O59">
        <v>-204.74</v>
      </c>
      <c r="P59">
        <v>-221.86</v>
      </c>
      <c r="Q59">
        <v>-223.16</v>
      </c>
      <c r="R59">
        <v>-252.77</v>
      </c>
      <c r="S59">
        <v>-254.58</v>
      </c>
      <c r="T59">
        <v>-293.08999999999997</v>
      </c>
      <c r="U59">
        <v>-300.42</v>
      </c>
      <c r="V59">
        <v>-305.01</v>
      </c>
      <c r="W59">
        <v>-311.88</v>
      </c>
      <c r="X59">
        <v>-325.98</v>
      </c>
      <c r="Y59">
        <v>9999</v>
      </c>
      <c r="Z59">
        <v>9999</v>
      </c>
      <c r="AA59">
        <v>9999</v>
      </c>
    </row>
    <row r="60" spans="1:27" x14ac:dyDescent="0.25">
      <c r="A60" t="s">
        <v>390</v>
      </c>
      <c r="B60" t="s">
        <v>391</v>
      </c>
      <c r="C60" t="s">
        <v>392</v>
      </c>
      <c r="D60" t="s">
        <v>393</v>
      </c>
      <c r="E60">
        <v>77.28</v>
      </c>
      <c r="F60">
        <v>59.1</v>
      </c>
      <c r="G60">
        <v>-92.12</v>
      </c>
      <c r="H60">
        <v>9999</v>
      </c>
      <c r="I60">
        <v>9999</v>
      </c>
      <c r="J60">
        <v>9999</v>
      </c>
      <c r="K60">
        <v>9999</v>
      </c>
      <c r="L60">
        <v>9999</v>
      </c>
      <c r="M60">
        <v>9999</v>
      </c>
      <c r="N60">
        <v>9999</v>
      </c>
      <c r="O60">
        <v>9999</v>
      </c>
      <c r="P60">
        <v>9999</v>
      </c>
      <c r="Q60">
        <v>9999</v>
      </c>
      <c r="R60">
        <v>9999</v>
      </c>
      <c r="S60">
        <v>9999</v>
      </c>
      <c r="T60">
        <v>9999</v>
      </c>
      <c r="U60">
        <v>9999</v>
      </c>
      <c r="V60">
        <v>-217.69</v>
      </c>
      <c r="W60">
        <v>-218.58</v>
      </c>
      <c r="X60">
        <v>9999</v>
      </c>
      <c r="Y60">
        <v>9999</v>
      </c>
      <c r="Z60">
        <v>9999</v>
      </c>
      <c r="AA60">
        <v>9999</v>
      </c>
    </row>
    <row r="61" spans="1:27" x14ac:dyDescent="0.25">
      <c r="A61" t="s">
        <v>394</v>
      </c>
      <c r="B61" t="s">
        <v>395</v>
      </c>
      <c r="C61" t="s">
        <v>396</v>
      </c>
      <c r="D61" t="s">
        <v>397</v>
      </c>
      <c r="E61">
        <v>77.7</v>
      </c>
      <c r="F61">
        <v>63.63</v>
      </c>
      <c r="G61">
        <v>-149.44999999999999</v>
      </c>
      <c r="H61">
        <v>-155.76</v>
      </c>
      <c r="I61">
        <v>-198.27</v>
      </c>
      <c r="J61">
        <v>-213.63</v>
      </c>
      <c r="K61">
        <v>-236.17</v>
      </c>
      <c r="L61">
        <v>-246.67</v>
      </c>
      <c r="M61">
        <v>-253.82</v>
      </c>
      <c r="N61">
        <v>-292.41000000000003</v>
      </c>
      <c r="O61">
        <v>-296.51</v>
      </c>
      <c r="P61">
        <v>-301.41999999999996</v>
      </c>
      <c r="Q61">
        <v>-302.91000000000003</v>
      </c>
      <c r="R61">
        <v>-337.31</v>
      </c>
      <c r="S61">
        <v>9999</v>
      </c>
      <c r="T61">
        <v>9999</v>
      </c>
      <c r="U61">
        <v>9999</v>
      </c>
      <c r="V61">
        <v>-371.86</v>
      </c>
      <c r="W61">
        <v>-376.45</v>
      </c>
      <c r="X61">
        <v>-378.84</v>
      </c>
      <c r="Y61">
        <v>-380.85</v>
      </c>
      <c r="Z61">
        <v>9999</v>
      </c>
      <c r="AA61">
        <v>9999</v>
      </c>
    </row>
    <row r="62" spans="1:27" x14ac:dyDescent="0.25">
      <c r="A62" t="s">
        <v>398</v>
      </c>
      <c r="B62" t="s">
        <v>399</v>
      </c>
      <c r="C62" t="s">
        <v>400</v>
      </c>
      <c r="D62" t="s">
        <v>401</v>
      </c>
      <c r="E62">
        <v>80.989999999999995</v>
      </c>
      <c r="F62">
        <v>67.94</v>
      </c>
      <c r="G62">
        <v>-82.05</v>
      </c>
      <c r="H62">
        <v>9999</v>
      </c>
      <c r="I62">
        <v>9999</v>
      </c>
      <c r="J62">
        <v>9999</v>
      </c>
      <c r="K62">
        <v>-106.05</v>
      </c>
      <c r="L62">
        <v>-131.06</v>
      </c>
      <c r="M62">
        <v>-137.03</v>
      </c>
      <c r="N62">
        <v>-173.43</v>
      </c>
      <c r="O62">
        <v>-176.3</v>
      </c>
      <c r="P62">
        <v>-185.17000000000002</v>
      </c>
      <c r="Q62">
        <v>-187.37</v>
      </c>
      <c r="R62">
        <v>9999</v>
      </c>
      <c r="S62">
        <v>9999</v>
      </c>
      <c r="T62">
        <v>-252.19</v>
      </c>
      <c r="U62">
        <v>-254.51</v>
      </c>
      <c r="V62">
        <v>-274.7</v>
      </c>
      <c r="W62">
        <v>-280</v>
      </c>
      <c r="X62">
        <v>9999</v>
      </c>
      <c r="Y62">
        <v>9999</v>
      </c>
      <c r="Z62">
        <v>9999</v>
      </c>
      <c r="AA62">
        <v>9999</v>
      </c>
    </row>
    <row r="63" spans="1:27" x14ac:dyDescent="0.25">
      <c r="A63" t="s">
        <v>402</v>
      </c>
      <c r="B63" t="s">
        <v>403</v>
      </c>
      <c r="C63" t="s">
        <v>404</v>
      </c>
      <c r="D63" t="s">
        <v>405</v>
      </c>
      <c r="E63">
        <v>84.34</v>
      </c>
      <c r="F63">
        <v>72.73</v>
      </c>
      <c r="G63">
        <v>-3.58</v>
      </c>
      <c r="H63">
        <v>-5.98</v>
      </c>
      <c r="I63">
        <v>-9.3000000000000007</v>
      </c>
      <c r="J63">
        <v>-18.88</v>
      </c>
      <c r="K63">
        <v>9999</v>
      </c>
      <c r="L63">
        <v>-22.600000000000009</v>
      </c>
      <c r="M63">
        <v>-27.49</v>
      </c>
      <c r="N63">
        <v>9999</v>
      </c>
      <c r="O63">
        <v>9999</v>
      </c>
      <c r="P63">
        <v>-51.75</v>
      </c>
      <c r="Q63">
        <v>-52.97</v>
      </c>
      <c r="R63">
        <v>9999</v>
      </c>
      <c r="S63">
        <v>9999</v>
      </c>
      <c r="T63">
        <v>9999</v>
      </c>
      <c r="U63">
        <v>9999</v>
      </c>
      <c r="V63">
        <v>9999</v>
      </c>
      <c r="W63">
        <v>9999</v>
      </c>
      <c r="X63">
        <v>-103.62</v>
      </c>
      <c r="Y63">
        <v>-104.96</v>
      </c>
      <c r="Z63">
        <v>9999</v>
      </c>
      <c r="AA63">
        <v>9999</v>
      </c>
    </row>
    <row r="64" spans="1:27" x14ac:dyDescent="0.25">
      <c r="A64" t="s">
        <v>406</v>
      </c>
      <c r="B64" t="s">
        <v>407</v>
      </c>
      <c r="C64" t="s">
        <v>408</v>
      </c>
      <c r="D64" t="s">
        <v>409</v>
      </c>
      <c r="E64">
        <v>85.25</v>
      </c>
      <c r="F64">
        <v>71.75</v>
      </c>
      <c r="G64">
        <v>-30.6</v>
      </c>
      <c r="H64">
        <v>9999</v>
      </c>
      <c r="I64">
        <v>9999</v>
      </c>
      <c r="J64">
        <v>9999</v>
      </c>
      <c r="K64">
        <v>-41.6</v>
      </c>
      <c r="L64">
        <v>-53.150000000000006</v>
      </c>
      <c r="M64">
        <v>-59.68</v>
      </c>
      <c r="N64">
        <v>-107.48</v>
      </c>
      <c r="O64">
        <v>-109.26</v>
      </c>
      <c r="P64">
        <v>-117.21000000000001</v>
      </c>
      <c r="Q64">
        <v>-119.11</v>
      </c>
      <c r="R64">
        <v>9999</v>
      </c>
      <c r="S64">
        <v>9999</v>
      </c>
      <c r="T64">
        <v>-185.78700000000001</v>
      </c>
      <c r="U64">
        <v>-189.227</v>
      </c>
      <c r="V64">
        <v>-203.477</v>
      </c>
      <c r="W64">
        <v>-210.83699999999999</v>
      </c>
      <c r="X64">
        <v>9999</v>
      </c>
      <c r="Y64">
        <v>9999</v>
      </c>
      <c r="Z64">
        <v>9999</v>
      </c>
      <c r="AA64">
        <v>9999</v>
      </c>
    </row>
    <row r="65" spans="1:27" x14ac:dyDescent="0.25">
      <c r="A65" t="s">
        <v>410</v>
      </c>
      <c r="B65" t="s">
        <v>411</v>
      </c>
      <c r="C65" t="s">
        <v>412</v>
      </c>
      <c r="D65" t="s">
        <v>413</v>
      </c>
      <c r="E65">
        <v>81.8</v>
      </c>
      <c r="F65">
        <v>71.2</v>
      </c>
      <c r="G65">
        <v>-63.8</v>
      </c>
      <c r="H65">
        <v>9999</v>
      </c>
      <c r="I65">
        <v>9999</v>
      </c>
      <c r="J65">
        <v>9999</v>
      </c>
      <c r="K65">
        <v>9999</v>
      </c>
      <c r="L65">
        <v>9999</v>
      </c>
      <c r="M65">
        <v>9999</v>
      </c>
      <c r="N65">
        <v>9999</v>
      </c>
      <c r="O65">
        <v>9999</v>
      </c>
      <c r="P65">
        <v>-79.19</v>
      </c>
      <c r="Q65">
        <v>-81.150000000000006</v>
      </c>
      <c r="R65">
        <v>-124.94</v>
      </c>
      <c r="S65">
        <v>-126.49</v>
      </c>
      <c r="T65">
        <v>-168.61</v>
      </c>
      <c r="U65">
        <v>-172.14</v>
      </c>
      <c r="V65">
        <v>-180.57000000000005</v>
      </c>
      <c r="W65">
        <v>-187.27</v>
      </c>
      <c r="X65">
        <v>9999</v>
      </c>
      <c r="Y65">
        <v>9999</v>
      </c>
      <c r="Z65">
        <v>9999</v>
      </c>
      <c r="AA65">
        <v>9999</v>
      </c>
    </row>
    <row r="66" spans="1:27" x14ac:dyDescent="0.25">
      <c r="A66" t="s">
        <v>414</v>
      </c>
      <c r="B66" t="s">
        <v>415</v>
      </c>
      <c r="C66" t="s">
        <v>416</v>
      </c>
      <c r="D66" t="s">
        <v>417</v>
      </c>
      <c r="E66">
        <v>86.93</v>
      </c>
      <c r="F66">
        <v>75.680000000000007</v>
      </c>
      <c r="G66">
        <v>-9.9700000000000006</v>
      </c>
      <c r="H66">
        <v>9999</v>
      </c>
      <c r="I66">
        <v>9999</v>
      </c>
      <c r="J66">
        <v>9999</v>
      </c>
      <c r="K66">
        <v>9999</v>
      </c>
      <c r="L66">
        <v>9999</v>
      </c>
      <c r="M66">
        <v>9999</v>
      </c>
      <c r="N66">
        <v>9999</v>
      </c>
      <c r="O66">
        <v>9999</v>
      </c>
      <c r="P66">
        <v>9999</v>
      </c>
      <c r="Q66">
        <v>-15.97</v>
      </c>
      <c r="R66">
        <v>9999</v>
      </c>
      <c r="S66">
        <v>9999</v>
      </c>
      <c r="T66">
        <v>-69.819999999999993</v>
      </c>
      <c r="U66">
        <v>-73.39</v>
      </c>
      <c r="V66">
        <v>-94.17</v>
      </c>
      <c r="W66">
        <v>-100.19</v>
      </c>
      <c r="X66">
        <v>-101.39</v>
      </c>
      <c r="Y66">
        <v>-110.88</v>
      </c>
      <c r="Z66">
        <v>9999</v>
      </c>
      <c r="AA66">
        <v>9999</v>
      </c>
    </row>
    <row r="67" spans="1:27" x14ac:dyDescent="0.25">
      <c r="A67" t="s">
        <v>418</v>
      </c>
      <c r="B67" t="s">
        <v>419</v>
      </c>
      <c r="C67" t="s">
        <v>420</v>
      </c>
      <c r="D67" t="s">
        <v>421</v>
      </c>
      <c r="E67">
        <v>9999</v>
      </c>
      <c r="F67">
        <v>9999</v>
      </c>
      <c r="G67">
        <v>9999</v>
      </c>
      <c r="H67">
        <v>9999</v>
      </c>
      <c r="I67">
        <v>9999</v>
      </c>
      <c r="J67">
        <v>9999</v>
      </c>
      <c r="K67">
        <v>9999</v>
      </c>
      <c r="L67">
        <v>9999</v>
      </c>
      <c r="M67">
        <v>9999</v>
      </c>
      <c r="N67">
        <v>-209.41</v>
      </c>
      <c r="O67">
        <v>9999</v>
      </c>
      <c r="P67">
        <v>9999</v>
      </c>
      <c r="Q67">
        <v>9786.7900000000009</v>
      </c>
      <c r="R67">
        <v>9999</v>
      </c>
      <c r="S67">
        <v>9999</v>
      </c>
      <c r="T67">
        <v>-278.61</v>
      </c>
      <c r="U67">
        <v>-282.91000000000003</v>
      </c>
      <c r="V67">
        <v>-287.11</v>
      </c>
      <c r="W67">
        <v>-291.70999999999998</v>
      </c>
      <c r="X67">
        <v>-307.70999999999998</v>
      </c>
      <c r="Y67">
        <v>-309.51</v>
      </c>
      <c r="Z67">
        <v>-313.41000000000003</v>
      </c>
      <c r="AA67">
        <v>9999</v>
      </c>
    </row>
    <row r="68" spans="1:27" x14ac:dyDescent="0.25">
      <c r="A68" t="s">
        <v>422</v>
      </c>
      <c r="B68" t="s">
        <v>423</v>
      </c>
      <c r="C68" t="s">
        <v>424</v>
      </c>
      <c r="D68" t="s">
        <v>425</v>
      </c>
      <c r="E68">
        <v>56.64</v>
      </c>
      <c r="F68">
        <v>40.72</v>
      </c>
      <c r="G68">
        <v>-49.95</v>
      </c>
      <c r="H68">
        <v>9999</v>
      </c>
      <c r="I68">
        <v>9999</v>
      </c>
      <c r="J68">
        <v>9999</v>
      </c>
      <c r="K68">
        <v>9999</v>
      </c>
      <c r="L68">
        <v>9999</v>
      </c>
      <c r="M68">
        <v>9999</v>
      </c>
      <c r="N68">
        <v>9999</v>
      </c>
      <c r="O68">
        <v>9999</v>
      </c>
      <c r="P68">
        <v>-94.43</v>
      </c>
      <c r="Q68">
        <v>-95.8</v>
      </c>
      <c r="R68">
        <v>-122.9</v>
      </c>
      <c r="S68">
        <v>-124.88</v>
      </c>
      <c r="T68">
        <v>-153.69999999999999</v>
      </c>
      <c r="U68">
        <v>-156.12</v>
      </c>
      <c r="V68">
        <v>-175.42000000000002</v>
      </c>
      <c r="W68">
        <v>-180.54</v>
      </c>
      <c r="X68">
        <v>-198.14</v>
      </c>
      <c r="Y68">
        <v>-199.96</v>
      </c>
      <c r="Z68">
        <v>-201.06</v>
      </c>
      <c r="AA68">
        <v>9999</v>
      </c>
    </row>
    <row r="69" spans="1:27" x14ac:dyDescent="0.25">
      <c r="A69" t="s">
        <v>190</v>
      </c>
      <c r="B69" t="s">
        <v>191</v>
      </c>
      <c r="C69" t="s">
        <v>192</v>
      </c>
      <c r="D69">
        <v>395.71</v>
      </c>
      <c r="E69">
        <v>63.760000000000005</v>
      </c>
      <c r="F69">
        <v>46.330000000000005</v>
      </c>
      <c r="G69">
        <v>-127.85</v>
      </c>
      <c r="H69">
        <v>9999</v>
      </c>
      <c r="I69">
        <v>9999</v>
      </c>
      <c r="J69">
        <v>-131.38</v>
      </c>
      <c r="K69">
        <v>-157.61000000000001</v>
      </c>
      <c r="L69">
        <v>-163.48999999999998</v>
      </c>
      <c r="M69">
        <v>-168.98</v>
      </c>
      <c r="N69">
        <v>-205.45</v>
      </c>
      <c r="O69">
        <v>-207.43</v>
      </c>
      <c r="P69">
        <v>-222.49</v>
      </c>
      <c r="Q69">
        <v>-223.68</v>
      </c>
      <c r="R69">
        <v>-255.06</v>
      </c>
      <c r="S69">
        <v>9999</v>
      </c>
      <c r="T69">
        <v>9999</v>
      </c>
      <c r="U69">
        <v>9999</v>
      </c>
      <c r="V69">
        <v>9999</v>
      </c>
      <c r="W69">
        <v>9999</v>
      </c>
      <c r="X69">
        <v>9999</v>
      </c>
      <c r="Y69">
        <v>9999</v>
      </c>
      <c r="Z69">
        <v>-279.56</v>
      </c>
      <c r="AA69">
        <v>-306.92</v>
      </c>
    </row>
    <row r="70" spans="1:27" x14ac:dyDescent="0.25">
      <c r="A70" t="s">
        <v>197</v>
      </c>
      <c r="B70" t="s">
        <v>198</v>
      </c>
      <c r="C70">
        <v>98.6</v>
      </c>
      <c r="D70">
        <v>370.99</v>
      </c>
      <c r="E70">
        <v>84.449999999999989</v>
      </c>
      <c r="F70">
        <v>68.139999999999986</v>
      </c>
      <c r="G70">
        <v>-38.960000000000008</v>
      </c>
      <c r="H70">
        <v>-40.409999999999997</v>
      </c>
      <c r="I70">
        <v>-145.86000000000001</v>
      </c>
      <c r="J70">
        <v>-148.98000000000002</v>
      </c>
      <c r="K70">
        <v>9999</v>
      </c>
      <c r="L70">
        <v>-189.75</v>
      </c>
      <c r="M70">
        <v>-193.28</v>
      </c>
      <c r="N70">
        <v>-235.56000000000003</v>
      </c>
      <c r="O70">
        <v>-239.94000000000003</v>
      </c>
      <c r="P70">
        <v>9999</v>
      </c>
      <c r="Q70">
        <v>9999</v>
      </c>
      <c r="R70">
        <v>9999</v>
      </c>
      <c r="S70">
        <v>9999</v>
      </c>
      <c r="T70">
        <v>9999</v>
      </c>
      <c r="U70">
        <v>9999</v>
      </c>
      <c r="V70">
        <v>9999</v>
      </c>
      <c r="W70">
        <v>9999</v>
      </c>
      <c r="X70">
        <v>9999</v>
      </c>
      <c r="Y70">
        <v>9999</v>
      </c>
      <c r="Z70">
        <v>9999</v>
      </c>
      <c r="AA70">
        <v>9999</v>
      </c>
    </row>
    <row r="71" spans="1:27" x14ac:dyDescent="0.25">
      <c r="A71" t="s">
        <v>200</v>
      </c>
      <c r="B71" t="s">
        <v>201</v>
      </c>
      <c r="C71">
        <v>86.3</v>
      </c>
      <c r="D71">
        <v>487.97</v>
      </c>
      <c r="E71">
        <v>67.55</v>
      </c>
      <c r="F71">
        <v>52.349999999999994</v>
      </c>
      <c r="G71">
        <v>-128.55000000000001</v>
      </c>
      <c r="H71">
        <v>-140.05000000000001</v>
      </c>
      <c r="I71">
        <v>-188.82999999999998</v>
      </c>
      <c r="J71">
        <v>-219.55</v>
      </c>
      <c r="K71">
        <v>9999</v>
      </c>
      <c r="L71">
        <v>-251.46</v>
      </c>
      <c r="M71">
        <v>-257.56</v>
      </c>
      <c r="N71">
        <v>-296.45999999999998</v>
      </c>
      <c r="O71">
        <v>-298.03999999999996</v>
      </c>
      <c r="P71">
        <v>-314.56</v>
      </c>
      <c r="Q71">
        <v>-315.64</v>
      </c>
      <c r="R71">
        <v>-349.88</v>
      </c>
      <c r="S71">
        <v>-350.95</v>
      </c>
      <c r="T71">
        <v>9999</v>
      </c>
      <c r="U71">
        <v>9999</v>
      </c>
      <c r="V71">
        <v>9999</v>
      </c>
      <c r="W71">
        <v>9999</v>
      </c>
      <c r="X71">
        <v>9999</v>
      </c>
      <c r="Y71">
        <v>9999</v>
      </c>
      <c r="Z71">
        <v>9999</v>
      </c>
      <c r="AA71">
        <v>9999</v>
      </c>
    </row>
    <row r="72" spans="1:27" x14ac:dyDescent="0.25">
      <c r="A72" t="s">
        <v>426</v>
      </c>
      <c r="B72" t="s">
        <v>203</v>
      </c>
      <c r="C72">
        <v>88.8</v>
      </c>
      <c r="D72">
        <v>542.77</v>
      </c>
      <c r="E72">
        <v>74.58</v>
      </c>
      <c r="F72">
        <v>56.099999999999994</v>
      </c>
      <c r="G72">
        <v>-160.60000000000002</v>
      </c>
      <c r="H72">
        <v>-173.58999999999997</v>
      </c>
      <c r="I72">
        <v>-223</v>
      </c>
      <c r="J72">
        <v>-228.59999999999997</v>
      </c>
      <c r="K72">
        <v>-274.64</v>
      </c>
      <c r="L72">
        <v>-287.24</v>
      </c>
      <c r="M72">
        <v>-293.51</v>
      </c>
      <c r="N72">
        <v>-332.11</v>
      </c>
      <c r="O72">
        <v>-333.11</v>
      </c>
      <c r="P72">
        <v>-352.59</v>
      </c>
      <c r="Q72">
        <v>-353.95</v>
      </c>
      <c r="R72">
        <v>-383.28</v>
      </c>
      <c r="S72">
        <v>-385.52</v>
      </c>
      <c r="T72">
        <v>-431.69</v>
      </c>
      <c r="U72">
        <v>9999</v>
      </c>
      <c r="V72">
        <v>-439.09</v>
      </c>
      <c r="W72">
        <v>-447.85999999999996</v>
      </c>
      <c r="X72">
        <v>9999</v>
      </c>
      <c r="Y72">
        <v>9999</v>
      </c>
      <c r="Z72">
        <v>9999</v>
      </c>
      <c r="AA72">
        <v>9999</v>
      </c>
    </row>
    <row r="73" spans="1:27" x14ac:dyDescent="0.25">
      <c r="A73" t="s">
        <v>427</v>
      </c>
      <c r="B73" t="s">
        <v>205</v>
      </c>
      <c r="C73">
        <v>75.94</v>
      </c>
      <c r="D73">
        <v>394.14</v>
      </c>
      <c r="E73">
        <v>66.22</v>
      </c>
      <c r="F73">
        <v>41.44</v>
      </c>
      <c r="G73">
        <v>-116.25999999999999</v>
      </c>
      <c r="H73">
        <v>9999</v>
      </c>
      <c r="I73">
        <v>9999</v>
      </c>
      <c r="J73">
        <v>9999</v>
      </c>
      <c r="K73">
        <v>9999</v>
      </c>
      <c r="L73">
        <v>9999</v>
      </c>
      <c r="M73">
        <v>9999</v>
      </c>
      <c r="N73">
        <v>9999</v>
      </c>
      <c r="O73">
        <v>-127.06</v>
      </c>
      <c r="P73">
        <v>-136.69</v>
      </c>
      <c r="Q73">
        <v>-137.19999999999999</v>
      </c>
      <c r="R73">
        <v>-177.85</v>
      </c>
      <c r="S73">
        <v>-178.15</v>
      </c>
      <c r="T73">
        <v>-213.14999999999998</v>
      </c>
      <c r="U73">
        <v>-217.78000000000003</v>
      </c>
      <c r="V73">
        <v>-224.48</v>
      </c>
      <c r="W73">
        <v>-229.89</v>
      </c>
      <c r="X73">
        <v>-247.32</v>
      </c>
      <c r="Y73">
        <v>-252.75</v>
      </c>
      <c r="Z73">
        <v>-258.83999999999997</v>
      </c>
      <c r="AA73">
        <v>-318.17</v>
      </c>
    </row>
    <row r="74" spans="1:27" x14ac:dyDescent="0.25">
      <c r="A74" t="s">
        <v>428</v>
      </c>
      <c r="B74" t="s">
        <v>206</v>
      </c>
      <c r="C74">
        <v>76.260000000000005</v>
      </c>
      <c r="D74">
        <v>254.02</v>
      </c>
      <c r="E74">
        <v>63.260000000000005</v>
      </c>
      <c r="F74">
        <v>14.260000000000005</v>
      </c>
      <c r="G74">
        <v>-81.239999999999995</v>
      </c>
      <c r="H74">
        <v>9999</v>
      </c>
      <c r="I74">
        <v>9999</v>
      </c>
      <c r="J74">
        <v>9999</v>
      </c>
      <c r="K74">
        <v>9999</v>
      </c>
      <c r="L74">
        <v>9999</v>
      </c>
      <c r="M74">
        <v>9999</v>
      </c>
      <c r="N74">
        <v>9999</v>
      </c>
      <c r="O74">
        <v>9999</v>
      </c>
      <c r="P74">
        <v>9999</v>
      </c>
      <c r="Q74">
        <v>9999</v>
      </c>
      <c r="R74">
        <v>9999</v>
      </c>
      <c r="S74">
        <v>9999</v>
      </c>
      <c r="T74">
        <v>-137.35000000000002</v>
      </c>
      <c r="U74">
        <v>-142.51999999999998</v>
      </c>
      <c r="V74">
        <v>-149.60999999999999</v>
      </c>
      <c r="W74">
        <v>-154.33999999999997</v>
      </c>
      <c r="X74">
        <v>-172.86</v>
      </c>
      <c r="Y74">
        <v>9999</v>
      </c>
      <c r="Z74">
        <v>9999</v>
      </c>
      <c r="AA74">
        <v>9999</v>
      </c>
    </row>
    <row r="75" spans="1:27" x14ac:dyDescent="0.25">
      <c r="A75" t="s">
        <v>429</v>
      </c>
      <c r="B75" t="s">
        <v>209</v>
      </c>
      <c r="C75">
        <v>95</v>
      </c>
      <c r="D75">
        <v>214.44</v>
      </c>
      <c r="E75">
        <v>82.23</v>
      </c>
      <c r="F75">
        <v>61.33</v>
      </c>
      <c r="G75">
        <v>-59</v>
      </c>
      <c r="H75">
        <v>9999</v>
      </c>
      <c r="I75">
        <v>9999</v>
      </c>
      <c r="J75">
        <v>9999</v>
      </c>
      <c r="K75">
        <v>9999</v>
      </c>
      <c r="L75">
        <v>9999</v>
      </c>
      <c r="M75">
        <v>9999</v>
      </c>
      <c r="N75">
        <v>9999</v>
      </c>
      <c r="O75">
        <v>9999</v>
      </c>
      <c r="P75">
        <v>9999</v>
      </c>
      <c r="Q75">
        <v>9999</v>
      </c>
      <c r="R75">
        <v>9999</v>
      </c>
      <c r="S75">
        <v>9999</v>
      </c>
      <c r="T75">
        <v>9999</v>
      </c>
      <c r="U75">
        <v>-68.099999999999994</v>
      </c>
      <c r="V75">
        <v>-80.12</v>
      </c>
      <c r="W75">
        <v>-87.62</v>
      </c>
      <c r="X75">
        <v>9999</v>
      </c>
      <c r="Y75">
        <v>-101.87</v>
      </c>
      <c r="Z75">
        <v>-112.09</v>
      </c>
      <c r="AA75">
        <v>-119.09</v>
      </c>
    </row>
    <row r="76" spans="1:27" x14ac:dyDescent="0.25">
      <c r="A76" t="s">
        <v>430</v>
      </c>
      <c r="B76" t="s">
        <v>431</v>
      </c>
      <c r="C76" t="s">
        <v>432</v>
      </c>
      <c r="D76" t="s">
        <v>433</v>
      </c>
      <c r="E76">
        <v>74.13000000000001</v>
      </c>
      <c r="F76">
        <v>9999</v>
      </c>
      <c r="G76">
        <v>9999</v>
      </c>
      <c r="H76">
        <v>9999</v>
      </c>
      <c r="I76">
        <v>9999</v>
      </c>
      <c r="J76">
        <v>9999</v>
      </c>
      <c r="K76">
        <v>9999</v>
      </c>
      <c r="L76">
        <v>9999</v>
      </c>
      <c r="M76">
        <v>9999</v>
      </c>
      <c r="N76">
        <v>9999</v>
      </c>
      <c r="O76">
        <v>9999</v>
      </c>
      <c r="P76">
        <v>9999</v>
      </c>
      <c r="Q76">
        <v>9999</v>
      </c>
      <c r="R76">
        <v>9999</v>
      </c>
      <c r="S76">
        <v>9999</v>
      </c>
      <c r="T76">
        <v>9999</v>
      </c>
      <c r="U76">
        <v>9999</v>
      </c>
      <c r="V76">
        <v>9999</v>
      </c>
      <c r="W76">
        <v>9999</v>
      </c>
      <c r="X76">
        <v>9999</v>
      </c>
      <c r="Y76">
        <v>9999</v>
      </c>
      <c r="Z76">
        <v>-66.66</v>
      </c>
      <c r="AA76">
        <v>-70.949999999999989</v>
      </c>
    </row>
    <row r="77" spans="1:27" x14ac:dyDescent="0.25">
      <c r="A77" t="s">
        <v>434</v>
      </c>
      <c r="B77" t="s">
        <v>435</v>
      </c>
      <c r="C77" t="s">
        <v>436</v>
      </c>
      <c r="D77" t="s">
        <v>437</v>
      </c>
      <c r="E77">
        <v>80.039999999999992</v>
      </c>
      <c r="F77">
        <v>60.599999999999994</v>
      </c>
      <c r="G77">
        <v>-84.510000000000019</v>
      </c>
      <c r="H77">
        <v>9999</v>
      </c>
      <c r="I77">
        <v>9999</v>
      </c>
      <c r="J77">
        <v>9999</v>
      </c>
      <c r="K77">
        <v>9999</v>
      </c>
      <c r="L77">
        <v>9999</v>
      </c>
      <c r="M77">
        <v>9999</v>
      </c>
      <c r="N77">
        <v>9999</v>
      </c>
      <c r="O77">
        <v>-84.88</v>
      </c>
      <c r="P77">
        <v>-92.060000000000016</v>
      </c>
      <c r="Q77">
        <v>-94.420000000000016</v>
      </c>
      <c r="R77">
        <v>-118.05000000000001</v>
      </c>
      <c r="S77">
        <v>-119.88</v>
      </c>
      <c r="T77">
        <v>-155.28</v>
      </c>
      <c r="U77">
        <v>-160.27000000000001</v>
      </c>
      <c r="V77">
        <v>-172.64</v>
      </c>
      <c r="W77">
        <v>-177.54999999999998</v>
      </c>
      <c r="X77">
        <v>9999</v>
      </c>
      <c r="Y77">
        <v>9999</v>
      </c>
      <c r="Z77">
        <v>9999</v>
      </c>
      <c r="AA77">
        <v>9999</v>
      </c>
    </row>
    <row r="78" spans="1:27" x14ac:dyDescent="0.25">
      <c r="A78" t="s">
        <v>438</v>
      </c>
      <c r="B78" t="s">
        <v>439</v>
      </c>
      <c r="C78" t="s">
        <v>440</v>
      </c>
      <c r="D78" t="s">
        <v>441</v>
      </c>
      <c r="E78">
        <v>84.42</v>
      </c>
      <c r="F78">
        <v>70.680000000000007</v>
      </c>
      <c r="G78">
        <v>-23.849999999999994</v>
      </c>
      <c r="H78">
        <v>9999</v>
      </c>
      <c r="I78">
        <v>9999</v>
      </c>
      <c r="J78">
        <v>9999</v>
      </c>
      <c r="K78">
        <v>9999</v>
      </c>
      <c r="L78">
        <v>9999</v>
      </c>
      <c r="M78">
        <v>9999</v>
      </c>
      <c r="N78">
        <v>9999</v>
      </c>
      <c r="O78">
        <v>9999</v>
      </c>
      <c r="P78">
        <v>9999</v>
      </c>
      <c r="Q78">
        <v>9999</v>
      </c>
      <c r="R78">
        <v>9999</v>
      </c>
      <c r="S78">
        <v>9999</v>
      </c>
      <c r="T78">
        <v>9999</v>
      </c>
      <c r="U78">
        <v>9999</v>
      </c>
      <c r="V78">
        <v>9999</v>
      </c>
      <c r="W78">
        <v>9999</v>
      </c>
      <c r="X78">
        <v>9999</v>
      </c>
      <c r="Y78">
        <v>9999</v>
      </c>
      <c r="Z78">
        <v>-32.08</v>
      </c>
      <c r="AA78">
        <v>-37.53</v>
      </c>
    </row>
    <row r="79" spans="1:27" x14ac:dyDescent="0.25">
      <c r="A79" t="s">
        <v>442</v>
      </c>
      <c r="B79" t="s">
        <v>443</v>
      </c>
      <c r="C79" t="s">
        <v>444</v>
      </c>
      <c r="D79" t="s">
        <v>445</v>
      </c>
      <c r="E79">
        <v>75.650000000000006</v>
      </c>
      <c r="F79">
        <v>61.03</v>
      </c>
      <c r="G79">
        <v>-56.569999999999993</v>
      </c>
      <c r="H79">
        <v>9999</v>
      </c>
      <c r="I79">
        <v>9999</v>
      </c>
      <c r="J79">
        <v>9999</v>
      </c>
      <c r="K79">
        <v>9999</v>
      </c>
      <c r="L79">
        <v>9999</v>
      </c>
      <c r="M79">
        <v>9999</v>
      </c>
      <c r="N79">
        <v>9999</v>
      </c>
      <c r="O79">
        <v>9999</v>
      </c>
      <c r="P79">
        <v>9999</v>
      </c>
      <c r="Q79">
        <v>9999</v>
      </c>
      <c r="R79">
        <v>9999</v>
      </c>
      <c r="S79">
        <v>9999</v>
      </c>
      <c r="T79">
        <v>9999</v>
      </c>
      <c r="U79">
        <v>9999</v>
      </c>
      <c r="V79">
        <v>9999</v>
      </c>
      <c r="W79">
        <v>9999</v>
      </c>
      <c r="X79">
        <v>9999</v>
      </c>
      <c r="Y79">
        <v>9999</v>
      </c>
      <c r="Z79">
        <v>-73.77000000000001</v>
      </c>
      <c r="AA79">
        <v>-79.169999999999987</v>
      </c>
    </row>
    <row r="80" spans="1:27" x14ac:dyDescent="0.25">
      <c r="A80" t="s">
        <v>446</v>
      </c>
      <c r="B80" t="s">
        <v>447</v>
      </c>
      <c r="C80" t="s">
        <v>448</v>
      </c>
      <c r="D80" t="s">
        <v>449</v>
      </c>
      <c r="E80">
        <v>77.08</v>
      </c>
      <c r="F80">
        <v>57.08</v>
      </c>
      <c r="G80">
        <v>-113.17</v>
      </c>
      <c r="H80">
        <v>-119.17</v>
      </c>
      <c r="I80">
        <v>-398.62</v>
      </c>
      <c r="J80">
        <v>-400.51</v>
      </c>
      <c r="K80">
        <v>9999</v>
      </c>
      <c r="L80">
        <v>-434.65</v>
      </c>
      <c r="M80">
        <v>-441.07</v>
      </c>
      <c r="N80">
        <v>-479.86000000000007</v>
      </c>
      <c r="O80">
        <v>-481.06</v>
      </c>
      <c r="P80">
        <v>-500.46000000000004</v>
      </c>
      <c r="Q80">
        <v>-502.65000000000003</v>
      </c>
      <c r="R80">
        <v>-528.96999999999991</v>
      </c>
      <c r="S80">
        <v>-530.66999999999996</v>
      </c>
      <c r="T80">
        <v>-568.28</v>
      </c>
      <c r="U80">
        <v>-574.59999999999991</v>
      </c>
      <c r="V80">
        <v>-577.66999999999996</v>
      </c>
      <c r="W80">
        <v>-583.21999999999991</v>
      </c>
      <c r="X80">
        <v>-595.91999999999996</v>
      </c>
      <c r="Y80">
        <v>-599.29999999999995</v>
      </c>
      <c r="Z80">
        <v>-606.12</v>
      </c>
      <c r="AA80">
        <v>-612.96999999999991</v>
      </c>
    </row>
    <row r="81" spans="1:27" x14ac:dyDescent="0.25">
      <c r="A81" t="s">
        <v>450</v>
      </c>
      <c r="B81" t="s">
        <v>451</v>
      </c>
      <c r="C81" t="s">
        <v>452</v>
      </c>
      <c r="D81" t="s">
        <v>453</v>
      </c>
      <c r="E81">
        <v>65.490000000000009</v>
      </c>
      <c r="F81">
        <v>45.180000000000007</v>
      </c>
      <c r="G81">
        <v>-131.94999999999999</v>
      </c>
      <c r="H81">
        <v>-139.88999999999999</v>
      </c>
      <c r="I81">
        <v>-151.56</v>
      </c>
      <c r="J81">
        <v>-170.92999999999998</v>
      </c>
      <c r="K81">
        <v>-183.14000000000001</v>
      </c>
      <c r="L81">
        <v>-198.17999999999998</v>
      </c>
      <c r="M81">
        <v>-203.36999999999998</v>
      </c>
      <c r="N81">
        <v>-243.34</v>
      </c>
      <c r="O81">
        <v>-244.21</v>
      </c>
      <c r="P81">
        <v>-260.01</v>
      </c>
      <c r="Q81">
        <v>-260.90999999999997</v>
      </c>
      <c r="R81">
        <v>-293.82000000000005</v>
      </c>
      <c r="S81">
        <v>-295.93999999999994</v>
      </c>
      <c r="T81">
        <v>-339.14</v>
      </c>
      <c r="U81">
        <v>-344.55999999999995</v>
      </c>
      <c r="V81">
        <v>-349.44</v>
      </c>
      <c r="W81">
        <v>-357.01</v>
      </c>
      <c r="X81">
        <v>9999</v>
      </c>
      <c r="Y81">
        <v>9999</v>
      </c>
      <c r="Z81">
        <v>-377.89</v>
      </c>
      <c r="AA81">
        <v>-427.97</v>
      </c>
    </row>
    <row r="82" spans="1:27" x14ac:dyDescent="0.25">
      <c r="A82" t="s">
        <v>454</v>
      </c>
      <c r="B82" t="s">
        <v>455</v>
      </c>
      <c r="C82" t="s">
        <v>456</v>
      </c>
      <c r="D82" t="s">
        <v>457</v>
      </c>
      <c r="E82">
        <v>72.41</v>
      </c>
      <c r="F82">
        <v>50.52</v>
      </c>
      <c r="G82">
        <v>-179.18</v>
      </c>
      <c r="H82">
        <v>-186.26</v>
      </c>
      <c r="I82">
        <v>-322.64000000000004</v>
      </c>
      <c r="J82">
        <v>-346.74</v>
      </c>
      <c r="K82">
        <v>-365.79</v>
      </c>
      <c r="L82">
        <v>-380.74000000000007</v>
      </c>
      <c r="M82">
        <v>-387.14000000000004</v>
      </c>
      <c r="N82">
        <v>-423.21000000000004</v>
      </c>
      <c r="O82">
        <v>-424.39000000000004</v>
      </c>
      <c r="P82">
        <v>-440.84</v>
      </c>
      <c r="Q82">
        <v>-442.9</v>
      </c>
      <c r="R82">
        <v>-475.39</v>
      </c>
      <c r="S82">
        <v>-476.82000000000005</v>
      </c>
      <c r="T82">
        <v>-511.51</v>
      </c>
      <c r="U82">
        <v>9999</v>
      </c>
      <c r="V82">
        <v>-520.84</v>
      </c>
      <c r="W82">
        <v>-526.73</v>
      </c>
      <c r="X82">
        <v>9999</v>
      </c>
      <c r="Y82">
        <v>9999</v>
      </c>
      <c r="Z82">
        <v>9999</v>
      </c>
      <c r="AA82">
        <v>9999</v>
      </c>
    </row>
    <row r="83" spans="1:27" x14ac:dyDescent="0.25">
      <c r="A83" t="s">
        <v>458</v>
      </c>
      <c r="B83">
        <v>38540459.609999999</v>
      </c>
      <c r="C83" t="s">
        <v>459</v>
      </c>
      <c r="D83" t="s">
        <v>460</v>
      </c>
      <c r="E83">
        <v>64.209999999999994</v>
      </c>
      <c r="F83">
        <v>46.709999999999994</v>
      </c>
      <c r="G83">
        <v>-135.42000000000002</v>
      </c>
      <c r="H83">
        <v>-139.88999999999999</v>
      </c>
      <c r="I83">
        <v>-164.82999999999998</v>
      </c>
      <c r="J83">
        <v>-183.24</v>
      </c>
      <c r="K83">
        <v>-202.55</v>
      </c>
      <c r="L83">
        <v>-212.37</v>
      </c>
      <c r="M83">
        <v>-218.59000000000003</v>
      </c>
      <c r="N83">
        <v>-255.38</v>
      </c>
      <c r="O83">
        <v>-256.67</v>
      </c>
      <c r="P83">
        <v>-271.52</v>
      </c>
      <c r="Q83">
        <v>-272.61</v>
      </c>
      <c r="R83">
        <v>-313.49</v>
      </c>
      <c r="S83">
        <v>-315.75</v>
      </c>
      <c r="T83">
        <v>-355.36</v>
      </c>
      <c r="U83">
        <v>-360.95000000000005</v>
      </c>
      <c r="V83">
        <v>-367.26000000000005</v>
      </c>
      <c r="W83">
        <v>-373.94</v>
      </c>
      <c r="X83">
        <v>-392.74</v>
      </c>
      <c r="Y83">
        <v>-400.79</v>
      </c>
      <c r="Z83">
        <v>9999</v>
      </c>
      <c r="AA83">
        <v>9999</v>
      </c>
    </row>
    <row r="84" spans="1:27" x14ac:dyDescent="0.25">
      <c r="A84" t="s">
        <v>461</v>
      </c>
      <c r="B84" t="s">
        <v>462</v>
      </c>
      <c r="C84" t="s">
        <v>463</v>
      </c>
      <c r="D84" t="s">
        <v>464</v>
      </c>
      <c r="E84">
        <v>67.570000000000007</v>
      </c>
      <c r="F84">
        <v>55.210000000000008</v>
      </c>
      <c r="G84">
        <v>-148.90999999999997</v>
      </c>
      <c r="H84">
        <v>-154.83999999999997</v>
      </c>
      <c r="I84">
        <v>-251.90999999999997</v>
      </c>
      <c r="J84">
        <v>-271.03999999999996</v>
      </c>
      <c r="K84">
        <v>9999</v>
      </c>
      <c r="L84">
        <v>-302.74</v>
      </c>
      <c r="M84">
        <v>-309.52999999999997</v>
      </c>
      <c r="N84">
        <v>-346.71</v>
      </c>
      <c r="O84">
        <v>-347.94</v>
      </c>
      <c r="P84">
        <v>-363.77</v>
      </c>
      <c r="Q84">
        <v>-364.85999999999996</v>
      </c>
      <c r="R84">
        <v>-392.28999999999996</v>
      </c>
      <c r="S84">
        <v>-395</v>
      </c>
      <c r="T84">
        <v>-434.74</v>
      </c>
      <c r="U84">
        <v>-442.96000000000004</v>
      </c>
      <c r="V84">
        <v>-443.56999999999994</v>
      </c>
      <c r="W84">
        <v>-451.15999999999997</v>
      </c>
      <c r="X84">
        <v>-465.13</v>
      </c>
      <c r="Y84">
        <v>-472.82999999999993</v>
      </c>
      <c r="Z84">
        <v>9999</v>
      </c>
      <c r="AA84">
        <v>9999</v>
      </c>
    </row>
    <row r="85" spans="1:27" x14ac:dyDescent="0.25">
      <c r="A85" t="s">
        <v>465</v>
      </c>
      <c r="B85" t="s">
        <v>466</v>
      </c>
      <c r="C85" t="s">
        <v>467</v>
      </c>
      <c r="D85" t="s">
        <v>468</v>
      </c>
      <c r="E85">
        <v>9999</v>
      </c>
      <c r="F85">
        <v>9999</v>
      </c>
      <c r="G85">
        <v>9999</v>
      </c>
      <c r="H85">
        <v>86.41</v>
      </c>
      <c r="I85">
        <v>10.89</v>
      </c>
      <c r="J85">
        <v>2.1400000000000006</v>
      </c>
      <c r="K85">
        <v>-14.14</v>
      </c>
      <c r="L85">
        <v>-24.790000000000006</v>
      </c>
      <c r="M85">
        <v>-31.490000000000009</v>
      </c>
      <c r="N85">
        <v>-71.800000000000011</v>
      </c>
      <c r="O85">
        <v>-73.289999999999992</v>
      </c>
      <c r="P85">
        <v>-88.110000000000014</v>
      </c>
      <c r="Q85">
        <v>-89.32</v>
      </c>
      <c r="R85">
        <v>-123.83</v>
      </c>
      <c r="S85">
        <v>-125.56</v>
      </c>
      <c r="T85">
        <v>-165.73</v>
      </c>
      <c r="U85">
        <v>-170.92</v>
      </c>
      <c r="V85">
        <v>-173.39000000000001</v>
      </c>
      <c r="W85">
        <v>-178.04</v>
      </c>
      <c r="X85">
        <v>9999</v>
      </c>
      <c r="Y85">
        <v>9999</v>
      </c>
      <c r="Z85">
        <v>9999</v>
      </c>
      <c r="AA85">
        <v>9999</v>
      </c>
    </row>
    <row r="86" spans="1:27" x14ac:dyDescent="0.25">
      <c r="A86">
        <v>4098446.55</v>
      </c>
      <c r="B86" t="s">
        <v>469</v>
      </c>
      <c r="C86" t="s">
        <v>470</v>
      </c>
      <c r="D86" t="s">
        <v>471</v>
      </c>
      <c r="E86">
        <v>63.55</v>
      </c>
      <c r="F86">
        <v>46.17</v>
      </c>
      <c r="G86">
        <v>-126.87</v>
      </c>
      <c r="H86">
        <v>9999</v>
      </c>
      <c r="I86">
        <v>-128.88</v>
      </c>
      <c r="J86">
        <v>-132.26</v>
      </c>
      <c r="K86">
        <v>9999</v>
      </c>
      <c r="L86">
        <v>-163.78</v>
      </c>
      <c r="M86">
        <v>-169.09</v>
      </c>
      <c r="N86">
        <v>-205.48999999999998</v>
      </c>
      <c r="O86">
        <v>-206.63000000000002</v>
      </c>
      <c r="P86">
        <v>-222.46</v>
      </c>
      <c r="Q86">
        <v>-223.59</v>
      </c>
      <c r="R86">
        <v>9999</v>
      </c>
      <c r="S86">
        <v>9999</v>
      </c>
      <c r="T86">
        <v>9999</v>
      </c>
      <c r="U86">
        <v>-239.42</v>
      </c>
      <c r="V86">
        <v>-251.15</v>
      </c>
      <c r="W86">
        <v>-256.76</v>
      </c>
      <c r="X86">
        <v>-275.03999999999996</v>
      </c>
      <c r="Y86">
        <v>-277.28999999999996</v>
      </c>
      <c r="Z86">
        <v>-331.1</v>
      </c>
      <c r="AA86">
        <v>-335.70000000000005</v>
      </c>
    </row>
    <row r="87" spans="1:27" x14ac:dyDescent="0.25">
      <c r="A87" t="s">
        <v>472</v>
      </c>
      <c r="B87" t="s">
        <v>473</v>
      </c>
      <c r="C87" t="s">
        <v>474</v>
      </c>
      <c r="D87" t="s">
        <v>475</v>
      </c>
      <c r="E87" t="s">
        <v>476</v>
      </c>
      <c r="F87" t="s">
        <v>477</v>
      </c>
      <c r="G87" t="s">
        <v>478</v>
      </c>
      <c r="H87">
        <v>9999</v>
      </c>
      <c r="I87">
        <v>9999</v>
      </c>
      <c r="J87">
        <v>-8.41</v>
      </c>
      <c r="K87">
        <v>9999</v>
      </c>
      <c r="L87">
        <v>-43.519999999999989</v>
      </c>
      <c r="M87">
        <v>-48.42</v>
      </c>
      <c r="N87" t="s">
        <v>479</v>
      </c>
      <c r="O87">
        <v>-85.72</v>
      </c>
      <c r="P87">
        <v>9999</v>
      </c>
      <c r="Q87">
        <v>-110.16</v>
      </c>
      <c r="R87">
        <v>-130.55000000000001</v>
      </c>
      <c r="S87">
        <v>-130.6</v>
      </c>
      <c r="T87">
        <v>9999</v>
      </c>
      <c r="U87">
        <v>9999</v>
      </c>
      <c r="V87">
        <v>9999</v>
      </c>
      <c r="W87">
        <v>9999</v>
      </c>
      <c r="X87">
        <v>9999</v>
      </c>
      <c r="Y87">
        <v>9999</v>
      </c>
      <c r="Z87">
        <v>-155.69</v>
      </c>
      <c r="AA87">
        <v>9999</v>
      </c>
    </row>
    <row r="88" spans="1:27" x14ac:dyDescent="0.25">
      <c r="A88" t="s">
        <v>480</v>
      </c>
      <c r="B88" t="s">
        <v>481</v>
      </c>
      <c r="C88" t="s">
        <v>482</v>
      </c>
      <c r="D88" t="s">
        <v>483</v>
      </c>
      <c r="E88" t="s">
        <v>484</v>
      </c>
      <c r="F88" t="s">
        <v>485</v>
      </c>
      <c r="G88" t="s">
        <v>486</v>
      </c>
      <c r="H88">
        <v>9999</v>
      </c>
      <c r="I88">
        <v>9999</v>
      </c>
      <c r="J88">
        <v>9999</v>
      </c>
      <c r="K88">
        <v>9999</v>
      </c>
      <c r="L88">
        <v>9999</v>
      </c>
      <c r="M88">
        <v>9999</v>
      </c>
      <c r="N88">
        <v>9999</v>
      </c>
      <c r="O88">
        <v>9999</v>
      </c>
      <c r="P88">
        <v>9999</v>
      </c>
      <c r="Q88">
        <v>9999</v>
      </c>
      <c r="R88">
        <v>9999</v>
      </c>
      <c r="S88">
        <v>-74.5</v>
      </c>
      <c r="T88">
        <v>-78.91</v>
      </c>
      <c r="U88">
        <v>-80.53</v>
      </c>
      <c r="V88">
        <v>-87.609999999999985</v>
      </c>
      <c r="W88">
        <v>-90.73</v>
      </c>
      <c r="X88">
        <v>-114.01</v>
      </c>
      <c r="Y88">
        <v>-115.1</v>
      </c>
      <c r="Z88">
        <v>-117.57</v>
      </c>
      <c r="AA88">
        <v>9999</v>
      </c>
    </row>
    <row r="89" spans="1:27" x14ac:dyDescent="0.25">
      <c r="A89" t="s">
        <v>487</v>
      </c>
      <c r="B89" t="s">
        <v>488</v>
      </c>
      <c r="C89" t="s">
        <v>489</v>
      </c>
      <c r="D89" t="s">
        <v>490</v>
      </c>
      <c r="E89" t="s">
        <v>491</v>
      </c>
      <c r="F89" t="s">
        <v>492</v>
      </c>
      <c r="G89" t="s">
        <v>493</v>
      </c>
      <c r="H89">
        <v>9999</v>
      </c>
      <c r="I89">
        <v>9999</v>
      </c>
      <c r="J89">
        <v>9999</v>
      </c>
      <c r="K89">
        <v>9999</v>
      </c>
      <c r="L89">
        <v>9999</v>
      </c>
      <c r="M89">
        <v>9999</v>
      </c>
      <c r="N89">
        <v>9999</v>
      </c>
      <c r="O89">
        <v>9999</v>
      </c>
      <c r="P89">
        <v>9999</v>
      </c>
      <c r="Q89">
        <v>9999</v>
      </c>
      <c r="R89">
        <v>9999</v>
      </c>
      <c r="S89">
        <v>-73.760000000000005</v>
      </c>
      <c r="T89">
        <v>-92.83</v>
      </c>
      <c r="U89">
        <v>-96.11</v>
      </c>
      <c r="V89">
        <v>-106.03</v>
      </c>
      <c r="W89">
        <v>-111.6</v>
      </c>
      <c r="X89">
        <v>9999</v>
      </c>
      <c r="Y89">
        <v>9999</v>
      </c>
      <c r="Z89">
        <v>9999</v>
      </c>
      <c r="AA89">
        <v>9999</v>
      </c>
    </row>
    <row r="90" spans="1:27" x14ac:dyDescent="0.25">
      <c r="A90" t="s">
        <v>494</v>
      </c>
      <c r="B90" t="s">
        <v>495</v>
      </c>
      <c r="C90" t="s">
        <v>496</v>
      </c>
      <c r="D90" t="s">
        <v>497</v>
      </c>
      <c r="E90" t="s">
        <v>498</v>
      </c>
      <c r="F90" t="s">
        <v>499</v>
      </c>
      <c r="G90" t="s">
        <v>500</v>
      </c>
      <c r="H90">
        <v>9999</v>
      </c>
      <c r="I90">
        <v>9999</v>
      </c>
      <c r="J90">
        <v>9999</v>
      </c>
      <c r="K90">
        <v>9999</v>
      </c>
      <c r="L90">
        <v>9999</v>
      </c>
      <c r="M90">
        <v>9999</v>
      </c>
      <c r="N90">
        <v>9999</v>
      </c>
      <c r="O90">
        <v>9999</v>
      </c>
      <c r="P90">
        <v>9999</v>
      </c>
      <c r="Q90">
        <v>-72.91</v>
      </c>
      <c r="R90">
        <v>-92.82</v>
      </c>
      <c r="S90">
        <v>-94.51</v>
      </c>
      <c r="T90">
        <v>-126.84</v>
      </c>
      <c r="U90">
        <v>-130.76</v>
      </c>
      <c r="V90">
        <v>-145.16999999999999</v>
      </c>
      <c r="W90">
        <v>-152.25</v>
      </c>
      <c r="X90">
        <v>-173.45</v>
      </c>
      <c r="Y90">
        <v>-175.45</v>
      </c>
      <c r="Z90">
        <v>-182.82</v>
      </c>
      <c r="AA90">
        <v>9999</v>
      </c>
    </row>
    <row r="91" spans="1:27" x14ac:dyDescent="0.25">
      <c r="A91" t="s">
        <v>501</v>
      </c>
      <c r="B91" t="s">
        <v>502</v>
      </c>
      <c r="C91" t="s">
        <v>503</v>
      </c>
      <c r="D91" t="s">
        <v>504</v>
      </c>
      <c r="E91" t="s">
        <v>505</v>
      </c>
      <c r="F91" t="s">
        <v>506</v>
      </c>
      <c r="G91" t="s">
        <v>507</v>
      </c>
      <c r="H91">
        <v>9999</v>
      </c>
      <c r="I91">
        <v>9999</v>
      </c>
      <c r="J91">
        <v>-8.84</v>
      </c>
      <c r="K91">
        <v>-45.19</v>
      </c>
      <c r="L91">
        <v>-46.160000000000011</v>
      </c>
      <c r="M91">
        <v>-51.6</v>
      </c>
      <c r="N91">
        <v>9999</v>
      </c>
      <c r="O91">
        <v>9999</v>
      </c>
      <c r="P91">
        <v>9999</v>
      </c>
      <c r="Q91">
        <v>9999</v>
      </c>
      <c r="R91">
        <v>9999</v>
      </c>
      <c r="S91">
        <v>9999</v>
      </c>
      <c r="T91">
        <v>9999</v>
      </c>
      <c r="U91">
        <v>9999</v>
      </c>
      <c r="V91">
        <v>9999</v>
      </c>
      <c r="W91">
        <v>9999</v>
      </c>
      <c r="X91">
        <v>9999</v>
      </c>
      <c r="Y91">
        <v>9999</v>
      </c>
      <c r="Z91">
        <v>-64.5</v>
      </c>
      <c r="AA91">
        <v>9999</v>
      </c>
    </row>
    <row r="92" spans="1:27" x14ac:dyDescent="0.25">
      <c r="A92" t="s">
        <v>508</v>
      </c>
      <c r="B92" t="s">
        <v>509</v>
      </c>
      <c r="C92" t="s">
        <v>510</v>
      </c>
      <c r="D92" t="s">
        <v>511</v>
      </c>
      <c r="E92" t="s">
        <v>512</v>
      </c>
      <c r="F92" t="s">
        <v>513</v>
      </c>
      <c r="G92" t="s">
        <v>514</v>
      </c>
      <c r="H92">
        <v>9999</v>
      </c>
      <c r="I92">
        <v>9999</v>
      </c>
      <c r="J92">
        <v>9999</v>
      </c>
      <c r="K92">
        <v>9999</v>
      </c>
      <c r="L92">
        <v>9999</v>
      </c>
      <c r="M92">
        <v>-152.44</v>
      </c>
      <c r="N92" t="s">
        <v>515</v>
      </c>
      <c r="O92">
        <v>-202.05</v>
      </c>
      <c r="P92">
        <v>9999</v>
      </c>
      <c r="Q92">
        <v>9999</v>
      </c>
      <c r="R92">
        <v>9999</v>
      </c>
      <c r="S92">
        <v>9999</v>
      </c>
      <c r="T92">
        <v>9999</v>
      </c>
      <c r="U92">
        <v>9999</v>
      </c>
      <c r="V92">
        <v>9999</v>
      </c>
      <c r="W92">
        <v>9999</v>
      </c>
      <c r="X92">
        <v>9999</v>
      </c>
      <c r="Y92">
        <v>9999</v>
      </c>
      <c r="Z92">
        <v>9999</v>
      </c>
      <c r="AA92">
        <v>9999</v>
      </c>
    </row>
    <row r="93" spans="1:27" x14ac:dyDescent="0.25">
      <c r="A93" t="s">
        <v>516</v>
      </c>
      <c r="B93" t="s">
        <v>517</v>
      </c>
      <c r="C93" t="s">
        <v>518</v>
      </c>
      <c r="D93" t="s">
        <v>519</v>
      </c>
      <c r="E93" t="s">
        <v>520</v>
      </c>
      <c r="F93" t="s">
        <v>521</v>
      </c>
      <c r="G93" t="s">
        <v>522</v>
      </c>
      <c r="H93">
        <v>9999</v>
      </c>
      <c r="I93">
        <v>9999</v>
      </c>
      <c r="J93">
        <v>9999</v>
      </c>
      <c r="K93">
        <v>9999</v>
      </c>
      <c r="L93">
        <v>9999</v>
      </c>
      <c r="M93">
        <v>9999</v>
      </c>
      <c r="N93">
        <v>9999</v>
      </c>
      <c r="O93">
        <v>9999</v>
      </c>
      <c r="P93">
        <v>9999</v>
      </c>
      <c r="Q93">
        <v>9999</v>
      </c>
      <c r="R93">
        <v>9999</v>
      </c>
      <c r="S93">
        <v>9999</v>
      </c>
      <c r="T93">
        <v>9999</v>
      </c>
      <c r="U93">
        <v>9999</v>
      </c>
      <c r="V93">
        <v>9999</v>
      </c>
      <c r="W93">
        <v>9999</v>
      </c>
      <c r="X93">
        <v>9999</v>
      </c>
      <c r="Y93">
        <v>9999</v>
      </c>
      <c r="Z93">
        <v>9999</v>
      </c>
      <c r="AA93">
        <v>9999</v>
      </c>
    </row>
    <row r="94" spans="1:27" x14ac:dyDescent="0.25">
      <c r="A94" t="s">
        <v>523</v>
      </c>
      <c r="B94" t="s">
        <v>524</v>
      </c>
      <c r="C94" t="s">
        <v>525</v>
      </c>
      <c r="D94" t="s">
        <v>526</v>
      </c>
      <c r="E94" t="s">
        <v>527</v>
      </c>
      <c r="F94" t="s">
        <v>528</v>
      </c>
      <c r="G94" t="s">
        <v>529</v>
      </c>
      <c r="H94">
        <v>9999</v>
      </c>
      <c r="I94">
        <v>9999</v>
      </c>
      <c r="J94">
        <v>9999</v>
      </c>
      <c r="K94">
        <v>9999</v>
      </c>
      <c r="L94">
        <v>9999</v>
      </c>
      <c r="M94">
        <v>9999</v>
      </c>
      <c r="N94">
        <v>9999</v>
      </c>
      <c r="O94">
        <v>9999</v>
      </c>
      <c r="P94">
        <v>9999</v>
      </c>
      <c r="Q94">
        <v>9999</v>
      </c>
      <c r="R94">
        <v>9999</v>
      </c>
      <c r="S94">
        <v>-73.180000000000007</v>
      </c>
      <c r="T94">
        <v>-96</v>
      </c>
      <c r="U94">
        <v>-99.45</v>
      </c>
      <c r="V94">
        <v>-109.43</v>
      </c>
      <c r="W94">
        <v>-115.53</v>
      </c>
      <c r="X94">
        <v>9999</v>
      </c>
      <c r="Y94">
        <v>9999</v>
      </c>
      <c r="Z94">
        <v>9999</v>
      </c>
      <c r="AA94">
        <v>9999</v>
      </c>
    </row>
    <row r="95" spans="1:27" x14ac:dyDescent="0.25">
      <c r="A95" t="s">
        <v>530</v>
      </c>
      <c r="B95" t="s">
        <v>531</v>
      </c>
      <c r="C95" t="s">
        <v>532</v>
      </c>
      <c r="D95" t="s">
        <v>533</v>
      </c>
      <c r="E95" t="s">
        <v>534</v>
      </c>
      <c r="F95" t="s">
        <v>535</v>
      </c>
      <c r="G95" t="s">
        <v>536</v>
      </c>
      <c r="H95">
        <v>9999</v>
      </c>
      <c r="I95">
        <v>9999</v>
      </c>
      <c r="J95">
        <v>9999</v>
      </c>
      <c r="K95">
        <v>-97.35</v>
      </c>
      <c r="L95">
        <v>-108.48999999999998</v>
      </c>
      <c r="M95">
        <v>-114.77</v>
      </c>
      <c r="N95">
        <v>9999</v>
      </c>
      <c r="O95">
        <v>9999</v>
      </c>
      <c r="P95">
        <v>9999</v>
      </c>
      <c r="Q95">
        <v>-135.44999999999999</v>
      </c>
      <c r="R95">
        <v>-136.4</v>
      </c>
      <c r="S95">
        <v>-137.36000000000001</v>
      </c>
      <c r="T95">
        <v>-172.48</v>
      </c>
      <c r="U95">
        <v>-179.07</v>
      </c>
      <c r="V95">
        <v>9999</v>
      </c>
      <c r="W95">
        <v>9999</v>
      </c>
      <c r="X95">
        <v>9999</v>
      </c>
      <c r="Y95">
        <v>9999</v>
      </c>
      <c r="Z95">
        <v>9999</v>
      </c>
      <c r="AA95">
        <v>9999</v>
      </c>
    </row>
    <row r="96" spans="1:27" x14ac:dyDescent="0.25">
      <c r="A96" t="s">
        <v>537</v>
      </c>
      <c r="B96" t="s">
        <v>538</v>
      </c>
      <c r="C96" t="s">
        <v>539</v>
      </c>
      <c r="D96" t="s">
        <v>540</v>
      </c>
      <c r="E96" t="s">
        <v>541</v>
      </c>
      <c r="F96" t="s">
        <v>542</v>
      </c>
      <c r="G96" t="s">
        <v>543</v>
      </c>
      <c r="H96">
        <v>9999</v>
      </c>
      <c r="I96">
        <v>9999</v>
      </c>
      <c r="J96">
        <v>9999</v>
      </c>
      <c r="K96">
        <v>9999</v>
      </c>
      <c r="L96">
        <v>9999</v>
      </c>
      <c r="M96">
        <v>-117.75</v>
      </c>
      <c r="N96">
        <v>9999</v>
      </c>
      <c r="O96">
        <v>-134.69999999999999</v>
      </c>
      <c r="P96">
        <v>-148.44999999999999</v>
      </c>
      <c r="Q96">
        <v>-149.51</v>
      </c>
      <c r="R96">
        <v>9999</v>
      </c>
      <c r="S96">
        <v>-178.99</v>
      </c>
      <c r="T96">
        <v>-197.74</v>
      </c>
      <c r="U96">
        <v>-202.67</v>
      </c>
      <c r="V96">
        <v>-210.00000000000003</v>
      </c>
      <c r="W96">
        <v>-215.27</v>
      </c>
      <c r="X96">
        <v>9999</v>
      </c>
      <c r="Y96">
        <v>9999</v>
      </c>
      <c r="Z96">
        <v>9999</v>
      </c>
      <c r="AA96">
        <v>9999</v>
      </c>
    </row>
    <row r="97" spans="1:27" x14ac:dyDescent="0.25">
      <c r="A97" t="s">
        <v>544</v>
      </c>
      <c r="B97" t="s">
        <v>545</v>
      </c>
      <c r="C97" t="s">
        <v>546</v>
      </c>
      <c r="D97" t="s">
        <v>547</v>
      </c>
      <c r="E97" t="s">
        <v>548</v>
      </c>
      <c r="F97" t="s">
        <v>549</v>
      </c>
      <c r="G97" t="s">
        <v>550</v>
      </c>
      <c r="H97">
        <v>9999</v>
      </c>
      <c r="I97">
        <v>9999</v>
      </c>
      <c r="J97">
        <v>9999</v>
      </c>
      <c r="K97">
        <v>9999</v>
      </c>
      <c r="L97">
        <v>9999</v>
      </c>
      <c r="M97">
        <v>-137.08000000000001</v>
      </c>
      <c r="N97" t="s">
        <v>551</v>
      </c>
      <c r="O97">
        <v>-169.73</v>
      </c>
      <c r="P97">
        <v>-185.51999999999998</v>
      </c>
      <c r="Q97">
        <v>-186.52</v>
      </c>
      <c r="R97">
        <v>-218.51</v>
      </c>
      <c r="S97">
        <v>-220.96</v>
      </c>
      <c r="T97">
        <v>-257.37</v>
      </c>
      <c r="U97">
        <v>-264.55</v>
      </c>
      <c r="V97">
        <v>-269.33</v>
      </c>
      <c r="W97">
        <v>-275.58999999999997</v>
      </c>
      <c r="X97">
        <v>-294.49</v>
      </c>
      <c r="Y97">
        <v>-298.64999999999998</v>
      </c>
      <c r="Z97">
        <v>9999</v>
      </c>
      <c r="AA97">
        <v>9999</v>
      </c>
    </row>
    <row r="98" spans="1:27" x14ac:dyDescent="0.25">
      <c r="A98" t="s">
        <v>552</v>
      </c>
      <c r="B98" t="s">
        <v>553</v>
      </c>
      <c r="C98" t="s">
        <v>554</v>
      </c>
      <c r="D98" t="s">
        <v>555</v>
      </c>
      <c r="E98" t="s">
        <v>556</v>
      </c>
      <c r="F98" t="s">
        <v>557</v>
      </c>
      <c r="G98" t="s">
        <v>558</v>
      </c>
      <c r="H98">
        <v>9999</v>
      </c>
      <c r="I98">
        <v>9999</v>
      </c>
      <c r="J98">
        <v>9999</v>
      </c>
      <c r="K98">
        <v>9999</v>
      </c>
      <c r="L98">
        <v>9999</v>
      </c>
      <c r="M98">
        <v>9999</v>
      </c>
      <c r="N98">
        <v>9999</v>
      </c>
      <c r="O98">
        <v>9999</v>
      </c>
      <c r="P98">
        <v>9999</v>
      </c>
      <c r="Q98">
        <v>9999</v>
      </c>
      <c r="R98">
        <v>9999</v>
      </c>
      <c r="S98">
        <v>9999</v>
      </c>
      <c r="T98">
        <v>9999</v>
      </c>
      <c r="U98">
        <v>-90.06</v>
      </c>
      <c r="V98">
        <v>-102.16000000000001</v>
      </c>
      <c r="W98">
        <v>109.07</v>
      </c>
      <c r="X98">
        <v>9999</v>
      </c>
      <c r="Y98">
        <v>9999</v>
      </c>
      <c r="Z98">
        <v>-138.62</v>
      </c>
      <c r="AA98">
        <v>9999</v>
      </c>
    </row>
    <row r="99" spans="1:27" x14ac:dyDescent="0.25">
      <c r="A99" t="s">
        <v>559</v>
      </c>
      <c r="B99" t="s">
        <v>560</v>
      </c>
      <c r="C99" t="s">
        <v>561</v>
      </c>
      <c r="D99" t="s">
        <v>562</v>
      </c>
      <c r="E99">
        <v>82.09</v>
      </c>
      <c r="F99" t="s">
        <v>563</v>
      </c>
      <c r="G99" t="s">
        <v>564</v>
      </c>
      <c r="H99">
        <v>9999</v>
      </c>
      <c r="I99">
        <v>9999</v>
      </c>
      <c r="J99">
        <v>9999</v>
      </c>
      <c r="K99">
        <v>9999</v>
      </c>
      <c r="L99">
        <v>9999</v>
      </c>
      <c r="M99">
        <v>-84.53</v>
      </c>
      <c r="N99" t="s">
        <v>565</v>
      </c>
      <c r="O99">
        <v>-103.18</v>
      </c>
      <c r="P99">
        <v>-110.16999999999999</v>
      </c>
      <c r="Q99">
        <v>-111.97</v>
      </c>
      <c r="R99">
        <v>-150.47</v>
      </c>
      <c r="S99">
        <v>-152.83000000000001</v>
      </c>
      <c r="T99">
        <v>-189</v>
      </c>
      <c r="U99">
        <v>-191.13</v>
      </c>
      <c r="V99">
        <v>-200.73999999999998</v>
      </c>
      <c r="W99">
        <v>-206.59</v>
      </c>
      <c r="X99">
        <v>-234.14</v>
      </c>
      <c r="Y99">
        <v>-235.61</v>
      </c>
      <c r="Z99">
        <v>-241.71</v>
      </c>
      <c r="AA99">
        <v>9999</v>
      </c>
    </row>
    <row r="100" spans="1:27" x14ac:dyDescent="0.25">
      <c r="A100" t="s">
        <v>566</v>
      </c>
      <c r="B100" t="s">
        <v>567</v>
      </c>
      <c r="C100" t="s">
        <v>388</v>
      </c>
      <c r="D100" t="s">
        <v>568</v>
      </c>
      <c r="E100" t="s">
        <v>569</v>
      </c>
      <c r="F100" t="s">
        <v>570</v>
      </c>
      <c r="G100" t="s">
        <v>571</v>
      </c>
      <c r="H100" t="s">
        <v>572</v>
      </c>
      <c r="I100" t="s">
        <v>573</v>
      </c>
      <c r="J100">
        <v>-405.7</v>
      </c>
      <c r="K100">
        <v>9999</v>
      </c>
      <c r="L100">
        <v>-432.59</v>
      </c>
      <c r="M100">
        <v>-439.14</v>
      </c>
      <c r="N100" t="s">
        <v>574</v>
      </c>
      <c r="O100">
        <v>-468.26</v>
      </c>
      <c r="P100">
        <v>-483.82000000000005</v>
      </c>
      <c r="Q100">
        <v>-485.1</v>
      </c>
      <c r="R100">
        <v>-509.55</v>
      </c>
      <c r="S100">
        <v>-510.79</v>
      </c>
      <c r="T100">
        <v>-551.04999999999995</v>
      </c>
      <c r="U100">
        <v>9999</v>
      </c>
      <c r="V100">
        <v>-560.12</v>
      </c>
      <c r="W100">
        <v>-569.07000000000005</v>
      </c>
      <c r="X100">
        <v>9999</v>
      </c>
      <c r="Y100">
        <v>9999</v>
      </c>
      <c r="Z100">
        <v>9999</v>
      </c>
      <c r="AA100">
        <v>9999</v>
      </c>
    </row>
    <row r="101" spans="1:27" x14ac:dyDescent="0.25">
      <c r="A101" t="s">
        <v>575</v>
      </c>
      <c r="B101" t="s">
        <v>576</v>
      </c>
      <c r="C101" t="s">
        <v>577</v>
      </c>
      <c r="D101" t="s">
        <v>578</v>
      </c>
      <c r="E101" t="s">
        <v>579</v>
      </c>
      <c r="F101" t="s">
        <v>580</v>
      </c>
      <c r="G101" t="s">
        <v>581</v>
      </c>
      <c r="H101">
        <v>9999</v>
      </c>
      <c r="I101">
        <v>9999</v>
      </c>
      <c r="J101">
        <v>9999</v>
      </c>
      <c r="K101">
        <v>9999</v>
      </c>
      <c r="L101">
        <v>9999</v>
      </c>
      <c r="M101">
        <v>9999</v>
      </c>
      <c r="N101">
        <v>9999</v>
      </c>
      <c r="O101">
        <v>9999</v>
      </c>
      <c r="P101">
        <v>9999</v>
      </c>
      <c r="Q101">
        <v>9999</v>
      </c>
      <c r="R101">
        <v>9999</v>
      </c>
      <c r="S101">
        <v>9999</v>
      </c>
      <c r="T101">
        <v>9999</v>
      </c>
      <c r="U101">
        <v>-22.26</v>
      </c>
      <c r="V101">
        <v>-44.620000000000019</v>
      </c>
      <c r="W101">
        <v>-50.39</v>
      </c>
      <c r="X101">
        <v>9999</v>
      </c>
      <c r="Y101">
        <v>9999</v>
      </c>
      <c r="Z101">
        <v>-74.36</v>
      </c>
      <c r="AA101">
        <v>9999</v>
      </c>
    </row>
    <row r="102" spans="1:27" x14ac:dyDescent="0.25">
      <c r="A102" t="s">
        <v>582</v>
      </c>
      <c r="B102" t="s">
        <v>583</v>
      </c>
      <c r="C102" t="s">
        <v>584</v>
      </c>
      <c r="D102" t="s">
        <v>585</v>
      </c>
      <c r="E102" t="s">
        <v>586</v>
      </c>
      <c r="F102" t="s">
        <v>587</v>
      </c>
      <c r="G102">
        <v>9999</v>
      </c>
      <c r="H102">
        <v>-109.62</v>
      </c>
      <c r="I102" t="s">
        <v>588</v>
      </c>
      <c r="J102">
        <v>-210.56</v>
      </c>
      <c r="K102">
        <v>9999</v>
      </c>
      <c r="L102">
        <v>-247.59000000000003</v>
      </c>
      <c r="M102">
        <v>-252.78</v>
      </c>
      <c r="N102" t="s">
        <v>589</v>
      </c>
      <c r="O102">
        <v>-283.43</v>
      </c>
      <c r="P102">
        <v>-299.58</v>
      </c>
      <c r="Q102">
        <v>-301.2</v>
      </c>
      <c r="R102">
        <v>-320.64999999999998</v>
      </c>
      <c r="S102">
        <v>-322.81</v>
      </c>
      <c r="T102">
        <v>-354.8</v>
      </c>
      <c r="U102">
        <v>9999</v>
      </c>
      <c r="V102">
        <v>-360.67</v>
      </c>
      <c r="W102">
        <v>-365.43</v>
      </c>
      <c r="X102">
        <v>-374.22</v>
      </c>
      <c r="Y102">
        <v>9999</v>
      </c>
      <c r="Z102">
        <v>9999</v>
      </c>
      <c r="AA102">
        <v>9999</v>
      </c>
    </row>
    <row r="103" spans="1:27" x14ac:dyDescent="0.25">
      <c r="A103" t="s">
        <v>590</v>
      </c>
      <c r="B103" t="s">
        <v>591</v>
      </c>
      <c r="C103" t="s">
        <v>592</v>
      </c>
      <c r="D103" t="s">
        <v>593</v>
      </c>
      <c r="E103" t="s">
        <v>594</v>
      </c>
      <c r="F103" t="s">
        <v>595</v>
      </c>
      <c r="G103" t="s">
        <v>596</v>
      </c>
      <c r="H103">
        <v>9999</v>
      </c>
      <c r="I103">
        <v>9999</v>
      </c>
      <c r="J103">
        <v>-45.46</v>
      </c>
      <c r="K103">
        <v>9999</v>
      </c>
      <c r="L103">
        <v>-71.89</v>
      </c>
      <c r="M103">
        <v>-76.53</v>
      </c>
      <c r="N103">
        <v>9999</v>
      </c>
      <c r="O103">
        <v>9999</v>
      </c>
      <c r="P103">
        <v>-79.710000000000008</v>
      </c>
      <c r="Q103">
        <v>9999</v>
      </c>
      <c r="R103">
        <v>9999</v>
      </c>
      <c r="S103">
        <v>9999</v>
      </c>
      <c r="T103">
        <v>9999</v>
      </c>
      <c r="U103">
        <v>9999</v>
      </c>
      <c r="V103">
        <v>-107.59000000000002</v>
      </c>
      <c r="W103">
        <v>9999</v>
      </c>
      <c r="X103">
        <v>9999</v>
      </c>
      <c r="Y103">
        <v>9999</v>
      </c>
      <c r="Z103">
        <v>-114.67</v>
      </c>
      <c r="AA103">
        <v>9999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Jinhong Meng</dc:creator>
  <cp:lastModifiedBy>柯峻伟</cp:lastModifiedBy>
  <dcterms:created xsi:type="dcterms:W3CDTF">2015-06-05T18:19:00Z</dcterms:created>
  <dcterms:modified xsi:type="dcterms:W3CDTF">2022-08-14T17:39:08Z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B3214DC141154A52B04C1D30C5512475</vt:lpwstr>
  </property>
  <property fmtid="{D5CDD505-2E9C-101B-9397-08002B2CF9AE}" pid="4" name="WorkbookGuid">
    <vt:lpwstr>e31fb7e8-5275-4223-ba44-274a9718f949</vt:lpwstr>
  </property>
</Properties>
</file>