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33080" windowHeight="19080" tabRatio="500" activeTab="2"/>
  </bookViews>
  <sheets>
    <sheet name="Oxidation Data" sheetId="3" r:id="rId1"/>
    <sheet name="H2O Gasification Data" sheetId="1" r:id="rId2"/>
    <sheet name="CO2 Gasification Data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4" i="2" l="1"/>
  <c r="AS14" i="2"/>
  <c r="AR14" i="2"/>
  <c r="AQ14" i="2"/>
  <c r="AP13" i="2"/>
  <c r="AS13" i="2"/>
  <c r="AR13" i="2"/>
  <c r="AQ13" i="2"/>
  <c r="AP12" i="2"/>
  <c r="AS12" i="2"/>
  <c r="AR12" i="2"/>
  <c r="AQ12" i="2"/>
  <c r="AP11" i="2"/>
  <c r="AS11" i="2"/>
  <c r="AR11" i="2"/>
  <c r="AQ11" i="2"/>
  <c r="AP10" i="2"/>
  <c r="AS10" i="2"/>
  <c r="AR10" i="2"/>
  <c r="AQ10" i="2"/>
  <c r="AP9" i="2"/>
  <c r="AS9" i="2"/>
  <c r="AR9" i="2"/>
  <c r="AQ9" i="2"/>
  <c r="AP8" i="2"/>
  <c r="AS8" i="2"/>
  <c r="AR8" i="2"/>
  <c r="AQ8" i="2"/>
  <c r="AP7" i="2"/>
  <c r="AS7" i="2"/>
  <c r="AR7" i="2"/>
  <c r="AQ7" i="2"/>
  <c r="AP6" i="2"/>
  <c r="AS6" i="2"/>
  <c r="AR6" i="2"/>
  <c r="AQ6" i="2"/>
  <c r="AP5" i="2"/>
  <c r="AS5" i="2"/>
  <c r="AR5" i="2"/>
  <c r="AQ5" i="2"/>
  <c r="AL31" i="2"/>
  <c r="AL32" i="2"/>
  <c r="AL33" i="2"/>
  <c r="AL34" i="2"/>
  <c r="AL35" i="2"/>
  <c r="AL36" i="2"/>
  <c r="AL37" i="2"/>
  <c r="AL38" i="2"/>
  <c r="AL39" i="2"/>
  <c r="AL30" i="2"/>
  <c r="AL19" i="2"/>
  <c r="AL20" i="2"/>
  <c r="AL21" i="2"/>
  <c r="AL22" i="2"/>
  <c r="AL23" i="2"/>
  <c r="AL24" i="2"/>
  <c r="AL25" i="2"/>
  <c r="AL26" i="2"/>
  <c r="AL27" i="2"/>
  <c r="AL28" i="2"/>
  <c r="AL18" i="2"/>
  <c r="AE39" i="2"/>
  <c r="AF39" i="2"/>
  <c r="AG39" i="2"/>
  <c r="AH39" i="2"/>
  <c r="AI39" i="2"/>
  <c r="AK39" i="2"/>
  <c r="AJ39" i="2"/>
  <c r="AE31" i="2"/>
  <c r="AF31" i="2"/>
  <c r="AG31" i="2"/>
  <c r="AE32" i="2"/>
  <c r="AF32" i="2"/>
  <c r="AG32" i="2"/>
  <c r="AE33" i="2"/>
  <c r="AF33" i="2"/>
  <c r="AG33" i="2"/>
  <c r="AE34" i="2"/>
  <c r="AF34" i="2"/>
  <c r="AG34" i="2"/>
  <c r="AE35" i="2"/>
  <c r="AF35" i="2"/>
  <c r="AG35" i="2"/>
  <c r="AE36" i="2"/>
  <c r="AF36" i="2"/>
  <c r="AG36" i="2"/>
  <c r="AE37" i="2"/>
  <c r="AF37" i="2"/>
  <c r="AG37" i="2"/>
  <c r="AE38" i="2"/>
  <c r="AF38" i="2"/>
  <c r="AG38" i="2"/>
  <c r="AH38" i="2"/>
  <c r="AI38" i="2"/>
  <c r="AK38" i="2"/>
  <c r="AJ38" i="2"/>
  <c r="AH37" i="2"/>
  <c r="AI37" i="2"/>
  <c r="AK37" i="2"/>
  <c r="AJ37" i="2"/>
  <c r="AH36" i="2"/>
  <c r="AI36" i="2"/>
  <c r="AK36" i="2"/>
  <c r="AJ36" i="2"/>
  <c r="AH35" i="2"/>
  <c r="AI35" i="2"/>
  <c r="AK35" i="2"/>
  <c r="AJ35" i="2"/>
  <c r="AH34" i="2"/>
  <c r="AI34" i="2"/>
  <c r="AK34" i="2"/>
  <c r="AJ34" i="2"/>
  <c r="AH33" i="2"/>
  <c r="AI33" i="2"/>
  <c r="AK33" i="2"/>
  <c r="AJ33" i="2"/>
  <c r="AH32" i="2"/>
  <c r="AI32" i="2"/>
  <c r="AK32" i="2"/>
  <c r="AJ32" i="2"/>
  <c r="AH31" i="2"/>
  <c r="AI31" i="2"/>
  <c r="AK31" i="2"/>
  <c r="AJ31" i="2"/>
  <c r="AG30" i="2"/>
  <c r="AH30" i="2"/>
  <c r="AI30" i="2"/>
  <c r="AK30" i="2"/>
  <c r="AJ30" i="2"/>
  <c r="AH18" i="2"/>
  <c r="AI18" i="2"/>
  <c r="AJ18" i="2"/>
  <c r="AK18" i="2"/>
  <c r="AG18" i="2"/>
  <c r="AE19" i="2"/>
  <c r="AJ19" i="2"/>
  <c r="AF19" i="2"/>
  <c r="AG7" i="2"/>
  <c r="AE21" i="2"/>
  <c r="AF20" i="2"/>
  <c r="AF21" i="2"/>
  <c r="AE20" i="2"/>
  <c r="AJ21" i="2"/>
  <c r="AE22" i="2"/>
  <c r="AF22" i="2"/>
  <c r="AJ22" i="2"/>
  <c r="AE23" i="2"/>
  <c r="AF23" i="2"/>
  <c r="AJ23" i="2"/>
  <c r="AE24" i="2"/>
  <c r="AF24" i="2"/>
  <c r="AJ24" i="2"/>
  <c r="AE25" i="2"/>
  <c r="AF25" i="2"/>
  <c r="AJ25" i="2"/>
  <c r="AE26" i="2"/>
  <c r="AF26" i="2"/>
  <c r="AJ26" i="2"/>
  <c r="AE27" i="2"/>
  <c r="AF27" i="2"/>
  <c r="AJ27" i="2"/>
  <c r="AE28" i="2"/>
  <c r="AF28" i="2"/>
  <c r="AJ28" i="2"/>
  <c r="AJ20" i="2"/>
  <c r="AL7" i="2"/>
  <c r="AL8" i="2"/>
  <c r="AL9" i="2"/>
  <c r="AL10" i="2"/>
  <c r="AL11" i="2"/>
  <c r="AL12" i="2"/>
  <c r="AL13" i="2"/>
  <c r="AL14" i="2"/>
  <c r="AL15" i="2"/>
  <c r="AL16" i="2"/>
  <c r="AL6" i="2"/>
  <c r="AH7" i="2"/>
  <c r="AH8" i="2"/>
  <c r="AH9" i="2"/>
  <c r="AH10" i="2"/>
  <c r="AH11" i="2"/>
  <c r="AH12" i="2"/>
  <c r="AH13" i="2"/>
  <c r="AH14" i="2"/>
  <c r="AH15" i="2"/>
  <c r="AH16" i="2"/>
  <c r="AH6" i="2"/>
  <c r="AI7" i="2"/>
  <c r="AK7" i="2"/>
  <c r="AI8" i="2"/>
  <c r="AK8" i="2"/>
  <c r="AI9" i="2"/>
  <c r="AK9" i="2"/>
  <c r="AI10" i="2"/>
  <c r="AK10" i="2"/>
  <c r="AI11" i="2"/>
  <c r="AK11" i="2"/>
  <c r="AI12" i="2"/>
  <c r="AK12" i="2"/>
  <c r="AI13" i="2"/>
  <c r="AK13" i="2"/>
  <c r="AI14" i="2"/>
  <c r="AK14" i="2"/>
  <c r="AI15" i="2"/>
  <c r="AK15" i="2"/>
  <c r="AI16" i="2"/>
  <c r="AK16" i="2"/>
  <c r="AI6" i="2"/>
  <c r="AK6" i="2"/>
  <c r="AJ7" i="2"/>
  <c r="AJ8" i="2"/>
  <c r="AJ9" i="2"/>
  <c r="AJ10" i="2"/>
  <c r="AJ11" i="2"/>
  <c r="AJ12" i="2"/>
  <c r="AJ13" i="2"/>
  <c r="AJ14" i="2"/>
  <c r="AJ15" i="2"/>
  <c r="AJ16" i="2"/>
  <c r="AJ6" i="2"/>
  <c r="AD16" i="2"/>
  <c r="AE16" i="2"/>
  <c r="AF15" i="2"/>
  <c r="AF16" i="2"/>
  <c r="AE15" i="2"/>
  <c r="AG15" i="2"/>
  <c r="AG16" i="2"/>
  <c r="V6" i="2"/>
  <c r="AG8" i="2"/>
  <c r="AG9" i="2"/>
  <c r="AG10" i="2"/>
  <c r="AG11" i="2"/>
  <c r="AG12" i="2"/>
  <c r="AG13" i="2"/>
  <c r="AG14" i="2"/>
  <c r="AG6" i="2"/>
  <c r="AF8" i="2"/>
  <c r="AF9" i="2"/>
  <c r="AF10" i="2"/>
  <c r="AF11" i="2"/>
  <c r="AF12" i="2"/>
  <c r="AF13" i="2"/>
  <c r="AF14" i="2"/>
  <c r="AF7" i="2"/>
  <c r="AE8" i="2"/>
  <c r="AE9" i="2"/>
  <c r="AE10" i="2"/>
  <c r="AE11" i="2"/>
  <c r="AE12" i="2"/>
  <c r="AE13" i="2"/>
  <c r="AE14" i="2"/>
  <c r="AE7" i="2"/>
  <c r="AD14" i="2"/>
  <c r="AD12" i="2"/>
  <c r="F7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36" i="2"/>
  <c r="S50" i="2"/>
  <c r="T50" i="2"/>
  <c r="U50" i="2"/>
  <c r="R15" i="2"/>
  <c r="V50" i="2"/>
  <c r="X50" i="2"/>
  <c r="W50" i="2"/>
  <c r="S49" i="2"/>
  <c r="T49" i="2"/>
  <c r="U49" i="2"/>
  <c r="V49" i="2"/>
  <c r="X49" i="2"/>
  <c r="W49" i="2"/>
  <c r="S48" i="2"/>
  <c r="T48" i="2"/>
  <c r="U48" i="2"/>
  <c r="V48" i="2"/>
  <c r="X48" i="2"/>
  <c r="W48" i="2"/>
  <c r="S47" i="2"/>
  <c r="T47" i="2"/>
  <c r="U47" i="2"/>
  <c r="V47" i="2"/>
  <c r="X47" i="2"/>
  <c r="W47" i="2"/>
  <c r="S46" i="2"/>
  <c r="T46" i="2"/>
  <c r="U46" i="2"/>
  <c r="V46" i="2"/>
  <c r="X46" i="2"/>
  <c r="W46" i="2"/>
  <c r="S45" i="2"/>
  <c r="T45" i="2"/>
  <c r="U45" i="2"/>
  <c r="V45" i="2"/>
  <c r="X45" i="2"/>
  <c r="W45" i="2"/>
  <c r="S44" i="2"/>
  <c r="T44" i="2"/>
  <c r="U44" i="2"/>
  <c r="V44" i="2"/>
  <c r="X44" i="2"/>
  <c r="W44" i="2"/>
  <c r="S43" i="2"/>
  <c r="T43" i="2"/>
  <c r="U43" i="2"/>
  <c r="V43" i="2"/>
  <c r="X43" i="2"/>
  <c r="W43" i="2"/>
  <c r="S42" i="2"/>
  <c r="T42" i="2"/>
  <c r="U42" i="2"/>
  <c r="V42" i="2"/>
  <c r="X42" i="2"/>
  <c r="W42" i="2"/>
  <c r="S41" i="2"/>
  <c r="T41" i="2"/>
  <c r="U41" i="2"/>
  <c r="V41" i="2"/>
  <c r="X41" i="2"/>
  <c r="W41" i="2"/>
  <c r="S40" i="2"/>
  <c r="T40" i="2"/>
  <c r="U40" i="2"/>
  <c r="V40" i="2"/>
  <c r="X40" i="2"/>
  <c r="W40" i="2"/>
  <c r="S39" i="2"/>
  <c r="T39" i="2"/>
  <c r="U39" i="2"/>
  <c r="V39" i="2"/>
  <c r="X39" i="2"/>
  <c r="W39" i="2"/>
  <c r="S38" i="2"/>
  <c r="T38" i="2"/>
  <c r="U38" i="2"/>
  <c r="V38" i="2"/>
  <c r="X38" i="2"/>
  <c r="W38" i="2"/>
  <c r="S37" i="2"/>
  <c r="T37" i="2"/>
  <c r="U37" i="2"/>
  <c r="V37" i="2"/>
  <c r="X37" i="2"/>
  <c r="W37" i="2"/>
  <c r="S36" i="2"/>
  <c r="T36" i="2"/>
  <c r="U36" i="2"/>
  <c r="V36" i="2"/>
  <c r="X36" i="2"/>
  <c r="W36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20" i="2"/>
  <c r="S32" i="2"/>
  <c r="T32" i="2"/>
  <c r="U32" i="2"/>
  <c r="V32" i="2"/>
  <c r="W32" i="2"/>
  <c r="X32" i="2"/>
  <c r="S33" i="2"/>
  <c r="T33" i="2"/>
  <c r="U33" i="2"/>
  <c r="V33" i="2"/>
  <c r="W33" i="2"/>
  <c r="X33" i="2"/>
  <c r="S34" i="2"/>
  <c r="T34" i="2"/>
  <c r="U34" i="2"/>
  <c r="V34" i="2"/>
  <c r="X34" i="2"/>
  <c r="W34" i="2"/>
  <c r="S31" i="2"/>
  <c r="T31" i="2"/>
  <c r="U31" i="2"/>
  <c r="V31" i="2"/>
  <c r="X31" i="2"/>
  <c r="W31" i="2"/>
  <c r="S30" i="2"/>
  <c r="T30" i="2"/>
  <c r="U30" i="2"/>
  <c r="V30" i="2"/>
  <c r="X30" i="2"/>
  <c r="W30" i="2"/>
  <c r="S29" i="2"/>
  <c r="T29" i="2"/>
  <c r="U29" i="2"/>
  <c r="V29" i="2"/>
  <c r="X29" i="2"/>
  <c r="W29" i="2"/>
  <c r="S28" i="2"/>
  <c r="T28" i="2"/>
  <c r="U28" i="2"/>
  <c r="V28" i="2"/>
  <c r="X28" i="2"/>
  <c r="W28" i="2"/>
  <c r="S27" i="2"/>
  <c r="T27" i="2"/>
  <c r="U27" i="2"/>
  <c r="V27" i="2"/>
  <c r="X27" i="2"/>
  <c r="W27" i="2"/>
  <c r="S26" i="2"/>
  <c r="T26" i="2"/>
  <c r="U26" i="2"/>
  <c r="V26" i="2"/>
  <c r="X26" i="2"/>
  <c r="W26" i="2"/>
  <c r="S25" i="2"/>
  <c r="T25" i="2"/>
  <c r="U25" i="2"/>
  <c r="V25" i="2"/>
  <c r="X25" i="2"/>
  <c r="W25" i="2"/>
  <c r="S24" i="2"/>
  <c r="T24" i="2"/>
  <c r="U24" i="2"/>
  <c r="V24" i="2"/>
  <c r="X24" i="2"/>
  <c r="W24" i="2"/>
  <c r="S23" i="2"/>
  <c r="T23" i="2"/>
  <c r="U23" i="2"/>
  <c r="V23" i="2"/>
  <c r="X23" i="2"/>
  <c r="W23" i="2"/>
  <c r="S22" i="2"/>
  <c r="T22" i="2"/>
  <c r="U22" i="2"/>
  <c r="V22" i="2"/>
  <c r="X22" i="2"/>
  <c r="W22" i="2"/>
  <c r="S21" i="2"/>
  <c r="T21" i="2"/>
  <c r="U21" i="2"/>
  <c r="V21" i="2"/>
  <c r="X21" i="2"/>
  <c r="W21" i="2"/>
  <c r="S20" i="2"/>
  <c r="T20" i="2"/>
  <c r="U20" i="2"/>
  <c r="V20" i="2"/>
  <c r="X20" i="2"/>
  <c r="W20" i="2"/>
  <c r="Y7" i="2"/>
  <c r="Y8" i="2"/>
  <c r="Y9" i="2"/>
  <c r="Y10" i="2"/>
  <c r="Y11" i="2"/>
  <c r="Y12" i="2"/>
  <c r="Y13" i="2"/>
  <c r="Y14" i="2"/>
  <c r="Y15" i="2"/>
  <c r="Y16" i="2"/>
  <c r="Y17" i="2"/>
  <c r="Y18" i="2"/>
  <c r="Y6" i="2"/>
  <c r="W7" i="2"/>
  <c r="W8" i="2"/>
  <c r="W9" i="2"/>
  <c r="W10" i="2"/>
  <c r="W11" i="2"/>
  <c r="W12" i="2"/>
  <c r="W13" i="2"/>
  <c r="W14" i="2"/>
  <c r="W15" i="2"/>
  <c r="W16" i="2"/>
  <c r="W17" i="2"/>
  <c r="W18" i="2"/>
  <c r="W6" i="2"/>
  <c r="S7" i="2"/>
  <c r="T7" i="2"/>
  <c r="U7" i="2"/>
  <c r="V7" i="2"/>
  <c r="X7" i="2"/>
  <c r="S8" i="2"/>
  <c r="T8" i="2"/>
  <c r="U8" i="2"/>
  <c r="V8" i="2"/>
  <c r="X8" i="2"/>
  <c r="S9" i="2"/>
  <c r="T9" i="2"/>
  <c r="U9" i="2"/>
  <c r="V9" i="2"/>
  <c r="X9" i="2"/>
  <c r="S10" i="2"/>
  <c r="T10" i="2"/>
  <c r="U10" i="2"/>
  <c r="V10" i="2"/>
  <c r="X10" i="2"/>
  <c r="S11" i="2"/>
  <c r="T11" i="2"/>
  <c r="U11" i="2"/>
  <c r="V11" i="2"/>
  <c r="X11" i="2"/>
  <c r="S12" i="2"/>
  <c r="T12" i="2"/>
  <c r="U12" i="2"/>
  <c r="V12" i="2"/>
  <c r="X12" i="2"/>
  <c r="S13" i="2"/>
  <c r="T13" i="2"/>
  <c r="U13" i="2"/>
  <c r="V13" i="2"/>
  <c r="X13" i="2"/>
  <c r="S14" i="2"/>
  <c r="T14" i="2"/>
  <c r="U14" i="2"/>
  <c r="V14" i="2"/>
  <c r="X14" i="2"/>
  <c r="S15" i="2"/>
  <c r="T15" i="2"/>
  <c r="U15" i="2"/>
  <c r="V15" i="2"/>
  <c r="X15" i="2"/>
  <c r="S16" i="2"/>
  <c r="T16" i="2"/>
  <c r="U16" i="2"/>
  <c r="V16" i="2"/>
  <c r="X16" i="2"/>
  <c r="S17" i="2"/>
  <c r="T17" i="2"/>
  <c r="U17" i="2"/>
  <c r="V17" i="2"/>
  <c r="X17" i="2"/>
  <c r="S18" i="2"/>
  <c r="T18" i="2"/>
  <c r="U18" i="2"/>
  <c r="V18" i="2"/>
  <c r="X18" i="2"/>
  <c r="S6" i="2"/>
  <c r="T6" i="2"/>
  <c r="U6" i="2"/>
  <c r="X6" i="2"/>
  <c r="R13" i="2"/>
  <c r="R11" i="2"/>
  <c r="M19" i="2"/>
  <c r="M20" i="2"/>
  <c r="M21" i="2"/>
  <c r="M22" i="2"/>
  <c r="M23" i="2"/>
  <c r="M24" i="2"/>
  <c r="M25" i="2"/>
  <c r="M26" i="2"/>
  <c r="M27" i="2"/>
  <c r="M28" i="2"/>
  <c r="M29" i="2"/>
  <c r="M30" i="2"/>
  <c r="M18" i="2"/>
  <c r="E19" i="2"/>
  <c r="E18" i="2"/>
  <c r="E20" i="2"/>
  <c r="H19" i="2"/>
  <c r="G19" i="2"/>
  <c r="I19" i="2"/>
  <c r="G15" i="2"/>
  <c r="J19" i="2"/>
  <c r="L19" i="2"/>
  <c r="E21" i="2"/>
  <c r="H20" i="2"/>
  <c r="I20" i="2"/>
  <c r="J20" i="2"/>
  <c r="L20" i="2"/>
  <c r="E22" i="2"/>
  <c r="H21" i="2"/>
  <c r="I21" i="2"/>
  <c r="J21" i="2"/>
  <c r="L21" i="2"/>
  <c r="E23" i="2"/>
  <c r="H22" i="2"/>
  <c r="I22" i="2"/>
  <c r="J22" i="2"/>
  <c r="L22" i="2"/>
  <c r="E24" i="2"/>
  <c r="H23" i="2"/>
  <c r="I23" i="2"/>
  <c r="J23" i="2"/>
  <c r="L23" i="2"/>
  <c r="E25" i="2"/>
  <c r="H24" i="2"/>
  <c r="I24" i="2"/>
  <c r="J24" i="2"/>
  <c r="L24" i="2"/>
  <c r="E26" i="2"/>
  <c r="H25" i="2"/>
  <c r="I25" i="2"/>
  <c r="J25" i="2"/>
  <c r="L25" i="2"/>
  <c r="E27" i="2"/>
  <c r="H26" i="2"/>
  <c r="I26" i="2"/>
  <c r="J26" i="2"/>
  <c r="L26" i="2"/>
  <c r="E28" i="2"/>
  <c r="H27" i="2"/>
  <c r="I27" i="2"/>
  <c r="J27" i="2"/>
  <c r="L27" i="2"/>
  <c r="E29" i="2"/>
  <c r="H28" i="2"/>
  <c r="I28" i="2"/>
  <c r="J28" i="2"/>
  <c r="L28" i="2"/>
  <c r="E30" i="2"/>
  <c r="H29" i="2"/>
  <c r="I29" i="2"/>
  <c r="J29" i="2"/>
  <c r="L29" i="2"/>
  <c r="H30" i="2"/>
  <c r="I30" i="2"/>
  <c r="J30" i="2"/>
  <c r="L30" i="2"/>
  <c r="H18" i="2"/>
  <c r="I18" i="2"/>
  <c r="J18" i="2"/>
  <c r="L18" i="2"/>
  <c r="E7" i="2"/>
  <c r="I7" i="2"/>
  <c r="E8" i="2"/>
  <c r="I8" i="2"/>
  <c r="E9" i="2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E16" i="2"/>
  <c r="I16" i="2"/>
  <c r="E6" i="2"/>
  <c r="I6" i="2"/>
  <c r="H7" i="2"/>
  <c r="H16" i="2"/>
  <c r="M7" i="2"/>
  <c r="F8" i="2"/>
  <c r="M8" i="2"/>
  <c r="F9" i="2"/>
  <c r="M9" i="2"/>
  <c r="F10" i="2"/>
  <c r="M10" i="2"/>
  <c r="F11" i="2"/>
  <c r="M11" i="2"/>
  <c r="F12" i="2"/>
  <c r="M12" i="2"/>
  <c r="F13" i="2"/>
  <c r="M13" i="2"/>
  <c r="F14" i="2"/>
  <c r="M14" i="2"/>
  <c r="F15" i="2"/>
  <c r="M15" i="2"/>
  <c r="F16" i="2"/>
  <c r="M16" i="2"/>
  <c r="F6" i="2"/>
  <c r="M6" i="2"/>
  <c r="J7" i="2"/>
  <c r="L7" i="2"/>
  <c r="H8" i="2"/>
  <c r="J8" i="2"/>
  <c r="L8" i="2"/>
  <c r="H9" i="2"/>
  <c r="J9" i="2"/>
  <c r="L9" i="2"/>
  <c r="H10" i="2"/>
  <c r="J10" i="2"/>
  <c r="L10" i="2"/>
  <c r="H11" i="2"/>
  <c r="J11" i="2"/>
  <c r="L11" i="2"/>
  <c r="H12" i="2"/>
  <c r="J12" i="2"/>
  <c r="L12" i="2"/>
  <c r="H13" i="2"/>
  <c r="J13" i="2"/>
  <c r="L13" i="2"/>
  <c r="H14" i="2"/>
  <c r="J14" i="2"/>
  <c r="L14" i="2"/>
  <c r="H15" i="2"/>
  <c r="J15" i="2"/>
  <c r="L15" i="2"/>
  <c r="J16" i="2"/>
  <c r="L16" i="2"/>
  <c r="H6" i="2"/>
  <c r="J6" i="2"/>
  <c r="L6" i="2"/>
  <c r="K7" i="2"/>
  <c r="K8" i="2"/>
  <c r="K9" i="2"/>
  <c r="K10" i="2"/>
  <c r="K11" i="2"/>
  <c r="K12" i="2"/>
  <c r="K13" i="2"/>
  <c r="K14" i="2"/>
  <c r="K15" i="2"/>
  <c r="K16" i="2"/>
  <c r="K6" i="2"/>
  <c r="AE6" i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G13" i="2"/>
  <c r="G11" i="2"/>
  <c r="AP6" i="1"/>
  <c r="AP7" i="1"/>
  <c r="AP8" i="1"/>
  <c r="AP9" i="1"/>
  <c r="AP10" i="1"/>
  <c r="AP11" i="1"/>
  <c r="AP12" i="1"/>
  <c r="AP13" i="1"/>
  <c r="AP14" i="1"/>
  <c r="AP5" i="1"/>
  <c r="AM6" i="1"/>
  <c r="AM7" i="1"/>
  <c r="AM8" i="1"/>
  <c r="AM9" i="1"/>
  <c r="AM10" i="1"/>
  <c r="AM11" i="1"/>
  <c r="AM12" i="1"/>
  <c r="AM13" i="1"/>
  <c r="AM14" i="1"/>
  <c r="AM5" i="1"/>
  <c r="AO6" i="1"/>
  <c r="AO7" i="1"/>
  <c r="AO8" i="1"/>
  <c r="AO9" i="1"/>
  <c r="AO10" i="1"/>
  <c r="AO11" i="1"/>
  <c r="AO12" i="1"/>
  <c r="AO13" i="1"/>
  <c r="AO14" i="1"/>
  <c r="AO5" i="1"/>
  <c r="AN6" i="1"/>
  <c r="AN7" i="1"/>
  <c r="AN8" i="1"/>
  <c r="AN9" i="1"/>
  <c r="AN10" i="1"/>
  <c r="AN11" i="1"/>
  <c r="AN12" i="1"/>
  <c r="AN13" i="1"/>
  <c r="AN14" i="1"/>
  <c r="AN5" i="1"/>
  <c r="AW16" i="1"/>
  <c r="AV16" i="1"/>
  <c r="AU16" i="1"/>
  <c r="AW15" i="1"/>
  <c r="AV15" i="1"/>
  <c r="AU15" i="1"/>
  <c r="AW14" i="1"/>
  <c r="AV14" i="1"/>
  <c r="AU14" i="1"/>
  <c r="AW13" i="1"/>
  <c r="AV13" i="1"/>
  <c r="AU13" i="1"/>
  <c r="AW12" i="1"/>
  <c r="AV12" i="1"/>
  <c r="AU12" i="1"/>
  <c r="AW11" i="1"/>
  <c r="AV11" i="1"/>
  <c r="AU11" i="1"/>
  <c r="AW10" i="1"/>
  <c r="AV10" i="1"/>
  <c r="AU10" i="1"/>
  <c r="AW9" i="1"/>
  <c r="AV9" i="1"/>
  <c r="AU9" i="1"/>
  <c r="AW8" i="1"/>
  <c r="AV8" i="1"/>
  <c r="AU8" i="1"/>
  <c r="AW7" i="1"/>
  <c r="AV7" i="1"/>
  <c r="AU7" i="1"/>
  <c r="AW6" i="1"/>
  <c r="AV6" i="1"/>
  <c r="AU6" i="1"/>
  <c r="AW5" i="1"/>
  <c r="AV5" i="1"/>
  <c r="AU5" i="1"/>
  <c r="AC66" i="1"/>
  <c r="AD66" i="1"/>
  <c r="AE66" i="1"/>
  <c r="AF66" i="1"/>
  <c r="AG66" i="1"/>
  <c r="AH66" i="1"/>
  <c r="AI66" i="1"/>
  <c r="AC67" i="1"/>
  <c r="AD67" i="1"/>
  <c r="AE67" i="1"/>
  <c r="AF67" i="1"/>
  <c r="AG67" i="1"/>
  <c r="AH67" i="1"/>
  <c r="AI67" i="1"/>
  <c r="AI68" i="1"/>
  <c r="AF68" i="1"/>
  <c r="AC68" i="1"/>
  <c r="AD68" i="1"/>
  <c r="AE68" i="1"/>
  <c r="AH68" i="1"/>
  <c r="AG68" i="1"/>
  <c r="AI65" i="1"/>
  <c r="AF65" i="1"/>
  <c r="AC65" i="1"/>
  <c r="AD65" i="1"/>
  <c r="AE65" i="1"/>
  <c r="AH65" i="1"/>
  <c r="AG65" i="1"/>
  <c r="AI64" i="1"/>
  <c r="AF64" i="1"/>
  <c r="AC64" i="1"/>
  <c r="AD64" i="1"/>
  <c r="AE64" i="1"/>
  <c r="AH64" i="1"/>
  <c r="AG64" i="1"/>
  <c r="AI63" i="1"/>
  <c r="AF63" i="1"/>
  <c r="AC63" i="1"/>
  <c r="AD63" i="1"/>
  <c r="AE63" i="1"/>
  <c r="AH63" i="1"/>
  <c r="AG63" i="1"/>
  <c r="AI62" i="1"/>
  <c r="AF62" i="1"/>
  <c r="AC62" i="1"/>
  <c r="AD62" i="1"/>
  <c r="AE62" i="1"/>
  <c r="AH62" i="1"/>
  <c r="AG62" i="1"/>
  <c r="AI61" i="1"/>
  <c r="AF61" i="1"/>
  <c r="AC61" i="1"/>
  <c r="AD61" i="1"/>
  <c r="AE61" i="1"/>
  <c r="AH61" i="1"/>
  <c r="AG61" i="1"/>
  <c r="AI60" i="1"/>
  <c r="AF60" i="1"/>
  <c r="AC60" i="1"/>
  <c r="AD60" i="1"/>
  <c r="AE60" i="1"/>
  <c r="AH60" i="1"/>
  <c r="AG60" i="1"/>
  <c r="AI59" i="1"/>
  <c r="AF59" i="1"/>
  <c r="AC59" i="1"/>
  <c r="AD59" i="1"/>
  <c r="AE59" i="1"/>
  <c r="AH59" i="1"/>
  <c r="AG59" i="1"/>
  <c r="AI58" i="1"/>
  <c r="AF58" i="1"/>
  <c r="AC58" i="1"/>
  <c r="AD58" i="1"/>
  <c r="AE58" i="1"/>
  <c r="AH58" i="1"/>
  <c r="AG58" i="1"/>
  <c r="AI57" i="1"/>
  <c r="AF57" i="1"/>
  <c r="AC57" i="1"/>
  <c r="AD57" i="1"/>
  <c r="AE57" i="1"/>
  <c r="AH57" i="1"/>
  <c r="AG57" i="1"/>
  <c r="AA58" i="1"/>
  <c r="AA59" i="1"/>
  <c r="AA60" i="1"/>
  <c r="AA61" i="1"/>
  <c r="AA62" i="1"/>
  <c r="AA63" i="1"/>
  <c r="AA64" i="1"/>
  <c r="AA65" i="1"/>
  <c r="AA66" i="1"/>
  <c r="AA67" i="1"/>
  <c r="AA68" i="1"/>
  <c r="AA57" i="1"/>
  <c r="AI55" i="1"/>
  <c r="AF55" i="1"/>
  <c r="AC55" i="1"/>
  <c r="AD55" i="1"/>
  <c r="AE55" i="1"/>
  <c r="AH55" i="1"/>
  <c r="AG55" i="1"/>
  <c r="AI54" i="1"/>
  <c r="AF54" i="1"/>
  <c r="AC54" i="1"/>
  <c r="AD54" i="1"/>
  <c r="AE54" i="1"/>
  <c r="AH54" i="1"/>
  <c r="AG54" i="1"/>
  <c r="AI53" i="1"/>
  <c r="AF53" i="1"/>
  <c r="AC53" i="1"/>
  <c r="AD53" i="1"/>
  <c r="AE53" i="1"/>
  <c r="AH53" i="1"/>
  <c r="AG53" i="1"/>
  <c r="AI52" i="1"/>
  <c r="AF52" i="1"/>
  <c r="AC52" i="1"/>
  <c r="AD52" i="1"/>
  <c r="AE52" i="1"/>
  <c r="AH52" i="1"/>
  <c r="AG52" i="1"/>
  <c r="AI51" i="1"/>
  <c r="AF51" i="1"/>
  <c r="AC51" i="1"/>
  <c r="AD51" i="1"/>
  <c r="AE51" i="1"/>
  <c r="AH51" i="1"/>
  <c r="AG51" i="1"/>
  <c r="AI50" i="1"/>
  <c r="AF50" i="1"/>
  <c r="AC50" i="1"/>
  <c r="AD50" i="1"/>
  <c r="AE50" i="1"/>
  <c r="AH50" i="1"/>
  <c r="AG50" i="1"/>
  <c r="AI49" i="1"/>
  <c r="AF49" i="1"/>
  <c r="AC49" i="1"/>
  <c r="AD49" i="1"/>
  <c r="AE49" i="1"/>
  <c r="AH49" i="1"/>
  <c r="AG49" i="1"/>
  <c r="AI48" i="1"/>
  <c r="AF48" i="1"/>
  <c r="AC48" i="1"/>
  <c r="AD48" i="1"/>
  <c r="AE48" i="1"/>
  <c r="AH48" i="1"/>
  <c r="AG48" i="1"/>
  <c r="AI47" i="1"/>
  <c r="AF47" i="1"/>
  <c r="AC47" i="1"/>
  <c r="AD47" i="1"/>
  <c r="AE47" i="1"/>
  <c r="AH47" i="1"/>
  <c r="AG47" i="1"/>
  <c r="AI46" i="1"/>
  <c r="AF46" i="1"/>
  <c r="AC46" i="1"/>
  <c r="AD46" i="1"/>
  <c r="AE46" i="1"/>
  <c r="AH46" i="1"/>
  <c r="AG46" i="1"/>
  <c r="AA47" i="1"/>
  <c r="AA48" i="1"/>
  <c r="AA49" i="1"/>
  <c r="AA50" i="1"/>
  <c r="AA51" i="1"/>
  <c r="AA52" i="1"/>
  <c r="AA53" i="1"/>
  <c r="AA54" i="1"/>
  <c r="AA55" i="1"/>
  <c r="AA46" i="1"/>
  <c r="AI44" i="1"/>
  <c r="AF44" i="1"/>
  <c r="AC44" i="1"/>
  <c r="AD44" i="1"/>
  <c r="AE44" i="1"/>
  <c r="AH44" i="1"/>
  <c r="AG44" i="1"/>
  <c r="AC6" i="1"/>
  <c r="AB13" i="1"/>
  <c r="AA44" i="1"/>
  <c r="AA43" i="1"/>
  <c r="AI43" i="1"/>
  <c r="AF43" i="1"/>
  <c r="AC43" i="1"/>
  <c r="AD43" i="1"/>
  <c r="AE43" i="1"/>
  <c r="AH43" i="1"/>
  <c r="AG43" i="1"/>
  <c r="AA42" i="1"/>
  <c r="AI42" i="1"/>
  <c r="AF42" i="1"/>
  <c r="AC42" i="1"/>
  <c r="AD42" i="1"/>
  <c r="AE42" i="1"/>
  <c r="AH42" i="1"/>
  <c r="AG42" i="1"/>
  <c r="AA41" i="1"/>
  <c r="AI41" i="1"/>
  <c r="AF41" i="1"/>
  <c r="AC41" i="1"/>
  <c r="AD41" i="1"/>
  <c r="AE41" i="1"/>
  <c r="AH41" i="1"/>
  <c r="AG41" i="1"/>
  <c r="AA40" i="1"/>
  <c r="AI40" i="1"/>
  <c r="AF40" i="1"/>
  <c r="AC40" i="1"/>
  <c r="AD40" i="1"/>
  <c r="AE40" i="1"/>
  <c r="AH40" i="1"/>
  <c r="AG40" i="1"/>
  <c r="AA39" i="1"/>
  <c r="AI39" i="1"/>
  <c r="AF39" i="1"/>
  <c r="AC39" i="1"/>
  <c r="AD39" i="1"/>
  <c r="AE39" i="1"/>
  <c r="AH39" i="1"/>
  <c r="AG39" i="1"/>
  <c r="AA38" i="1"/>
  <c r="AI38" i="1"/>
  <c r="AF38" i="1"/>
  <c r="AC38" i="1"/>
  <c r="AD38" i="1"/>
  <c r="AE38" i="1"/>
  <c r="AH38" i="1"/>
  <c r="AG38" i="1"/>
  <c r="AA37" i="1"/>
  <c r="AI37" i="1"/>
  <c r="AF37" i="1"/>
  <c r="AC37" i="1"/>
  <c r="AD37" i="1"/>
  <c r="AE37" i="1"/>
  <c r="AH37" i="1"/>
  <c r="AG37" i="1"/>
  <c r="AA36" i="1"/>
  <c r="AI36" i="1"/>
  <c r="AF36" i="1"/>
  <c r="AC36" i="1"/>
  <c r="AD36" i="1"/>
  <c r="AE36" i="1"/>
  <c r="AH36" i="1"/>
  <c r="AG36" i="1"/>
  <c r="AA34" i="1"/>
  <c r="AI34" i="1"/>
  <c r="AF34" i="1"/>
  <c r="AC34" i="1"/>
  <c r="AD34" i="1"/>
  <c r="AE34" i="1"/>
  <c r="AH34" i="1"/>
  <c r="AG34" i="1"/>
  <c r="AA33" i="1"/>
  <c r="AI33" i="1"/>
  <c r="AF33" i="1"/>
  <c r="AC33" i="1"/>
  <c r="AD33" i="1"/>
  <c r="AE33" i="1"/>
  <c r="AH33" i="1"/>
  <c r="AG33" i="1"/>
  <c r="AA32" i="1"/>
  <c r="AI32" i="1"/>
  <c r="AF32" i="1"/>
  <c r="AC32" i="1"/>
  <c r="AD32" i="1"/>
  <c r="AE32" i="1"/>
  <c r="AH32" i="1"/>
  <c r="AG32" i="1"/>
  <c r="AA31" i="1"/>
  <c r="AI31" i="1"/>
  <c r="AF31" i="1"/>
  <c r="AC31" i="1"/>
  <c r="AD31" i="1"/>
  <c r="AE31" i="1"/>
  <c r="AH31" i="1"/>
  <c r="AG31" i="1"/>
  <c r="AA30" i="1"/>
  <c r="AI30" i="1"/>
  <c r="AF30" i="1"/>
  <c r="AC30" i="1"/>
  <c r="AD30" i="1"/>
  <c r="AE30" i="1"/>
  <c r="AH30" i="1"/>
  <c r="AG30" i="1"/>
  <c r="AA29" i="1"/>
  <c r="AI29" i="1"/>
  <c r="AF29" i="1"/>
  <c r="AC29" i="1"/>
  <c r="AD29" i="1"/>
  <c r="AE29" i="1"/>
  <c r="AH29" i="1"/>
  <c r="AG29" i="1"/>
  <c r="AA28" i="1"/>
  <c r="AI28" i="1"/>
  <c r="AF28" i="1"/>
  <c r="AC28" i="1"/>
  <c r="AD28" i="1"/>
  <c r="AE28" i="1"/>
  <c r="AH28" i="1"/>
  <c r="AG28" i="1"/>
  <c r="AA27" i="1"/>
  <c r="AI27" i="1"/>
  <c r="AF27" i="1"/>
  <c r="AC27" i="1"/>
  <c r="AD27" i="1"/>
  <c r="AE27" i="1"/>
  <c r="AH27" i="1"/>
  <c r="AG27" i="1"/>
  <c r="AA26" i="1"/>
  <c r="AI26" i="1"/>
  <c r="AF26" i="1"/>
  <c r="AC26" i="1"/>
  <c r="AD26" i="1"/>
  <c r="AE26" i="1"/>
  <c r="AH26" i="1"/>
  <c r="AG26" i="1"/>
  <c r="AA25" i="1"/>
  <c r="AI25" i="1"/>
  <c r="AF25" i="1"/>
  <c r="AC25" i="1"/>
  <c r="AD25" i="1"/>
  <c r="AE25" i="1"/>
  <c r="AH25" i="1"/>
  <c r="AG25" i="1"/>
  <c r="AA24" i="1"/>
  <c r="AI24" i="1"/>
  <c r="AF24" i="1"/>
  <c r="AC24" i="1"/>
  <c r="AD24" i="1"/>
  <c r="AE24" i="1"/>
  <c r="AH24" i="1"/>
  <c r="AG24" i="1"/>
  <c r="AA7" i="1"/>
  <c r="AI7" i="1"/>
  <c r="AA8" i="1"/>
  <c r="AI8" i="1"/>
  <c r="AA9" i="1"/>
  <c r="AI9" i="1"/>
  <c r="AA10" i="1"/>
  <c r="AI10" i="1"/>
  <c r="AA11" i="1"/>
  <c r="AI11" i="1"/>
  <c r="AA12" i="1"/>
  <c r="AI12" i="1"/>
  <c r="AA13" i="1"/>
  <c r="AI13" i="1"/>
  <c r="AA14" i="1"/>
  <c r="AI14" i="1"/>
  <c r="AA15" i="1"/>
  <c r="AI15" i="1"/>
  <c r="AA16" i="1"/>
  <c r="AI16" i="1"/>
  <c r="AA17" i="1"/>
  <c r="AI17" i="1"/>
  <c r="AA18" i="1"/>
  <c r="AI18" i="1"/>
  <c r="AA19" i="1"/>
  <c r="AI19" i="1"/>
  <c r="AA20" i="1"/>
  <c r="AI20" i="1"/>
  <c r="AA21" i="1"/>
  <c r="AI21" i="1"/>
  <c r="AA22" i="1"/>
  <c r="AI22" i="1"/>
  <c r="AA6" i="1"/>
  <c r="AI6" i="1"/>
  <c r="AF7" i="1"/>
  <c r="AC7" i="1"/>
  <c r="AD7" i="1"/>
  <c r="AE7" i="1"/>
  <c r="AH7" i="1"/>
  <c r="AF8" i="1"/>
  <c r="AC8" i="1"/>
  <c r="AD8" i="1"/>
  <c r="AE8" i="1"/>
  <c r="AH8" i="1"/>
  <c r="AF9" i="1"/>
  <c r="AC9" i="1"/>
  <c r="AD9" i="1"/>
  <c r="AE9" i="1"/>
  <c r="AH9" i="1"/>
  <c r="AF10" i="1"/>
  <c r="AC10" i="1"/>
  <c r="AD10" i="1"/>
  <c r="AE10" i="1"/>
  <c r="AH10" i="1"/>
  <c r="AF11" i="1"/>
  <c r="AC11" i="1"/>
  <c r="AD11" i="1"/>
  <c r="AE11" i="1"/>
  <c r="AH11" i="1"/>
  <c r="AF12" i="1"/>
  <c r="AC12" i="1"/>
  <c r="AD12" i="1"/>
  <c r="AE12" i="1"/>
  <c r="AH12" i="1"/>
  <c r="AF13" i="1"/>
  <c r="AC13" i="1"/>
  <c r="AD13" i="1"/>
  <c r="AE13" i="1"/>
  <c r="AH13" i="1"/>
  <c r="AF14" i="1"/>
  <c r="AC14" i="1"/>
  <c r="AD14" i="1"/>
  <c r="AE14" i="1"/>
  <c r="AH14" i="1"/>
  <c r="AF15" i="1"/>
  <c r="AC15" i="1"/>
  <c r="AD15" i="1"/>
  <c r="AE15" i="1"/>
  <c r="AH15" i="1"/>
  <c r="AF16" i="1"/>
  <c r="AC16" i="1"/>
  <c r="AD16" i="1"/>
  <c r="AE16" i="1"/>
  <c r="AH16" i="1"/>
  <c r="AF17" i="1"/>
  <c r="AC17" i="1"/>
  <c r="AD17" i="1"/>
  <c r="AE17" i="1"/>
  <c r="AH17" i="1"/>
  <c r="AF18" i="1"/>
  <c r="AC18" i="1"/>
  <c r="AD18" i="1"/>
  <c r="AE18" i="1"/>
  <c r="AH18" i="1"/>
  <c r="AF19" i="1"/>
  <c r="AC19" i="1"/>
  <c r="AD19" i="1"/>
  <c r="AE19" i="1"/>
  <c r="AH19" i="1"/>
  <c r="AF20" i="1"/>
  <c r="AC20" i="1"/>
  <c r="AD20" i="1"/>
  <c r="AE20" i="1"/>
  <c r="AH20" i="1"/>
  <c r="AF21" i="1"/>
  <c r="AC21" i="1"/>
  <c r="AD21" i="1"/>
  <c r="AE21" i="1"/>
  <c r="AH21" i="1"/>
  <c r="AF22" i="1"/>
  <c r="AC22" i="1"/>
  <c r="AD22" i="1"/>
  <c r="AE22" i="1"/>
  <c r="AH22" i="1"/>
  <c r="AF6" i="1"/>
  <c r="AD6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G9" i="1"/>
  <c r="AB11" i="1"/>
  <c r="AG6" i="1"/>
  <c r="U5" i="1"/>
  <c r="V19" i="1"/>
  <c r="V20" i="1"/>
  <c r="V21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T19" i="1"/>
  <c r="T20" i="1"/>
  <c r="T2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5" i="1"/>
  <c r="F80" i="1"/>
  <c r="O80" i="1"/>
  <c r="J80" i="1"/>
  <c r="J79" i="1"/>
  <c r="K80" i="1"/>
  <c r="G13" i="1"/>
  <c r="G15" i="1"/>
  <c r="L80" i="1"/>
  <c r="H13" i="1"/>
  <c r="H11" i="1"/>
  <c r="I80" i="1"/>
  <c r="N80" i="1"/>
  <c r="M80" i="1"/>
  <c r="F79" i="1"/>
  <c r="O79" i="1"/>
  <c r="J78" i="1"/>
  <c r="K79" i="1"/>
  <c r="L79" i="1"/>
  <c r="I79" i="1"/>
  <c r="N79" i="1"/>
  <c r="M79" i="1"/>
  <c r="F78" i="1"/>
  <c r="O78" i="1"/>
  <c r="J77" i="1"/>
  <c r="K78" i="1"/>
  <c r="L78" i="1"/>
  <c r="I78" i="1"/>
  <c r="N78" i="1"/>
  <c r="M78" i="1"/>
  <c r="F77" i="1"/>
  <c r="O77" i="1"/>
  <c r="J76" i="1"/>
  <c r="K77" i="1"/>
  <c r="L77" i="1"/>
  <c r="I77" i="1"/>
  <c r="N77" i="1"/>
  <c r="M77" i="1"/>
  <c r="F76" i="1"/>
  <c r="O76" i="1"/>
  <c r="J75" i="1"/>
  <c r="K76" i="1"/>
  <c r="L76" i="1"/>
  <c r="I76" i="1"/>
  <c r="N76" i="1"/>
  <c r="M76" i="1"/>
  <c r="F75" i="1"/>
  <c r="O75" i="1"/>
  <c r="J74" i="1"/>
  <c r="K75" i="1"/>
  <c r="L75" i="1"/>
  <c r="I75" i="1"/>
  <c r="N75" i="1"/>
  <c r="M75" i="1"/>
  <c r="F74" i="1"/>
  <c r="O74" i="1"/>
  <c r="J73" i="1"/>
  <c r="K74" i="1"/>
  <c r="L74" i="1"/>
  <c r="I74" i="1"/>
  <c r="N74" i="1"/>
  <c r="M74" i="1"/>
  <c r="F73" i="1"/>
  <c r="O73" i="1"/>
  <c r="J72" i="1"/>
  <c r="K73" i="1"/>
  <c r="L73" i="1"/>
  <c r="I73" i="1"/>
  <c r="N73" i="1"/>
  <c r="M73" i="1"/>
  <c r="F72" i="1"/>
  <c r="O72" i="1"/>
  <c r="J71" i="1"/>
  <c r="K72" i="1"/>
  <c r="L72" i="1"/>
  <c r="I72" i="1"/>
  <c r="N72" i="1"/>
  <c r="M72" i="1"/>
  <c r="F71" i="1"/>
  <c r="O71" i="1"/>
  <c r="J70" i="1"/>
  <c r="K71" i="1"/>
  <c r="L71" i="1"/>
  <c r="I71" i="1"/>
  <c r="N71" i="1"/>
  <c r="M71" i="1"/>
  <c r="F70" i="1"/>
  <c r="O70" i="1"/>
  <c r="J69" i="1"/>
  <c r="K70" i="1"/>
  <c r="L70" i="1"/>
  <c r="I70" i="1"/>
  <c r="N70" i="1"/>
  <c r="M70" i="1"/>
  <c r="F69" i="1"/>
  <c r="O69" i="1"/>
  <c r="J68" i="1"/>
  <c r="K69" i="1"/>
  <c r="L69" i="1"/>
  <c r="I69" i="1"/>
  <c r="N69" i="1"/>
  <c r="M69" i="1"/>
  <c r="F68" i="1"/>
  <c r="O68" i="1"/>
  <c r="J67" i="1"/>
  <c r="K68" i="1"/>
  <c r="L68" i="1"/>
  <c r="I68" i="1"/>
  <c r="N68" i="1"/>
  <c r="M68" i="1"/>
  <c r="F67" i="1"/>
  <c r="O67" i="1"/>
  <c r="J66" i="1"/>
  <c r="K67" i="1"/>
  <c r="L67" i="1"/>
  <c r="I67" i="1"/>
  <c r="N67" i="1"/>
  <c r="M67" i="1"/>
  <c r="F66" i="1"/>
  <c r="O66" i="1"/>
  <c r="J65" i="1"/>
  <c r="K66" i="1"/>
  <c r="L66" i="1"/>
  <c r="I66" i="1"/>
  <c r="N66" i="1"/>
  <c r="M66" i="1"/>
  <c r="F65" i="1"/>
  <c r="O65" i="1"/>
  <c r="J64" i="1"/>
  <c r="K65" i="1"/>
  <c r="L65" i="1"/>
  <c r="I65" i="1"/>
  <c r="N65" i="1"/>
  <c r="M65" i="1"/>
  <c r="F64" i="1"/>
  <c r="O64" i="1"/>
  <c r="J63" i="1"/>
  <c r="K64" i="1"/>
  <c r="L64" i="1"/>
  <c r="I64" i="1"/>
  <c r="N64" i="1"/>
  <c r="M64" i="1"/>
  <c r="F63" i="1"/>
  <c r="O63" i="1"/>
  <c r="K63" i="1"/>
  <c r="L63" i="1"/>
  <c r="I63" i="1"/>
  <c r="N63" i="1"/>
  <c r="M63" i="1"/>
  <c r="F61" i="1"/>
  <c r="O61" i="1"/>
  <c r="J61" i="1"/>
  <c r="J60" i="1"/>
  <c r="K61" i="1"/>
  <c r="L61" i="1"/>
  <c r="I61" i="1"/>
  <c r="N61" i="1"/>
  <c r="M61" i="1"/>
  <c r="F60" i="1"/>
  <c r="O60" i="1"/>
  <c r="J59" i="1"/>
  <c r="K60" i="1"/>
  <c r="L60" i="1"/>
  <c r="I60" i="1"/>
  <c r="N60" i="1"/>
  <c r="M60" i="1"/>
  <c r="F59" i="1"/>
  <c r="O59" i="1"/>
  <c r="J58" i="1"/>
  <c r="K59" i="1"/>
  <c r="L59" i="1"/>
  <c r="I59" i="1"/>
  <c r="N59" i="1"/>
  <c r="M59" i="1"/>
  <c r="F58" i="1"/>
  <c r="O58" i="1"/>
  <c r="J57" i="1"/>
  <c r="K58" i="1"/>
  <c r="L58" i="1"/>
  <c r="I58" i="1"/>
  <c r="N58" i="1"/>
  <c r="M58" i="1"/>
  <c r="F57" i="1"/>
  <c r="O57" i="1"/>
  <c r="J56" i="1"/>
  <c r="K57" i="1"/>
  <c r="L57" i="1"/>
  <c r="I57" i="1"/>
  <c r="N57" i="1"/>
  <c r="M57" i="1"/>
  <c r="F56" i="1"/>
  <c r="O56" i="1"/>
  <c r="J55" i="1"/>
  <c r="K56" i="1"/>
  <c r="L56" i="1"/>
  <c r="I56" i="1"/>
  <c r="N56" i="1"/>
  <c r="M56" i="1"/>
  <c r="F55" i="1"/>
  <c r="O55" i="1"/>
  <c r="J54" i="1"/>
  <c r="K55" i="1"/>
  <c r="L55" i="1"/>
  <c r="I55" i="1"/>
  <c r="N55" i="1"/>
  <c r="M55" i="1"/>
  <c r="F54" i="1"/>
  <c r="O54" i="1"/>
  <c r="J53" i="1"/>
  <c r="K54" i="1"/>
  <c r="L54" i="1"/>
  <c r="I54" i="1"/>
  <c r="N54" i="1"/>
  <c r="M54" i="1"/>
  <c r="F53" i="1"/>
  <c r="O53" i="1"/>
  <c r="J52" i="1"/>
  <c r="K53" i="1"/>
  <c r="L53" i="1"/>
  <c r="I53" i="1"/>
  <c r="N53" i="1"/>
  <c r="M53" i="1"/>
  <c r="F52" i="1"/>
  <c r="O52" i="1"/>
  <c r="J51" i="1"/>
  <c r="K52" i="1"/>
  <c r="L52" i="1"/>
  <c r="I52" i="1"/>
  <c r="N52" i="1"/>
  <c r="M52" i="1"/>
  <c r="F51" i="1"/>
  <c r="O51" i="1"/>
  <c r="J50" i="1"/>
  <c r="K51" i="1"/>
  <c r="L51" i="1"/>
  <c r="I51" i="1"/>
  <c r="N51" i="1"/>
  <c r="M51" i="1"/>
  <c r="F50" i="1"/>
  <c r="O50" i="1"/>
  <c r="J49" i="1"/>
  <c r="K50" i="1"/>
  <c r="L50" i="1"/>
  <c r="I50" i="1"/>
  <c r="N50" i="1"/>
  <c r="M50" i="1"/>
  <c r="F49" i="1"/>
  <c r="O49" i="1"/>
  <c r="J48" i="1"/>
  <c r="K49" i="1"/>
  <c r="L49" i="1"/>
  <c r="I49" i="1"/>
  <c r="N49" i="1"/>
  <c r="M49" i="1"/>
  <c r="F48" i="1"/>
  <c r="O48" i="1"/>
  <c r="J47" i="1"/>
  <c r="K48" i="1"/>
  <c r="L48" i="1"/>
  <c r="I48" i="1"/>
  <c r="N48" i="1"/>
  <c r="M48" i="1"/>
  <c r="F47" i="1"/>
  <c r="O47" i="1"/>
  <c r="J46" i="1"/>
  <c r="K47" i="1"/>
  <c r="L47" i="1"/>
  <c r="I47" i="1"/>
  <c r="N47" i="1"/>
  <c r="M47" i="1"/>
  <c r="F46" i="1"/>
  <c r="O46" i="1"/>
  <c r="J45" i="1"/>
  <c r="K46" i="1"/>
  <c r="L46" i="1"/>
  <c r="I46" i="1"/>
  <c r="N46" i="1"/>
  <c r="M46" i="1"/>
  <c r="F45" i="1"/>
  <c r="O45" i="1"/>
  <c r="J44" i="1"/>
  <c r="K45" i="1"/>
  <c r="L45" i="1"/>
  <c r="I45" i="1"/>
  <c r="N45" i="1"/>
  <c r="M45" i="1"/>
  <c r="F44" i="1"/>
  <c r="O44" i="1"/>
  <c r="K44" i="1"/>
  <c r="L44" i="1"/>
  <c r="I44" i="1"/>
  <c r="N44" i="1"/>
  <c r="M44" i="1"/>
  <c r="J42" i="1"/>
  <c r="J41" i="1"/>
  <c r="K42" i="1"/>
  <c r="J40" i="1"/>
  <c r="K41" i="1"/>
  <c r="J39" i="1"/>
  <c r="K40" i="1"/>
  <c r="J38" i="1"/>
  <c r="K39" i="1"/>
  <c r="J37" i="1"/>
  <c r="K38" i="1"/>
  <c r="J36" i="1"/>
  <c r="K37" i="1"/>
  <c r="J35" i="1"/>
  <c r="K36" i="1"/>
  <c r="J34" i="1"/>
  <c r="K35" i="1"/>
  <c r="J33" i="1"/>
  <c r="K34" i="1"/>
  <c r="J32" i="1"/>
  <c r="K33" i="1"/>
  <c r="J31" i="1"/>
  <c r="K32" i="1"/>
  <c r="J30" i="1"/>
  <c r="K31" i="1"/>
  <c r="J29" i="1"/>
  <c r="K30" i="1"/>
  <c r="J28" i="1"/>
  <c r="K29" i="1"/>
  <c r="J27" i="1"/>
  <c r="K28" i="1"/>
  <c r="J26" i="1"/>
  <c r="K27" i="1"/>
  <c r="J25" i="1"/>
  <c r="K26" i="1"/>
  <c r="K25" i="1"/>
  <c r="I26" i="1"/>
  <c r="L26" i="1"/>
  <c r="M26" i="1"/>
  <c r="N26" i="1"/>
  <c r="F26" i="1"/>
  <c r="O26" i="1"/>
  <c r="I27" i="1"/>
  <c r="L27" i="1"/>
  <c r="M27" i="1"/>
  <c r="N27" i="1"/>
  <c r="F27" i="1"/>
  <c r="O27" i="1"/>
  <c r="I28" i="1"/>
  <c r="L28" i="1"/>
  <c r="M28" i="1"/>
  <c r="N28" i="1"/>
  <c r="F28" i="1"/>
  <c r="O28" i="1"/>
  <c r="I29" i="1"/>
  <c r="L29" i="1"/>
  <c r="M29" i="1"/>
  <c r="N29" i="1"/>
  <c r="F29" i="1"/>
  <c r="O29" i="1"/>
  <c r="I30" i="1"/>
  <c r="L30" i="1"/>
  <c r="M30" i="1"/>
  <c r="N30" i="1"/>
  <c r="F30" i="1"/>
  <c r="O30" i="1"/>
  <c r="I31" i="1"/>
  <c r="L31" i="1"/>
  <c r="M31" i="1"/>
  <c r="N31" i="1"/>
  <c r="F31" i="1"/>
  <c r="O31" i="1"/>
  <c r="I32" i="1"/>
  <c r="L32" i="1"/>
  <c r="M32" i="1"/>
  <c r="N32" i="1"/>
  <c r="F32" i="1"/>
  <c r="O32" i="1"/>
  <c r="I33" i="1"/>
  <c r="L33" i="1"/>
  <c r="M33" i="1"/>
  <c r="N33" i="1"/>
  <c r="F33" i="1"/>
  <c r="O33" i="1"/>
  <c r="I34" i="1"/>
  <c r="L34" i="1"/>
  <c r="M34" i="1"/>
  <c r="N34" i="1"/>
  <c r="F34" i="1"/>
  <c r="O34" i="1"/>
  <c r="I35" i="1"/>
  <c r="L35" i="1"/>
  <c r="M35" i="1"/>
  <c r="N35" i="1"/>
  <c r="F35" i="1"/>
  <c r="O35" i="1"/>
  <c r="I36" i="1"/>
  <c r="L36" i="1"/>
  <c r="M36" i="1"/>
  <c r="N36" i="1"/>
  <c r="F36" i="1"/>
  <c r="O36" i="1"/>
  <c r="I37" i="1"/>
  <c r="L37" i="1"/>
  <c r="M37" i="1"/>
  <c r="N37" i="1"/>
  <c r="F37" i="1"/>
  <c r="O37" i="1"/>
  <c r="I38" i="1"/>
  <c r="L38" i="1"/>
  <c r="M38" i="1"/>
  <c r="N38" i="1"/>
  <c r="F38" i="1"/>
  <c r="O38" i="1"/>
  <c r="I39" i="1"/>
  <c r="L39" i="1"/>
  <c r="M39" i="1"/>
  <c r="N39" i="1"/>
  <c r="F39" i="1"/>
  <c r="O39" i="1"/>
  <c r="I40" i="1"/>
  <c r="L40" i="1"/>
  <c r="M40" i="1"/>
  <c r="N40" i="1"/>
  <c r="F40" i="1"/>
  <c r="O40" i="1"/>
  <c r="I41" i="1"/>
  <c r="L41" i="1"/>
  <c r="M41" i="1"/>
  <c r="N41" i="1"/>
  <c r="F41" i="1"/>
  <c r="O41" i="1"/>
  <c r="I42" i="1"/>
  <c r="L42" i="1"/>
  <c r="M42" i="1"/>
  <c r="N42" i="1"/>
  <c r="F42" i="1"/>
  <c r="O42" i="1"/>
  <c r="F25" i="1"/>
  <c r="O25" i="1"/>
  <c r="L25" i="1"/>
  <c r="I25" i="1"/>
  <c r="N25" i="1"/>
  <c r="M25" i="1"/>
  <c r="F8" i="1"/>
  <c r="O8" i="1"/>
  <c r="F9" i="1"/>
  <c r="O9" i="1"/>
  <c r="F10" i="1"/>
  <c r="O10" i="1"/>
  <c r="F11" i="1"/>
  <c r="O11" i="1"/>
  <c r="F12" i="1"/>
  <c r="O12" i="1"/>
  <c r="F13" i="1"/>
  <c r="O13" i="1"/>
  <c r="F14" i="1"/>
  <c r="O14" i="1"/>
  <c r="F15" i="1"/>
  <c r="O15" i="1"/>
  <c r="F16" i="1"/>
  <c r="O16" i="1"/>
  <c r="F17" i="1"/>
  <c r="O17" i="1"/>
  <c r="F18" i="1"/>
  <c r="O18" i="1"/>
  <c r="F19" i="1"/>
  <c r="O19" i="1"/>
  <c r="F20" i="1"/>
  <c r="O20" i="1"/>
  <c r="F21" i="1"/>
  <c r="O21" i="1"/>
  <c r="F22" i="1"/>
  <c r="O22" i="1"/>
  <c r="F23" i="1"/>
  <c r="O23" i="1"/>
  <c r="F7" i="1"/>
  <c r="O7" i="1"/>
  <c r="F6" i="1"/>
  <c r="O6" i="1"/>
  <c r="J22" i="1"/>
  <c r="J21" i="1"/>
  <c r="J20" i="1"/>
  <c r="J19" i="1"/>
  <c r="K20" i="1"/>
  <c r="J9" i="1"/>
  <c r="J8" i="1"/>
  <c r="J7" i="1"/>
  <c r="K8" i="1"/>
  <c r="L8" i="1"/>
  <c r="I8" i="1"/>
  <c r="N8" i="1"/>
  <c r="J10" i="1"/>
  <c r="K9" i="1"/>
  <c r="L9" i="1"/>
  <c r="I9" i="1"/>
  <c r="N9" i="1"/>
  <c r="J11" i="1"/>
  <c r="K10" i="1"/>
  <c r="L10" i="1"/>
  <c r="I10" i="1"/>
  <c r="N10" i="1"/>
  <c r="J12" i="1"/>
  <c r="K11" i="1"/>
  <c r="L11" i="1"/>
  <c r="I11" i="1"/>
  <c r="N11" i="1"/>
  <c r="J13" i="1"/>
  <c r="K12" i="1"/>
  <c r="L12" i="1"/>
  <c r="I12" i="1"/>
  <c r="N12" i="1"/>
  <c r="J14" i="1"/>
  <c r="K13" i="1"/>
  <c r="L13" i="1"/>
  <c r="I13" i="1"/>
  <c r="N13" i="1"/>
  <c r="J15" i="1"/>
  <c r="K14" i="1"/>
  <c r="L14" i="1"/>
  <c r="I14" i="1"/>
  <c r="N14" i="1"/>
  <c r="J16" i="1"/>
  <c r="K15" i="1"/>
  <c r="L15" i="1"/>
  <c r="I15" i="1"/>
  <c r="N15" i="1"/>
  <c r="J17" i="1"/>
  <c r="K16" i="1"/>
  <c r="L16" i="1"/>
  <c r="I16" i="1"/>
  <c r="N16" i="1"/>
  <c r="J18" i="1"/>
  <c r="K17" i="1"/>
  <c r="L17" i="1"/>
  <c r="I17" i="1"/>
  <c r="N17" i="1"/>
  <c r="K18" i="1"/>
  <c r="L18" i="1"/>
  <c r="I18" i="1"/>
  <c r="N18" i="1"/>
  <c r="K19" i="1"/>
  <c r="L19" i="1"/>
  <c r="I19" i="1"/>
  <c r="N19" i="1"/>
  <c r="L20" i="1"/>
  <c r="I20" i="1"/>
  <c r="N20" i="1"/>
  <c r="K21" i="1"/>
  <c r="L21" i="1"/>
  <c r="I21" i="1"/>
  <c r="N21" i="1"/>
  <c r="J23" i="1"/>
  <c r="K22" i="1"/>
  <c r="L22" i="1"/>
  <c r="I22" i="1"/>
  <c r="N22" i="1"/>
  <c r="K23" i="1"/>
  <c r="L23" i="1"/>
  <c r="I23" i="1"/>
  <c r="N23" i="1"/>
  <c r="J6" i="1"/>
  <c r="K7" i="1"/>
  <c r="L7" i="1"/>
  <c r="I7" i="1"/>
  <c r="N7" i="1"/>
  <c r="K6" i="1"/>
  <c r="L6" i="1"/>
  <c r="I6" i="1"/>
  <c r="N6" i="1"/>
  <c r="M2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6" i="1"/>
  <c r="DI6" i="3"/>
  <c r="DI7" i="3"/>
  <c r="DI8" i="3"/>
  <c r="DI9" i="3"/>
  <c r="DI10" i="3"/>
  <c r="DI11" i="3"/>
  <c r="DI12" i="3"/>
  <c r="DI13" i="3"/>
  <c r="DI14" i="3"/>
  <c r="DI15" i="3"/>
  <c r="DI16" i="3"/>
  <c r="DI17" i="3"/>
  <c r="DI18" i="3"/>
  <c r="DI19" i="3"/>
  <c r="DI5" i="3"/>
  <c r="DH6" i="3"/>
  <c r="DJ6" i="3"/>
  <c r="DK6" i="3"/>
  <c r="DH7" i="3"/>
  <c r="DJ7" i="3"/>
  <c r="DK7" i="3"/>
  <c r="DH8" i="3"/>
  <c r="DJ8" i="3"/>
  <c r="DK8" i="3"/>
  <c r="DH9" i="3"/>
  <c r="DJ9" i="3"/>
  <c r="DK9" i="3"/>
  <c r="DH10" i="3"/>
  <c r="DJ10" i="3"/>
  <c r="DK10" i="3"/>
  <c r="DH11" i="3"/>
  <c r="DJ11" i="3"/>
  <c r="DK11" i="3"/>
  <c r="DH12" i="3"/>
  <c r="DJ12" i="3"/>
  <c r="DK12" i="3"/>
  <c r="DH13" i="3"/>
  <c r="DJ13" i="3"/>
  <c r="DK13" i="3"/>
  <c r="DH14" i="3"/>
  <c r="DJ14" i="3"/>
  <c r="DK14" i="3"/>
  <c r="DH15" i="3"/>
  <c r="DJ15" i="3"/>
  <c r="DK15" i="3"/>
  <c r="DH16" i="3"/>
  <c r="DJ16" i="3"/>
  <c r="DK16" i="3"/>
  <c r="DH17" i="3"/>
  <c r="DJ17" i="3"/>
  <c r="DK17" i="3"/>
  <c r="DH18" i="3"/>
  <c r="DJ18" i="3"/>
  <c r="DK18" i="3"/>
  <c r="DH19" i="3"/>
  <c r="DJ19" i="3"/>
  <c r="DK19" i="3"/>
  <c r="DK5" i="3"/>
  <c r="DJ5" i="3"/>
  <c r="DH5" i="3"/>
  <c r="CY6" i="3"/>
  <c r="CY7" i="3"/>
  <c r="CY8" i="3"/>
  <c r="CY9" i="3"/>
  <c r="CY10" i="3"/>
  <c r="CY11" i="3"/>
  <c r="CY12" i="3"/>
  <c r="CY13" i="3"/>
  <c r="CY14" i="3"/>
  <c r="CY15" i="3"/>
  <c r="CY16" i="3"/>
  <c r="CY17" i="3"/>
  <c r="CY18" i="3"/>
  <c r="CY19" i="3"/>
  <c r="CY20" i="3"/>
  <c r="CY21" i="3"/>
  <c r="CY22" i="3"/>
  <c r="CY5" i="3"/>
  <c r="CX6" i="3"/>
  <c r="CX7" i="3"/>
  <c r="CX8" i="3"/>
  <c r="CX9" i="3"/>
  <c r="CX10" i="3"/>
  <c r="CX11" i="3"/>
  <c r="CX12" i="3"/>
  <c r="CX13" i="3"/>
  <c r="CX14" i="3"/>
  <c r="CX15" i="3"/>
  <c r="CX16" i="3"/>
  <c r="CX17" i="3"/>
  <c r="CX18" i="3"/>
  <c r="CX19" i="3"/>
  <c r="CX20" i="3"/>
  <c r="CX21" i="3"/>
  <c r="CX22" i="3"/>
  <c r="CX5" i="3"/>
  <c r="CP6" i="3"/>
  <c r="CP7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E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H5" i="3"/>
  <c r="CG5" i="3"/>
  <c r="CF5" i="3"/>
  <c r="CE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" i="3"/>
  <c r="BL6" i="3"/>
  <c r="BM6" i="3"/>
  <c r="BO6" i="3"/>
  <c r="BL7" i="3"/>
  <c r="BM7" i="3"/>
  <c r="BO7" i="3"/>
  <c r="BL5" i="3"/>
  <c r="BM5" i="3"/>
  <c r="BO5" i="3"/>
  <c r="BN7" i="3"/>
  <c r="BP7" i="3"/>
  <c r="BQ7" i="3"/>
  <c r="BQ6" i="3"/>
  <c r="BP6" i="3"/>
  <c r="BN6" i="3"/>
  <c r="BQ5" i="3"/>
  <c r="BP5" i="3"/>
  <c r="BN5" i="3"/>
  <c r="BB6" i="3"/>
  <c r="BC6" i="3"/>
  <c r="BE6" i="3"/>
  <c r="BB5" i="3"/>
  <c r="BC5" i="3"/>
  <c r="BE5" i="3"/>
  <c r="BF6" i="3"/>
  <c r="BG6" i="3"/>
  <c r="BG5" i="3"/>
  <c r="BF5" i="3"/>
  <c r="BD6" i="3"/>
  <c r="BD5" i="3"/>
  <c r="AU5" i="3"/>
  <c r="AU6" i="3"/>
  <c r="AU7" i="3"/>
  <c r="AU8" i="3"/>
  <c r="AU9" i="3"/>
  <c r="AU10" i="3"/>
  <c r="AT6" i="3"/>
  <c r="AT7" i="3"/>
  <c r="AT8" i="3"/>
  <c r="AT9" i="3"/>
  <c r="AT10" i="3"/>
  <c r="AT5" i="3"/>
  <c r="AL14" i="3"/>
  <c r="AL15" i="3"/>
  <c r="AL16" i="3"/>
  <c r="AL17" i="3"/>
  <c r="AL18" i="3"/>
  <c r="AL19" i="3"/>
  <c r="AL20" i="3"/>
  <c r="AL21" i="3"/>
  <c r="AL22" i="3"/>
  <c r="AL23" i="3"/>
  <c r="AL25" i="3"/>
  <c r="AL26" i="3"/>
  <c r="AL27" i="3"/>
  <c r="AL28" i="3"/>
  <c r="AL29" i="3"/>
  <c r="AL30" i="3"/>
  <c r="AL31" i="3"/>
  <c r="AL32" i="3"/>
  <c r="AL33" i="3"/>
  <c r="AL34" i="3"/>
  <c r="AL35" i="3"/>
  <c r="AL7" i="3"/>
  <c r="AL8" i="3"/>
  <c r="AL9" i="3"/>
  <c r="AL10" i="3"/>
  <c r="AL11" i="3"/>
  <c r="AL12" i="3"/>
  <c r="AL6" i="3"/>
  <c r="AK7" i="3"/>
  <c r="AK6" i="3"/>
  <c r="AK8" i="3"/>
  <c r="AK9" i="3"/>
  <c r="AK10" i="3"/>
  <c r="AK11" i="3"/>
  <c r="AK12" i="3"/>
  <c r="AK14" i="3"/>
  <c r="AK15" i="3"/>
  <c r="AK16" i="3"/>
  <c r="AK17" i="3"/>
  <c r="AK18" i="3"/>
  <c r="AK19" i="3"/>
  <c r="AK20" i="3"/>
  <c r="AK21" i="3"/>
  <c r="AK22" i="3"/>
  <c r="AK23" i="3"/>
  <c r="AK25" i="3"/>
  <c r="AK26" i="3"/>
  <c r="AK27" i="3"/>
  <c r="AK28" i="3"/>
  <c r="AK29" i="3"/>
  <c r="AK30" i="3"/>
  <c r="AK31" i="3"/>
  <c r="AK32" i="3"/>
  <c r="AK33" i="3"/>
  <c r="AK34" i="3"/>
  <c r="AK35" i="3"/>
  <c r="AB6" i="3"/>
  <c r="AB7" i="3"/>
  <c r="AB8" i="3"/>
  <c r="AB9" i="3"/>
  <c r="AB10" i="3"/>
  <c r="AB5" i="3"/>
  <c r="AA6" i="3"/>
  <c r="AA7" i="3"/>
  <c r="AA8" i="3"/>
  <c r="AA9" i="3"/>
  <c r="AA10" i="3"/>
  <c r="AA5" i="3"/>
  <c r="V6" i="3"/>
  <c r="S6" i="3"/>
  <c r="W6" i="3"/>
  <c r="V7" i="3"/>
  <c r="S7" i="3"/>
  <c r="W7" i="3"/>
  <c r="S5" i="3"/>
  <c r="W5" i="3"/>
  <c r="V5" i="3"/>
  <c r="U6" i="3"/>
  <c r="U7" i="3"/>
  <c r="U5" i="3"/>
  <c r="T6" i="3"/>
  <c r="T7" i="3"/>
  <c r="T5" i="3"/>
  <c r="K5" i="3"/>
  <c r="K6" i="3"/>
  <c r="K7" i="3"/>
  <c r="K8" i="3"/>
  <c r="K9" i="3"/>
  <c r="K10" i="3"/>
  <c r="K11" i="3"/>
  <c r="K12" i="3"/>
  <c r="K13" i="3"/>
  <c r="K14" i="3"/>
  <c r="K15" i="3"/>
  <c r="L5" i="3"/>
  <c r="L6" i="3"/>
  <c r="L7" i="3"/>
  <c r="L8" i="3"/>
  <c r="L9" i="3"/>
  <c r="L10" i="3"/>
  <c r="L11" i="3"/>
  <c r="L12" i="3"/>
  <c r="L13" i="3"/>
  <c r="L14" i="3"/>
  <c r="L15" i="3"/>
  <c r="E5" i="3"/>
  <c r="E6" i="3"/>
  <c r="E7" i="3"/>
  <c r="D5" i="3"/>
  <c r="D6" i="3"/>
  <c r="D7" i="3"/>
  <c r="AG19" i="2"/>
  <c r="AG20" i="2"/>
  <c r="AG21" i="2"/>
  <c r="AH21" i="2"/>
  <c r="AI21" i="2"/>
  <c r="AK21" i="2"/>
  <c r="AG22" i="2"/>
  <c r="AH22" i="2"/>
  <c r="AI22" i="2"/>
  <c r="AK22" i="2"/>
  <c r="AG23" i="2"/>
  <c r="AH23" i="2"/>
  <c r="AI23" i="2"/>
  <c r="AK23" i="2"/>
  <c r="AG24" i="2"/>
  <c r="AH24" i="2"/>
  <c r="AI24" i="2"/>
  <c r="AK24" i="2"/>
  <c r="AG25" i="2"/>
  <c r="AH25" i="2"/>
  <c r="AI25" i="2"/>
  <c r="AK25" i="2"/>
  <c r="AG26" i="2"/>
  <c r="AH26" i="2"/>
  <c r="AI26" i="2"/>
  <c r="AK26" i="2"/>
  <c r="AG27" i="2"/>
  <c r="AH27" i="2"/>
  <c r="AI27" i="2"/>
  <c r="AK27" i="2"/>
  <c r="AG28" i="2"/>
  <c r="AH28" i="2"/>
  <c r="AI28" i="2"/>
  <c r="AK28" i="2"/>
  <c r="AH20" i="2"/>
  <c r="AI20" i="2"/>
  <c r="AK20" i="2"/>
  <c r="AH19" i="2"/>
  <c r="AI19" i="2"/>
  <c r="AK19" i="2"/>
</calcChain>
</file>

<file path=xl/sharedStrings.xml><?xml version="1.0" encoding="utf-8"?>
<sst xmlns="http://schemas.openxmlformats.org/spreadsheetml/2006/main" count="308" uniqueCount="115">
  <si>
    <t>Data Reported</t>
  </si>
  <si>
    <t>Chan Diffusion Flame Data (1987)</t>
  </si>
  <si>
    <t>Reciprocal temperature 10^4/T (K^-1)</t>
  </si>
  <si>
    <t>- Log reaction rate (g cm^-2 s^-1)</t>
  </si>
  <si>
    <t>Data Derived</t>
  </si>
  <si>
    <t>Temperature (K)</t>
  </si>
  <si>
    <t>Rate (kg m^-2 s^-1)</t>
  </si>
  <si>
    <t>O2 Partial Pressure (Pa)</t>
  </si>
  <si>
    <t>OH Partial Pressure (Pa)</t>
  </si>
  <si>
    <t>Chan TGA Data (1987)</t>
  </si>
  <si>
    <t>Fenimore Premixed Flame Data (1967)</t>
  </si>
  <si>
    <t>2*Rate/ rho*d (Rate is in g cm^-2 s^-1)</t>
  </si>
  <si>
    <t>O2 Mole Fraction</t>
  </si>
  <si>
    <t>OH Mole Fraction</t>
  </si>
  <si>
    <t>Rate (kg m^2-2 s^-1)</t>
  </si>
  <si>
    <t>Assumptions</t>
  </si>
  <si>
    <t>O2 Partial Pressure</t>
  </si>
  <si>
    <t>OH Partial Pressure</t>
  </si>
  <si>
    <t>Garo Diffusion Flame Data (1990)</t>
  </si>
  <si>
    <t>Rate (g cm^-2 s^-1)</t>
  </si>
  <si>
    <t>Higgins Tandem Differential Mobility Analyzer (2002)</t>
  </si>
  <si>
    <t>Temperature (C)</t>
  </si>
  <si>
    <t>Small Particle size</t>
  </si>
  <si>
    <t>Medium Particle Size</t>
  </si>
  <si>
    <t>Large Particle Size</t>
  </si>
  <si>
    <t>Original Particle Diameter (nm)</t>
  </si>
  <si>
    <t>Particle Diameter Change (nm)</t>
  </si>
  <si>
    <t>Residence Time (s)</t>
  </si>
  <si>
    <t>Data Assumed</t>
  </si>
  <si>
    <t>Soot Density (kg m^-3)</t>
  </si>
  <si>
    <t>Kalogirou TGA Data (2010)</t>
  </si>
  <si>
    <t>k (ln((1/m dm/dt)/[O2]^n)</t>
  </si>
  <si>
    <t>Particle Diameter (nm)</t>
  </si>
  <si>
    <t>O2 Collision Efficiency</t>
  </si>
  <si>
    <t>OH Collision Efficiency</t>
  </si>
  <si>
    <t>Kim Diffusion Flame Data (2004)</t>
  </si>
  <si>
    <t>Kim Diffusion Flame Data (2008)</t>
  </si>
  <si>
    <t>Lee Diffusion Flame Data (1962)</t>
  </si>
  <si>
    <t>Rate*1/P_O2 (g cm^-2 s^-1 atm)</t>
  </si>
  <si>
    <t>Neoh Premixed Flame Data (1980)</t>
  </si>
  <si>
    <t>Puri Diffusion Flame Data (1994)</t>
  </si>
  <si>
    <t>Rate (kmole m^-3 s^-1)</t>
  </si>
  <si>
    <t>Soot Volume Fraction</t>
  </si>
  <si>
    <t>Note gri30.xml did not contain butane and 1-butene, so I used pentane and pentene instead.</t>
  </si>
  <si>
    <t>Sharm TGA Data (2012)</t>
  </si>
  <si>
    <t>Temprature (C)</t>
  </si>
  <si>
    <t>k Value (s^-1 Pa^-1)</t>
  </si>
  <si>
    <t>Xu Diffusion Flame Data (2003)</t>
  </si>
  <si>
    <t>Distance (m)</t>
  </si>
  <si>
    <t>Difference</t>
  </si>
  <si>
    <t>Slope (g/g*m)</t>
  </si>
  <si>
    <t>Volume of Soot (m^3)</t>
  </si>
  <si>
    <t>Particle Diameter (m)</t>
  </si>
  <si>
    <t>Particle Volume (m^3)</t>
  </si>
  <si>
    <t>Surface Area (m^2)</t>
  </si>
  <si>
    <t>Reactor Diam (mm)</t>
  </si>
  <si>
    <t>Cross Area (m^2)</t>
  </si>
  <si>
    <t>Gas flow rate (L/min)</t>
  </si>
  <si>
    <t>Gas flow rate (m^3/s)</t>
  </si>
  <si>
    <t>Flow rate(m/s)</t>
  </si>
  <si>
    <t>Density (kg m^-3)</t>
  </si>
  <si>
    <t>H2O Partial Pressure (Pa)</t>
  </si>
  <si>
    <t>H2O Partial Pressure</t>
  </si>
  <si>
    <t>Chhiti Entrained Flow Reactor Data (2013)</t>
  </si>
  <si>
    <t>Soot yield (gas) (g soot/g bio-oil)</t>
  </si>
  <si>
    <t>Soot yield (inert) (g soot/g bio-oil)</t>
  </si>
  <si>
    <t>1100 C</t>
  </si>
  <si>
    <t>Total Surface area (m^2)</t>
  </si>
  <si>
    <t>Particle Surface Area (m^2)</t>
  </si>
  <si>
    <t>Density (g m^-3)</t>
  </si>
  <si>
    <t>Rate (g s^-1)</t>
  </si>
  <si>
    <t>1200 C</t>
  </si>
  <si>
    <t>1300 C</t>
  </si>
  <si>
    <t>1400 C</t>
  </si>
  <si>
    <t>H2O Collision Efficiency</t>
  </si>
  <si>
    <t>Arnal Entrained Flow Reactor Data (2013)</t>
  </si>
  <si>
    <t>Time (s)</t>
  </si>
  <si>
    <t>3% H2O</t>
  </si>
  <si>
    <t>Weight of Carbon (mg)</t>
  </si>
  <si>
    <t>Total Volume (m^3)</t>
  </si>
  <si>
    <t>Particles</t>
  </si>
  <si>
    <t>Rate (kg/s)</t>
  </si>
  <si>
    <t>4% H2O</t>
  </si>
  <si>
    <t>5% H2O</t>
  </si>
  <si>
    <t>7% H2O</t>
  </si>
  <si>
    <t>10% H2O</t>
  </si>
  <si>
    <t>Otto TGA Data (1980)</t>
  </si>
  <si>
    <t>Rate (ug m^-2 min^-1)</t>
  </si>
  <si>
    <t>H2O Partial Pressure (atm)</t>
  </si>
  <si>
    <t>Kajitani TGA Data (2010)</t>
  </si>
  <si>
    <t>850 C</t>
  </si>
  <si>
    <t>950 C</t>
  </si>
  <si>
    <t>Time (min)</t>
  </si>
  <si>
    <t>Conversion Ratio</t>
  </si>
  <si>
    <t>Mass Converted (kg)</t>
  </si>
  <si>
    <t>CO2 Partial Pressure (MPa)</t>
  </si>
  <si>
    <t>Rate (kg s^-1)</t>
  </si>
  <si>
    <t>Number of Particles</t>
  </si>
  <si>
    <t>Initial Mass of Soot (kg)</t>
  </si>
  <si>
    <t>Surface Area</t>
  </si>
  <si>
    <t>Qin TGA Data (2013)</t>
  </si>
  <si>
    <t>10% CO2</t>
  </si>
  <si>
    <t>50% CO2</t>
  </si>
  <si>
    <t>90% CO2</t>
  </si>
  <si>
    <t>TG (%)</t>
  </si>
  <si>
    <t>Heating Rate (C/min)</t>
  </si>
  <si>
    <t>Sample Size (kg)</t>
  </si>
  <si>
    <t># of Particles</t>
  </si>
  <si>
    <t>Mass Remaining (kg)</t>
  </si>
  <si>
    <t>Volume (m^3)</t>
  </si>
  <si>
    <t>Abian TGA Data (2012)</t>
  </si>
  <si>
    <t>Rate (s^-1)</t>
  </si>
  <si>
    <t>Heating Rate (K/min)</t>
  </si>
  <si>
    <t>CO2 Partial Pressure (atm)</t>
  </si>
  <si>
    <t>CO2 Partial 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</si>
</sst>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00"/>
    <numFmt numFmtId="166" formatCode="0.000"/>
    <numFmt numFmtId="168" formatCode="0.0"/>
    <numFmt numFmtId="170" formatCode="0.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1" fontId="0" fillId="0" borderId="5" xfId="0" applyNumberFormat="1" applyBorder="1"/>
    <xf numFmtId="11" fontId="0" fillId="0" borderId="8" xfId="0" applyNumberFormat="1" applyBorder="1"/>
    <xf numFmtId="0" fontId="0" fillId="0" borderId="9" xfId="0" applyBorder="1"/>
    <xf numFmtId="0" fontId="0" fillId="0" borderId="1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10" xfId="0" applyFill="1" applyBorder="1" applyAlignment="1">
      <alignment horizontal="center"/>
    </xf>
    <xf numFmtId="11" fontId="0" fillId="0" borderId="4" xfId="0" applyNumberFormat="1" applyBorder="1"/>
    <xf numFmtId="11" fontId="0" fillId="0" borderId="6" xfId="0" applyNumberFormat="1" applyBorder="1"/>
    <xf numFmtId="0" fontId="0" fillId="0" borderId="0" xfId="0" applyFill="1" applyBorder="1"/>
    <xf numFmtId="0" fontId="3" fillId="0" borderId="0" xfId="0" applyFont="1"/>
    <xf numFmtId="0" fontId="0" fillId="0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4" fillId="0" borderId="0" xfId="0" applyFont="1" applyBorder="1"/>
    <xf numFmtId="0" fontId="4" fillId="0" borderId="0" xfId="0" applyNumberFormat="1" applyFont="1" applyBorder="1"/>
    <xf numFmtId="164" fontId="4" fillId="0" borderId="0" xfId="0" applyNumberFormat="1" applyFont="1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7" xfId="0" applyNumberFormat="1" applyBorder="1"/>
    <xf numFmtId="0" fontId="0" fillId="0" borderId="5" xfId="0" applyFont="1" applyBorder="1"/>
    <xf numFmtId="165" fontId="0" fillId="0" borderId="0" xfId="0" applyNumberFormat="1" applyBorder="1"/>
    <xf numFmtId="165" fontId="0" fillId="0" borderId="7" xfId="0" applyNumberFormat="1" applyBorder="1"/>
    <xf numFmtId="0" fontId="0" fillId="0" borderId="5" xfId="0" applyFont="1" applyFill="1" applyBorder="1"/>
    <xf numFmtId="0" fontId="4" fillId="0" borderId="7" xfId="0" applyFont="1" applyBorder="1"/>
    <xf numFmtId="11" fontId="0" fillId="0" borderId="10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66" fontId="0" fillId="0" borderId="0" xfId="0" applyNumberFormat="1"/>
    <xf numFmtId="168" fontId="0" fillId="0" borderId="4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168" fontId="0" fillId="0" borderId="6" xfId="0" applyNumberFormat="1" applyBorder="1"/>
    <xf numFmtId="2" fontId="0" fillId="0" borderId="7" xfId="0" applyNumberFormat="1" applyBorder="1"/>
    <xf numFmtId="166" fontId="0" fillId="0" borderId="7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0" fillId="0" borderId="6" xfId="0" applyFill="1" applyBorder="1"/>
    <xf numFmtId="2" fontId="0" fillId="0" borderId="4" xfId="0" applyNumberFormat="1" applyFill="1" applyBorder="1" applyAlignment="1">
      <alignment horizontal="center"/>
    </xf>
    <xf numFmtId="2" fontId="0" fillId="0" borderId="4" xfId="0" applyNumberFormat="1" applyBorder="1"/>
    <xf numFmtId="2" fontId="0" fillId="0" borderId="6" xfId="0" applyNumberFormat="1" applyBorder="1"/>
    <xf numFmtId="2" fontId="0" fillId="0" borderId="4" xfId="0" applyNumberFormat="1" applyFill="1" applyBorder="1"/>
    <xf numFmtId="170" fontId="0" fillId="0" borderId="0" xfId="0" applyNumberFormat="1" applyBorder="1"/>
    <xf numFmtId="166" fontId="0" fillId="0" borderId="0" xfId="0" applyNumberFormat="1" applyFill="1" applyBorder="1" applyAlignment="1">
      <alignment horizontal="center"/>
    </xf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K50"/>
  <sheetViews>
    <sheetView topLeftCell="BV1" workbookViewId="0">
      <selection activeCell="BZ2" sqref="BZ2:CH18"/>
    </sheetView>
  </sheetViews>
  <sheetFormatPr baseColWidth="10" defaultRowHeight="15" x14ac:dyDescent="0"/>
  <cols>
    <col min="2" max="2" width="32.1640625" bestFit="1" customWidth="1"/>
    <col min="3" max="3" width="28.1640625" bestFit="1" customWidth="1"/>
    <col min="4" max="4" width="14.6640625" bestFit="1" customWidth="1"/>
    <col min="5" max="5" width="17" bestFit="1" customWidth="1"/>
    <col min="6" max="6" width="20.33203125" bestFit="1" customWidth="1"/>
    <col min="7" max="7" width="20.6640625" bestFit="1" customWidth="1"/>
    <col min="8" max="8" width="16.83203125" bestFit="1" customWidth="1"/>
    <col min="9" max="9" width="32.1640625" bestFit="1" customWidth="1"/>
    <col min="10" max="10" width="28.1640625" bestFit="1" customWidth="1"/>
    <col min="11" max="11" width="14.6640625" bestFit="1" customWidth="1"/>
    <col min="12" max="12" width="17" bestFit="1" customWidth="1"/>
    <col min="13" max="13" width="20.33203125" bestFit="1" customWidth="1"/>
    <col min="14" max="14" width="20.6640625" bestFit="1" customWidth="1"/>
    <col min="16" max="16" width="14.6640625" bestFit="1" customWidth="1"/>
    <col min="17" max="17" width="32.83203125" bestFit="1" customWidth="1"/>
    <col min="18" max="18" width="15.33203125" bestFit="1" customWidth="1"/>
    <col min="19" max="19" width="15.5" bestFit="1" customWidth="1"/>
    <col min="20" max="20" width="14.6640625" bestFit="1" customWidth="1"/>
    <col min="21" max="21" width="18" bestFit="1" customWidth="1"/>
    <col min="22" max="22" width="16.83203125" bestFit="1" customWidth="1"/>
    <col min="23" max="23" width="17" bestFit="1" customWidth="1"/>
    <col min="25" max="25" width="14.6640625" bestFit="1" customWidth="1"/>
    <col min="26" max="26" width="17" bestFit="1" customWidth="1"/>
    <col min="27" max="27" width="14.6640625" bestFit="1" customWidth="1"/>
    <col min="28" max="28" width="17" bestFit="1" customWidth="1"/>
    <col min="29" max="29" width="20.33203125" bestFit="1" customWidth="1"/>
    <col min="30" max="30" width="20.6640625" bestFit="1" customWidth="1"/>
    <col min="32" max="32" width="14.6640625" bestFit="1" customWidth="1"/>
    <col min="33" max="33" width="26.5" bestFit="1" customWidth="1"/>
    <col min="34" max="34" width="26.1640625" bestFit="1" customWidth="1"/>
    <col min="35" max="35" width="16.33203125" bestFit="1" customWidth="1"/>
    <col min="36" max="36" width="19.6640625" bestFit="1" customWidth="1"/>
    <col min="37" max="37" width="14.6640625" bestFit="1" customWidth="1"/>
    <col min="38" max="38" width="17" bestFit="1" customWidth="1"/>
    <col min="39" max="39" width="20.33203125" bestFit="1" customWidth="1"/>
    <col min="40" max="40" width="20.6640625" bestFit="1" customWidth="1"/>
    <col min="42" max="42" width="14.83203125" customWidth="1"/>
    <col min="43" max="43" width="22.5" bestFit="1" customWidth="1"/>
    <col min="44" max="45" width="19.6640625" bestFit="1" customWidth="1"/>
    <col min="46" max="46" width="14.6640625" bestFit="1" customWidth="1"/>
    <col min="47" max="47" width="17" bestFit="1" customWidth="1"/>
    <col min="48" max="48" width="20.33203125" bestFit="1" customWidth="1"/>
    <col min="49" max="49" width="20.6640625" bestFit="1" customWidth="1"/>
    <col min="51" max="51" width="14.6640625" bestFit="1" customWidth="1"/>
    <col min="52" max="52" width="19.1640625" bestFit="1" customWidth="1"/>
    <col min="53" max="53" width="19.33203125" bestFit="1" customWidth="1"/>
    <col min="54" max="54" width="20.33203125" bestFit="1" customWidth="1"/>
    <col min="55" max="55" width="20.6640625" bestFit="1" customWidth="1"/>
    <col min="56" max="56" width="14.6640625" bestFit="1" customWidth="1"/>
    <col min="57" max="57" width="17" bestFit="1" customWidth="1"/>
    <col min="58" max="58" width="20.33203125" bestFit="1" customWidth="1"/>
    <col min="59" max="59" width="20.6640625" bestFit="1" customWidth="1"/>
    <col min="61" max="61" width="14.6640625" bestFit="1" customWidth="1"/>
    <col min="62" max="62" width="19.1640625" bestFit="1" customWidth="1"/>
    <col min="63" max="63" width="19.33203125" bestFit="1" customWidth="1"/>
    <col min="64" max="64" width="20.33203125" bestFit="1" customWidth="1"/>
    <col min="65" max="65" width="20.6640625" bestFit="1" customWidth="1"/>
    <col min="66" max="66" width="14.6640625" bestFit="1" customWidth="1"/>
    <col min="67" max="67" width="17" bestFit="1" customWidth="1"/>
    <col min="68" max="68" width="20.33203125" bestFit="1" customWidth="1"/>
    <col min="69" max="69" width="20.6640625" bestFit="1" customWidth="1"/>
    <col min="71" max="71" width="27.1640625" bestFit="1" customWidth="1"/>
    <col min="72" max="72" width="27.83203125" bestFit="1" customWidth="1"/>
    <col min="73" max="73" width="14.6640625" bestFit="1" customWidth="1"/>
    <col min="74" max="74" width="17" bestFit="1" customWidth="1"/>
    <col min="75" max="75" width="20.33203125" bestFit="1" customWidth="1"/>
    <col min="76" max="76" width="20.6640625" bestFit="1" customWidth="1"/>
    <col min="78" max="78" width="14.6640625" bestFit="1" customWidth="1"/>
    <col min="79" max="79" width="19.1640625" bestFit="1" customWidth="1"/>
    <col min="80" max="80" width="19.33203125" bestFit="1" customWidth="1"/>
    <col min="81" max="81" width="20.33203125" bestFit="1" customWidth="1"/>
    <col min="82" max="82" width="20.6640625" bestFit="1" customWidth="1"/>
    <col min="83" max="83" width="14.6640625" bestFit="1" customWidth="1"/>
    <col min="84" max="84" width="17" bestFit="1" customWidth="1"/>
    <col min="85" max="85" width="20.33203125" bestFit="1" customWidth="1"/>
    <col min="86" max="86" width="20.6640625" bestFit="1" customWidth="1"/>
    <col min="88" max="88" width="14" customWidth="1"/>
    <col min="89" max="89" width="20.1640625" bestFit="1" customWidth="1"/>
    <col min="90" max="90" width="19.6640625" bestFit="1" customWidth="1"/>
    <col min="91" max="91" width="18.83203125" bestFit="1" customWidth="1"/>
    <col min="92" max="92" width="19.6640625" bestFit="1" customWidth="1"/>
    <col min="93" max="93" width="14.6640625" bestFit="1" customWidth="1"/>
    <col min="94" max="94" width="17" bestFit="1" customWidth="1"/>
    <col min="95" max="95" width="20.33203125" bestFit="1" customWidth="1"/>
    <col min="96" max="96" width="20.6640625" bestFit="1" customWidth="1"/>
    <col min="98" max="98" width="13.6640625" bestFit="1" customWidth="1"/>
    <col min="99" max="99" width="17.33203125" bestFit="1" customWidth="1"/>
    <col min="100" max="101" width="19.6640625" bestFit="1" customWidth="1"/>
    <col min="102" max="102" width="14.6640625" bestFit="1" customWidth="1"/>
    <col min="103" max="103" width="17" bestFit="1" customWidth="1"/>
    <col min="104" max="104" width="20.33203125" bestFit="1" customWidth="1"/>
    <col min="105" max="105" width="20.6640625" bestFit="1" customWidth="1"/>
    <col min="107" max="107" width="14.6640625" bestFit="1" customWidth="1"/>
    <col min="108" max="108" width="19.1640625" bestFit="1" customWidth="1"/>
    <col min="109" max="109" width="19.33203125" bestFit="1" customWidth="1"/>
    <col min="110" max="110" width="20.33203125" bestFit="1" customWidth="1"/>
    <col min="111" max="111" width="20.6640625" bestFit="1" customWidth="1"/>
    <col min="112" max="112" width="14.6640625" bestFit="1" customWidth="1"/>
    <col min="113" max="113" width="17" bestFit="1" customWidth="1"/>
    <col min="114" max="114" width="20.33203125" bestFit="1" customWidth="1"/>
    <col min="115" max="115" width="20.6640625" bestFit="1" customWidth="1"/>
  </cols>
  <sheetData>
    <row r="2" spans="2:115">
      <c r="B2" s="35" t="s">
        <v>1</v>
      </c>
      <c r="C2" s="36"/>
      <c r="D2" s="36"/>
      <c r="E2" s="36"/>
      <c r="F2" s="36"/>
      <c r="G2" s="37"/>
      <c r="I2" s="35" t="s">
        <v>9</v>
      </c>
      <c r="J2" s="36"/>
      <c r="K2" s="36"/>
      <c r="L2" s="36"/>
      <c r="M2" s="36"/>
      <c r="N2" s="37"/>
      <c r="P2" s="35" t="s">
        <v>10</v>
      </c>
      <c r="Q2" s="36"/>
      <c r="R2" s="36"/>
      <c r="S2" s="36"/>
      <c r="T2" s="36"/>
      <c r="U2" s="36"/>
      <c r="V2" s="36"/>
      <c r="W2" s="37"/>
      <c r="Y2" s="35" t="s">
        <v>18</v>
      </c>
      <c r="Z2" s="36"/>
      <c r="AA2" s="36"/>
      <c r="AB2" s="36"/>
      <c r="AC2" s="36"/>
      <c r="AD2" s="37"/>
      <c r="AF2" s="38" t="s">
        <v>20</v>
      </c>
      <c r="AG2" s="39"/>
      <c r="AH2" s="39"/>
      <c r="AI2" s="39"/>
      <c r="AJ2" s="39"/>
      <c r="AK2" s="39"/>
      <c r="AL2" s="39"/>
      <c r="AM2" s="39"/>
      <c r="AN2" s="40"/>
      <c r="AP2" s="35" t="s">
        <v>30</v>
      </c>
      <c r="AQ2" s="36"/>
      <c r="AR2" s="36"/>
      <c r="AS2" s="36"/>
      <c r="AT2" s="36"/>
      <c r="AU2" s="36"/>
      <c r="AV2" s="36"/>
      <c r="AW2" s="37"/>
      <c r="AY2" s="35" t="s">
        <v>35</v>
      </c>
      <c r="AZ2" s="36"/>
      <c r="BA2" s="36"/>
      <c r="BB2" s="36"/>
      <c r="BC2" s="36"/>
      <c r="BD2" s="36"/>
      <c r="BE2" s="36"/>
      <c r="BF2" s="36"/>
      <c r="BG2" s="37"/>
      <c r="BI2" s="35" t="s">
        <v>36</v>
      </c>
      <c r="BJ2" s="36"/>
      <c r="BK2" s="36"/>
      <c r="BL2" s="36"/>
      <c r="BM2" s="36"/>
      <c r="BN2" s="36"/>
      <c r="BO2" s="36"/>
      <c r="BP2" s="36"/>
      <c r="BQ2" s="37"/>
      <c r="BS2" s="35" t="s">
        <v>37</v>
      </c>
      <c r="BT2" s="36"/>
      <c r="BU2" s="36"/>
      <c r="BV2" s="36"/>
      <c r="BW2" s="36"/>
      <c r="BX2" s="37"/>
      <c r="BZ2" s="38" t="s">
        <v>39</v>
      </c>
      <c r="CA2" s="39"/>
      <c r="CB2" s="39"/>
      <c r="CC2" s="39"/>
      <c r="CD2" s="39"/>
      <c r="CE2" s="39"/>
      <c r="CF2" s="39"/>
      <c r="CG2" s="39"/>
      <c r="CH2" s="40"/>
      <c r="CJ2" s="35" t="s">
        <v>40</v>
      </c>
      <c r="CK2" s="36"/>
      <c r="CL2" s="36"/>
      <c r="CM2" s="36"/>
      <c r="CN2" s="36"/>
      <c r="CO2" s="36"/>
      <c r="CP2" s="36"/>
      <c r="CQ2" s="36"/>
      <c r="CR2" s="37"/>
      <c r="CT2" s="38" t="s">
        <v>44</v>
      </c>
      <c r="CU2" s="39"/>
      <c r="CV2" s="39"/>
      <c r="CW2" s="39"/>
      <c r="CX2" s="39"/>
      <c r="CY2" s="39"/>
      <c r="CZ2" s="39"/>
      <c r="DA2" s="40"/>
      <c r="DC2" s="38" t="s">
        <v>47</v>
      </c>
      <c r="DD2" s="39"/>
      <c r="DE2" s="39"/>
      <c r="DF2" s="39"/>
      <c r="DG2" s="39"/>
      <c r="DH2" s="39"/>
      <c r="DI2" s="39"/>
      <c r="DJ2" s="39"/>
      <c r="DK2" s="40"/>
    </row>
    <row r="3" spans="2:115">
      <c r="B3" s="41" t="s">
        <v>0</v>
      </c>
      <c r="C3" s="42"/>
      <c r="D3" s="42" t="s">
        <v>4</v>
      </c>
      <c r="E3" s="42"/>
      <c r="F3" s="42"/>
      <c r="G3" s="43"/>
      <c r="I3" s="32" t="s">
        <v>0</v>
      </c>
      <c r="J3" s="34"/>
      <c r="K3" s="32" t="s">
        <v>4</v>
      </c>
      <c r="L3" s="33"/>
      <c r="M3" s="33"/>
      <c r="N3" s="34"/>
      <c r="P3" s="32" t="s">
        <v>0</v>
      </c>
      <c r="Q3" s="33"/>
      <c r="R3" s="33"/>
      <c r="S3" s="34"/>
      <c r="T3" s="32" t="s">
        <v>4</v>
      </c>
      <c r="U3" s="33"/>
      <c r="V3" s="33"/>
      <c r="W3" s="34"/>
      <c r="Y3" s="32" t="s">
        <v>0</v>
      </c>
      <c r="Z3" s="34"/>
      <c r="AA3" s="32" t="s">
        <v>4</v>
      </c>
      <c r="AB3" s="33"/>
      <c r="AC3" s="33"/>
      <c r="AD3" s="34"/>
      <c r="AF3" s="32" t="s">
        <v>0</v>
      </c>
      <c r="AG3" s="33"/>
      <c r="AH3" s="33"/>
      <c r="AI3" s="34"/>
      <c r="AJ3" s="22" t="s">
        <v>28</v>
      </c>
      <c r="AK3" s="32" t="s">
        <v>4</v>
      </c>
      <c r="AL3" s="33"/>
      <c r="AM3" s="33"/>
      <c r="AN3" s="34"/>
      <c r="AP3" s="32" t="s">
        <v>0</v>
      </c>
      <c r="AQ3" s="34"/>
      <c r="AR3" s="32" t="s">
        <v>15</v>
      </c>
      <c r="AS3" s="34"/>
      <c r="AT3" s="32" t="s">
        <v>4</v>
      </c>
      <c r="AU3" s="33"/>
      <c r="AV3" s="33"/>
      <c r="AW3" s="34"/>
      <c r="AY3" s="32" t="s">
        <v>0</v>
      </c>
      <c r="AZ3" s="33"/>
      <c r="BA3" s="33"/>
      <c r="BB3" s="33"/>
      <c r="BC3" s="34"/>
      <c r="BD3" s="32" t="s">
        <v>4</v>
      </c>
      <c r="BE3" s="33"/>
      <c r="BF3" s="33"/>
      <c r="BG3" s="34"/>
      <c r="BI3" s="32" t="s">
        <v>0</v>
      </c>
      <c r="BJ3" s="33"/>
      <c r="BK3" s="33"/>
      <c r="BL3" s="33"/>
      <c r="BM3" s="34"/>
      <c r="BN3" s="32" t="s">
        <v>4</v>
      </c>
      <c r="BO3" s="33"/>
      <c r="BP3" s="33"/>
      <c r="BQ3" s="34"/>
      <c r="BS3" s="32" t="s">
        <v>0</v>
      </c>
      <c r="BT3" s="34"/>
      <c r="BU3" s="32" t="s">
        <v>4</v>
      </c>
      <c r="BV3" s="33"/>
      <c r="BW3" s="33"/>
      <c r="BX3" s="34"/>
      <c r="BZ3" s="32" t="s">
        <v>0</v>
      </c>
      <c r="CA3" s="33"/>
      <c r="CB3" s="33"/>
      <c r="CC3" s="33"/>
      <c r="CD3" s="34"/>
      <c r="CE3" s="32" t="s">
        <v>4</v>
      </c>
      <c r="CF3" s="33"/>
      <c r="CG3" s="33"/>
      <c r="CH3" s="34"/>
      <c r="CJ3" s="32" t="s">
        <v>0</v>
      </c>
      <c r="CK3" s="33"/>
      <c r="CL3" s="33"/>
      <c r="CM3" s="34"/>
      <c r="CN3" s="22" t="s">
        <v>15</v>
      </c>
      <c r="CO3" s="32" t="s">
        <v>4</v>
      </c>
      <c r="CP3" s="33"/>
      <c r="CQ3" s="33"/>
      <c r="CR3" s="34"/>
      <c r="CT3" s="32" t="s">
        <v>0</v>
      </c>
      <c r="CU3" s="34"/>
      <c r="CV3" s="32" t="s">
        <v>15</v>
      </c>
      <c r="CW3" s="34"/>
      <c r="CX3" s="32" t="s">
        <v>4</v>
      </c>
      <c r="CY3" s="33"/>
      <c r="CZ3" s="33"/>
      <c r="DA3" s="34"/>
      <c r="DC3" s="32" t="s">
        <v>0</v>
      </c>
      <c r="DD3" s="33"/>
      <c r="DE3" s="33"/>
      <c r="DF3" s="33"/>
      <c r="DG3" s="34"/>
      <c r="DH3" s="32" t="s">
        <v>4</v>
      </c>
      <c r="DI3" s="33"/>
      <c r="DJ3" s="33"/>
      <c r="DK3" s="34"/>
    </row>
    <row r="4" spans="2:115">
      <c r="B4" s="3" t="s">
        <v>2</v>
      </c>
      <c r="C4" s="18" t="s">
        <v>3</v>
      </c>
      <c r="D4" s="4" t="s">
        <v>5</v>
      </c>
      <c r="E4" s="4" t="s">
        <v>6</v>
      </c>
      <c r="F4" s="4" t="s">
        <v>7</v>
      </c>
      <c r="G4" s="5" t="s">
        <v>8</v>
      </c>
      <c r="I4" s="3" t="s">
        <v>2</v>
      </c>
      <c r="J4" s="19" t="s">
        <v>3</v>
      </c>
      <c r="K4" s="3" t="s">
        <v>5</v>
      </c>
      <c r="L4" s="4" t="s">
        <v>6</v>
      </c>
      <c r="M4" s="4" t="s">
        <v>7</v>
      </c>
      <c r="N4" s="5" t="s">
        <v>8</v>
      </c>
      <c r="P4" s="3" t="s">
        <v>5</v>
      </c>
      <c r="Q4" s="4" t="s">
        <v>11</v>
      </c>
      <c r="R4" s="4" t="s">
        <v>12</v>
      </c>
      <c r="S4" s="5" t="s">
        <v>13</v>
      </c>
      <c r="T4" s="3" t="s">
        <v>5</v>
      </c>
      <c r="U4" s="4" t="s">
        <v>14</v>
      </c>
      <c r="V4" s="4" t="s">
        <v>16</v>
      </c>
      <c r="W4" s="5" t="s">
        <v>17</v>
      </c>
      <c r="Y4" s="6" t="s">
        <v>5</v>
      </c>
      <c r="Z4" s="8" t="s">
        <v>19</v>
      </c>
      <c r="AA4" s="3" t="s">
        <v>5</v>
      </c>
      <c r="AB4" s="4" t="s">
        <v>6</v>
      </c>
      <c r="AC4" s="4" t="s">
        <v>7</v>
      </c>
      <c r="AD4" s="5" t="s">
        <v>8</v>
      </c>
      <c r="AF4" s="6" t="s">
        <v>21</v>
      </c>
      <c r="AG4" s="7" t="s">
        <v>25</v>
      </c>
      <c r="AH4" s="7" t="s">
        <v>26</v>
      </c>
      <c r="AI4" s="8" t="s">
        <v>27</v>
      </c>
      <c r="AJ4" s="23" t="s">
        <v>29</v>
      </c>
      <c r="AK4" s="3" t="s">
        <v>5</v>
      </c>
      <c r="AL4" s="4" t="s">
        <v>6</v>
      </c>
      <c r="AM4" s="4" t="s">
        <v>7</v>
      </c>
      <c r="AN4" s="5" t="s">
        <v>8</v>
      </c>
      <c r="AP4" s="29" t="s">
        <v>21</v>
      </c>
      <c r="AQ4" s="30" t="s">
        <v>31</v>
      </c>
      <c r="AR4" s="28" t="s">
        <v>29</v>
      </c>
      <c r="AS4" s="30" t="s">
        <v>32</v>
      </c>
      <c r="AT4" s="4" t="s">
        <v>5</v>
      </c>
      <c r="AU4" s="4" t="s">
        <v>6</v>
      </c>
      <c r="AV4" s="4" t="s">
        <v>7</v>
      </c>
      <c r="AW4" s="5" t="s">
        <v>8</v>
      </c>
      <c r="AY4" s="29" t="s">
        <v>5</v>
      </c>
      <c r="AZ4" s="27" t="s">
        <v>33</v>
      </c>
      <c r="BA4" s="27" t="s">
        <v>34</v>
      </c>
      <c r="BB4" s="27" t="s">
        <v>7</v>
      </c>
      <c r="BC4" s="30" t="s">
        <v>8</v>
      </c>
      <c r="BD4" s="3" t="s">
        <v>5</v>
      </c>
      <c r="BE4" s="4" t="s">
        <v>6</v>
      </c>
      <c r="BF4" s="4" t="s">
        <v>7</v>
      </c>
      <c r="BG4" s="5" t="s">
        <v>8</v>
      </c>
      <c r="BI4" s="29" t="s">
        <v>5</v>
      </c>
      <c r="BJ4" s="27" t="s">
        <v>33</v>
      </c>
      <c r="BK4" s="27" t="s">
        <v>34</v>
      </c>
      <c r="BL4" s="27" t="s">
        <v>7</v>
      </c>
      <c r="BM4" s="30" t="s">
        <v>8</v>
      </c>
      <c r="BN4" s="3" t="s">
        <v>5</v>
      </c>
      <c r="BO4" s="4" t="s">
        <v>6</v>
      </c>
      <c r="BP4" s="4" t="s">
        <v>7</v>
      </c>
      <c r="BQ4" s="5" t="s">
        <v>8</v>
      </c>
      <c r="BS4" s="29" t="s">
        <v>5</v>
      </c>
      <c r="BT4" s="30" t="s">
        <v>38</v>
      </c>
      <c r="BU4" s="14" t="s">
        <v>5</v>
      </c>
      <c r="BV4" s="15" t="s">
        <v>6</v>
      </c>
      <c r="BW4" s="15" t="s">
        <v>7</v>
      </c>
      <c r="BX4" s="16" t="s">
        <v>8</v>
      </c>
      <c r="BZ4" s="29" t="s">
        <v>5</v>
      </c>
      <c r="CA4" s="27" t="s">
        <v>33</v>
      </c>
      <c r="CB4" s="27" t="s">
        <v>34</v>
      </c>
      <c r="CC4" s="27" t="s">
        <v>7</v>
      </c>
      <c r="CD4" s="30" t="s">
        <v>8</v>
      </c>
      <c r="CE4" s="14" t="s">
        <v>5</v>
      </c>
      <c r="CF4" s="15" t="s">
        <v>6</v>
      </c>
      <c r="CG4" s="15" t="s">
        <v>7</v>
      </c>
      <c r="CH4" s="16" t="s">
        <v>8</v>
      </c>
      <c r="CJ4" s="29" t="s">
        <v>5</v>
      </c>
      <c r="CK4" s="27" t="s">
        <v>41</v>
      </c>
      <c r="CL4" s="27" t="s">
        <v>32</v>
      </c>
      <c r="CM4" s="30" t="s">
        <v>42</v>
      </c>
      <c r="CN4" s="45" t="s">
        <v>29</v>
      </c>
      <c r="CO4" s="14" t="s">
        <v>5</v>
      </c>
      <c r="CP4" s="15" t="s">
        <v>6</v>
      </c>
      <c r="CQ4" s="15" t="s">
        <v>7</v>
      </c>
      <c r="CR4" s="16" t="s">
        <v>8</v>
      </c>
      <c r="CT4" s="29" t="s">
        <v>45</v>
      </c>
      <c r="CU4" s="30" t="s">
        <v>46</v>
      </c>
      <c r="CV4" s="29" t="s">
        <v>32</v>
      </c>
      <c r="CW4" s="30" t="s">
        <v>29</v>
      </c>
      <c r="CX4" s="14" t="s">
        <v>5</v>
      </c>
      <c r="CY4" s="15" t="s">
        <v>6</v>
      </c>
      <c r="CZ4" s="15" t="s">
        <v>7</v>
      </c>
      <c r="DA4" s="16" t="s">
        <v>8</v>
      </c>
      <c r="DC4" s="29" t="s">
        <v>5</v>
      </c>
      <c r="DD4" s="27" t="s">
        <v>33</v>
      </c>
      <c r="DE4" s="27" t="s">
        <v>34</v>
      </c>
      <c r="DF4" s="27" t="s">
        <v>7</v>
      </c>
      <c r="DG4" s="30" t="s">
        <v>8</v>
      </c>
      <c r="DH4" s="14" t="s">
        <v>5</v>
      </c>
      <c r="DI4" s="15" t="s">
        <v>6</v>
      </c>
      <c r="DJ4" s="15" t="s">
        <v>7</v>
      </c>
      <c r="DK4" s="16" t="s">
        <v>8</v>
      </c>
    </row>
    <row r="5" spans="2:115">
      <c r="B5" s="6">
        <v>9.0299999999999994</v>
      </c>
      <c r="C5" s="7">
        <v>5.71</v>
      </c>
      <c r="D5" s="7">
        <f>1/B5*10^4</f>
        <v>1107.419712070875</v>
      </c>
      <c r="E5" s="9">
        <f>10^-C5</f>
        <v>1.9498445997580441E-6</v>
      </c>
      <c r="F5" s="7">
        <v>9543.6700275000003</v>
      </c>
      <c r="G5" s="8">
        <v>3.0041646599999999E-2</v>
      </c>
      <c r="I5" s="6">
        <v>12.82</v>
      </c>
      <c r="J5" s="8">
        <v>9.14</v>
      </c>
      <c r="K5" s="6">
        <f t="shared" ref="K5:K15" si="0">1/I5*10^4</f>
        <v>780.03120124804991</v>
      </c>
      <c r="L5" s="9">
        <f t="shared" ref="L5:L15" si="1">10^-J5</f>
        <v>7.2443596007498633E-10</v>
      </c>
      <c r="M5" s="7">
        <v>20004.93621525</v>
      </c>
      <c r="N5" s="8">
        <v>0</v>
      </c>
      <c r="P5" s="6">
        <v>1690</v>
      </c>
      <c r="Q5" s="7">
        <v>620</v>
      </c>
      <c r="R5" s="7">
        <v>0.29499999999999998</v>
      </c>
      <c r="S5" s="8">
        <f>4*0.00053</f>
        <v>2.1199999999999999E-3</v>
      </c>
      <c r="T5" s="6">
        <f>P5</f>
        <v>1690</v>
      </c>
      <c r="U5" s="7">
        <f>Q5*10^-6*100^2/1000</f>
        <v>6.1999999999999998E-3</v>
      </c>
      <c r="V5" s="7">
        <f>R5*101325</f>
        <v>29890.875</v>
      </c>
      <c r="W5" s="8">
        <f>S5*101325</f>
        <v>214.809</v>
      </c>
      <c r="Y5" s="6">
        <v>1809</v>
      </c>
      <c r="Z5" s="20">
        <v>1.3899999999999999E-4</v>
      </c>
      <c r="AA5" s="6">
        <f>Y5</f>
        <v>1809</v>
      </c>
      <c r="AB5" s="9">
        <f>Z5*10^4/1000</f>
        <v>1.39E-3</v>
      </c>
      <c r="AC5" s="7">
        <v>14484.169623</v>
      </c>
      <c r="AD5" s="8">
        <v>51.295781249999997</v>
      </c>
      <c r="AF5" s="41" t="s">
        <v>22</v>
      </c>
      <c r="AG5" s="42"/>
      <c r="AH5" s="42"/>
      <c r="AI5" s="8">
        <v>1.4137200000000001</v>
      </c>
      <c r="AJ5" s="23">
        <v>1850</v>
      </c>
      <c r="AK5" s="6"/>
      <c r="AL5" s="7"/>
      <c r="AM5" s="7"/>
      <c r="AN5" s="8"/>
      <c r="AP5" s="6">
        <v>550</v>
      </c>
      <c r="AQ5" s="8">
        <v>-2.2000000000000002</v>
      </c>
      <c r="AR5" s="28">
        <v>1850</v>
      </c>
      <c r="AS5" s="31">
        <v>40</v>
      </c>
      <c r="AT5" s="7">
        <f>AP5+273.15</f>
        <v>823.15</v>
      </c>
      <c r="AU5" s="7">
        <f>EXP(AQ5)*(AV5/101325)^0.75*$AR$5*$AS$5*10^-9/6</f>
        <v>3.7816068075460744E-7</v>
      </c>
      <c r="AV5" s="7">
        <v>18271.531950000001</v>
      </c>
      <c r="AW5" s="8">
        <v>0</v>
      </c>
      <c r="AY5" s="6">
        <v>1740</v>
      </c>
      <c r="AZ5" s="9">
        <v>4.7999999999999996E-3</v>
      </c>
      <c r="BA5" s="9">
        <v>2.7E-2</v>
      </c>
      <c r="BB5" s="7">
        <f>0.0075*101325</f>
        <v>759.9375</v>
      </c>
      <c r="BC5" s="8">
        <f>0.0003*101325</f>
        <v>30.397499999999997</v>
      </c>
      <c r="BD5" s="6">
        <f>AY5</f>
        <v>1740</v>
      </c>
      <c r="BE5" s="7">
        <f>(0.012*AZ5*BB5)/(2*PI()*0.032*8.314462175*AY5)^0.5+(0.006*BA5*BC5)/(2*PI()*0.017*8.314462175*AY5)^0.5</f>
        <v>9.3687307748317522E-4</v>
      </c>
      <c r="BF5" s="7">
        <f>BB5</f>
        <v>759.9375</v>
      </c>
      <c r="BG5" s="8">
        <f>BC5</f>
        <v>30.397499999999997</v>
      </c>
      <c r="BI5" s="6">
        <v>1892</v>
      </c>
      <c r="BJ5" s="9">
        <v>2.8E-3</v>
      </c>
      <c r="BK5" s="9">
        <v>0.04</v>
      </c>
      <c r="BL5" s="9">
        <f>0.0025*101325</f>
        <v>253.3125</v>
      </c>
      <c r="BM5" s="8">
        <f>0.000002*101325</f>
        <v>0.20265</v>
      </c>
      <c r="BN5" s="6">
        <f>BI5</f>
        <v>1892</v>
      </c>
      <c r="BO5" s="7">
        <f>(0.012*BJ5*BL5)/(2*PI()*0.032*8.314462175*BI5)^0.5+(0.006*BK5*BM5)/(2*PI()*0.017*8.314462175*BI5)^0.5</f>
        <v>1.5252635480761468E-4</v>
      </c>
      <c r="BP5" s="7">
        <f t="shared" ref="BP5:BQ7" si="2">BL5</f>
        <v>253.3125</v>
      </c>
      <c r="BQ5" s="8">
        <f t="shared" si="2"/>
        <v>0.20265</v>
      </c>
      <c r="BS5" s="6">
        <v>1315</v>
      </c>
      <c r="BT5" s="8">
        <v>5.0000000000000002E-5</v>
      </c>
      <c r="BU5" s="7">
        <f>BS5</f>
        <v>1315</v>
      </c>
      <c r="BV5" s="7">
        <f>BT5*100^2*BW5/101325/1000</f>
        <v>1.1470798E-4</v>
      </c>
      <c r="BW5" s="7">
        <v>23245.572146999999</v>
      </c>
      <c r="BX5" s="8">
        <v>1.5986554712100001</v>
      </c>
      <c r="BZ5" s="6">
        <v>1850</v>
      </c>
      <c r="CA5" s="7">
        <v>0.5</v>
      </c>
      <c r="CB5" s="7">
        <v>0.23</v>
      </c>
      <c r="CC5" s="7">
        <v>283.70999999999998</v>
      </c>
      <c r="CD5" s="7">
        <v>344.505</v>
      </c>
      <c r="CE5" s="6">
        <f>BZ5</f>
        <v>1850</v>
      </c>
      <c r="CF5" s="7">
        <f>(0.012*CA5*CC5)/(2*PI()*0.032*8.314462175*BZ5)^0.5+(0.006*CB5*CD5)/(2*PI()*0.017*8.314462175*BZ5)^0.5</f>
        <v>4.2338525960244677E-2</v>
      </c>
      <c r="CG5" s="7">
        <f t="shared" ref="CG5:CG18" si="3">CC5</f>
        <v>283.70999999999998</v>
      </c>
      <c r="CH5" s="8">
        <f t="shared" ref="CH5:CH18" si="4">CD5</f>
        <v>344.505</v>
      </c>
      <c r="CJ5" s="6">
        <v>1774</v>
      </c>
      <c r="CK5" s="7">
        <v>3.5000000000000001E-3</v>
      </c>
      <c r="CL5" s="7">
        <v>4.5</v>
      </c>
      <c r="CM5" s="20">
        <v>2.7999999999999999E-6</v>
      </c>
      <c r="CN5" s="24">
        <v>1850</v>
      </c>
      <c r="CO5" s="7">
        <f>CJ5</f>
        <v>1774</v>
      </c>
      <c r="CP5" s="9">
        <f>CL5*10^-9*CK5*$CN$5/(6*CM5*150)</f>
        <v>1.1562500000000005E-5</v>
      </c>
      <c r="CQ5" s="7">
        <v>19408.917234</v>
      </c>
      <c r="CR5" s="8">
        <v>22.42621584315</v>
      </c>
      <c r="CT5" s="6">
        <v>550</v>
      </c>
      <c r="CU5" s="20">
        <v>1.0999999999999999E-8</v>
      </c>
      <c r="CV5" s="46">
        <v>40</v>
      </c>
      <c r="CW5" s="8">
        <v>1850</v>
      </c>
      <c r="CX5" s="6">
        <f>CT5+273.15</f>
        <v>823.15</v>
      </c>
      <c r="CY5" s="9">
        <f>CU5*CZ5*$CV$5*10^-9*$CW$5</f>
        <v>8.2477362308880002E-9</v>
      </c>
      <c r="CZ5" s="9">
        <v>10132.354092</v>
      </c>
      <c r="DA5" s="8">
        <v>0</v>
      </c>
      <c r="DC5" s="46">
        <v>1775</v>
      </c>
      <c r="DD5" s="7">
        <v>1.4999999999999999E-2</v>
      </c>
      <c r="DE5" s="7">
        <v>3.5999999999999997E-2</v>
      </c>
      <c r="DF5" s="9">
        <v>50.662500000000001</v>
      </c>
      <c r="DG5" s="20">
        <v>8.1059999999999999</v>
      </c>
      <c r="DH5" s="9">
        <f>DC5</f>
        <v>1775</v>
      </c>
      <c r="DI5" s="9">
        <f>(0.012*DD5*DF5)/(2*PI()*0.032*8.314462175*DC5)^0.5+(0.006*DE5*DG5)/(2*PI()*0.017*8.314462175*DC5)^0.5</f>
        <v>2.1150776414217116E-4</v>
      </c>
      <c r="DJ5" s="9">
        <f>DF5</f>
        <v>50.662500000000001</v>
      </c>
      <c r="DK5" s="20">
        <f>DG5</f>
        <v>8.1059999999999999</v>
      </c>
    </row>
    <row r="6" spans="2:115">
      <c r="B6" s="6">
        <v>9.25</v>
      </c>
      <c r="C6" s="7">
        <v>5.93</v>
      </c>
      <c r="D6" s="7">
        <f t="shared" ref="D6:D7" si="5">1/B6*10^4</f>
        <v>1081.081081081081</v>
      </c>
      <c r="E6" s="9">
        <f t="shared" ref="E6:E7" si="6">10^-C6</f>
        <v>1.1748975549395291E-6</v>
      </c>
      <c r="F6" s="7">
        <v>9544.4097000000002</v>
      </c>
      <c r="G6" s="8">
        <v>2.031627045E-2</v>
      </c>
      <c r="I6" s="6">
        <v>12.11</v>
      </c>
      <c r="J6" s="8">
        <v>8.93</v>
      </c>
      <c r="K6" s="6">
        <f t="shared" si="0"/>
        <v>825.7638315441784</v>
      </c>
      <c r="L6" s="9">
        <f t="shared" si="1"/>
        <v>1.1748975549395295E-9</v>
      </c>
      <c r="M6" s="7">
        <v>20004.929122500002</v>
      </c>
      <c r="N6" s="8">
        <v>0</v>
      </c>
      <c r="P6" s="6">
        <v>1530</v>
      </c>
      <c r="Q6" s="7">
        <v>310</v>
      </c>
      <c r="R6" s="7">
        <v>0.14899999999999999</v>
      </c>
      <c r="S6" s="8">
        <f>8*0.00012</f>
        <v>9.6000000000000002E-4</v>
      </c>
      <c r="T6" s="6">
        <f>P6</f>
        <v>1530</v>
      </c>
      <c r="U6" s="7">
        <f t="shared" ref="U6:U7" si="7">Q6*10^-6*100^2/1000</f>
        <v>3.0999999999999999E-3</v>
      </c>
      <c r="V6" s="7">
        <f t="shared" ref="V6:V7" si="8">R6*101325</f>
        <v>15097.424999999999</v>
      </c>
      <c r="W6" s="8">
        <f t="shared" ref="W6:W7" si="9">S6*101325</f>
        <v>97.272000000000006</v>
      </c>
      <c r="Y6" s="6">
        <v>1817</v>
      </c>
      <c r="Z6" s="20">
        <v>3.4900000000000003E-4</v>
      </c>
      <c r="AA6" s="6">
        <f t="shared" ref="AA6:AA10" si="10">Y6</f>
        <v>1817</v>
      </c>
      <c r="AB6" s="9">
        <f t="shared" ref="AB6:AB10" si="11">Z6*10^4/1000</f>
        <v>3.49E-3</v>
      </c>
      <c r="AC6" s="7">
        <v>14478.55317825</v>
      </c>
      <c r="AD6" s="8">
        <v>53.788376249999999</v>
      </c>
      <c r="AF6" s="6">
        <v>500</v>
      </c>
      <c r="AG6" s="7">
        <v>40</v>
      </c>
      <c r="AH6" s="7">
        <v>39.700000000000003</v>
      </c>
      <c r="AI6" s="8"/>
      <c r="AJ6" s="24"/>
      <c r="AK6" s="6">
        <f t="shared" ref="AK6:AK12" si="12">AF6+273.15</f>
        <v>773.15</v>
      </c>
      <c r="AL6" s="7">
        <f>$AJ$5*(AG6-AH6)*10^-9/(2*$AI$5)</f>
        <v>1.9629063746710619E-7</v>
      </c>
      <c r="AM6" s="7">
        <v>21278.246960249999</v>
      </c>
      <c r="AN6" s="8">
        <v>0</v>
      </c>
      <c r="AP6" s="6">
        <v>575</v>
      </c>
      <c r="AQ6" s="8">
        <v>-1.75</v>
      </c>
      <c r="AR6" s="6"/>
      <c r="AS6" s="8"/>
      <c r="AT6" s="7">
        <f t="shared" ref="AT6:AT10" si="13">AP6+273.15</f>
        <v>848.15</v>
      </c>
      <c r="AU6" s="7">
        <f t="shared" ref="AU6:AU10" si="14">EXP(AQ6)*(AV6/101325)^0.75*$AR$5*$AS$5*10^-9/6</f>
        <v>5.9307400370070855E-7</v>
      </c>
      <c r="AV6" s="7">
        <v>18271.531950000001</v>
      </c>
      <c r="AW6" s="8">
        <v>0</v>
      </c>
      <c r="AY6" s="10">
        <v>1735</v>
      </c>
      <c r="AZ6" s="12">
        <v>6.4999999999999997E-3</v>
      </c>
      <c r="BA6" s="12">
        <v>9.5000000000000001E-2</v>
      </c>
      <c r="BB6" s="11">
        <f>0.0075*101325</f>
        <v>759.9375</v>
      </c>
      <c r="BC6" s="13">
        <f>0.0001*101325</f>
        <v>10.1325</v>
      </c>
      <c r="BD6" s="10">
        <f>AY6</f>
        <v>1735</v>
      </c>
      <c r="BE6" s="11">
        <f>(0.012*AZ6*BB6)/(2*PI()*0.032*8.314462175*AY6)^0.5+(0.006*BA6*BC6)/(2*PI()*0.017*8.314462175*AY6)^0.5</f>
        <v>1.2477615050365243E-3</v>
      </c>
      <c r="BF6" s="11">
        <f>BB6</f>
        <v>759.9375</v>
      </c>
      <c r="BG6" s="13">
        <f>BC6</f>
        <v>10.1325</v>
      </c>
      <c r="BI6" s="6">
        <v>1900</v>
      </c>
      <c r="BJ6" s="9">
        <v>2.0999999999999999E-3</v>
      </c>
      <c r="BK6" s="9">
        <v>0.11</v>
      </c>
      <c r="BL6" s="7">
        <f>0.003*101325</f>
        <v>303.97500000000002</v>
      </c>
      <c r="BM6" s="8">
        <f>0.000015*101325</f>
        <v>1.5198750000000001</v>
      </c>
      <c r="BN6" s="6">
        <f>BI6</f>
        <v>1900</v>
      </c>
      <c r="BO6" s="7">
        <f t="shared" ref="BO6:BO7" si="15">(0.012*BJ6*BL6)/(2*PI()*0.032*8.314462175*BI6)^0.5+(0.006*BK6*BM6)/(2*PI()*0.017*8.314462175*BI6)^0.5</f>
        <v>1.6033870269081796E-4</v>
      </c>
      <c r="BP6" s="7">
        <f t="shared" si="2"/>
        <v>303.97500000000002</v>
      </c>
      <c r="BQ6" s="8">
        <f t="shared" si="2"/>
        <v>1.5198750000000001</v>
      </c>
      <c r="BS6" s="6">
        <v>1335</v>
      </c>
      <c r="BT6" s="8">
        <v>7.5000000000000007E-5</v>
      </c>
      <c r="BU6" s="7">
        <f t="shared" ref="BU6:BU50" si="16">BS6</f>
        <v>1335</v>
      </c>
      <c r="BV6" s="7">
        <f t="shared" ref="BV6:BV50" si="17">BT6*100^2*BW6/101325/1000</f>
        <v>1.7204266500000002E-4</v>
      </c>
      <c r="BW6" s="7">
        <v>23242.964041499999</v>
      </c>
      <c r="BX6" s="8">
        <v>1.9980777700800001</v>
      </c>
      <c r="BZ6" s="6">
        <v>1840</v>
      </c>
      <c r="CA6" s="7">
        <v>0.48</v>
      </c>
      <c r="CB6" s="7">
        <v>0.22</v>
      </c>
      <c r="CC6" s="7">
        <v>253.3125</v>
      </c>
      <c r="CD6" s="7">
        <v>334.3725</v>
      </c>
      <c r="CE6" s="6">
        <f t="shared" ref="CE6:CE18" si="18">BZ6</f>
        <v>1840</v>
      </c>
      <c r="CF6" s="7">
        <f t="shared" ref="CF6:CF18" si="19">(0.012*CA6*CC6)/(2*PI()*0.032*8.314462175*BZ6)^0.5+(0.006*CB6*CD6)/(2*PI()*0.017*8.314462175*BZ6)^0.5</f>
        <v>3.7226549636794837E-2</v>
      </c>
      <c r="CG6" s="7">
        <f t="shared" si="3"/>
        <v>253.3125</v>
      </c>
      <c r="CH6" s="8">
        <f t="shared" si="4"/>
        <v>334.3725</v>
      </c>
      <c r="CJ6" s="6">
        <v>1798</v>
      </c>
      <c r="CK6" s="7">
        <v>6.1000000000000004E-3</v>
      </c>
      <c r="CL6" s="7">
        <v>4.5</v>
      </c>
      <c r="CM6" s="20">
        <v>2.5000000000000002E-6</v>
      </c>
      <c r="CN6" s="24"/>
      <c r="CO6" s="7">
        <f t="shared" ref="CO6:CO19" si="20">CJ6</f>
        <v>1798</v>
      </c>
      <c r="CP6" s="9">
        <f t="shared" ref="CP6:CP19" si="21">CL6*10^-9*CK6*$CN$5/(6*CM6*150)</f>
        <v>2.2570000000000002E-5</v>
      </c>
      <c r="CQ6" s="7">
        <v>19391.466029250001</v>
      </c>
      <c r="CR6" s="8">
        <v>25.964921047274999</v>
      </c>
      <c r="CT6" s="6">
        <v>550</v>
      </c>
      <c r="CU6" s="20">
        <v>2.1999999999999998E-8</v>
      </c>
      <c r="CV6" s="46"/>
      <c r="CW6" s="8"/>
      <c r="CX6" s="6">
        <f t="shared" ref="CX6:CX22" si="22">CT6+273.15</f>
        <v>823.15</v>
      </c>
      <c r="CY6" s="9">
        <f t="shared" ref="CY6:CY22" si="23">CU6*CZ6*$CV$5*10^-9*$CW$5</f>
        <v>1.6495472461776E-8</v>
      </c>
      <c r="CZ6" s="9">
        <v>10132.354092</v>
      </c>
      <c r="DA6" s="8">
        <v>0</v>
      </c>
      <c r="DC6" s="46">
        <v>1725</v>
      </c>
      <c r="DD6" s="7">
        <v>0.02</v>
      </c>
      <c r="DE6" s="7">
        <v>0.25</v>
      </c>
      <c r="DF6" s="9">
        <v>8.1059999999999999</v>
      </c>
      <c r="DG6" s="20">
        <v>7.0927499999999997</v>
      </c>
      <c r="DH6" s="9">
        <f t="shared" ref="DH6:DH19" si="24">DC6</f>
        <v>1725</v>
      </c>
      <c r="DI6" s="9">
        <f t="shared" ref="DI6:DI19" si="25">(0.012*DD6*DF6)/(2*PI()*0.032*8.314462175*DC6)^0.5+(0.006*DE6*DG6)/(2*PI()*0.017*8.314462175*DC6)^0.5</f>
        <v>3.0804679102871174E-4</v>
      </c>
      <c r="DJ6" s="9">
        <f t="shared" ref="DJ6:DJ19" si="26">DF6</f>
        <v>8.1059999999999999</v>
      </c>
      <c r="DK6" s="20">
        <f t="shared" ref="DK6:DK19" si="27">DG6</f>
        <v>7.0927499999999997</v>
      </c>
    </row>
    <row r="7" spans="2:115">
      <c r="B7" s="10">
        <v>9.3699999999999992</v>
      </c>
      <c r="C7" s="11">
        <v>6.04</v>
      </c>
      <c r="D7" s="11">
        <f t="shared" si="5"/>
        <v>1067.2358591248667</v>
      </c>
      <c r="E7" s="12">
        <f t="shared" si="6"/>
        <v>9.12010839355909E-7</v>
      </c>
      <c r="F7" s="11">
        <v>9544.8757949999999</v>
      </c>
      <c r="G7" s="13">
        <v>1.51513299E-2</v>
      </c>
      <c r="I7" s="6">
        <v>11.26</v>
      </c>
      <c r="J7" s="8">
        <v>8.6300000000000008</v>
      </c>
      <c r="K7" s="6">
        <f t="shared" si="0"/>
        <v>888.09946714031969</v>
      </c>
      <c r="L7" s="9">
        <f t="shared" si="1"/>
        <v>2.3442288153199155E-9</v>
      </c>
      <c r="M7" s="7">
        <v>20004.93621525</v>
      </c>
      <c r="N7" s="8">
        <v>0</v>
      </c>
      <c r="P7" s="10">
        <v>1710</v>
      </c>
      <c r="Q7" s="11">
        <v>520</v>
      </c>
      <c r="R7" s="11">
        <v>3.7999999999999999E-2</v>
      </c>
      <c r="S7" s="13">
        <f>5*0.00038</f>
        <v>1.9000000000000002E-3</v>
      </c>
      <c r="T7" s="10">
        <f>P7</f>
        <v>1710</v>
      </c>
      <c r="U7" s="11">
        <f t="shared" si="7"/>
        <v>5.1999999999999989E-3</v>
      </c>
      <c r="V7" s="11">
        <f t="shared" si="8"/>
        <v>3850.35</v>
      </c>
      <c r="W7" s="13">
        <f t="shared" si="9"/>
        <v>192.51750000000001</v>
      </c>
      <c r="Y7" s="6">
        <v>1825</v>
      </c>
      <c r="Z7" s="20">
        <v>1.0020000000000001E-3</v>
      </c>
      <c r="AA7" s="6">
        <f t="shared" si="10"/>
        <v>1825</v>
      </c>
      <c r="AB7" s="9">
        <f t="shared" si="11"/>
        <v>1.0020000000000001E-2</v>
      </c>
      <c r="AC7" s="7">
        <v>14472.819196500001</v>
      </c>
      <c r="AD7" s="8">
        <v>56.378243249999997</v>
      </c>
      <c r="AF7" s="6">
        <v>800</v>
      </c>
      <c r="AG7" s="7">
        <v>40</v>
      </c>
      <c r="AH7" s="7">
        <v>37.799999999999997</v>
      </c>
      <c r="AI7" s="8"/>
      <c r="AJ7" s="24"/>
      <c r="AK7" s="6">
        <f t="shared" si="12"/>
        <v>1073.1500000000001</v>
      </c>
      <c r="AL7" s="7">
        <f t="shared" ref="AL7:AL35" si="28">$AJ$5*(AG7-AH7)*10^-9/(2*$AI$5)</f>
        <v>1.4394646747587945E-6</v>
      </c>
      <c r="AM7" s="7">
        <v>21278.09091975</v>
      </c>
      <c r="AN7" s="8">
        <v>0</v>
      </c>
      <c r="AP7" s="6">
        <v>600</v>
      </c>
      <c r="AQ7" s="8">
        <v>-1.1000000000000001</v>
      </c>
      <c r="AR7" s="6"/>
      <c r="AS7" s="8"/>
      <c r="AT7" s="7">
        <f t="shared" si="13"/>
        <v>873.15</v>
      </c>
      <c r="AU7" s="7">
        <f t="shared" si="14"/>
        <v>1.136052743696912E-6</v>
      </c>
      <c r="AV7" s="7">
        <v>18271.430625000001</v>
      </c>
      <c r="AW7" s="8">
        <v>0</v>
      </c>
      <c r="BI7" s="10">
        <v>1916</v>
      </c>
      <c r="BJ7" s="12">
        <v>1.1000000000000001E-3</v>
      </c>
      <c r="BK7" s="12">
        <v>0.12</v>
      </c>
      <c r="BL7" s="11">
        <f>0.015*101325</f>
        <v>1519.875</v>
      </c>
      <c r="BM7" s="21">
        <f>0.00006*101325</f>
        <v>6.0795000000000003</v>
      </c>
      <c r="BN7" s="10">
        <f>BI7</f>
        <v>1916</v>
      </c>
      <c r="BO7" s="11">
        <f t="shared" si="15"/>
        <v>4.60602034638622E-4</v>
      </c>
      <c r="BP7" s="11">
        <f t="shared" si="2"/>
        <v>1519.875</v>
      </c>
      <c r="BQ7" s="13">
        <f t="shared" si="2"/>
        <v>6.0795000000000003</v>
      </c>
      <c r="BS7" s="6">
        <v>1355</v>
      </c>
      <c r="BT7" s="8">
        <v>1E-4</v>
      </c>
      <c r="BU7" s="7">
        <f t="shared" si="16"/>
        <v>1355</v>
      </c>
      <c r="BV7" s="7">
        <f t="shared" si="17"/>
        <v>2.2936184999999999E-4</v>
      </c>
      <c r="BW7" s="7">
        <v>23240.089451250002</v>
      </c>
      <c r="BX7" s="8">
        <v>2.4809263927349998</v>
      </c>
      <c r="BZ7" s="6">
        <v>1820</v>
      </c>
      <c r="CA7" s="7">
        <v>0.7</v>
      </c>
      <c r="CB7" s="7">
        <v>0.24</v>
      </c>
      <c r="CC7" s="7">
        <v>111.4575</v>
      </c>
      <c r="CD7" s="7">
        <v>263.44499999999999</v>
      </c>
      <c r="CE7" s="6">
        <f t="shared" si="18"/>
        <v>1820</v>
      </c>
      <c r="CF7" s="7">
        <f t="shared" si="19"/>
        <v>2.6409422134152677E-2</v>
      </c>
      <c r="CG7" s="7">
        <f t="shared" si="3"/>
        <v>111.4575</v>
      </c>
      <c r="CH7" s="8">
        <f t="shared" si="4"/>
        <v>263.44499999999999</v>
      </c>
      <c r="CJ7" s="6">
        <v>1690</v>
      </c>
      <c r="CK7" s="7">
        <v>7.0000000000000001E-3</v>
      </c>
      <c r="CL7" s="7">
        <v>4.5</v>
      </c>
      <c r="CM7" s="20">
        <v>2.2000000000000001E-6</v>
      </c>
      <c r="CN7" s="24"/>
      <c r="CO7" s="7">
        <f t="shared" si="20"/>
        <v>1690</v>
      </c>
      <c r="CP7" s="9">
        <f t="shared" si="21"/>
        <v>2.9431818181818191E-5</v>
      </c>
      <c r="CQ7" s="7">
        <v>19461.745049249999</v>
      </c>
      <c r="CR7" s="8">
        <v>12.984983465475</v>
      </c>
      <c r="CT7" s="6">
        <v>550</v>
      </c>
      <c r="CU7" s="20">
        <v>2.3000000000000001E-8</v>
      </c>
      <c r="CV7" s="46"/>
      <c r="CW7" s="8"/>
      <c r="CX7" s="6">
        <f t="shared" si="22"/>
        <v>823.15</v>
      </c>
      <c r="CY7" s="9">
        <f t="shared" si="23"/>
        <v>1.7245266664584001E-8</v>
      </c>
      <c r="CZ7" s="9">
        <v>10132.354092</v>
      </c>
      <c r="DA7" s="8">
        <v>0</v>
      </c>
      <c r="DC7" s="46">
        <v>1750</v>
      </c>
      <c r="DD7" s="7">
        <v>1.4999999999999999E-2</v>
      </c>
      <c r="DE7" s="7">
        <v>0.15</v>
      </c>
      <c r="DF7" s="9">
        <v>8.1059999999999999</v>
      </c>
      <c r="DG7" s="20">
        <v>9.1192499999999992</v>
      </c>
      <c r="DH7" s="9">
        <f t="shared" si="24"/>
        <v>1750</v>
      </c>
      <c r="DI7" s="9">
        <f t="shared" si="25"/>
        <v>2.3516184562913004E-4</v>
      </c>
      <c r="DJ7" s="9">
        <f t="shared" si="26"/>
        <v>8.1059999999999999</v>
      </c>
      <c r="DK7" s="20">
        <f t="shared" si="27"/>
        <v>9.1192499999999992</v>
      </c>
    </row>
    <row r="8" spans="2:115">
      <c r="I8" s="6">
        <v>10.73</v>
      </c>
      <c r="J8" s="8">
        <v>8.02</v>
      </c>
      <c r="K8" s="6">
        <f t="shared" si="0"/>
        <v>931.96644920782853</v>
      </c>
      <c r="L8" s="9">
        <f t="shared" si="1"/>
        <v>9.5499258602143453E-9</v>
      </c>
      <c r="M8" s="7">
        <v>20004.93621525</v>
      </c>
      <c r="N8" s="8">
        <v>0</v>
      </c>
      <c r="Y8" s="6">
        <v>1834</v>
      </c>
      <c r="Z8" s="20">
        <v>1.005E-3</v>
      </c>
      <c r="AA8" s="6">
        <f t="shared" si="10"/>
        <v>1834</v>
      </c>
      <c r="AB8" s="9">
        <f t="shared" si="11"/>
        <v>1.005E-2</v>
      </c>
      <c r="AC8" s="7">
        <v>14466.22192575</v>
      </c>
      <c r="AD8" s="8">
        <v>59.410900499999997</v>
      </c>
      <c r="AF8" s="6">
        <v>850</v>
      </c>
      <c r="AG8" s="7">
        <v>40</v>
      </c>
      <c r="AH8" s="7">
        <v>35.799999999999997</v>
      </c>
      <c r="AI8" s="8"/>
      <c r="AJ8" s="24"/>
      <c r="AK8" s="6">
        <f t="shared" si="12"/>
        <v>1123.1500000000001</v>
      </c>
      <c r="AL8" s="7">
        <f t="shared" si="28"/>
        <v>2.7480689245395146E-6</v>
      </c>
      <c r="AM8" s="7">
        <v>21277.945011749998</v>
      </c>
      <c r="AN8" s="8">
        <v>0</v>
      </c>
      <c r="AP8" s="6">
        <v>625</v>
      </c>
      <c r="AQ8" s="8">
        <v>-0.4</v>
      </c>
      <c r="AR8" s="6"/>
      <c r="AS8" s="8"/>
      <c r="AT8" s="7">
        <f t="shared" si="13"/>
        <v>898.15</v>
      </c>
      <c r="AU8" s="7">
        <f t="shared" si="14"/>
        <v>2.287710258371614E-6</v>
      </c>
      <c r="AV8" s="7">
        <v>18271.227975000002</v>
      </c>
      <c r="AW8" s="8">
        <v>0</v>
      </c>
      <c r="BS8" s="6">
        <v>1380</v>
      </c>
      <c r="BT8" s="8">
        <v>1.3000000000000002E-4</v>
      </c>
      <c r="BU8" s="7">
        <f t="shared" si="16"/>
        <v>1380</v>
      </c>
      <c r="BV8" s="7">
        <f t="shared" si="17"/>
        <v>2.9811910700000007E-4</v>
      </c>
      <c r="BW8" s="7">
        <v>23236.09116675</v>
      </c>
      <c r="BX8" s="8">
        <v>3.22320089847</v>
      </c>
      <c r="BZ8" s="6">
        <v>1810</v>
      </c>
      <c r="CA8" s="7">
        <v>0.73</v>
      </c>
      <c r="CB8" s="7">
        <v>0.23</v>
      </c>
      <c r="CC8" s="7">
        <v>101.325</v>
      </c>
      <c r="CD8" s="7">
        <v>253.3125</v>
      </c>
      <c r="CE8" s="6">
        <f t="shared" si="18"/>
        <v>1810</v>
      </c>
      <c r="CF8" s="7">
        <f t="shared" si="19"/>
        <v>2.4855096787821773E-2</v>
      </c>
      <c r="CG8" s="7">
        <f t="shared" si="3"/>
        <v>101.325</v>
      </c>
      <c r="CH8" s="8">
        <f t="shared" si="4"/>
        <v>253.3125</v>
      </c>
      <c r="CJ8" s="6">
        <v>1610</v>
      </c>
      <c r="CK8" s="7">
        <v>1.35E-2</v>
      </c>
      <c r="CL8" s="7">
        <v>4.5</v>
      </c>
      <c r="CM8" s="20">
        <v>1.3999999999999999E-6</v>
      </c>
      <c r="CN8" s="24"/>
      <c r="CO8" s="7">
        <f t="shared" si="20"/>
        <v>1610</v>
      </c>
      <c r="CP8" s="9">
        <f t="shared" si="21"/>
        <v>8.9196428571428594E-5</v>
      </c>
      <c r="CQ8" s="7">
        <v>19501.414799999999</v>
      </c>
      <c r="CR8" s="8">
        <v>7.3110135238874996</v>
      </c>
      <c r="CT8" s="6">
        <v>600</v>
      </c>
      <c r="CU8" s="20">
        <v>4.8E-8</v>
      </c>
      <c r="CV8" s="46"/>
      <c r="CW8" s="8"/>
      <c r="CX8" s="6">
        <f t="shared" si="22"/>
        <v>873.15</v>
      </c>
      <c r="CY8" s="9">
        <f t="shared" si="23"/>
        <v>3.5989632262080003E-8</v>
      </c>
      <c r="CZ8" s="9">
        <v>10132.21629</v>
      </c>
      <c r="DA8" s="8">
        <v>0</v>
      </c>
      <c r="DC8" s="46">
        <v>1850</v>
      </c>
      <c r="DD8" s="7">
        <v>0.05</v>
      </c>
      <c r="DE8" s="7">
        <v>0.03</v>
      </c>
      <c r="DF8" s="9">
        <v>70.927499999999995</v>
      </c>
      <c r="DG8" s="20">
        <v>7.0927499999999997</v>
      </c>
      <c r="DH8" s="9">
        <f t="shared" si="24"/>
        <v>1850</v>
      </c>
      <c r="DI8" s="9">
        <f t="shared" si="25"/>
        <v>7.9673769968135674E-4</v>
      </c>
      <c r="DJ8" s="9">
        <f t="shared" si="26"/>
        <v>70.927499999999995</v>
      </c>
      <c r="DK8" s="20">
        <f t="shared" si="27"/>
        <v>7.0927499999999997</v>
      </c>
    </row>
    <row r="9" spans="2:115">
      <c r="I9" s="6">
        <v>10.5</v>
      </c>
      <c r="J9" s="8">
        <v>7.85</v>
      </c>
      <c r="K9" s="6">
        <f t="shared" si="0"/>
        <v>952.38095238095229</v>
      </c>
      <c r="L9" s="9">
        <f t="shared" si="1"/>
        <v>1.4125375446227547E-8</v>
      </c>
      <c r="M9" s="7">
        <v>20004.93621525</v>
      </c>
      <c r="N9" s="8">
        <v>0</v>
      </c>
      <c r="Y9" s="6">
        <v>1842</v>
      </c>
      <c r="Z9" s="20">
        <v>8.3000000000000001E-4</v>
      </c>
      <c r="AA9" s="6">
        <f t="shared" si="10"/>
        <v>1842</v>
      </c>
      <c r="AB9" s="9">
        <f t="shared" si="11"/>
        <v>8.3000000000000001E-3</v>
      </c>
      <c r="AC9" s="7">
        <v>14460.228552</v>
      </c>
      <c r="AD9" s="8">
        <v>62.215576499999997</v>
      </c>
      <c r="AF9" s="6">
        <v>900</v>
      </c>
      <c r="AG9" s="7">
        <v>40</v>
      </c>
      <c r="AH9" s="7">
        <v>30.4</v>
      </c>
      <c r="AI9" s="8"/>
      <c r="AJ9" s="24"/>
      <c r="AK9" s="6">
        <f t="shared" si="12"/>
        <v>1173.1500000000001</v>
      </c>
      <c r="AL9" s="7">
        <f t="shared" si="28"/>
        <v>6.2813003989474592E-6</v>
      </c>
      <c r="AM9" s="7">
        <v>21277.680553499998</v>
      </c>
      <c r="AN9" s="8">
        <v>0</v>
      </c>
      <c r="AP9" s="6">
        <v>650</v>
      </c>
      <c r="AQ9" s="8">
        <v>0.2</v>
      </c>
      <c r="AR9" s="6"/>
      <c r="AS9" s="8"/>
      <c r="AT9" s="7">
        <f t="shared" si="13"/>
        <v>923.15</v>
      </c>
      <c r="AU9" s="7">
        <f t="shared" si="14"/>
        <v>4.1684451964673655E-6</v>
      </c>
      <c r="AV9" s="7">
        <v>18271.025324999999</v>
      </c>
      <c r="AW9" s="8">
        <v>0</v>
      </c>
      <c r="BS9" s="6">
        <v>1395</v>
      </c>
      <c r="BT9" s="8">
        <v>1.75E-4</v>
      </c>
      <c r="BU9" s="7">
        <f t="shared" si="16"/>
        <v>1395</v>
      </c>
      <c r="BV9" s="7">
        <f t="shared" si="17"/>
        <v>4.0126876999999994E-4</v>
      </c>
      <c r="BW9" s="7">
        <v>23233.461782999999</v>
      </c>
      <c r="BX9" s="8">
        <v>3.754368333345</v>
      </c>
      <c r="BZ9" s="6">
        <v>1805</v>
      </c>
      <c r="CA9" s="7">
        <v>1</v>
      </c>
      <c r="CB9" s="7">
        <v>0.24</v>
      </c>
      <c r="CC9" s="7">
        <v>86.126249999999999</v>
      </c>
      <c r="CD9" s="7">
        <v>222.91499999999999</v>
      </c>
      <c r="CE9" s="6">
        <f t="shared" si="18"/>
        <v>1805</v>
      </c>
      <c r="CF9" s="7">
        <f t="shared" si="19"/>
        <v>2.6832017363196042E-2</v>
      </c>
      <c r="CG9" s="7">
        <f t="shared" si="3"/>
        <v>86.126249999999999</v>
      </c>
      <c r="CH9" s="8">
        <f t="shared" si="4"/>
        <v>222.91499999999999</v>
      </c>
      <c r="CJ9" s="6">
        <v>1494</v>
      </c>
      <c r="CK9" s="7">
        <v>7.0000000000000001E-3</v>
      </c>
      <c r="CL9" s="7">
        <v>18</v>
      </c>
      <c r="CM9" s="20">
        <v>3.3000000000000002E-6</v>
      </c>
      <c r="CN9" s="24"/>
      <c r="CO9" s="7">
        <f t="shared" si="20"/>
        <v>1494</v>
      </c>
      <c r="CP9" s="9">
        <f t="shared" si="21"/>
        <v>7.8484848484848505E-5</v>
      </c>
      <c r="CQ9" s="7">
        <v>19776.417942749998</v>
      </c>
      <c r="CR9" s="8">
        <v>6.5074411320449999</v>
      </c>
      <c r="CT9" s="6">
        <v>600</v>
      </c>
      <c r="CU9" s="20">
        <v>8.6000000000000002E-8</v>
      </c>
      <c r="CV9" s="46"/>
      <c r="CW9" s="8"/>
      <c r="CX9" s="6">
        <f t="shared" si="22"/>
        <v>873.15</v>
      </c>
      <c r="CY9" s="9">
        <f t="shared" si="23"/>
        <v>6.4481424469560003E-8</v>
      </c>
      <c r="CZ9" s="9">
        <v>10132.21629</v>
      </c>
      <c r="DA9" s="8">
        <v>0</v>
      </c>
      <c r="DC9" s="46">
        <v>1800</v>
      </c>
      <c r="DD9" s="7">
        <v>2.5000000000000001E-2</v>
      </c>
      <c r="DE9" s="7">
        <v>0.2</v>
      </c>
      <c r="DF9" s="9">
        <v>9.1192499999999992</v>
      </c>
      <c r="DG9" s="20">
        <v>10.1325</v>
      </c>
      <c r="DH9" s="9">
        <f t="shared" si="24"/>
        <v>1800</v>
      </c>
      <c r="DI9" s="9">
        <f t="shared" si="25"/>
        <v>3.5398221269421714E-4</v>
      </c>
      <c r="DJ9" s="9">
        <f t="shared" si="26"/>
        <v>9.1192499999999992</v>
      </c>
      <c r="DK9" s="20">
        <f t="shared" si="27"/>
        <v>10.1325</v>
      </c>
    </row>
    <row r="10" spans="2:115">
      <c r="H10" s="1"/>
      <c r="I10" s="6">
        <v>10.38</v>
      </c>
      <c r="J10" s="8">
        <v>7.89</v>
      </c>
      <c r="K10" s="6">
        <f t="shared" si="0"/>
        <v>963.39113680154128</v>
      </c>
      <c r="L10" s="9">
        <f t="shared" si="1"/>
        <v>1.288249551693135E-8</v>
      </c>
      <c r="M10" s="7">
        <v>20004.93621525</v>
      </c>
      <c r="N10" s="8">
        <v>0</v>
      </c>
      <c r="O10" s="1"/>
      <c r="P10" s="1"/>
      <c r="Y10" s="10">
        <v>1851</v>
      </c>
      <c r="Z10" s="21">
        <v>5.1000000000000004E-4</v>
      </c>
      <c r="AA10" s="10">
        <f t="shared" si="10"/>
        <v>1851</v>
      </c>
      <c r="AB10" s="12">
        <f t="shared" si="11"/>
        <v>5.1000000000000004E-3</v>
      </c>
      <c r="AC10" s="11">
        <v>14453.3364255</v>
      </c>
      <c r="AD10" s="13">
        <v>65.498506500000005</v>
      </c>
      <c r="AF10" s="6">
        <v>925</v>
      </c>
      <c r="AG10" s="7">
        <v>40</v>
      </c>
      <c r="AH10" s="7">
        <v>27.1</v>
      </c>
      <c r="AI10" s="8"/>
      <c r="AJ10" s="24"/>
      <c r="AK10" s="6">
        <f t="shared" si="12"/>
        <v>1198.1500000000001</v>
      </c>
      <c r="AL10" s="7">
        <f t="shared" si="28"/>
        <v>8.4404974110856451E-6</v>
      </c>
      <c r="AM10" s="7">
        <v>21277.483982999998</v>
      </c>
      <c r="AN10" s="8">
        <v>0</v>
      </c>
      <c r="AP10" s="10">
        <v>700</v>
      </c>
      <c r="AQ10" s="13">
        <v>1.4</v>
      </c>
      <c r="AR10" s="10"/>
      <c r="AS10" s="13"/>
      <c r="AT10" s="11">
        <f t="shared" si="13"/>
        <v>973.15</v>
      </c>
      <c r="AU10" s="11">
        <f t="shared" si="14"/>
        <v>1.3839437622949205E-5</v>
      </c>
      <c r="AV10" s="11">
        <v>18270.518700000001</v>
      </c>
      <c r="AW10" s="13">
        <v>0</v>
      </c>
      <c r="BS10" s="6">
        <v>1415</v>
      </c>
      <c r="BT10" s="8">
        <v>1.95E-4</v>
      </c>
      <c r="BU10" s="7">
        <f t="shared" si="16"/>
        <v>1415</v>
      </c>
      <c r="BV10" s="7">
        <f t="shared" si="17"/>
        <v>4.4705506950000007E-4</v>
      </c>
      <c r="BW10" s="7">
        <v>23229.669188250002</v>
      </c>
      <c r="BX10" s="8">
        <v>4.5780988475775004</v>
      </c>
      <c r="BZ10" s="6">
        <v>1800</v>
      </c>
      <c r="CA10" s="7">
        <v>0.9</v>
      </c>
      <c r="CB10" s="7">
        <v>0.25</v>
      </c>
      <c r="CC10" s="7">
        <v>79.033500000000004</v>
      </c>
      <c r="CD10" s="7">
        <v>202.65</v>
      </c>
      <c r="CE10" s="6">
        <f t="shared" si="18"/>
        <v>1800</v>
      </c>
      <c r="CF10" s="7">
        <f t="shared" si="19"/>
        <v>2.316299513986609E-2</v>
      </c>
      <c r="CG10" s="7">
        <f t="shared" si="3"/>
        <v>79.033500000000004</v>
      </c>
      <c r="CH10" s="8">
        <f t="shared" si="4"/>
        <v>202.65</v>
      </c>
      <c r="CJ10" s="6">
        <v>1634</v>
      </c>
      <c r="CK10" s="7">
        <v>2.5000000000000001E-2</v>
      </c>
      <c r="CL10" s="7">
        <v>18</v>
      </c>
      <c r="CM10" s="20">
        <v>3.1E-6</v>
      </c>
      <c r="CN10" s="24"/>
      <c r="CO10" s="7">
        <f t="shared" si="20"/>
        <v>1634</v>
      </c>
      <c r="CP10" s="9">
        <f t="shared" si="21"/>
        <v>2.9838709677419364E-4</v>
      </c>
      <c r="CQ10" s="7">
        <v>19818.686679750001</v>
      </c>
      <c r="CR10" s="8">
        <v>2.5338588057824998</v>
      </c>
      <c r="CT10" s="6">
        <v>600</v>
      </c>
      <c r="CU10" s="20">
        <v>6.8999999999999996E-8</v>
      </c>
      <c r="CV10" s="46"/>
      <c r="CW10" s="8"/>
      <c r="CX10" s="6">
        <f t="shared" si="22"/>
        <v>873.15</v>
      </c>
      <c r="CY10" s="9">
        <f t="shared" si="23"/>
        <v>5.1735096376739996E-8</v>
      </c>
      <c r="CZ10" s="9">
        <v>10132.21629</v>
      </c>
      <c r="DA10" s="8">
        <v>0</v>
      </c>
      <c r="DC10" s="46">
        <v>1800</v>
      </c>
      <c r="DD10" s="7">
        <v>2.5000000000000001E-2</v>
      </c>
      <c r="DE10" s="7">
        <v>0.16</v>
      </c>
      <c r="DF10" s="9">
        <v>9.1192499999999992</v>
      </c>
      <c r="DG10" s="20">
        <v>10.1325</v>
      </c>
      <c r="DH10" s="9">
        <f t="shared" si="24"/>
        <v>1800</v>
      </c>
      <c r="DI10" s="9">
        <f t="shared" si="25"/>
        <v>2.9316029267977136E-4</v>
      </c>
      <c r="DJ10" s="9">
        <f t="shared" si="26"/>
        <v>9.1192499999999992</v>
      </c>
      <c r="DK10" s="20">
        <f t="shared" si="27"/>
        <v>10.1325</v>
      </c>
    </row>
    <row r="11" spans="2:115">
      <c r="I11" s="6">
        <v>9.0299999999999994</v>
      </c>
      <c r="J11" s="8">
        <v>7.6</v>
      </c>
      <c r="K11" s="6">
        <f t="shared" si="0"/>
        <v>1107.419712070875</v>
      </c>
      <c r="L11" s="9">
        <f t="shared" si="1"/>
        <v>2.5118864315095751E-8</v>
      </c>
      <c r="M11" s="7">
        <v>20004.93621525</v>
      </c>
      <c r="N11" s="8">
        <v>0</v>
      </c>
      <c r="AF11" s="6">
        <v>950</v>
      </c>
      <c r="AG11" s="7">
        <v>40</v>
      </c>
      <c r="AH11" s="7">
        <v>22.8</v>
      </c>
      <c r="AI11" s="8"/>
      <c r="AJ11" s="24"/>
      <c r="AK11" s="6">
        <f t="shared" si="12"/>
        <v>1223.1500000000001</v>
      </c>
      <c r="AL11" s="7">
        <f t="shared" si="28"/>
        <v>1.1253996548114195E-5</v>
      </c>
      <c r="AM11" s="7">
        <v>21277.230670500001</v>
      </c>
      <c r="AN11" s="8">
        <v>0</v>
      </c>
      <c r="BS11" s="6">
        <v>1435</v>
      </c>
      <c r="BT11" s="8">
        <v>2.4000000000000001E-4</v>
      </c>
      <c r="BU11" s="7">
        <f t="shared" si="16"/>
        <v>1435</v>
      </c>
      <c r="BV11" s="7">
        <f t="shared" si="17"/>
        <v>5.5009778400000005E-4</v>
      </c>
      <c r="BW11" s="7">
        <v>23224.440818250001</v>
      </c>
      <c r="BX11" s="8">
        <v>5.8210996880400003</v>
      </c>
      <c r="BZ11" s="6">
        <v>1790</v>
      </c>
      <c r="CA11" s="7">
        <v>0.9</v>
      </c>
      <c r="CB11" s="7">
        <v>0.24</v>
      </c>
      <c r="CC11" s="7">
        <v>58.768500000000003</v>
      </c>
      <c r="CD11" s="7">
        <v>162.12</v>
      </c>
      <c r="CE11" s="6">
        <f t="shared" si="18"/>
        <v>1790</v>
      </c>
      <c r="CF11" s="7">
        <f t="shared" si="19"/>
        <v>1.7457912191018977E-2</v>
      </c>
      <c r="CG11" s="7">
        <f t="shared" si="3"/>
        <v>58.768500000000003</v>
      </c>
      <c r="CH11" s="8">
        <f t="shared" si="4"/>
        <v>162.12</v>
      </c>
      <c r="CJ11" s="6">
        <v>1660</v>
      </c>
      <c r="CK11" s="7">
        <v>3.5000000000000003E-2</v>
      </c>
      <c r="CL11" s="7">
        <v>17.5</v>
      </c>
      <c r="CM11" s="20">
        <v>2.7499999999999999E-6</v>
      </c>
      <c r="CN11" s="24"/>
      <c r="CO11" s="7">
        <f t="shared" si="20"/>
        <v>1660</v>
      </c>
      <c r="CP11" s="9">
        <f t="shared" si="21"/>
        <v>4.578282828282829E-4</v>
      </c>
      <c r="CQ11" s="7">
        <v>19765.47686925</v>
      </c>
      <c r="CR11" s="8">
        <v>7.7774172712949996</v>
      </c>
      <c r="CT11" s="6">
        <v>650</v>
      </c>
      <c r="CU11" s="20">
        <v>1.6999999999999999E-7</v>
      </c>
      <c r="CV11" s="46"/>
      <c r="CW11" s="8"/>
      <c r="CX11" s="6">
        <f t="shared" si="22"/>
        <v>923.15</v>
      </c>
      <c r="CY11" s="9">
        <f t="shared" si="23"/>
        <v>1.2746019623042999E-7</v>
      </c>
      <c r="CZ11" s="9">
        <v>10131.971083500001</v>
      </c>
      <c r="DA11" s="8">
        <v>0</v>
      </c>
      <c r="DC11" s="46">
        <v>1850</v>
      </c>
      <c r="DD11" s="7">
        <v>5.0000000000000001E-3</v>
      </c>
      <c r="DE11" s="7">
        <v>0.06</v>
      </c>
      <c r="DF11" s="9">
        <v>253.3125</v>
      </c>
      <c r="DG11" s="20">
        <v>30.397500000000001</v>
      </c>
      <c r="DH11" s="9">
        <f t="shared" si="24"/>
        <v>1850</v>
      </c>
      <c r="DI11" s="9">
        <f t="shared" si="25"/>
        <v>5.4327490916548492E-4</v>
      </c>
      <c r="DJ11" s="9">
        <f t="shared" si="26"/>
        <v>253.3125</v>
      </c>
      <c r="DK11" s="20">
        <f t="shared" si="27"/>
        <v>30.397500000000001</v>
      </c>
    </row>
    <row r="12" spans="2:115">
      <c r="I12" s="6">
        <v>9.9700000000000006</v>
      </c>
      <c r="J12" s="8">
        <v>6.99</v>
      </c>
      <c r="K12" s="6">
        <f t="shared" si="0"/>
        <v>1003.0090270812436</v>
      </c>
      <c r="L12" s="9">
        <f t="shared" si="1"/>
        <v>1.0232929922807534E-7</v>
      </c>
      <c r="M12" s="7">
        <v>20004.93621525</v>
      </c>
      <c r="N12" s="8">
        <v>0</v>
      </c>
      <c r="AF12" s="6">
        <v>975</v>
      </c>
      <c r="AG12" s="7">
        <v>40</v>
      </c>
      <c r="AH12" s="7">
        <v>18.5</v>
      </c>
      <c r="AI12" s="8"/>
      <c r="AJ12" s="24"/>
      <c r="AK12" s="6">
        <f t="shared" si="12"/>
        <v>1248.1500000000001</v>
      </c>
      <c r="AL12" s="7">
        <f t="shared" si="28"/>
        <v>1.4067495685142745E-5</v>
      </c>
      <c r="AM12" s="7">
        <v>21276.907443749998</v>
      </c>
      <c r="AN12" s="8">
        <v>0</v>
      </c>
      <c r="BS12" s="6">
        <v>1455</v>
      </c>
      <c r="BT12" s="8">
        <v>3.2000000000000003E-4</v>
      </c>
      <c r="BU12" s="7">
        <f t="shared" si="16"/>
        <v>1455</v>
      </c>
      <c r="BV12" s="7">
        <f t="shared" si="17"/>
        <v>7.3342854400000005E-4</v>
      </c>
      <c r="BW12" s="7">
        <v>23223.327256500001</v>
      </c>
      <c r="BX12" s="8">
        <v>6.101486815725</v>
      </c>
      <c r="BZ12" s="6">
        <v>1785</v>
      </c>
      <c r="CA12" s="7">
        <v>1.1000000000000001</v>
      </c>
      <c r="CB12" s="7">
        <v>0.24</v>
      </c>
      <c r="CC12" s="7">
        <v>44.582999999999998</v>
      </c>
      <c r="CD12" s="7">
        <v>141.85499999999999</v>
      </c>
      <c r="CE12" s="6">
        <f t="shared" si="18"/>
        <v>1785</v>
      </c>
      <c r="CF12" s="7">
        <f t="shared" si="19"/>
        <v>1.590359801838323E-2</v>
      </c>
      <c r="CG12" s="7">
        <f t="shared" si="3"/>
        <v>44.582999999999998</v>
      </c>
      <c r="CH12" s="8">
        <f t="shared" si="4"/>
        <v>141.85499999999999</v>
      </c>
      <c r="CJ12" s="6">
        <v>1653</v>
      </c>
      <c r="CK12" s="7">
        <v>5.6000000000000001E-2</v>
      </c>
      <c r="CL12" s="7">
        <v>17.5</v>
      </c>
      <c r="CM12" s="20">
        <v>2.4499999999999998E-6</v>
      </c>
      <c r="CN12" s="24"/>
      <c r="CO12" s="7">
        <f t="shared" si="20"/>
        <v>1653</v>
      </c>
      <c r="CP12" s="9">
        <f t="shared" si="21"/>
        <v>8.2222222222222234E-4</v>
      </c>
      <c r="CQ12" s="7">
        <v>19752.678508500001</v>
      </c>
      <c r="CR12" s="8">
        <v>9.3789224777325</v>
      </c>
      <c r="CT12" s="6">
        <v>650</v>
      </c>
      <c r="CU12" s="20">
        <v>2.8999999999999998E-7</v>
      </c>
      <c r="CV12" s="46"/>
      <c r="CW12" s="8"/>
      <c r="CX12" s="6">
        <f t="shared" si="22"/>
        <v>923.15</v>
      </c>
      <c r="CY12" s="9">
        <f t="shared" si="23"/>
        <v>2.1743209945190997E-7</v>
      </c>
      <c r="CZ12" s="9">
        <v>10131.971083500001</v>
      </c>
      <c r="DA12" s="8">
        <v>0</v>
      </c>
      <c r="DC12" s="46">
        <v>1850</v>
      </c>
      <c r="DD12" s="7">
        <v>1.4999999999999999E-2</v>
      </c>
      <c r="DE12" s="7">
        <v>0.23</v>
      </c>
      <c r="DF12" s="9">
        <v>1.01325</v>
      </c>
      <c r="DG12" s="20">
        <v>6.0795000000000003</v>
      </c>
      <c r="DH12" s="9">
        <f t="shared" si="24"/>
        <v>1850</v>
      </c>
      <c r="DI12" s="9">
        <f t="shared" si="25"/>
        <v>2.1026018737001705E-4</v>
      </c>
      <c r="DJ12" s="9">
        <f t="shared" si="26"/>
        <v>1.01325</v>
      </c>
      <c r="DK12" s="20">
        <f t="shared" si="27"/>
        <v>6.0795000000000003</v>
      </c>
    </row>
    <row r="13" spans="2:115">
      <c r="I13" s="6">
        <v>9.1300000000000008</v>
      </c>
      <c r="J13" s="8">
        <v>6.92</v>
      </c>
      <c r="K13" s="6">
        <f t="shared" si="0"/>
        <v>1095.2902519167578</v>
      </c>
      <c r="L13" s="9">
        <f t="shared" si="1"/>
        <v>1.2022644346174111E-7</v>
      </c>
      <c r="M13" s="7">
        <v>20004.93621525</v>
      </c>
      <c r="N13" s="8">
        <v>0</v>
      </c>
      <c r="AF13" s="41" t="s">
        <v>23</v>
      </c>
      <c r="AG13" s="42"/>
      <c r="AH13" s="42"/>
      <c r="AI13" s="8"/>
      <c r="AJ13" s="24"/>
      <c r="AK13" s="6"/>
      <c r="AL13" s="7"/>
      <c r="AM13" s="7"/>
      <c r="AN13" s="8"/>
      <c r="BS13" s="6">
        <v>1350</v>
      </c>
      <c r="BT13" s="8">
        <v>1.3999999999999999E-4</v>
      </c>
      <c r="BU13" s="7">
        <f t="shared" si="16"/>
        <v>1350</v>
      </c>
      <c r="BV13" s="7">
        <f t="shared" si="17"/>
        <v>3.4936088599999993E-4</v>
      </c>
      <c r="BW13" s="7">
        <v>25284.994124249999</v>
      </c>
      <c r="BX13" s="8">
        <v>2.3700763665075</v>
      </c>
      <c r="BZ13" s="6">
        <v>1780</v>
      </c>
      <c r="CA13" s="7">
        <v>1.3</v>
      </c>
      <c r="CB13" s="7">
        <v>0.245</v>
      </c>
      <c r="CC13" s="7">
        <v>42.5565</v>
      </c>
      <c r="CD13" s="7">
        <v>131.7225</v>
      </c>
      <c r="CE13" s="6">
        <f t="shared" si="18"/>
        <v>1780</v>
      </c>
      <c r="CF13" s="7">
        <f t="shared" si="19"/>
        <v>1.7040298809535847E-2</v>
      </c>
      <c r="CG13" s="7">
        <f t="shared" si="3"/>
        <v>42.5565</v>
      </c>
      <c r="CH13" s="8">
        <f t="shared" si="4"/>
        <v>131.7225</v>
      </c>
      <c r="CJ13" s="6">
        <v>1549</v>
      </c>
      <c r="CK13" s="7">
        <v>4.2999999999999997E-2</v>
      </c>
      <c r="CL13" s="7">
        <v>17</v>
      </c>
      <c r="CM13" s="20">
        <v>7.9999999999999996E-7</v>
      </c>
      <c r="CN13" s="24"/>
      <c r="CO13" s="7">
        <f t="shared" si="20"/>
        <v>1549</v>
      </c>
      <c r="CP13" s="9">
        <f t="shared" si="21"/>
        <v>1.878263888888889E-3</v>
      </c>
      <c r="CQ13" s="7">
        <v>19756.222857000001</v>
      </c>
      <c r="CR13" s="8">
        <v>8.9230863097424997</v>
      </c>
      <c r="CT13" s="6">
        <v>650</v>
      </c>
      <c r="CU13" s="20">
        <v>1.8E-7</v>
      </c>
      <c r="CV13" s="46"/>
      <c r="CW13" s="8"/>
      <c r="CX13" s="6">
        <f t="shared" si="22"/>
        <v>923.15</v>
      </c>
      <c r="CY13" s="9">
        <f t="shared" si="23"/>
        <v>1.3495785483222002E-7</v>
      </c>
      <c r="CZ13" s="9">
        <v>10131.971083500001</v>
      </c>
      <c r="DA13" s="8">
        <v>0</v>
      </c>
      <c r="DC13" s="46">
        <v>1950</v>
      </c>
      <c r="DD13" s="7">
        <v>0.04</v>
      </c>
      <c r="DE13" s="7">
        <v>9.5000000000000001E-2</v>
      </c>
      <c r="DF13" s="9">
        <v>303.97500000000002</v>
      </c>
      <c r="DG13" s="20">
        <v>101.325</v>
      </c>
      <c r="DH13" s="9">
        <f t="shared" si="24"/>
        <v>1950</v>
      </c>
      <c r="DI13" s="9">
        <f t="shared" si="25"/>
        <v>3.9433735042686182E-3</v>
      </c>
      <c r="DJ13" s="9">
        <f t="shared" si="26"/>
        <v>303.97500000000002</v>
      </c>
      <c r="DK13" s="20">
        <f t="shared" si="27"/>
        <v>101.325</v>
      </c>
    </row>
    <row r="14" spans="2:115">
      <c r="I14" s="6">
        <v>8.8699999999999992</v>
      </c>
      <c r="J14" s="8">
        <v>6.47</v>
      </c>
      <c r="K14" s="6">
        <f t="shared" si="0"/>
        <v>1127.3957158962796</v>
      </c>
      <c r="L14" s="9">
        <f t="shared" si="1"/>
        <v>3.3884415613920242E-7</v>
      </c>
      <c r="M14" s="7">
        <v>20004.93621525</v>
      </c>
      <c r="N14" s="8">
        <v>0</v>
      </c>
      <c r="AF14" s="6">
        <v>500</v>
      </c>
      <c r="AG14" s="7">
        <v>93</v>
      </c>
      <c r="AH14" s="7">
        <v>91.7</v>
      </c>
      <c r="AI14" s="8"/>
      <c r="AJ14" s="24"/>
      <c r="AK14" s="6">
        <f t="shared" ref="AK14:AK23" si="29">AF14+273.15</f>
        <v>773.15</v>
      </c>
      <c r="AL14" s="7">
        <f t="shared" si="28"/>
        <v>8.5059276235746628E-7</v>
      </c>
      <c r="AM14" s="7">
        <v>21278.246960249999</v>
      </c>
      <c r="AN14" s="8">
        <v>0</v>
      </c>
      <c r="BS14" s="6">
        <v>1360</v>
      </c>
      <c r="BT14" s="8">
        <v>1.9000000000000001E-4</v>
      </c>
      <c r="BU14" s="7">
        <f t="shared" si="16"/>
        <v>1360</v>
      </c>
      <c r="BV14" s="7">
        <f t="shared" si="17"/>
        <v>4.7410354199999997E-4</v>
      </c>
      <c r="BW14" s="7">
        <v>25283.442838499999</v>
      </c>
      <c r="BX14" s="8">
        <v>2.63676215544</v>
      </c>
      <c r="BZ14" s="6">
        <v>1777</v>
      </c>
      <c r="CA14" s="7">
        <v>1.2</v>
      </c>
      <c r="CB14" s="7">
        <v>0.21</v>
      </c>
      <c r="CC14" s="7">
        <v>40.53</v>
      </c>
      <c r="CD14" s="7">
        <v>121.59</v>
      </c>
      <c r="CE14" s="6">
        <f t="shared" si="18"/>
        <v>1777</v>
      </c>
      <c r="CF14" s="7">
        <f t="shared" si="19"/>
        <v>1.4564622571976708E-2</v>
      </c>
      <c r="CG14" s="7">
        <f t="shared" si="3"/>
        <v>40.53</v>
      </c>
      <c r="CH14" s="8">
        <f t="shared" si="4"/>
        <v>121.59</v>
      </c>
      <c r="CJ14" s="6">
        <v>1403</v>
      </c>
      <c r="CK14" s="7">
        <v>4.1500000000000002E-2</v>
      </c>
      <c r="CL14" s="7">
        <v>30</v>
      </c>
      <c r="CM14" s="20">
        <v>4.6999999999999999E-6</v>
      </c>
      <c r="CN14" s="24"/>
      <c r="CO14" s="7">
        <f t="shared" si="20"/>
        <v>1403</v>
      </c>
      <c r="CP14" s="9">
        <f t="shared" si="21"/>
        <v>5.4450354609929079E-4</v>
      </c>
      <c r="CQ14" s="7">
        <v>19825.013412749999</v>
      </c>
      <c r="CR14" s="8">
        <v>3.9659327649899998</v>
      </c>
      <c r="CT14" s="6">
        <v>550</v>
      </c>
      <c r="CU14" s="20">
        <v>1.6000000000000001E-8</v>
      </c>
      <c r="CV14" s="46"/>
      <c r="CW14" s="8"/>
      <c r="CX14" s="6">
        <f t="shared" si="22"/>
        <v>823.15</v>
      </c>
      <c r="CY14" s="9">
        <f t="shared" si="23"/>
        <v>2.5193193666144004E-8</v>
      </c>
      <c r="CZ14" s="9">
        <v>21278.035190999999</v>
      </c>
      <c r="DA14" s="8">
        <v>0</v>
      </c>
      <c r="DC14" s="46">
        <v>1950</v>
      </c>
      <c r="DD14" s="7">
        <v>0.04</v>
      </c>
      <c r="DE14" s="7">
        <v>0.06</v>
      </c>
      <c r="DF14" s="7">
        <v>303.97500000000002</v>
      </c>
      <c r="DG14" s="8">
        <v>101.325</v>
      </c>
      <c r="DH14" s="9">
        <f t="shared" si="24"/>
        <v>1950</v>
      </c>
      <c r="DI14" s="9">
        <f t="shared" si="25"/>
        <v>3.4320601617219395E-3</v>
      </c>
      <c r="DJ14" s="9">
        <f t="shared" si="26"/>
        <v>303.97500000000002</v>
      </c>
      <c r="DK14" s="20">
        <f t="shared" si="27"/>
        <v>101.325</v>
      </c>
    </row>
    <row r="15" spans="2:115">
      <c r="I15" s="10">
        <v>8.26</v>
      </c>
      <c r="J15" s="13">
        <v>6.37</v>
      </c>
      <c r="K15" s="10">
        <f t="shared" si="0"/>
        <v>1210.6537530266344</v>
      </c>
      <c r="L15" s="12">
        <f t="shared" si="1"/>
        <v>4.2657951880159212E-7</v>
      </c>
      <c r="M15" s="11">
        <v>20004.93621525</v>
      </c>
      <c r="N15" s="13">
        <v>0</v>
      </c>
      <c r="AF15" s="6">
        <v>800</v>
      </c>
      <c r="AG15" s="7">
        <v>93</v>
      </c>
      <c r="AH15" s="7">
        <v>88.8</v>
      </c>
      <c r="AI15" s="8"/>
      <c r="AJ15" s="24"/>
      <c r="AK15" s="6">
        <f t="shared" si="29"/>
        <v>1073.1500000000001</v>
      </c>
      <c r="AL15" s="7">
        <f t="shared" si="28"/>
        <v>2.7480689245395146E-6</v>
      </c>
      <c r="AM15" s="7">
        <v>21278.09091975</v>
      </c>
      <c r="AN15" s="8">
        <v>0</v>
      </c>
      <c r="BS15" s="6">
        <v>1365</v>
      </c>
      <c r="BT15" s="8">
        <v>2.05E-4</v>
      </c>
      <c r="BU15" s="7">
        <f t="shared" si="16"/>
        <v>1365</v>
      </c>
      <c r="BV15" s="7">
        <f t="shared" si="17"/>
        <v>5.1151649200000004E-4</v>
      </c>
      <c r="BW15" s="7">
        <v>25282.638318000001</v>
      </c>
      <c r="BX15" s="8">
        <v>2.7795279152024999</v>
      </c>
      <c r="BZ15" s="6">
        <v>1775</v>
      </c>
      <c r="CA15" s="7">
        <v>1.5</v>
      </c>
      <c r="CB15" s="7">
        <v>0.21</v>
      </c>
      <c r="CC15" s="7">
        <v>30.397500000000001</v>
      </c>
      <c r="CD15" s="7">
        <v>111.4575</v>
      </c>
      <c r="CE15" s="6">
        <f t="shared" si="18"/>
        <v>1775</v>
      </c>
      <c r="CF15" s="7">
        <f t="shared" si="19"/>
        <v>1.3581635099081059E-2</v>
      </c>
      <c r="CG15" s="7">
        <f t="shared" si="3"/>
        <v>30.397500000000001</v>
      </c>
      <c r="CH15" s="8">
        <f t="shared" si="4"/>
        <v>111.4575</v>
      </c>
      <c r="CJ15" s="6">
        <v>1469</v>
      </c>
      <c r="CK15" s="7">
        <v>2.8199999999999999E-2</v>
      </c>
      <c r="CL15" s="7">
        <v>31</v>
      </c>
      <c r="CM15" s="20">
        <v>5.2499999999999997E-6</v>
      </c>
      <c r="CN15" s="24"/>
      <c r="CO15" s="7">
        <f t="shared" si="20"/>
        <v>1469</v>
      </c>
      <c r="CP15" s="9">
        <f t="shared" si="21"/>
        <v>3.4227936507936509E-4</v>
      </c>
      <c r="CQ15" s="7">
        <v>19865.691347249998</v>
      </c>
      <c r="CR15" s="8">
        <v>1.0651782012375</v>
      </c>
      <c r="CT15" s="6">
        <v>550</v>
      </c>
      <c r="CU15" s="20">
        <v>2.1999999999999998E-8</v>
      </c>
      <c r="CV15" s="46"/>
      <c r="CW15" s="8"/>
      <c r="CX15" s="6">
        <f t="shared" si="22"/>
        <v>823.15</v>
      </c>
      <c r="CY15" s="9">
        <f t="shared" si="23"/>
        <v>3.4640641290947996E-8</v>
      </c>
      <c r="CZ15" s="9">
        <v>21278.035190999999</v>
      </c>
      <c r="DA15" s="8">
        <v>0</v>
      </c>
      <c r="DC15" s="46">
        <v>1825</v>
      </c>
      <c r="DD15" s="7">
        <v>2.5000000000000001E-2</v>
      </c>
      <c r="DE15" s="7">
        <v>5.8999999999999997E-2</v>
      </c>
      <c r="DF15" s="7">
        <v>25.331250000000001</v>
      </c>
      <c r="DG15" s="8">
        <v>9.1192499999999992</v>
      </c>
      <c r="DH15" s="9">
        <f t="shared" si="24"/>
        <v>1825</v>
      </c>
      <c r="DI15" s="9">
        <f t="shared" si="25"/>
        <v>2.1776906355511284E-4</v>
      </c>
      <c r="DJ15" s="9">
        <f t="shared" si="26"/>
        <v>25.331250000000001</v>
      </c>
      <c r="DK15" s="20">
        <f t="shared" si="27"/>
        <v>9.1192499999999992</v>
      </c>
    </row>
    <row r="16" spans="2:115">
      <c r="I16" s="2"/>
      <c r="AF16" s="6">
        <v>850</v>
      </c>
      <c r="AG16" s="7">
        <v>93</v>
      </c>
      <c r="AH16" s="7">
        <v>86.1</v>
      </c>
      <c r="AI16" s="8"/>
      <c r="AJ16" s="24"/>
      <c r="AK16" s="6">
        <f t="shared" si="29"/>
        <v>1123.1500000000001</v>
      </c>
      <c r="AL16" s="7">
        <f t="shared" si="28"/>
        <v>4.5146846617434894E-6</v>
      </c>
      <c r="AM16" s="7">
        <v>21277.945011749998</v>
      </c>
      <c r="AN16" s="8">
        <v>0</v>
      </c>
      <c r="BS16" s="6">
        <v>1385</v>
      </c>
      <c r="BT16" s="8">
        <v>2.5000000000000001E-4</v>
      </c>
      <c r="BU16" s="7">
        <f t="shared" si="16"/>
        <v>1385</v>
      </c>
      <c r="BV16" s="7">
        <f t="shared" si="17"/>
        <v>6.2371650000000002E-4</v>
      </c>
      <c r="BW16" s="7">
        <v>25279.229745000001</v>
      </c>
      <c r="BX16" s="8">
        <v>3.4191570953924999</v>
      </c>
      <c r="BZ16" s="6">
        <v>1773</v>
      </c>
      <c r="CA16" s="7">
        <v>1.2</v>
      </c>
      <c r="CB16" s="7">
        <v>0.2</v>
      </c>
      <c r="CC16" s="7">
        <v>24.318000000000001</v>
      </c>
      <c r="CD16" s="7">
        <v>101.325</v>
      </c>
      <c r="CE16" s="6">
        <f t="shared" si="18"/>
        <v>1773</v>
      </c>
      <c r="CF16" s="7">
        <f t="shared" si="19"/>
        <v>9.4962816336104233E-3</v>
      </c>
      <c r="CG16" s="7">
        <f t="shared" si="3"/>
        <v>24.318000000000001</v>
      </c>
      <c r="CH16" s="8">
        <f t="shared" si="4"/>
        <v>101.325</v>
      </c>
      <c r="CJ16" s="6">
        <v>1435</v>
      </c>
      <c r="CK16" s="7">
        <v>1.7399999999999999E-2</v>
      </c>
      <c r="CL16" s="7">
        <v>33</v>
      </c>
      <c r="CM16" s="20">
        <v>5.4E-6</v>
      </c>
      <c r="CN16" s="24"/>
      <c r="CO16" s="7">
        <f t="shared" si="20"/>
        <v>1435</v>
      </c>
      <c r="CP16" s="9">
        <f t="shared" si="21"/>
        <v>2.1857407407407405E-4</v>
      </c>
      <c r="CQ16" s="7">
        <v>19850.04879375</v>
      </c>
      <c r="CR16" s="8">
        <v>1.9935027842099999</v>
      </c>
      <c r="CT16" s="6">
        <v>550</v>
      </c>
      <c r="CU16" s="20">
        <v>2.1999999999999998E-8</v>
      </c>
      <c r="CV16" s="46"/>
      <c r="CW16" s="8"/>
      <c r="CX16" s="6">
        <f t="shared" si="22"/>
        <v>823.15</v>
      </c>
      <c r="CY16" s="9">
        <f t="shared" si="23"/>
        <v>3.4640641290947996E-8</v>
      </c>
      <c r="CZ16" s="9">
        <v>21278.035190999999</v>
      </c>
      <c r="DA16" s="8">
        <v>0</v>
      </c>
      <c r="DC16" s="46">
        <v>1975</v>
      </c>
      <c r="DD16" s="7">
        <v>0.03</v>
      </c>
      <c r="DE16" s="7">
        <v>0.05</v>
      </c>
      <c r="DF16" s="7">
        <v>810.6</v>
      </c>
      <c r="DG16" s="8">
        <v>607.95000000000005</v>
      </c>
      <c r="DH16" s="9">
        <f t="shared" si="24"/>
        <v>1975</v>
      </c>
      <c r="DI16" s="9">
        <f t="shared" si="25"/>
        <v>9.4334535277481885E-3</v>
      </c>
      <c r="DJ16" s="9">
        <f t="shared" si="26"/>
        <v>810.6</v>
      </c>
      <c r="DK16" s="20">
        <f t="shared" si="27"/>
        <v>607.95000000000005</v>
      </c>
    </row>
    <row r="17" spans="9:115">
      <c r="I17" s="2"/>
      <c r="AF17" s="6">
        <v>900</v>
      </c>
      <c r="AG17" s="7">
        <v>93</v>
      </c>
      <c r="AH17" s="7">
        <v>81.599999999999994</v>
      </c>
      <c r="AI17" s="8"/>
      <c r="AJ17" s="24"/>
      <c r="AK17" s="6">
        <f t="shared" si="29"/>
        <v>1173.1500000000001</v>
      </c>
      <c r="AL17" s="7">
        <f t="shared" si="28"/>
        <v>7.4590442237501104E-6</v>
      </c>
      <c r="AM17" s="7">
        <v>21277.680553499998</v>
      </c>
      <c r="AN17" s="8">
        <v>0</v>
      </c>
      <c r="BS17" s="6">
        <v>1395</v>
      </c>
      <c r="BT17" s="8">
        <v>2.6000000000000003E-4</v>
      </c>
      <c r="BU17" s="7">
        <f t="shared" si="16"/>
        <v>1395</v>
      </c>
      <c r="BV17" s="7">
        <f t="shared" si="17"/>
        <v>6.4861833400000008E-4</v>
      </c>
      <c r="BW17" s="7">
        <v>25277.404881750001</v>
      </c>
      <c r="BX17" s="8">
        <v>3.7837842778050002</v>
      </c>
      <c r="BZ17" s="6">
        <v>1770</v>
      </c>
      <c r="CA17" s="7">
        <v>0.9</v>
      </c>
      <c r="CB17" s="7">
        <v>0.15</v>
      </c>
      <c r="CC17" s="7">
        <v>20.265000000000001</v>
      </c>
      <c r="CD17" s="7">
        <v>97.272000000000006</v>
      </c>
      <c r="CE17" s="6">
        <f t="shared" si="18"/>
        <v>1770</v>
      </c>
      <c r="CF17" s="7">
        <f t="shared" si="19"/>
        <v>6.2315458744672822E-3</v>
      </c>
      <c r="CG17" s="7">
        <f t="shared" si="3"/>
        <v>20.265000000000001</v>
      </c>
      <c r="CH17" s="8">
        <f t="shared" si="4"/>
        <v>97.272000000000006</v>
      </c>
      <c r="CJ17" s="6">
        <v>1352</v>
      </c>
      <c r="CK17" s="7">
        <v>1.06E-2</v>
      </c>
      <c r="CL17" s="7">
        <v>35</v>
      </c>
      <c r="CM17" s="20">
        <v>5.4999999999999999E-6</v>
      </c>
      <c r="CN17" s="24"/>
      <c r="CO17" s="7">
        <f t="shared" si="20"/>
        <v>1352</v>
      </c>
      <c r="CP17" s="9">
        <f t="shared" si="21"/>
        <v>1.3865656565656564E-4</v>
      </c>
      <c r="CQ17" s="7">
        <v>19858.622915249998</v>
      </c>
      <c r="CR17" s="8">
        <v>1.4538819363075</v>
      </c>
      <c r="CT17" s="6">
        <v>600</v>
      </c>
      <c r="CU17" s="20">
        <v>6.5999999999999995E-8</v>
      </c>
      <c r="CV17" s="46"/>
      <c r="CW17" s="8"/>
      <c r="CX17" s="6">
        <f t="shared" si="22"/>
        <v>873.15</v>
      </c>
      <c r="CY17" s="9">
        <f t="shared" si="23"/>
        <v>1.03920978668661E-7</v>
      </c>
      <c r="CZ17" s="9">
        <v>21277.84166025</v>
      </c>
      <c r="DA17" s="8">
        <v>0</v>
      </c>
      <c r="DC17" s="46">
        <v>1850</v>
      </c>
      <c r="DD17" s="7">
        <v>1.4999999999999999E-2</v>
      </c>
      <c r="DE17" s="7">
        <v>0.03</v>
      </c>
      <c r="DF17" s="7">
        <v>151.98750000000001</v>
      </c>
      <c r="DG17" s="8">
        <v>60.795000000000002</v>
      </c>
      <c r="DH17" s="9">
        <f t="shared" si="24"/>
        <v>1850</v>
      </c>
      <c r="DI17" s="9">
        <f t="shared" si="25"/>
        <v>7.6191509608087887E-4</v>
      </c>
      <c r="DJ17" s="9">
        <f t="shared" si="26"/>
        <v>151.98750000000001</v>
      </c>
      <c r="DK17" s="20">
        <f t="shared" si="27"/>
        <v>60.795000000000002</v>
      </c>
    </row>
    <row r="18" spans="9:115">
      <c r="I18" s="2"/>
      <c r="AF18" s="6">
        <v>925</v>
      </c>
      <c r="AG18" s="7">
        <v>93</v>
      </c>
      <c r="AH18" s="7">
        <v>78.099999999999994</v>
      </c>
      <c r="AI18" s="8"/>
      <c r="AJ18" s="24"/>
      <c r="AK18" s="6">
        <f t="shared" si="29"/>
        <v>1198.1500000000001</v>
      </c>
      <c r="AL18" s="7">
        <f t="shared" si="28"/>
        <v>9.7491016608663699E-6</v>
      </c>
      <c r="AM18" s="7">
        <v>21277.483982999998</v>
      </c>
      <c r="AN18" s="8">
        <v>0</v>
      </c>
      <c r="BS18" s="6">
        <v>1410</v>
      </c>
      <c r="BT18" s="8">
        <v>2.9500000000000001E-4</v>
      </c>
      <c r="BU18" s="7">
        <f t="shared" si="16"/>
        <v>1410</v>
      </c>
      <c r="BV18" s="7">
        <f t="shared" si="17"/>
        <v>7.3584805900000019E-4</v>
      </c>
      <c r="BW18" s="7">
        <v>25274.5100265</v>
      </c>
      <c r="BX18" s="8">
        <v>4.393061108415</v>
      </c>
      <c r="BZ18" s="10">
        <v>1768</v>
      </c>
      <c r="CA18" s="11">
        <v>1.2</v>
      </c>
      <c r="CB18" s="11">
        <v>0.16</v>
      </c>
      <c r="CC18" s="11">
        <v>17.225249999999999</v>
      </c>
      <c r="CD18" s="11">
        <v>93.218999999999994</v>
      </c>
      <c r="CE18" s="10">
        <f t="shared" si="18"/>
        <v>1768</v>
      </c>
      <c r="CF18" s="11">
        <f t="shared" si="19"/>
        <v>6.8209326041337257E-3</v>
      </c>
      <c r="CG18" s="11">
        <f t="shared" si="3"/>
        <v>17.225249999999999</v>
      </c>
      <c r="CH18" s="13">
        <f t="shared" si="4"/>
        <v>93.218999999999994</v>
      </c>
      <c r="CJ18" s="6">
        <v>1283</v>
      </c>
      <c r="CK18" s="7">
        <v>4.7000000000000002E-3</v>
      </c>
      <c r="CL18" s="7">
        <v>34</v>
      </c>
      <c r="CM18" s="20">
        <v>5.4E-6</v>
      </c>
      <c r="CN18" s="24"/>
      <c r="CO18" s="7">
        <f t="shared" si="20"/>
        <v>1283</v>
      </c>
      <c r="CP18" s="9">
        <f t="shared" si="21"/>
        <v>6.082921810699588E-5</v>
      </c>
      <c r="CQ18" s="7">
        <v>19875.141930000002</v>
      </c>
      <c r="CR18" s="8">
        <v>0.62930713353900003</v>
      </c>
      <c r="CT18" s="6">
        <v>600</v>
      </c>
      <c r="CU18" s="20">
        <v>8.3000000000000002E-8</v>
      </c>
      <c r="CV18" s="46"/>
      <c r="CW18" s="8"/>
      <c r="CX18" s="6">
        <f t="shared" si="22"/>
        <v>873.15</v>
      </c>
      <c r="CY18" s="9">
        <f t="shared" si="23"/>
        <v>1.3068850347725551E-7</v>
      </c>
      <c r="CZ18" s="9">
        <v>21277.84166025</v>
      </c>
      <c r="DA18" s="8">
        <v>0</v>
      </c>
      <c r="DC18" s="46">
        <v>1900</v>
      </c>
      <c r="DD18" s="7">
        <v>8.0000000000000002E-3</v>
      </c>
      <c r="DE18" s="7">
        <v>5.5E-2</v>
      </c>
      <c r="DF18" s="7">
        <v>2026.5</v>
      </c>
      <c r="DG18" s="8">
        <v>81.06</v>
      </c>
      <c r="DH18" s="9">
        <f t="shared" si="24"/>
        <v>1900</v>
      </c>
      <c r="DI18" s="9">
        <f t="shared" si="25"/>
        <v>4.1031034083942293E-3</v>
      </c>
      <c r="DJ18" s="9">
        <f t="shared" si="26"/>
        <v>2026.5</v>
      </c>
      <c r="DK18" s="20">
        <f t="shared" si="27"/>
        <v>81.06</v>
      </c>
    </row>
    <row r="19" spans="9:115">
      <c r="I19" s="2"/>
      <c r="AF19" s="6">
        <v>950</v>
      </c>
      <c r="AG19" s="7">
        <v>93</v>
      </c>
      <c r="AH19" s="7">
        <v>73.3</v>
      </c>
      <c r="AI19" s="8"/>
      <c r="AJ19" s="24"/>
      <c r="AK19" s="6">
        <f t="shared" si="29"/>
        <v>1223.1500000000001</v>
      </c>
      <c r="AL19" s="7">
        <f t="shared" si="28"/>
        <v>1.2889751860340098E-5</v>
      </c>
      <c r="AM19" s="7">
        <v>21277.230670500001</v>
      </c>
      <c r="AN19" s="8">
        <v>0</v>
      </c>
      <c r="BS19" s="6">
        <v>1425</v>
      </c>
      <c r="BT19" s="8">
        <v>3.3E-4</v>
      </c>
      <c r="BU19" s="7">
        <f t="shared" si="16"/>
        <v>1425</v>
      </c>
      <c r="BV19" s="7">
        <f t="shared" si="17"/>
        <v>8.2308566999999991E-4</v>
      </c>
      <c r="BW19" s="7">
        <v>25272.471367499998</v>
      </c>
      <c r="BX19" s="8">
        <v>4.8443276607600003</v>
      </c>
      <c r="CJ19" s="10">
        <v>1236</v>
      </c>
      <c r="CK19" s="11">
        <v>1.1999999999999999E-3</v>
      </c>
      <c r="CL19" s="11">
        <v>32</v>
      </c>
      <c r="CM19" s="21">
        <v>5.1000000000000003E-6</v>
      </c>
      <c r="CN19" s="26"/>
      <c r="CO19" s="11">
        <f t="shared" si="20"/>
        <v>1236</v>
      </c>
      <c r="CP19" s="12">
        <f t="shared" si="21"/>
        <v>1.5477124183006537E-5</v>
      </c>
      <c r="CQ19" s="11">
        <v>19884.852918</v>
      </c>
      <c r="CR19" s="13">
        <v>0.28888036346399998</v>
      </c>
      <c r="CT19" s="6">
        <v>600</v>
      </c>
      <c r="CU19" s="20">
        <v>7.9000000000000006E-8</v>
      </c>
      <c r="CV19" s="46"/>
      <c r="CW19" s="8"/>
      <c r="CX19" s="6">
        <f t="shared" si="22"/>
        <v>873.15</v>
      </c>
      <c r="CY19" s="9">
        <f t="shared" si="23"/>
        <v>1.2439026234582152E-7</v>
      </c>
      <c r="CZ19" s="9">
        <v>21277.84166025</v>
      </c>
      <c r="DA19" s="8">
        <v>0</v>
      </c>
      <c r="DC19" s="47">
        <v>1900</v>
      </c>
      <c r="DD19" s="11">
        <v>8.0000000000000002E-3</v>
      </c>
      <c r="DE19" s="11">
        <v>1.4999999999999999E-2</v>
      </c>
      <c r="DF19" s="11">
        <v>2026.5</v>
      </c>
      <c r="DG19" s="13">
        <v>81.06</v>
      </c>
      <c r="DH19" s="12">
        <f t="shared" si="24"/>
        <v>1900</v>
      </c>
      <c r="DI19" s="12">
        <f t="shared" si="25"/>
        <v>3.6295057299632711E-3</v>
      </c>
      <c r="DJ19" s="12">
        <f t="shared" si="26"/>
        <v>2026.5</v>
      </c>
      <c r="DK19" s="21">
        <f t="shared" si="27"/>
        <v>81.06</v>
      </c>
    </row>
    <row r="20" spans="9:115">
      <c r="I20" s="2"/>
      <c r="AF20" s="6">
        <v>975</v>
      </c>
      <c r="AG20" s="7">
        <v>93</v>
      </c>
      <c r="AH20" s="7">
        <v>65.2</v>
      </c>
      <c r="AI20" s="8"/>
      <c r="AJ20" s="24"/>
      <c r="AK20" s="6">
        <f t="shared" si="29"/>
        <v>1248.1500000000001</v>
      </c>
      <c r="AL20" s="7">
        <f t="shared" si="28"/>
        <v>1.818959907195201E-5</v>
      </c>
      <c r="AM20" s="7">
        <v>21276.907443749998</v>
      </c>
      <c r="AN20" s="8">
        <v>0</v>
      </c>
      <c r="BS20" s="6">
        <v>1435</v>
      </c>
      <c r="BT20" s="8">
        <v>3.5E-4</v>
      </c>
      <c r="BU20" s="7">
        <f t="shared" si="16"/>
        <v>1435</v>
      </c>
      <c r="BV20" s="7">
        <f t="shared" si="17"/>
        <v>8.7285810500000002E-4</v>
      </c>
      <c r="BW20" s="7">
        <v>25269.24213975</v>
      </c>
      <c r="BX20" s="8">
        <v>5.5952950611599999</v>
      </c>
      <c r="CO20" t="s">
        <v>43</v>
      </c>
      <c r="CT20" s="6">
        <v>650</v>
      </c>
      <c r="CU20" s="20">
        <v>2.2999999999999999E-7</v>
      </c>
      <c r="CV20" s="46"/>
      <c r="CW20" s="8"/>
      <c r="CX20" s="6">
        <f t="shared" si="22"/>
        <v>923.15</v>
      </c>
      <c r="CY20" s="9">
        <f t="shared" si="23"/>
        <v>3.6214308780993001E-7</v>
      </c>
      <c r="CZ20" s="9">
        <v>21277.502221499999</v>
      </c>
      <c r="DA20" s="8">
        <v>0</v>
      </c>
    </row>
    <row r="21" spans="9:115">
      <c r="AF21" s="6">
        <v>1000</v>
      </c>
      <c r="AG21" s="7">
        <v>93</v>
      </c>
      <c r="AH21" s="7">
        <v>48.8</v>
      </c>
      <c r="AI21" s="8"/>
      <c r="AJ21" s="24"/>
      <c r="AK21" s="6">
        <f t="shared" si="29"/>
        <v>1273.1500000000001</v>
      </c>
      <c r="AL21" s="7">
        <f t="shared" si="28"/>
        <v>2.8920153920153923E-5</v>
      </c>
      <c r="AM21" s="7">
        <v>21276.500117250001</v>
      </c>
      <c r="AN21" s="8">
        <v>0</v>
      </c>
      <c r="BS21" s="6">
        <v>1455</v>
      </c>
      <c r="BT21" s="8">
        <v>3.6000000000000002E-4</v>
      </c>
      <c r="BU21" s="7">
        <f t="shared" si="16"/>
        <v>1455</v>
      </c>
      <c r="BV21" s="7">
        <f t="shared" si="17"/>
        <v>8.9763217200000006E-4</v>
      </c>
      <c r="BW21" s="7">
        <v>25264.605507749999</v>
      </c>
      <c r="BX21" s="8">
        <v>6.7494336739724998</v>
      </c>
      <c r="CT21" s="6">
        <v>650</v>
      </c>
      <c r="CU21" s="20">
        <v>2.7000000000000001E-7</v>
      </c>
      <c r="CV21" s="46"/>
      <c r="CW21" s="8"/>
      <c r="CX21" s="6">
        <f t="shared" si="22"/>
        <v>923.15</v>
      </c>
      <c r="CY21" s="9">
        <f t="shared" si="23"/>
        <v>4.2512449438556996E-7</v>
      </c>
      <c r="CZ21" s="9">
        <v>21277.502221499999</v>
      </c>
      <c r="DA21" s="8">
        <v>0</v>
      </c>
    </row>
    <row r="22" spans="9:115">
      <c r="AF22" s="6">
        <v>1025</v>
      </c>
      <c r="AG22" s="7">
        <v>93</v>
      </c>
      <c r="AH22" s="7">
        <v>34.6</v>
      </c>
      <c r="AI22" s="8"/>
      <c r="AJ22" s="24"/>
      <c r="AK22" s="6">
        <f t="shared" si="29"/>
        <v>1298.1500000000001</v>
      </c>
      <c r="AL22" s="7">
        <f t="shared" si="28"/>
        <v>3.821124409359703E-5</v>
      </c>
      <c r="AM22" s="7">
        <v>21275.99349225</v>
      </c>
      <c r="AN22" s="8">
        <v>0</v>
      </c>
      <c r="BS22" s="6">
        <v>1470</v>
      </c>
      <c r="BT22" s="8">
        <v>4.0000000000000002E-4</v>
      </c>
      <c r="BU22" s="7">
        <f t="shared" si="16"/>
        <v>1470</v>
      </c>
      <c r="BV22" s="7">
        <f t="shared" si="17"/>
        <v>9.9722147999999999E-4</v>
      </c>
      <c r="BW22" s="7">
        <v>25260.866615250001</v>
      </c>
      <c r="BX22" s="8">
        <v>7.7427482639324996</v>
      </c>
      <c r="CT22" s="10">
        <v>650</v>
      </c>
      <c r="CU22" s="21">
        <v>2.3999999999999998E-7</v>
      </c>
      <c r="CV22" s="47"/>
      <c r="CW22" s="13"/>
      <c r="CX22" s="10">
        <f t="shared" si="22"/>
        <v>923.15</v>
      </c>
      <c r="CY22" s="12">
        <f t="shared" si="23"/>
        <v>3.7788843945383989E-7</v>
      </c>
      <c r="CZ22" s="12">
        <v>21277.502221499999</v>
      </c>
      <c r="DA22" s="13">
        <v>0</v>
      </c>
    </row>
    <row r="23" spans="9:115">
      <c r="AF23" s="6">
        <v>1050</v>
      </c>
      <c r="AG23" s="7">
        <v>93</v>
      </c>
      <c r="AH23" s="7">
        <v>19.600000000000001</v>
      </c>
      <c r="AI23" s="8"/>
      <c r="AJ23" s="24"/>
      <c r="AK23" s="6">
        <f t="shared" si="29"/>
        <v>1323.15</v>
      </c>
      <c r="AL23" s="7">
        <f t="shared" si="28"/>
        <v>4.8025775966952431E-5</v>
      </c>
      <c r="AM23" s="7">
        <v>21275.36933025</v>
      </c>
      <c r="AN23" s="8">
        <v>0</v>
      </c>
      <c r="BS23" s="6">
        <v>1490</v>
      </c>
      <c r="BT23" s="8">
        <v>4.2999999999999999E-4</v>
      </c>
      <c r="BU23" s="7">
        <f t="shared" si="16"/>
        <v>1490</v>
      </c>
      <c r="BV23" s="7">
        <f t="shared" si="17"/>
        <v>1.0717859649999998E-3</v>
      </c>
      <c r="BW23" s="7">
        <v>25255.514628749999</v>
      </c>
      <c r="BX23" s="8">
        <v>9.2582572608750002</v>
      </c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pans="9:115">
      <c r="AF24" s="41" t="s">
        <v>24</v>
      </c>
      <c r="AG24" s="42"/>
      <c r="AH24" s="42"/>
      <c r="AI24" s="8"/>
      <c r="AJ24" s="24"/>
      <c r="AK24" s="6"/>
      <c r="AL24" s="7"/>
      <c r="AM24" s="7"/>
      <c r="AN24" s="8"/>
      <c r="BS24" s="6">
        <v>1505</v>
      </c>
      <c r="BT24" s="8">
        <v>4.95E-4</v>
      </c>
      <c r="BU24" s="7">
        <f t="shared" si="16"/>
        <v>1505</v>
      </c>
      <c r="BV24" s="7">
        <f t="shared" si="17"/>
        <v>1.2335898960000001E-3</v>
      </c>
      <c r="BW24" s="7">
        <v>25251.211356</v>
      </c>
      <c r="BX24" s="8">
        <v>10.553553504375</v>
      </c>
    </row>
    <row r="25" spans="9:115">
      <c r="AF25" s="6">
        <v>500</v>
      </c>
      <c r="AG25" s="7">
        <v>130</v>
      </c>
      <c r="AH25" s="7">
        <v>128.19999999999999</v>
      </c>
      <c r="AI25" s="8"/>
      <c r="AJ25" s="24"/>
      <c r="AK25" s="6">
        <f t="shared" ref="AK25:AK35" si="30">AF25+273.15</f>
        <v>773.15</v>
      </c>
      <c r="AL25" s="7">
        <f t="shared" si="28"/>
        <v>1.1777438248026557E-6</v>
      </c>
      <c r="AM25" s="7">
        <v>21278.246960249999</v>
      </c>
      <c r="AN25" s="8">
        <v>0</v>
      </c>
      <c r="BS25" s="6">
        <v>1520</v>
      </c>
      <c r="BT25" s="8">
        <v>5.7000000000000009E-4</v>
      </c>
      <c r="BU25" s="7">
        <f t="shared" si="16"/>
        <v>1520</v>
      </c>
      <c r="BV25" s="7">
        <f t="shared" si="17"/>
        <v>1.4202408990000002E-3</v>
      </c>
      <c r="BW25" s="7">
        <v>25246.650717749999</v>
      </c>
      <c r="BX25" s="8">
        <v>11.998961114175</v>
      </c>
    </row>
    <row r="26" spans="9:115" s="17" customFormat="1">
      <c r="AF26" s="6">
        <v>800</v>
      </c>
      <c r="AG26" s="7">
        <v>130</v>
      </c>
      <c r="AH26" s="7">
        <v>124.5</v>
      </c>
      <c r="AI26" s="8"/>
      <c r="AJ26" s="25"/>
      <c r="AK26" s="6">
        <f t="shared" si="30"/>
        <v>1073.1500000000001</v>
      </c>
      <c r="AL26" s="7">
        <f t="shared" si="28"/>
        <v>3.5986616868969809E-6</v>
      </c>
      <c r="AM26" s="7">
        <v>21278.09091975</v>
      </c>
      <c r="AN26" s="8">
        <v>0</v>
      </c>
      <c r="BS26" s="6">
        <v>1435</v>
      </c>
      <c r="BT26" s="44">
        <v>3.7000000000000005E-4</v>
      </c>
      <c r="BU26" s="7">
        <f t="shared" si="16"/>
        <v>1435</v>
      </c>
      <c r="BV26" s="7">
        <f t="shared" si="17"/>
        <v>9.9355796600000021E-4</v>
      </c>
      <c r="BW26" s="7">
        <v>27208.719163500002</v>
      </c>
      <c r="BX26" s="8">
        <v>5.6264636038800004</v>
      </c>
    </row>
    <row r="27" spans="9:115">
      <c r="AF27" s="6">
        <v>850</v>
      </c>
      <c r="AG27" s="7">
        <v>130</v>
      </c>
      <c r="AH27" s="7">
        <v>121.3</v>
      </c>
      <c r="AI27" s="8"/>
      <c r="AJ27" s="24"/>
      <c r="AK27" s="6">
        <f t="shared" si="30"/>
        <v>1123.1500000000001</v>
      </c>
      <c r="AL27" s="7">
        <f t="shared" si="28"/>
        <v>5.6924284865461356E-6</v>
      </c>
      <c r="AM27" s="7">
        <v>21277.945011749998</v>
      </c>
      <c r="AN27" s="8">
        <v>0</v>
      </c>
      <c r="BS27" s="6">
        <v>1445</v>
      </c>
      <c r="BT27" s="8">
        <v>4.0999999999999999E-4</v>
      </c>
      <c r="BU27" s="7">
        <f t="shared" si="16"/>
        <v>1445</v>
      </c>
      <c r="BV27" s="7">
        <f t="shared" si="17"/>
        <v>1.1008755429999999E-3</v>
      </c>
      <c r="BW27" s="7">
        <v>27206.393754749999</v>
      </c>
      <c r="BX27" s="8">
        <v>6.1835803813875003</v>
      </c>
      <c r="CP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</row>
    <row r="28" spans="9:115">
      <c r="AF28" s="6">
        <v>900</v>
      </c>
      <c r="AG28" s="7">
        <v>130</v>
      </c>
      <c r="AH28" s="7">
        <v>114.4</v>
      </c>
      <c r="AI28" s="8"/>
      <c r="AJ28" s="24"/>
      <c r="AK28" s="6">
        <f t="shared" si="30"/>
        <v>1173.1500000000001</v>
      </c>
      <c r="AL28" s="7">
        <f t="shared" si="28"/>
        <v>1.0207113148289616E-5</v>
      </c>
      <c r="AM28" s="7">
        <v>21277.680553499998</v>
      </c>
      <c r="AN28" s="8">
        <v>0</v>
      </c>
      <c r="BS28" s="6">
        <v>1455</v>
      </c>
      <c r="BT28" s="8">
        <v>4.2999999999999999E-4</v>
      </c>
      <c r="BU28" s="7">
        <f t="shared" si="16"/>
        <v>1455</v>
      </c>
      <c r="BV28" s="7">
        <f t="shared" si="17"/>
        <v>1.1545258769999997E-3</v>
      </c>
      <c r="BW28" s="7">
        <v>27205.194066749998</v>
      </c>
      <c r="BX28" s="8">
        <v>6.4793293416599997</v>
      </c>
    </row>
    <row r="29" spans="9:115">
      <c r="AF29" s="6">
        <v>925</v>
      </c>
      <c r="AG29" s="7">
        <v>130</v>
      </c>
      <c r="AH29" s="7">
        <v>109.3</v>
      </c>
      <c r="AI29" s="8"/>
      <c r="AJ29" s="24"/>
      <c r="AK29" s="6">
        <f t="shared" si="30"/>
        <v>1198.1500000000001</v>
      </c>
      <c r="AL29" s="7">
        <f t="shared" si="28"/>
        <v>1.354405398523046E-5</v>
      </c>
      <c r="AM29" s="7">
        <v>21277.483982999998</v>
      </c>
      <c r="AN29" s="8">
        <v>0</v>
      </c>
      <c r="BS29" s="6">
        <v>1470</v>
      </c>
      <c r="BT29" s="8">
        <v>4.5999999999999996E-4</v>
      </c>
      <c r="BU29" s="7">
        <f t="shared" si="16"/>
        <v>1470</v>
      </c>
      <c r="BV29" s="7">
        <f t="shared" si="17"/>
        <v>1.2348446539999997E-3</v>
      </c>
      <c r="BW29" s="7">
        <v>27200.137949249998</v>
      </c>
      <c r="BX29" s="8">
        <v>7.7859016897725004</v>
      </c>
    </row>
    <row r="30" spans="9:115">
      <c r="AF30" s="6">
        <v>950</v>
      </c>
      <c r="AG30" s="7">
        <v>130</v>
      </c>
      <c r="AH30" s="7">
        <v>101.6</v>
      </c>
      <c r="AI30" s="8"/>
      <c r="AJ30" s="24"/>
      <c r="AK30" s="6">
        <f t="shared" si="30"/>
        <v>1223.1500000000001</v>
      </c>
      <c r="AL30" s="7">
        <f t="shared" si="28"/>
        <v>1.8582180346886231E-5</v>
      </c>
      <c r="AM30" s="7">
        <v>21277.230670500001</v>
      </c>
      <c r="AN30" s="8">
        <v>0</v>
      </c>
      <c r="BS30" s="6">
        <v>1480</v>
      </c>
      <c r="BT30" s="8">
        <v>4.8000000000000001E-4</v>
      </c>
      <c r="BU30" s="7">
        <f t="shared" si="16"/>
        <v>1480</v>
      </c>
      <c r="BV30" s="7">
        <f t="shared" si="17"/>
        <v>1.288406256E-3</v>
      </c>
      <c r="BW30" s="7">
        <v>27197.45081025</v>
      </c>
      <c r="BX30" s="8">
        <v>8.5190069416200007</v>
      </c>
    </row>
    <row r="31" spans="9:115">
      <c r="AF31" s="6">
        <v>975</v>
      </c>
      <c r="AG31" s="7">
        <v>130</v>
      </c>
      <c r="AH31" s="7">
        <v>91</v>
      </c>
      <c r="AI31" s="8"/>
      <c r="AJ31" s="24"/>
      <c r="AK31" s="6">
        <f t="shared" si="30"/>
        <v>1248.1500000000001</v>
      </c>
      <c r="AL31" s="7">
        <f t="shared" si="28"/>
        <v>2.5517782870724048E-5</v>
      </c>
      <c r="AM31" s="7">
        <v>21276.907443749998</v>
      </c>
      <c r="AN31" s="8">
        <v>0</v>
      </c>
      <c r="BS31" s="6">
        <v>1490</v>
      </c>
      <c r="BT31" s="8">
        <v>5.1000000000000004E-4</v>
      </c>
      <c r="BU31" s="7">
        <f t="shared" si="16"/>
        <v>1490</v>
      </c>
      <c r="BV31" s="7">
        <f t="shared" si="17"/>
        <v>1.3687908870000003E-3</v>
      </c>
      <c r="BW31" s="7">
        <v>27194.654240250002</v>
      </c>
      <c r="BX31" s="8">
        <v>9.3098737154850006</v>
      </c>
    </row>
    <row r="32" spans="9:115">
      <c r="AF32" s="6">
        <v>1000</v>
      </c>
      <c r="AG32" s="7">
        <v>130</v>
      </c>
      <c r="AH32" s="7">
        <v>75.3</v>
      </c>
      <c r="AI32" s="8"/>
      <c r="AJ32" s="24"/>
      <c r="AK32" s="6">
        <f t="shared" si="30"/>
        <v>1273.1500000000001</v>
      </c>
      <c r="AL32" s="7">
        <f t="shared" si="28"/>
        <v>3.5790326231502703E-5</v>
      </c>
      <c r="AM32" s="7">
        <v>21276.500117250001</v>
      </c>
      <c r="AN32" s="8">
        <v>0</v>
      </c>
      <c r="BS32" s="6">
        <v>1505</v>
      </c>
      <c r="BT32" s="8">
        <v>5.4000000000000012E-4</v>
      </c>
      <c r="BU32" s="7">
        <f t="shared" si="16"/>
        <v>1505</v>
      </c>
      <c r="BV32" s="7">
        <f t="shared" si="17"/>
        <v>1.4490730440000004E-3</v>
      </c>
      <c r="BW32" s="7">
        <v>27190.245589499998</v>
      </c>
      <c r="BX32" s="8">
        <v>10.61240620545</v>
      </c>
    </row>
    <row r="33" spans="32:76">
      <c r="AF33" s="6">
        <v>1025</v>
      </c>
      <c r="AG33" s="7">
        <v>130</v>
      </c>
      <c r="AH33" s="7">
        <v>56.6</v>
      </c>
      <c r="AI33" s="8"/>
      <c r="AJ33" s="24"/>
      <c r="AK33" s="6">
        <f t="shared" si="30"/>
        <v>1298.1500000000001</v>
      </c>
      <c r="AL33" s="7">
        <f t="shared" si="28"/>
        <v>4.8025775966952431E-5</v>
      </c>
      <c r="AM33" s="7">
        <v>21275.99349225</v>
      </c>
      <c r="AN33" s="8">
        <v>0</v>
      </c>
      <c r="BS33" s="6">
        <v>1515</v>
      </c>
      <c r="BT33" s="8">
        <v>5.9000000000000003E-4</v>
      </c>
      <c r="BU33" s="7">
        <f t="shared" si="16"/>
        <v>1515</v>
      </c>
      <c r="BV33" s="7">
        <f t="shared" si="17"/>
        <v>1.5830667600000002E-3</v>
      </c>
      <c r="BW33" s="7">
        <v>27187.159230000001</v>
      </c>
      <c r="BX33" s="8">
        <v>11.563797292949999</v>
      </c>
    </row>
    <row r="34" spans="32:76">
      <c r="AF34" s="6">
        <v>1050</v>
      </c>
      <c r="AG34" s="7">
        <v>130</v>
      </c>
      <c r="AH34" s="7">
        <v>35.9</v>
      </c>
      <c r="AI34" s="8"/>
      <c r="AJ34" s="24"/>
      <c r="AK34" s="6">
        <f t="shared" si="30"/>
        <v>1323.15</v>
      </c>
      <c r="AL34" s="7">
        <f t="shared" si="28"/>
        <v>6.15698299521829E-5</v>
      </c>
      <c r="AM34" s="7">
        <v>21275.36933025</v>
      </c>
      <c r="AN34" s="8">
        <v>0</v>
      </c>
      <c r="BS34" s="6">
        <v>1530</v>
      </c>
      <c r="BT34" s="8">
        <v>6.3000000000000003E-4</v>
      </c>
      <c r="BU34" s="7">
        <f t="shared" si="16"/>
        <v>1530</v>
      </c>
      <c r="BV34" s="7">
        <f t="shared" si="17"/>
        <v>1.6901939880000002E-3</v>
      </c>
      <c r="BW34" s="7">
        <v>27183.953307</v>
      </c>
      <c r="BX34" s="8">
        <v>12.586269793125</v>
      </c>
    </row>
    <row r="35" spans="32:76">
      <c r="AF35" s="10">
        <v>1075</v>
      </c>
      <c r="AG35" s="11">
        <v>130</v>
      </c>
      <c r="AH35" s="11">
        <v>17</v>
      </c>
      <c r="AI35" s="13"/>
      <c r="AJ35" s="26"/>
      <c r="AK35" s="10">
        <f t="shared" si="30"/>
        <v>1348.15</v>
      </c>
      <c r="AL35" s="11">
        <f t="shared" si="28"/>
        <v>7.3936140112610701E-5</v>
      </c>
      <c r="AM35" s="11">
        <v>21274.609392750001</v>
      </c>
      <c r="AN35" s="13">
        <v>0</v>
      </c>
      <c r="BS35" s="6">
        <v>1555</v>
      </c>
      <c r="BT35" s="8">
        <v>7.0500000000000001E-4</v>
      </c>
      <c r="BU35" s="7">
        <f t="shared" si="16"/>
        <v>1555</v>
      </c>
      <c r="BV35" s="7">
        <f t="shared" si="17"/>
        <v>1.8906853559999999E-3</v>
      </c>
      <c r="BW35" s="7">
        <v>27173.573573999998</v>
      </c>
      <c r="BX35" s="8">
        <v>16.122779791125001</v>
      </c>
    </row>
    <row r="36" spans="32:76">
      <c r="BS36" s="6">
        <v>1570</v>
      </c>
      <c r="BT36" s="8">
        <v>7.9000000000000012E-4</v>
      </c>
      <c r="BU36" s="7">
        <f t="shared" si="16"/>
        <v>1570</v>
      </c>
      <c r="BV36" s="7">
        <f t="shared" si="17"/>
        <v>2.1182008510000007E-3</v>
      </c>
      <c r="BW36" s="7">
        <v>27167.936864250001</v>
      </c>
      <c r="BX36" s="8">
        <v>18.182995279575</v>
      </c>
    </row>
    <row r="37" spans="32:76">
      <c r="BS37" s="6">
        <v>1510</v>
      </c>
      <c r="BT37" s="8">
        <v>3.8999999999999999E-4</v>
      </c>
      <c r="BU37" s="7">
        <f t="shared" si="16"/>
        <v>1510</v>
      </c>
      <c r="BV37" s="7">
        <f t="shared" si="17"/>
        <v>1.1194482E-3</v>
      </c>
      <c r="BW37" s="7">
        <v>29084.125349999998</v>
      </c>
      <c r="BX37" s="8">
        <v>11.12244525</v>
      </c>
    </row>
    <row r="38" spans="32:76">
      <c r="BS38" s="6">
        <v>1520</v>
      </c>
      <c r="BT38" s="8">
        <v>6.0999999999999997E-4</v>
      </c>
      <c r="BU38" s="7">
        <f t="shared" si="16"/>
        <v>1520</v>
      </c>
      <c r="BV38" s="7">
        <f t="shared" si="17"/>
        <v>1.7507383689999998E-3</v>
      </c>
      <c r="BW38" s="7">
        <v>29080.912334249999</v>
      </c>
      <c r="BX38" s="8">
        <v>12.1123905</v>
      </c>
    </row>
    <row r="39" spans="32:76">
      <c r="BS39" s="6">
        <v>1535</v>
      </c>
      <c r="BT39" s="8">
        <v>6.8000000000000005E-4</v>
      </c>
      <c r="BU39" s="7">
        <f t="shared" si="16"/>
        <v>1535</v>
      </c>
      <c r="BV39" s="7">
        <f t="shared" si="17"/>
        <v>1.9511860840000003E-3</v>
      </c>
      <c r="BW39" s="7">
        <v>29074.107347249999</v>
      </c>
      <c r="BX39" s="8">
        <v>14.318235749999999</v>
      </c>
    </row>
    <row r="40" spans="32:76">
      <c r="BS40" s="6">
        <v>1550</v>
      </c>
      <c r="BT40" s="8">
        <v>7.2000000000000005E-4</v>
      </c>
      <c r="BU40" s="7">
        <f t="shared" si="16"/>
        <v>1550</v>
      </c>
      <c r="BV40" s="7">
        <f t="shared" si="17"/>
        <v>2.0657059199999999E-3</v>
      </c>
      <c r="BW40" s="7">
        <v>29070.507269999998</v>
      </c>
      <c r="BX40" s="8">
        <v>15.541228500000001</v>
      </c>
    </row>
    <row r="41" spans="32:76">
      <c r="BS41" s="6">
        <v>1560</v>
      </c>
      <c r="BT41" s="8">
        <v>7.9000000000000012E-4</v>
      </c>
      <c r="BU41" s="7">
        <f t="shared" si="16"/>
        <v>1560</v>
      </c>
      <c r="BV41" s="7">
        <f t="shared" si="17"/>
        <v>2.2662472460000006E-3</v>
      </c>
      <c r="BW41" s="7">
        <v>29066.772430500001</v>
      </c>
      <c r="BX41" s="8">
        <v>16.851360750000001</v>
      </c>
    </row>
    <row r="42" spans="32:76">
      <c r="BS42" s="6">
        <v>1575</v>
      </c>
      <c r="BT42" s="8">
        <v>8.7000000000000001E-4</v>
      </c>
      <c r="BU42" s="7">
        <f t="shared" si="16"/>
        <v>1575</v>
      </c>
      <c r="BV42" s="7">
        <f t="shared" si="17"/>
        <v>2.4952370819999996E-3</v>
      </c>
      <c r="BW42" s="7">
        <v>29060.907739499999</v>
      </c>
      <c r="BX42" s="8">
        <v>18.9903315</v>
      </c>
    </row>
    <row r="43" spans="32:76">
      <c r="BS43" s="6">
        <v>1590</v>
      </c>
      <c r="BT43" s="8">
        <v>1.01E-3</v>
      </c>
      <c r="BU43" s="7">
        <f t="shared" si="16"/>
        <v>1590</v>
      </c>
      <c r="BV43" s="7">
        <f t="shared" si="17"/>
        <v>2.8961524769999998E-3</v>
      </c>
      <c r="BW43" s="7">
        <v>29054.717795249999</v>
      </c>
      <c r="BX43" s="8">
        <v>21.352217249999999</v>
      </c>
    </row>
    <row r="44" spans="32:76">
      <c r="BS44" s="6">
        <v>1605</v>
      </c>
      <c r="BT44" s="8">
        <v>1.2099999999999999E-3</v>
      </c>
      <c r="BU44" s="7">
        <f t="shared" si="16"/>
        <v>1605</v>
      </c>
      <c r="BV44" s="7">
        <f t="shared" si="17"/>
        <v>3.468868535E-3</v>
      </c>
      <c r="BW44" s="7">
        <v>29048.19043875</v>
      </c>
      <c r="BX44" s="8">
        <v>23.955256500000001</v>
      </c>
    </row>
    <row r="45" spans="32:76">
      <c r="BS45" s="6">
        <v>1590</v>
      </c>
      <c r="BT45" s="8">
        <v>8.0000000000000004E-4</v>
      </c>
      <c r="BU45" s="7">
        <f t="shared" si="16"/>
        <v>1590</v>
      </c>
      <c r="BV45" s="7">
        <f t="shared" si="17"/>
        <v>2.4400842399999998E-3</v>
      </c>
      <c r="BW45" s="7">
        <v>30905.191952249999</v>
      </c>
      <c r="BX45" s="8">
        <v>21.403893</v>
      </c>
    </row>
    <row r="46" spans="32:76">
      <c r="BS46" s="6">
        <v>1600</v>
      </c>
      <c r="BT46" s="8">
        <v>1.17E-3</v>
      </c>
      <c r="BU46" s="7">
        <f t="shared" si="16"/>
        <v>1600</v>
      </c>
      <c r="BV46" s="7">
        <f t="shared" si="17"/>
        <v>3.5681157720000001E-3</v>
      </c>
      <c r="BW46" s="7">
        <v>30900.797487</v>
      </c>
      <c r="BX46" s="8">
        <v>23.11527225</v>
      </c>
    </row>
    <row r="47" spans="32:76">
      <c r="BS47" s="6">
        <v>1615</v>
      </c>
      <c r="BT47" s="8">
        <v>1.0500000000000002E-3</v>
      </c>
      <c r="BU47" s="7">
        <f t="shared" si="16"/>
        <v>1615</v>
      </c>
      <c r="BV47" s="7">
        <f t="shared" si="17"/>
        <v>3.2016834150000004E-3</v>
      </c>
      <c r="BW47" s="7">
        <v>30896.24495475</v>
      </c>
      <c r="BX47" s="8">
        <v>24.9401355</v>
      </c>
    </row>
    <row r="48" spans="32:76">
      <c r="BS48" s="6">
        <v>1630</v>
      </c>
      <c r="BT48" s="8">
        <v>1.1300000000000001E-3</v>
      </c>
      <c r="BU48" s="7">
        <f t="shared" si="16"/>
        <v>1630</v>
      </c>
      <c r="BV48" s="7">
        <f t="shared" si="17"/>
        <v>3.4450956360000005E-3</v>
      </c>
      <c r="BW48" s="7">
        <v>30891.532329000001</v>
      </c>
      <c r="BX48" s="8">
        <v>26.883548999999999</v>
      </c>
    </row>
    <row r="49" spans="71:76">
      <c r="BS49" s="6">
        <v>1645</v>
      </c>
      <c r="BT49" s="8">
        <v>1.2900000000000001E-3</v>
      </c>
      <c r="BU49" s="7">
        <f t="shared" si="16"/>
        <v>1645</v>
      </c>
      <c r="BV49" s="7">
        <f t="shared" si="17"/>
        <v>3.9316331040000008E-3</v>
      </c>
      <c r="BW49" s="7">
        <v>30881.606532000002</v>
      </c>
      <c r="BX49" s="8">
        <v>31.149331499999999</v>
      </c>
    </row>
    <row r="50" spans="71:76">
      <c r="BS50" s="10">
        <v>1660</v>
      </c>
      <c r="BT50" s="13">
        <v>1.5300000000000001E-3</v>
      </c>
      <c r="BU50" s="11">
        <f t="shared" si="16"/>
        <v>1660</v>
      </c>
      <c r="BV50" s="11">
        <f t="shared" si="17"/>
        <v>4.6610785980000001E-3</v>
      </c>
      <c r="BW50" s="11">
        <v>30868.221499499999</v>
      </c>
      <c r="BX50" s="13">
        <v>37.258215749999998</v>
      </c>
    </row>
  </sheetData>
  <mergeCells count="44">
    <mergeCell ref="DC3:DG3"/>
    <mergeCell ref="DH3:DK3"/>
    <mergeCell ref="DC2:DK2"/>
    <mergeCell ref="CO3:CR3"/>
    <mergeCell ref="CJ3:CM3"/>
    <mergeCell ref="CJ2:CR2"/>
    <mergeCell ref="CT3:CU3"/>
    <mergeCell ref="CX3:DA3"/>
    <mergeCell ref="CV3:CW3"/>
    <mergeCell ref="CT2:DA2"/>
    <mergeCell ref="BU3:BX3"/>
    <mergeCell ref="BS2:BX2"/>
    <mergeCell ref="BS3:BT3"/>
    <mergeCell ref="BZ3:CD3"/>
    <mergeCell ref="CE3:CH3"/>
    <mergeCell ref="BZ2:CH2"/>
    <mergeCell ref="I3:J3"/>
    <mergeCell ref="K3:N3"/>
    <mergeCell ref="B3:C3"/>
    <mergeCell ref="B2:G2"/>
    <mergeCell ref="D3:G3"/>
    <mergeCell ref="I2:N2"/>
    <mergeCell ref="P3:S3"/>
    <mergeCell ref="T3:W3"/>
    <mergeCell ref="P2:W2"/>
    <mergeCell ref="Y3:Z3"/>
    <mergeCell ref="AA3:AD3"/>
    <mergeCell ref="Y2:AD2"/>
    <mergeCell ref="AF5:AH5"/>
    <mergeCell ref="AF13:AH13"/>
    <mergeCell ref="AF24:AH24"/>
    <mergeCell ref="AF3:AI3"/>
    <mergeCell ref="AK3:AN3"/>
    <mergeCell ref="AF2:AN2"/>
    <mergeCell ref="AP3:AQ3"/>
    <mergeCell ref="AR3:AS3"/>
    <mergeCell ref="AT3:AW3"/>
    <mergeCell ref="AP2:AW2"/>
    <mergeCell ref="AY3:BC3"/>
    <mergeCell ref="BD3:BG3"/>
    <mergeCell ref="AY2:BG2"/>
    <mergeCell ref="BI2:BQ2"/>
    <mergeCell ref="BI3:BM3"/>
    <mergeCell ref="BN3:B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80"/>
  <sheetViews>
    <sheetView topLeftCell="AE1" workbookViewId="0">
      <selection activeCell="AK2" sqref="AK2:AP14"/>
    </sheetView>
  </sheetViews>
  <sheetFormatPr baseColWidth="10" defaultRowHeight="15" x14ac:dyDescent="0"/>
  <cols>
    <col min="2" max="2" width="14.6640625" bestFit="1" customWidth="1"/>
    <col min="3" max="3" width="11.5" bestFit="1" customWidth="1"/>
    <col min="4" max="4" width="28.6640625" bestFit="1" customWidth="1"/>
    <col min="5" max="5" width="27.5" bestFit="1" customWidth="1"/>
    <col min="6" max="6" width="18" bestFit="1" customWidth="1"/>
    <col min="7" max="7" width="19.1640625" bestFit="1" customWidth="1"/>
    <col min="8" max="8" width="28.1640625" customWidth="1"/>
    <col min="9" max="9" width="21.1640625" bestFit="1" customWidth="1"/>
    <col min="10" max="10" width="9.6640625" bestFit="1" customWidth="1"/>
    <col min="11" max="11" width="12.6640625" bestFit="1" customWidth="1"/>
    <col min="12" max="12" width="12.83203125" bestFit="1" customWidth="1"/>
    <col min="13" max="13" width="14.6640625" bestFit="1" customWidth="1"/>
    <col min="14" max="14" width="17" bestFit="1" customWidth="1"/>
    <col min="15" max="15" width="21.6640625" bestFit="1" customWidth="1"/>
    <col min="17" max="17" width="14.6640625" bestFit="1" customWidth="1"/>
    <col min="18" max="18" width="20.33203125" bestFit="1" customWidth="1"/>
    <col min="19" max="19" width="21.6640625" bestFit="1" customWidth="1"/>
    <col min="20" max="20" width="14.6640625" bestFit="1" customWidth="1"/>
    <col min="21" max="21" width="17" bestFit="1" customWidth="1"/>
    <col min="22" max="22" width="21.6640625" bestFit="1" customWidth="1"/>
    <col min="24" max="24" width="14.6640625" bestFit="1" customWidth="1"/>
    <col min="25" max="25" width="11.5" bestFit="1" customWidth="1"/>
    <col min="26" max="26" width="28.6640625" bestFit="1" customWidth="1"/>
    <col min="27" max="27" width="21.6640625" bestFit="1" customWidth="1"/>
    <col min="28" max="28" width="23.33203125" bestFit="1" customWidth="1"/>
    <col min="29" max="29" width="17.33203125" bestFit="1" customWidth="1"/>
    <col min="30" max="30" width="8.83203125" bestFit="1" customWidth="1"/>
    <col min="31" max="31" width="16.83203125" bestFit="1" customWidth="1"/>
    <col min="32" max="32" width="12.83203125" bestFit="1" customWidth="1"/>
    <col min="33" max="33" width="14.6640625" bestFit="1" customWidth="1"/>
    <col min="34" max="34" width="17" bestFit="1" customWidth="1"/>
    <col min="35" max="35" width="21.6640625" bestFit="1" customWidth="1"/>
    <col min="37" max="37" width="16.83203125" customWidth="1"/>
    <col min="38" max="38" width="20.33203125" bestFit="1" customWidth="1"/>
    <col min="39" max="39" width="22.83203125" bestFit="1" customWidth="1"/>
    <col min="40" max="40" width="21.6640625" bestFit="1" customWidth="1"/>
    <col min="41" max="41" width="17" bestFit="1" customWidth="1"/>
    <col min="42" max="42" width="21.6640625" bestFit="1" customWidth="1"/>
    <col min="43" max="43" width="10.83203125" customWidth="1"/>
    <col min="44" max="44" width="14.6640625" bestFit="1" customWidth="1"/>
    <col min="45" max="45" width="20.33203125" bestFit="1" customWidth="1"/>
    <col min="46" max="46" width="21.6640625" bestFit="1" customWidth="1"/>
    <col min="47" max="47" width="14.6640625" bestFit="1" customWidth="1"/>
    <col min="48" max="48" width="17" bestFit="1" customWidth="1"/>
    <col min="49" max="49" width="21.6640625" bestFit="1" customWidth="1"/>
  </cols>
  <sheetData>
    <row r="2" spans="2:49">
      <c r="B2" s="38" t="s">
        <v>63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  <c r="Q2" s="38" t="s">
        <v>39</v>
      </c>
      <c r="R2" s="39"/>
      <c r="S2" s="39"/>
      <c r="T2" s="39"/>
      <c r="U2" s="39"/>
      <c r="V2" s="40"/>
      <c r="X2" s="38" t="s">
        <v>75</v>
      </c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K2" s="35" t="s">
        <v>86</v>
      </c>
      <c r="AL2" s="36"/>
      <c r="AM2" s="36"/>
      <c r="AN2" s="36"/>
      <c r="AO2" s="36"/>
      <c r="AP2" s="37"/>
      <c r="AR2" s="38" t="s">
        <v>47</v>
      </c>
      <c r="AS2" s="39"/>
      <c r="AT2" s="39"/>
      <c r="AU2" s="39"/>
      <c r="AV2" s="39"/>
      <c r="AW2" s="40"/>
    </row>
    <row r="3" spans="2:49">
      <c r="B3" s="41" t="s">
        <v>0</v>
      </c>
      <c r="C3" s="42"/>
      <c r="D3" s="42"/>
      <c r="E3" s="42"/>
      <c r="F3" s="42"/>
      <c r="G3" s="43"/>
      <c r="H3" s="15" t="s">
        <v>15</v>
      </c>
      <c r="I3" s="41" t="s">
        <v>4</v>
      </c>
      <c r="J3" s="42"/>
      <c r="K3" s="42"/>
      <c r="L3" s="42"/>
      <c r="M3" s="42"/>
      <c r="N3" s="42"/>
      <c r="O3" s="43"/>
      <c r="Q3" s="32" t="s">
        <v>0</v>
      </c>
      <c r="R3" s="33"/>
      <c r="S3" s="34"/>
      <c r="T3" s="32" t="s">
        <v>4</v>
      </c>
      <c r="U3" s="33"/>
      <c r="V3" s="34"/>
      <c r="X3" s="32" t="s">
        <v>0</v>
      </c>
      <c r="Y3" s="33"/>
      <c r="Z3" s="33"/>
      <c r="AA3" s="34"/>
      <c r="AB3" s="15" t="s">
        <v>15</v>
      </c>
      <c r="AC3" s="41" t="s">
        <v>4</v>
      </c>
      <c r="AD3" s="42"/>
      <c r="AE3" s="42"/>
      <c r="AF3" s="42"/>
      <c r="AG3" s="42"/>
      <c r="AH3" s="42"/>
      <c r="AI3" s="43"/>
      <c r="AK3" s="32" t="s">
        <v>0</v>
      </c>
      <c r="AL3" s="33"/>
      <c r="AM3" s="34"/>
      <c r="AN3" s="32" t="s">
        <v>4</v>
      </c>
      <c r="AO3" s="33"/>
      <c r="AP3" s="34"/>
      <c r="AR3" s="32" t="s">
        <v>0</v>
      </c>
      <c r="AS3" s="33"/>
      <c r="AT3" s="34"/>
      <c r="AU3" s="32" t="s">
        <v>4</v>
      </c>
      <c r="AV3" s="33"/>
      <c r="AW3" s="34"/>
    </row>
    <row r="4" spans="2:49">
      <c r="B4" s="14" t="s">
        <v>21</v>
      </c>
      <c r="C4" s="52" t="s">
        <v>48</v>
      </c>
      <c r="D4" s="52" t="s">
        <v>65</v>
      </c>
      <c r="E4" s="52" t="s">
        <v>64</v>
      </c>
      <c r="F4" s="50" t="s">
        <v>62</v>
      </c>
      <c r="G4" s="59"/>
      <c r="H4" s="7"/>
      <c r="I4" s="6" t="s">
        <v>67</v>
      </c>
      <c r="J4" s="50" t="s">
        <v>49</v>
      </c>
      <c r="K4" s="50" t="s">
        <v>50</v>
      </c>
      <c r="L4" s="50" t="s">
        <v>70</v>
      </c>
      <c r="M4" s="15" t="s">
        <v>5</v>
      </c>
      <c r="N4" s="15" t="s">
        <v>6</v>
      </c>
      <c r="O4" s="16" t="s">
        <v>61</v>
      </c>
      <c r="Q4" s="29" t="s">
        <v>5</v>
      </c>
      <c r="R4" s="27" t="s">
        <v>74</v>
      </c>
      <c r="S4" s="30" t="s">
        <v>61</v>
      </c>
      <c r="T4" s="14" t="s">
        <v>5</v>
      </c>
      <c r="U4" s="15" t="s">
        <v>6</v>
      </c>
      <c r="V4" s="16" t="s">
        <v>61</v>
      </c>
      <c r="X4" s="14" t="s">
        <v>21</v>
      </c>
      <c r="Y4" s="52" t="s">
        <v>76</v>
      </c>
      <c r="Z4" s="52" t="s">
        <v>78</v>
      </c>
      <c r="AA4" s="62" t="s">
        <v>61</v>
      </c>
      <c r="AB4" s="7"/>
      <c r="AC4" s="6" t="s">
        <v>79</v>
      </c>
      <c r="AD4" s="50" t="s">
        <v>80</v>
      </c>
      <c r="AE4" s="50" t="s">
        <v>54</v>
      </c>
      <c r="AF4" s="50" t="s">
        <v>81</v>
      </c>
      <c r="AG4" s="15" t="s">
        <v>5</v>
      </c>
      <c r="AH4" s="15" t="s">
        <v>6</v>
      </c>
      <c r="AI4" s="16" t="s">
        <v>61</v>
      </c>
      <c r="AK4" s="29" t="s">
        <v>21</v>
      </c>
      <c r="AL4" s="27" t="s">
        <v>87</v>
      </c>
      <c r="AM4" s="30" t="s">
        <v>88</v>
      </c>
      <c r="AN4" s="14" t="s">
        <v>5</v>
      </c>
      <c r="AO4" s="15" t="s">
        <v>6</v>
      </c>
      <c r="AP4" s="16" t="s">
        <v>61</v>
      </c>
      <c r="AR4" s="29" t="s">
        <v>5</v>
      </c>
      <c r="AS4" s="27" t="s">
        <v>74</v>
      </c>
      <c r="AT4" s="30" t="s">
        <v>61</v>
      </c>
      <c r="AU4" s="14" t="s">
        <v>5</v>
      </c>
      <c r="AV4" s="15" t="s">
        <v>6</v>
      </c>
      <c r="AW4" s="16" t="s">
        <v>61</v>
      </c>
    </row>
    <row r="5" spans="2:49">
      <c r="B5" s="41" t="s">
        <v>66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Q5" s="6">
        <v>1815</v>
      </c>
      <c r="R5" s="60">
        <v>5.6558232726280397E-2</v>
      </c>
      <c r="S5" s="7">
        <v>23207.477999999999</v>
      </c>
      <c r="T5" s="6">
        <f>Q5</f>
        <v>1815</v>
      </c>
      <c r="U5" s="7">
        <f>(0.012*R5*S5)/(2*PI()*0.018*8.314462175*Q5)^0.5</f>
        <v>0.38126192974738438</v>
      </c>
      <c r="V5" s="8">
        <f>S5</f>
        <v>23207.477999999999</v>
      </c>
      <c r="X5" s="41" t="s">
        <v>77</v>
      </c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3"/>
      <c r="AK5" s="68">
        <v>887.61571586972696</v>
      </c>
      <c r="AL5" s="69">
        <v>84.893195686576504</v>
      </c>
      <c r="AM5" s="74">
        <f>0.026</f>
        <v>2.5999999999999999E-2</v>
      </c>
      <c r="AN5" s="69">
        <f>AK5+273.15</f>
        <v>1160.765715869727</v>
      </c>
      <c r="AO5" s="7">
        <f>AL5*10^-9/60</f>
        <v>1.4148865947762752E-9</v>
      </c>
      <c r="AP5" s="8">
        <f>AM5*101325</f>
        <v>2634.45</v>
      </c>
      <c r="AR5" s="65">
        <v>1840</v>
      </c>
      <c r="AS5" s="7">
        <v>6.5399999999999996E-4</v>
      </c>
      <c r="AT5" s="7">
        <v>6.2776309049999997</v>
      </c>
      <c r="AU5" s="6">
        <f>AR5</f>
        <v>1840</v>
      </c>
      <c r="AV5" s="7">
        <f>(0.012*AS5*AT5)/(2*PI()*0.018*8.314462175*AR5)^0.5</f>
        <v>1.1844114381687923E-6</v>
      </c>
      <c r="AW5" s="8">
        <f>AT5</f>
        <v>6.2776309049999997</v>
      </c>
    </row>
    <row r="6" spans="2:49">
      <c r="B6" s="6">
        <v>1100</v>
      </c>
      <c r="C6" s="7">
        <v>0</v>
      </c>
      <c r="D6" s="53">
        <v>0</v>
      </c>
      <c r="E6" s="53">
        <v>0</v>
      </c>
      <c r="F6" s="7">
        <f>0.1*101325</f>
        <v>10132.5</v>
      </c>
      <c r="G6" s="8" t="s">
        <v>55</v>
      </c>
      <c r="H6" s="50" t="s">
        <v>52</v>
      </c>
      <c r="I6" s="46">
        <f>E6/$H$9/$H$13*$H$11</f>
        <v>0</v>
      </c>
      <c r="J6" s="7">
        <f>D6-E6</f>
        <v>0</v>
      </c>
      <c r="K6" s="7">
        <f>(J7-J6)/(C7-C6)</f>
        <v>-7.1036700000000005E-4</v>
      </c>
      <c r="L6" s="7">
        <f>K6*$G$15</f>
        <v>-1.1759041772070434E-5</v>
      </c>
      <c r="M6" s="7">
        <f>B6+273.15</f>
        <v>1373.15</v>
      </c>
      <c r="N6" s="51" t="e">
        <f>L6/I6/1000</f>
        <v>#DIV/0!</v>
      </c>
      <c r="O6" s="8">
        <f>F6</f>
        <v>10132.5</v>
      </c>
      <c r="Q6" s="6">
        <v>1812</v>
      </c>
      <c r="R6" s="60">
        <v>6.3443806740681494E-2</v>
      </c>
      <c r="S6" s="7">
        <v>23111.219249999998</v>
      </c>
      <c r="T6" s="6">
        <f t="shared" ref="T6:T21" si="0">Q6</f>
        <v>1812</v>
      </c>
      <c r="U6" s="7">
        <f t="shared" ref="U6:U21" si="1">(0.012*R6*S6)/(2*PI()*0.018*8.314462175*Q6)^0.5</f>
        <v>0.42625645898843495</v>
      </c>
      <c r="V6" s="8">
        <f t="shared" ref="V6:V21" si="2">S6</f>
        <v>23111.219249999998</v>
      </c>
      <c r="X6" s="6">
        <v>1000</v>
      </c>
      <c r="Y6" s="7">
        <v>225.274725274725</v>
      </c>
      <c r="Z6" s="7">
        <v>4.2392689475624499</v>
      </c>
      <c r="AA6" s="7">
        <f>0.03*101325</f>
        <v>3039.75</v>
      </c>
      <c r="AB6" s="24" t="s">
        <v>52</v>
      </c>
      <c r="AC6" s="7">
        <f>Z6/1000000/$AB$9</f>
        <v>2.2914967284121349E-9</v>
      </c>
      <c r="AD6" s="9">
        <f>$AC$6/$AB$13</f>
        <v>82990200924318.781</v>
      </c>
      <c r="AE6" s="9">
        <f>4*PI()*(AC6/AD6*3/(PI()*4))^(2/3)*AD6</f>
        <v>0.36663947654594181</v>
      </c>
      <c r="AF6" s="7">
        <f>(Z6-Z7)/(Y7-Y6)/1000000</f>
        <v>4.7640979130032117E-9</v>
      </c>
      <c r="AG6" s="7">
        <f>X6+273.15</f>
        <v>1273.1500000000001</v>
      </c>
      <c r="AH6" s="9">
        <f>AF6/AE6</f>
        <v>1.2993957873508598E-8</v>
      </c>
      <c r="AI6" s="8">
        <f>AA6</f>
        <v>3039.75</v>
      </c>
      <c r="AK6" s="68">
        <v>865.06476650535899</v>
      </c>
      <c r="AL6" s="69">
        <v>34.974780381411598</v>
      </c>
      <c r="AM6" s="74">
        <f t="shared" ref="AM6:AM14" si="3">0.026</f>
        <v>2.5999999999999999E-2</v>
      </c>
      <c r="AN6" s="69">
        <f t="shared" ref="AN6:AN14" si="4">AK6+273.15</f>
        <v>1138.214766505359</v>
      </c>
      <c r="AO6" s="7">
        <f t="shared" ref="AO6:AO14" si="5">AL6*10^-9/60</f>
        <v>5.8291300635685998E-10</v>
      </c>
      <c r="AP6" s="8">
        <f t="shared" ref="AP6:AP14" si="6">AM6*101325</f>
        <v>2634.45</v>
      </c>
      <c r="AR6" s="65">
        <v>1838</v>
      </c>
      <c r="AS6" s="7">
        <v>3.2360000000000002E-3</v>
      </c>
      <c r="AT6" s="7">
        <v>27.005949600000001</v>
      </c>
      <c r="AU6" s="6">
        <f>AR6</f>
        <v>1838</v>
      </c>
      <c r="AV6" s="7">
        <f>(0.012*AS6*AT6)/(2*PI()*0.018*8.314462175*AR6)^0.5</f>
        <v>2.5225117076639948E-5</v>
      </c>
      <c r="AW6" s="8">
        <f>AT6</f>
        <v>27.005949600000001</v>
      </c>
    </row>
    <row r="7" spans="2:49">
      <c r="B7" s="6">
        <v>1100</v>
      </c>
      <c r="C7" s="7">
        <v>0.1</v>
      </c>
      <c r="D7" s="54">
        <v>1.8595999999999999E-5</v>
      </c>
      <c r="E7" s="54">
        <v>8.9632700000000007E-5</v>
      </c>
      <c r="F7" s="7">
        <f t="shared" ref="F7:F23" si="7">0.1*101325</f>
        <v>10132.5</v>
      </c>
      <c r="G7" s="8">
        <v>77</v>
      </c>
      <c r="H7" s="9">
        <v>4.0000000000000001E-8</v>
      </c>
      <c r="I7" s="46">
        <f t="shared" ref="I7:I23" si="8">E7/$H$9/$H$13*$H$11</f>
        <v>3.6337581081081088E-3</v>
      </c>
      <c r="J7" s="7">
        <f t="shared" ref="J7:J23" si="9">D7-E7</f>
        <v>-7.1036700000000011E-5</v>
      </c>
      <c r="K7" s="7">
        <f>0.5*((J8-J7)/(C8-C7)+(J7-J6)/(C7-C6))</f>
        <v>-3.5870499999999996E-3</v>
      </c>
      <c r="L7" s="7">
        <f t="shared" ref="L7:L23" si="10">K7*$G$15</f>
        <v>-5.9378139452572035E-5</v>
      </c>
      <c r="M7" s="7">
        <f t="shared" ref="M7:M22" si="11">B7+273.15</f>
        <v>1373.15</v>
      </c>
      <c r="N7" s="51">
        <f>L7/I7/1000</f>
        <v>-1.6340696789937638E-5</v>
      </c>
      <c r="O7" s="8">
        <f>F7</f>
        <v>10132.5</v>
      </c>
      <c r="Q7" s="6">
        <v>1811</v>
      </c>
      <c r="R7" s="60">
        <v>5.7369725477247502E-2</v>
      </c>
      <c r="S7" s="7">
        <v>22981.523249999998</v>
      </c>
      <c r="T7" s="6">
        <f t="shared" si="0"/>
        <v>1811</v>
      </c>
      <c r="U7" s="7">
        <f t="shared" si="1"/>
        <v>0.38338960714285786</v>
      </c>
      <c r="V7" s="8">
        <f t="shared" si="2"/>
        <v>22981.523249999998</v>
      </c>
      <c r="X7" s="6">
        <v>1000</v>
      </c>
      <c r="Y7" s="7">
        <v>357.142857142857</v>
      </c>
      <c r="Z7" s="7">
        <v>3.6110362557378499</v>
      </c>
      <c r="AA7" s="7">
        <f t="shared" ref="AA7:AA22" si="12">0.03*101325</f>
        <v>3039.75</v>
      </c>
      <c r="AB7" s="64">
        <v>3.7499999999999998E-8</v>
      </c>
      <c r="AC7" s="7">
        <f t="shared" ref="AC7:AC22" si="13">Z7/1000000/$AB$9</f>
        <v>1.9519114895880272E-9</v>
      </c>
      <c r="AD7" s="9">
        <f t="shared" ref="AD7:AD22" si="14">$AC$6/$AB$13</f>
        <v>82990200924318.781</v>
      </c>
      <c r="AE7" s="9">
        <f t="shared" ref="AE7:AE22" si="15">4*PI()*(AC7/AD7*3/(PI()*4))^(2/3)*AD7</f>
        <v>0.32945781222081844</v>
      </c>
      <c r="AF7" s="7">
        <f>0.5*((Z7-Z6)/(Y7-Y8)+(Z7-Z8)/(Y8-Y7))/1000000</f>
        <v>4.1980720300813672E-9</v>
      </c>
      <c r="AG7" s="7">
        <f t="shared" ref="AG7:AG22" si="16">X7+273.15</f>
        <v>1273.1500000000001</v>
      </c>
      <c r="AH7" s="9">
        <f t="shared" ref="AH7:AH22" si="17">AF7/AE7</f>
        <v>1.2742366015796941E-8</v>
      </c>
      <c r="AI7" s="8">
        <f t="shared" ref="AI7:AI22" si="18">AA7</f>
        <v>3039.75</v>
      </c>
      <c r="AK7" s="68">
        <v>850.780894095804</v>
      </c>
      <c r="AL7" s="69">
        <v>10.0846690343412</v>
      </c>
      <c r="AM7" s="74">
        <f t="shared" si="3"/>
        <v>2.5999999999999999E-2</v>
      </c>
      <c r="AN7" s="69">
        <f t="shared" si="4"/>
        <v>1123.930894095804</v>
      </c>
      <c r="AO7" s="7">
        <f t="shared" si="5"/>
        <v>1.6807781723901999E-10</v>
      </c>
      <c r="AP7" s="8">
        <f t="shared" si="6"/>
        <v>2634.45</v>
      </c>
      <c r="AR7" s="65">
        <v>1838</v>
      </c>
      <c r="AS7" s="7">
        <v>2.5669999999999998E-3</v>
      </c>
      <c r="AT7" s="7">
        <v>21.996340275000001</v>
      </c>
      <c r="AU7" s="6">
        <f>AR7</f>
        <v>1838</v>
      </c>
      <c r="AV7" s="7">
        <f>(0.012*AS7*AT7)/(2*PI()*0.018*8.314462175*AR7)^0.5</f>
        <v>1.6298270555833558E-5</v>
      </c>
      <c r="AW7" s="8">
        <f>AT7</f>
        <v>21.996340275000001</v>
      </c>
    </row>
    <row r="8" spans="2:49">
      <c r="B8" s="6">
        <v>1100</v>
      </c>
      <c r="C8" s="7">
        <v>0.2</v>
      </c>
      <c r="D8" s="53">
        <v>2.4174799999999999E-4</v>
      </c>
      <c r="E8" s="53">
        <v>9.5915799999999999E-4</v>
      </c>
      <c r="F8" s="7">
        <f t="shared" si="7"/>
        <v>10132.5</v>
      </c>
      <c r="G8" s="8" t="s">
        <v>56</v>
      </c>
      <c r="H8" s="7" t="s">
        <v>69</v>
      </c>
      <c r="I8" s="46">
        <f t="shared" si="8"/>
        <v>3.8884783783783787E-2</v>
      </c>
      <c r="J8" s="7">
        <f t="shared" si="9"/>
        <v>-7.1741000000000003E-4</v>
      </c>
      <c r="K8" s="7">
        <f t="shared" ref="K8:K22" si="19">0.5*((J9-J8)/(C9-C8)+(J8-J7)/(C8-C7))</f>
        <v>-6.4303915000000003E-3</v>
      </c>
      <c r="L8" s="7">
        <f t="shared" si="10"/>
        <v>-1.0644531947467527E-4</v>
      </c>
      <c r="M8" s="7">
        <f t="shared" si="11"/>
        <v>1373.15</v>
      </c>
      <c r="N8" s="51">
        <f t="shared" ref="N8:N23" si="20">L8/I8/1000</f>
        <v>-2.7374543231758026E-6</v>
      </c>
      <c r="O8" s="8">
        <f t="shared" ref="O8:O23" si="21">F8</f>
        <v>10132.5</v>
      </c>
      <c r="Q8" s="6">
        <v>1808</v>
      </c>
      <c r="R8" s="60">
        <v>5.18522284834717E-2</v>
      </c>
      <c r="S8" s="7">
        <v>22949.099249999999</v>
      </c>
      <c r="T8" s="6">
        <f t="shared" si="0"/>
        <v>1808</v>
      </c>
      <c r="U8" s="7">
        <f t="shared" si="1"/>
        <v>0.34631542494985262</v>
      </c>
      <c r="V8" s="8">
        <f t="shared" si="2"/>
        <v>22949.099249999999</v>
      </c>
      <c r="X8" s="6">
        <v>1000</v>
      </c>
      <c r="Y8" s="7">
        <v>505.49450549450501</v>
      </c>
      <c r="Z8" s="7">
        <v>2.99368713643941</v>
      </c>
      <c r="AA8" s="7">
        <f t="shared" si="12"/>
        <v>3039.75</v>
      </c>
      <c r="AB8" s="24" t="s">
        <v>29</v>
      </c>
      <c r="AC8" s="7">
        <f t="shared" si="13"/>
        <v>1.6182092629402215E-9</v>
      </c>
      <c r="AD8" s="9">
        <f t="shared" si="14"/>
        <v>82990200924318.781</v>
      </c>
      <c r="AE8" s="9">
        <f t="shared" si="15"/>
        <v>0.29074763116908975</v>
      </c>
      <c r="AF8" s="7">
        <f t="shared" ref="AF8:AF21" si="22">0.5*((Z8-Z7)/(Y8-Y9)+(Z8-Z9)/(Y9-Y8))/1000000</f>
        <v>3.480736794370286E-9</v>
      </c>
      <c r="AG8" s="7">
        <f t="shared" si="16"/>
        <v>1273.1500000000001</v>
      </c>
      <c r="AH8" s="9">
        <f t="shared" si="17"/>
        <v>1.1971677225277196E-8</v>
      </c>
      <c r="AI8" s="8">
        <f t="shared" si="18"/>
        <v>3039.75</v>
      </c>
      <c r="AK8" s="68">
        <v>823.21365640659701</v>
      </c>
      <c r="AL8" s="69">
        <v>3.5056556619542598</v>
      </c>
      <c r="AM8" s="74">
        <f t="shared" si="3"/>
        <v>2.5999999999999999E-2</v>
      </c>
      <c r="AN8" s="69">
        <f t="shared" si="4"/>
        <v>1096.3636564065969</v>
      </c>
      <c r="AO8" s="7">
        <f t="shared" si="5"/>
        <v>5.8427594365904332E-11</v>
      </c>
      <c r="AP8" s="8">
        <f t="shared" si="6"/>
        <v>2634.45</v>
      </c>
      <c r="AR8" s="65">
        <v>1800</v>
      </c>
      <c r="AS8" s="7">
        <v>4.7999999999999996E-3</v>
      </c>
      <c r="AT8" s="7">
        <v>47.751128774999998</v>
      </c>
      <c r="AU8" s="6">
        <f>AR8</f>
        <v>1800</v>
      </c>
      <c r="AV8" s="7">
        <f>(0.012*AS8*AT8)/(2*PI()*0.018*8.314462175*AR8)^0.5</f>
        <v>6.685387813696453E-5</v>
      </c>
      <c r="AW8" s="8">
        <f>AT8</f>
        <v>47.751128774999998</v>
      </c>
    </row>
    <row r="9" spans="2:49">
      <c r="B9" s="6">
        <v>1100</v>
      </c>
      <c r="C9" s="7">
        <v>0.3</v>
      </c>
      <c r="D9" s="53">
        <v>8.1822399999999999E-4</v>
      </c>
      <c r="E9" s="53">
        <v>2.1753390000000001E-3</v>
      </c>
      <c r="F9" s="7">
        <f t="shared" si="7"/>
        <v>10132.5</v>
      </c>
      <c r="G9" s="8">
        <f>(PI()*(G7/(1000))^2)</f>
        <v>1.8626502843133885E-2</v>
      </c>
      <c r="H9" s="7">
        <v>1850000</v>
      </c>
      <c r="I9" s="46">
        <f t="shared" si="8"/>
        <v>8.8189418918918933E-2</v>
      </c>
      <c r="J9" s="7">
        <f t="shared" si="9"/>
        <v>-1.3571150000000001E-3</v>
      </c>
      <c r="K9" s="7">
        <f t="shared" si="19"/>
        <v>-6.0259300000000005E-3</v>
      </c>
      <c r="L9" s="7">
        <f t="shared" si="10"/>
        <v>-9.9750076489437694E-5</v>
      </c>
      <c r="M9" s="7">
        <f t="shared" si="11"/>
        <v>1373.15</v>
      </c>
      <c r="N9" s="51">
        <f t="shared" si="20"/>
        <v>-1.1310889414199179E-6</v>
      </c>
      <c r="O9" s="8">
        <f t="shared" si="21"/>
        <v>10132.5</v>
      </c>
      <c r="Q9" s="6">
        <v>1804</v>
      </c>
      <c r="R9" s="60">
        <v>3.2607973280668598E-2</v>
      </c>
      <c r="S9" s="7">
        <v>22884.251250000001</v>
      </c>
      <c r="T9" s="6">
        <f t="shared" si="0"/>
        <v>1804</v>
      </c>
      <c r="U9" s="7">
        <f t="shared" si="1"/>
        <v>0.21741035517456991</v>
      </c>
      <c r="V9" s="8">
        <f t="shared" si="2"/>
        <v>22884.251250000001</v>
      </c>
      <c r="X9" s="6">
        <v>1000</v>
      </c>
      <c r="Y9" s="7">
        <v>648.35164835164801</v>
      </c>
      <c r="Z9" s="7">
        <v>2.6165400287749101</v>
      </c>
      <c r="AA9" s="7">
        <f t="shared" si="12"/>
        <v>3039.75</v>
      </c>
      <c r="AB9" s="24">
        <v>1850</v>
      </c>
      <c r="AC9" s="7">
        <f t="shared" si="13"/>
        <v>1.4143459614999514E-9</v>
      </c>
      <c r="AD9" s="9">
        <f t="shared" si="14"/>
        <v>82990200924318.781</v>
      </c>
      <c r="AE9" s="9">
        <f t="shared" si="15"/>
        <v>0.26578481586101388</v>
      </c>
      <c r="AF9" s="7">
        <f t="shared" si="22"/>
        <v>2.7447759178120822E-9</v>
      </c>
      <c r="AG9" s="7">
        <f t="shared" si="16"/>
        <v>1273.1500000000001</v>
      </c>
      <c r="AH9" s="9">
        <f t="shared" si="17"/>
        <v>1.0327060667180478E-8</v>
      </c>
      <c r="AI9" s="8">
        <f t="shared" si="18"/>
        <v>3039.75</v>
      </c>
      <c r="AK9" s="68">
        <v>792.49877515235301</v>
      </c>
      <c r="AL9" s="69">
        <v>1.17327397606022</v>
      </c>
      <c r="AM9" s="74">
        <f t="shared" si="3"/>
        <v>2.5999999999999999E-2</v>
      </c>
      <c r="AN9" s="69">
        <f t="shared" si="4"/>
        <v>1065.648775152353</v>
      </c>
      <c r="AO9" s="7">
        <f t="shared" si="5"/>
        <v>1.9554566267670333E-11</v>
      </c>
      <c r="AP9" s="8">
        <f t="shared" si="6"/>
        <v>2634.45</v>
      </c>
      <c r="AR9" s="65">
        <v>1800</v>
      </c>
      <c r="AS9" s="7">
        <v>3.3899999999999998E-3</v>
      </c>
      <c r="AT9" s="7">
        <v>33.921076874999997</v>
      </c>
      <c r="AU9" s="6">
        <f>AR9</f>
        <v>1800</v>
      </c>
      <c r="AV9" s="7">
        <f>(0.012*AS9*AT9)/(2*PI()*0.018*8.314462175*AR9)^0.5</f>
        <v>3.3540617593412548E-5</v>
      </c>
      <c r="AW9" s="8">
        <f>AT9</f>
        <v>33.921076874999997</v>
      </c>
    </row>
    <row r="10" spans="2:49">
      <c r="B10" s="6">
        <v>1100</v>
      </c>
      <c r="C10" s="7">
        <v>0.4</v>
      </c>
      <c r="D10" s="53">
        <v>1.4690840000000001E-3</v>
      </c>
      <c r="E10" s="53">
        <v>3.3916800000000002E-3</v>
      </c>
      <c r="F10" s="7">
        <f t="shared" si="7"/>
        <v>10132.5</v>
      </c>
      <c r="G10" s="8" t="s">
        <v>57</v>
      </c>
      <c r="H10" s="7" t="s">
        <v>68</v>
      </c>
      <c r="I10" s="46">
        <f t="shared" si="8"/>
        <v>0.13750054054054056</v>
      </c>
      <c r="J10" s="7">
        <f t="shared" si="9"/>
        <v>-1.9225960000000002E-3</v>
      </c>
      <c r="K10" s="7">
        <f t="shared" si="19"/>
        <v>-4.1676899999999999E-3</v>
      </c>
      <c r="L10" s="7">
        <f t="shared" si="10"/>
        <v>-6.898974868348363E-5</v>
      </c>
      <c r="M10" s="7">
        <f t="shared" si="11"/>
        <v>1373.15</v>
      </c>
      <c r="N10" s="51">
        <f t="shared" si="20"/>
        <v>-5.0174165434020772E-7</v>
      </c>
      <c r="O10" s="8">
        <f t="shared" si="21"/>
        <v>10132.5</v>
      </c>
      <c r="Q10" s="6">
        <v>1800</v>
      </c>
      <c r="R10" s="60">
        <v>3.2327628283244897E-2</v>
      </c>
      <c r="S10" s="7">
        <v>23013.947250000001</v>
      </c>
      <c r="T10" s="6">
        <f t="shared" si="0"/>
        <v>1800</v>
      </c>
      <c r="U10" s="7">
        <f t="shared" si="1"/>
        <v>0.21700347219078614</v>
      </c>
      <c r="V10" s="8">
        <f t="shared" si="2"/>
        <v>23013.947250000001</v>
      </c>
      <c r="X10" s="6">
        <v>1000</v>
      </c>
      <c r="Y10" s="7">
        <v>785.71428571428498</v>
      </c>
      <c r="Z10" s="7">
        <v>2.2396278183591698</v>
      </c>
      <c r="AA10" s="7">
        <f t="shared" si="12"/>
        <v>3039.75</v>
      </c>
      <c r="AB10" s="24" t="s">
        <v>68</v>
      </c>
      <c r="AC10" s="7">
        <f t="shared" si="13"/>
        <v>1.2106096315454973E-9</v>
      </c>
      <c r="AD10" s="9">
        <f t="shared" si="14"/>
        <v>82990200924318.781</v>
      </c>
      <c r="AE10" s="9">
        <f t="shared" si="15"/>
        <v>0.23960496497436182</v>
      </c>
      <c r="AF10" s="7">
        <f t="shared" si="22"/>
        <v>2.4547056117605329E-9</v>
      </c>
      <c r="AG10" s="7">
        <f t="shared" si="16"/>
        <v>1273.1500000000001</v>
      </c>
      <c r="AH10" s="9">
        <f t="shared" si="17"/>
        <v>1.024480278204248E-8</v>
      </c>
      <c r="AI10" s="8">
        <f t="shared" si="18"/>
        <v>3039.75</v>
      </c>
      <c r="AK10" s="68">
        <v>861.22089375198698</v>
      </c>
      <c r="AL10" s="69">
        <v>48.146250071434899</v>
      </c>
      <c r="AM10" s="74">
        <f t="shared" si="3"/>
        <v>2.5999999999999999E-2</v>
      </c>
      <c r="AN10" s="69">
        <f t="shared" si="4"/>
        <v>1134.3708937519868</v>
      </c>
      <c r="AO10" s="7">
        <f t="shared" si="5"/>
        <v>8.0243750119058163E-10</v>
      </c>
      <c r="AP10" s="8">
        <f t="shared" si="6"/>
        <v>2634.45</v>
      </c>
      <c r="AR10" s="65">
        <v>1800</v>
      </c>
      <c r="AS10" s="7">
        <v>4.84E-4</v>
      </c>
      <c r="AT10" s="7">
        <v>4.9978860225000004</v>
      </c>
      <c r="AU10" s="6">
        <f>AR10</f>
        <v>1800</v>
      </c>
      <c r="AV10" s="7">
        <f>(0.012*AS10*AT10)/(2*PI()*0.018*8.314462175*AR10)^0.5</f>
        <v>7.0555916113295881E-7</v>
      </c>
      <c r="AW10" s="8">
        <f>AT10</f>
        <v>4.9978860225000004</v>
      </c>
    </row>
    <row r="11" spans="2:49">
      <c r="B11" s="6">
        <v>1100</v>
      </c>
      <c r="C11" s="7">
        <v>0.5</v>
      </c>
      <c r="D11" s="53">
        <v>2.157136E-3</v>
      </c>
      <c r="E11" s="53">
        <v>4.3477890000000003E-3</v>
      </c>
      <c r="F11" s="7">
        <f t="shared" si="7"/>
        <v>10132.5</v>
      </c>
      <c r="G11" s="8">
        <v>18.5</v>
      </c>
      <c r="H11" s="9">
        <f>4*PI()*H7^2</f>
        <v>2.0106192982974677E-14</v>
      </c>
      <c r="I11" s="46">
        <f t="shared" si="8"/>
        <v>0.17626171621621622</v>
      </c>
      <c r="J11" s="7">
        <f t="shared" si="9"/>
        <v>-2.1906530000000003E-3</v>
      </c>
      <c r="K11" s="7">
        <f t="shared" si="19"/>
        <v>-1.8450350000000001E-3</v>
      </c>
      <c r="L11" s="7">
        <f t="shared" si="10"/>
        <v>-3.0541739179792941E-5</v>
      </c>
      <c r="M11" s="7">
        <f t="shared" si="11"/>
        <v>1373.15</v>
      </c>
      <c r="N11" s="51">
        <f t="shared" si="20"/>
        <v>-1.7327494498197266E-7</v>
      </c>
      <c r="O11" s="8">
        <f t="shared" si="21"/>
        <v>10132.5</v>
      </c>
      <c r="Q11" s="6">
        <v>1797</v>
      </c>
      <c r="R11" s="60">
        <v>3.2044555601793E-2</v>
      </c>
      <c r="S11" s="7">
        <v>23046.37125</v>
      </c>
      <c r="T11" s="6">
        <f t="shared" si="0"/>
        <v>1797</v>
      </c>
      <c r="U11" s="7">
        <f t="shared" si="1"/>
        <v>0.21558609522695471</v>
      </c>
      <c r="V11" s="8">
        <f t="shared" si="2"/>
        <v>23046.37125</v>
      </c>
      <c r="X11" s="6">
        <v>1000</v>
      </c>
      <c r="Y11" s="7">
        <v>928.57142857142799</v>
      </c>
      <c r="Z11" s="7">
        <v>1.9151955682719</v>
      </c>
      <c r="AA11" s="7">
        <f t="shared" si="12"/>
        <v>3039.75</v>
      </c>
      <c r="AB11" s="64">
        <f>4*PI()*(AB7/2)^2</f>
        <v>4.4178646691106464E-15</v>
      </c>
      <c r="AC11" s="7">
        <f t="shared" si="13"/>
        <v>1.0352408477145406E-9</v>
      </c>
      <c r="AD11" s="9">
        <f t="shared" si="14"/>
        <v>82990200924318.781</v>
      </c>
      <c r="AE11" s="9">
        <f t="shared" si="15"/>
        <v>0.21586753366518471</v>
      </c>
      <c r="AF11" s="7">
        <f t="shared" si="22"/>
        <v>2.3415242873967612E-9</v>
      </c>
      <c r="AG11" s="7">
        <f t="shared" si="16"/>
        <v>1273.1500000000001</v>
      </c>
      <c r="AH11" s="9">
        <f t="shared" si="17"/>
        <v>1.0847042385857415E-8</v>
      </c>
      <c r="AI11" s="8">
        <f t="shared" si="18"/>
        <v>3039.75</v>
      </c>
      <c r="AK11" s="68">
        <v>862.486139881898</v>
      </c>
      <c r="AL11" s="69">
        <v>47.254132352941497</v>
      </c>
      <c r="AM11" s="74">
        <f t="shared" si="3"/>
        <v>2.5999999999999999E-2</v>
      </c>
      <c r="AN11" s="69">
        <f t="shared" si="4"/>
        <v>1135.6361398818981</v>
      </c>
      <c r="AO11" s="7">
        <f t="shared" si="5"/>
        <v>7.8756887254902502E-10</v>
      </c>
      <c r="AP11" s="8">
        <f t="shared" si="6"/>
        <v>2634.45</v>
      </c>
      <c r="AR11" s="65">
        <v>1790</v>
      </c>
      <c r="AS11" s="7">
        <v>1.3004999999999999E-2</v>
      </c>
      <c r="AT11" s="7">
        <v>127.270178175</v>
      </c>
      <c r="AU11" s="6">
        <f>AR11</f>
        <v>1790</v>
      </c>
      <c r="AV11" s="7">
        <f>(0.012*AS11*AT11)/(2*PI()*0.018*8.314462175*AR11)^0.5</f>
        <v>4.8411492455681019E-4</v>
      </c>
      <c r="AW11" s="8">
        <f>AT11</f>
        <v>127.270178175</v>
      </c>
    </row>
    <row r="12" spans="2:49">
      <c r="B12" s="6">
        <v>1100</v>
      </c>
      <c r="C12" s="7">
        <v>0.6</v>
      </c>
      <c r="D12" s="53">
        <v>2.8823799999999999E-3</v>
      </c>
      <c r="E12" s="53">
        <v>5.1739830000000001E-3</v>
      </c>
      <c r="F12" s="7">
        <f t="shared" si="7"/>
        <v>10132.5</v>
      </c>
      <c r="G12" s="8" t="s">
        <v>58</v>
      </c>
      <c r="H12" s="7" t="s">
        <v>53</v>
      </c>
      <c r="I12" s="46">
        <f t="shared" si="8"/>
        <v>0.20975606756756757</v>
      </c>
      <c r="J12" s="7">
        <f t="shared" si="9"/>
        <v>-2.2916030000000001E-3</v>
      </c>
      <c r="K12" s="7">
        <f t="shared" si="19"/>
        <v>-3.2882499999999668E-4</v>
      </c>
      <c r="L12" s="7">
        <f t="shared" si="10"/>
        <v>-5.4431961376317041E-6</v>
      </c>
      <c r="M12" s="7">
        <f t="shared" si="11"/>
        <v>1373.15</v>
      </c>
      <c r="N12" s="51">
        <f t="shared" si="20"/>
        <v>-2.595012483192324E-8</v>
      </c>
      <c r="O12" s="8">
        <f t="shared" si="21"/>
        <v>10132.5</v>
      </c>
      <c r="Q12" s="6">
        <v>1792</v>
      </c>
      <c r="R12" s="60">
        <v>2.3914612171043698E-2</v>
      </c>
      <c r="S12" s="7">
        <v>23046.37125</v>
      </c>
      <c r="T12" s="6">
        <f t="shared" si="0"/>
        <v>1792</v>
      </c>
      <c r="U12" s="7">
        <f t="shared" si="1"/>
        <v>0.16111459037977077</v>
      </c>
      <c r="V12" s="8">
        <f t="shared" si="2"/>
        <v>23046.37125</v>
      </c>
      <c r="X12" s="6">
        <v>1000</v>
      </c>
      <c r="Y12" s="7">
        <v>1060.43956043956</v>
      </c>
      <c r="Z12" s="7">
        <v>1.6220829513534301</v>
      </c>
      <c r="AA12" s="7">
        <f t="shared" si="12"/>
        <v>3039.75</v>
      </c>
      <c r="AB12" s="24" t="s">
        <v>53</v>
      </c>
      <c r="AC12" s="7">
        <f t="shared" si="13"/>
        <v>8.7680159532617839E-10</v>
      </c>
      <c r="AD12" s="9">
        <f t="shared" si="14"/>
        <v>82990200924318.781</v>
      </c>
      <c r="AE12" s="9">
        <f t="shared" si="15"/>
        <v>0.19323863040327488</v>
      </c>
      <c r="AF12" s="7">
        <f t="shared" si="22"/>
        <v>1.8668779871916623E-9</v>
      </c>
      <c r="AG12" s="7">
        <f t="shared" si="16"/>
        <v>1273.1500000000001</v>
      </c>
      <c r="AH12" s="9">
        <f t="shared" si="17"/>
        <v>9.6609978206512048E-9</v>
      </c>
      <c r="AI12" s="8">
        <f t="shared" si="18"/>
        <v>3039.75</v>
      </c>
      <c r="AK12" s="68">
        <v>845.58582099173896</v>
      </c>
      <c r="AL12" s="69">
        <v>22.6437293185265</v>
      </c>
      <c r="AM12" s="74">
        <f t="shared" si="3"/>
        <v>2.5999999999999999E-2</v>
      </c>
      <c r="AN12" s="69">
        <f t="shared" si="4"/>
        <v>1118.7358209917388</v>
      </c>
      <c r="AO12" s="7">
        <f t="shared" si="5"/>
        <v>3.7739548864210835E-10</v>
      </c>
      <c r="AP12" s="8">
        <f t="shared" si="6"/>
        <v>2634.45</v>
      </c>
      <c r="AR12" s="65">
        <v>1790</v>
      </c>
      <c r="AS12" s="7">
        <v>2.9499999999999999E-3</v>
      </c>
      <c r="AT12" s="7">
        <v>29.5844682</v>
      </c>
      <c r="AU12" s="6">
        <f>AR12</f>
        <v>1790</v>
      </c>
      <c r="AV12" s="7">
        <f>(0.012*AS12*AT12)/(2*PI()*0.018*8.314462175*AR12)^0.5</f>
        <v>2.5526851140750103E-5</v>
      </c>
      <c r="AW12" s="8">
        <f>AT12</f>
        <v>29.5844682</v>
      </c>
    </row>
    <row r="13" spans="2:49">
      <c r="B13" s="6">
        <v>1100</v>
      </c>
      <c r="C13" s="7">
        <v>0.7</v>
      </c>
      <c r="D13" s="53">
        <v>3.5704320000000001E-3</v>
      </c>
      <c r="E13" s="53">
        <v>5.8268499999999997E-3</v>
      </c>
      <c r="F13" s="7">
        <f t="shared" si="7"/>
        <v>10132.5</v>
      </c>
      <c r="G13" s="8">
        <f>G11/60/1000</f>
        <v>3.0833333333333337E-4</v>
      </c>
      <c r="H13" s="9">
        <f>(4/3)*PI()*H7^3</f>
        <v>2.6808257310632904E-22</v>
      </c>
      <c r="I13" s="46">
        <f t="shared" si="8"/>
        <v>0.23622364864864864</v>
      </c>
      <c r="J13" s="7">
        <f t="shared" si="9"/>
        <v>-2.2564179999999996E-3</v>
      </c>
      <c r="K13" s="7">
        <f t="shared" si="19"/>
        <v>1.1251099999999973E-3</v>
      </c>
      <c r="L13" s="7">
        <f t="shared" si="10"/>
        <v>1.8624479301789261E-5</v>
      </c>
      <c r="M13" s="7">
        <f t="shared" si="11"/>
        <v>1373.15</v>
      </c>
      <c r="N13" s="51">
        <f t="shared" si="20"/>
        <v>7.8842568931321111E-8</v>
      </c>
      <c r="O13" s="8">
        <f t="shared" si="21"/>
        <v>10132.5</v>
      </c>
      <c r="Q13" s="6">
        <v>1792</v>
      </c>
      <c r="R13" s="60">
        <v>2.4253848215910902E-2</v>
      </c>
      <c r="S13" s="7">
        <v>23046.37125</v>
      </c>
      <c r="T13" s="6">
        <f t="shared" si="0"/>
        <v>1792</v>
      </c>
      <c r="U13" s="7">
        <f t="shared" si="1"/>
        <v>0.16340004983108528</v>
      </c>
      <c r="V13" s="8">
        <f t="shared" si="2"/>
        <v>23046.37125</v>
      </c>
      <c r="X13" s="6">
        <v>1000</v>
      </c>
      <c r="Y13" s="7">
        <v>1197.80219780219</v>
      </c>
      <c r="Z13" s="7">
        <v>1.4023170003621299</v>
      </c>
      <c r="AA13" s="7">
        <f t="shared" si="12"/>
        <v>3039.75</v>
      </c>
      <c r="AB13" s="64">
        <f>(4/3)*PI()*(AB7/2)^3</f>
        <v>2.7611654181941534E-23</v>
      </c>
      <c r="AC13" s="7">
        <f t="shared" si="13"/>
        <v>7.5800918938493503E-10</v>
      </c>
      <c r="AD13" s="9">
        <f t="shared" si="14"/>
        <v>82990200924318.781</v>
      </c>
      <c r="AE13" s="9">
        <f t="shared" si="15"/>
        <v>0.1753649154830203</v>
      </c>
      <c r="AF13" s="7">
        <f t="shared" si="22"/>
        <v>1.5014338519559354E-9</v>
      </c>
      <c r="AG13" s="7">
        <f t="shared" si="16"/>
        <v>1273.1500000000001</v>
      </c>
      <c r="AH13" s="9">
        <f t="shared" si="17"/>
        <v>8.5617687427409714E-9</v>
      </c>
      <c r="AI13" s="8">
        <f t="shared" si="18"/>
        <v>3039.75</v>
      </c>
      <c r="AK13" s="68">
        <v>824.37575747156995</v>
      </c>
      <c r="AL13" s="69">
        <v>6.0516523893097798</v>
      </c>
      <c r="AM13" s="74">
        <f t="shared" si="3"/>
        <v>2.5999999999999999E-2</v>
      </c>
      <c r="AN13" s="69">
        <f t="shared" si="4"/>
        <v>1097.5257574715699</v>
      </c>
      <c r="AO13" s="7">
        <f t="shared" si="5"/>
        <v>1.00860873155163E-10</v>
      </c>
      <c r="AP13" s="8">
        <f t="shared" si="6"/>
        <v>2634.45</v>
      </c>
      <c r="AR13" s="65">
        <v>1780</v>
      </c>
      <c r="AS13" s="7">
        <v>3.019E-3</v>
      </c>
      <c r="AT13" s="7">
        <v>62.776309050000002</v>
      </c>
      <c r="AU13" s="6">
        <f>AR13</f>
        <v>1780</v>
      </c>
      <c r="AV13" s="7">
        <f>(0.012*AS13*AT13)/(2*PI()*0.018*8.314462175*AR13)^0.5</f>
        <v>5.5588744819117566E-5</v>
      </c>
      <c r="AW13" s="8">
        <f>AT13</f>
        <v>62.776309050000002</v>
      </c>
    </row>
    <row r="14" spans="2:49">
      <c r="B14" s="6">
        <v>1100</v>
      </c>
      <c r="C14" s="7">
        <v>0.8</v>
      </c>
      <c r="D14" s="53">
        <v>4.2398879999999998E-3</v>
      </c>
      <c r="E14" s="53">
        <v>6.3064690000000003E-3</v>
      </c>
      <c r="F14" s="7">
        <f t="shared" si="7"/>
        <v>10132.5</v>
      </c>
      <c r="G14" s="8" t="s">
        <v>59</v>
      </c>
      <c r="H14" s="7"/>
      <c r="I14" s="46">
        <f t="shared" si="8"/>
        <v>0.25566766216216213</v>
      </c>
      <c r="J14" s="7">
        <f t="shared" si="9"/>
        <v>-2.0665810000000005E-3</v>
      </c>
      <c r="K14" s="7">
        <f t="shared" si="19"/>
        <v>2.3324899999999996E-3</v>
      </c>
      <c r="L14" s="7">
        <f t="shared" si="10"/>
        <v>3.8610812921963656E-5</v>
      </c>
      <c r="M14" s="7">
        <f t="shared" si="11"/>
        <v>1373.15</v>
      </c>
      <c r="N14" s="51">
        <f t="shared" si="20"/>
        <v>1.5101954074064324E-7</v>
      </c>
      <c r="O14" s="8">
        <f t="shared" si="21"/>
        <v>10132.5</v>
      </c>
      <c r="Q14" s="6">
        <v>1789</v>
      </c>
      <c r="R14" s="60">
        <v>2.2450187951197499E-2</v>
      </c>
      <c r="S14" s="7">
        <v>23046.37125</v>
      </c>
      <c r="T14" s="6">
        <f t="shared" si="0"/>
        <v>1789</v>
      </c>
      <c r="U14" s="7">
        <f t="shared" si="1"/>
        <v>0.15137541364245435</v>
      </c>
      <c r="V14" s="8">
        <f t="shared" si="2"/>
        <v>23046.37125</v>
      </c>
      <c r="X14" s="6">
        <v>1000</v>
      </c>
      <c r="Y14" s="7">
        <v>1340.6593406593399</v>
      </c>
      <c r="Z14" s="7">
        <v>1.1931018507945701</v>
      </c>
      <c r="AA14" s="7">
        <f t="shared" si="12"/>
        <v>3039.75</v>
      </c>
      <c r="AB14" s="24"/>
      <c r="AC14" s="7">
        <f t="shared" si="13"/>
        <v>6.4491991934841622E-10</v>
      </c>
      <c r="AD14" s="9">
        <f t="shared" si="14"/>
        <v>82990200924318.781</v>
      </c>
      <c r="AE14" s="9">
        <f t="shared" si="15"/>
        <v>0.15745758656641065</v>
      </c>
      <c r="AF14" s="7">
        <f t="shared" si="22"/>
        <v>1.3334130244000366E-9</v>
      </c>
      <c r="AG14" s="7">
        <f t="shared" si="16"/>
        <v>1273.1500000000001</v>
      </c>
      <c r="AH14" s="9">
        <f t="shared" si="17"/>
        <v>8.4683949086038168E-9</v>
      </c>
      <c r="AI14" s="8">
        <f t="shared" si="18"/>
        <v>3039.75</v>
      </c>
      <c r="AK14" s="71">
        <v>792.96464702899198</v>
      </c>
      <c r="AL14" s="72">
        <v>2.8959366094707</v>
      </c>
      <c r="AM14" s="75">
        <f t="shared" si="3"/>
        <v>2.5999999999999999E-2</v>
      </c>
      <c r="AN14" s="72">
        <f t="shared" si="4"/>
        <v>1066.1146470289918</v>
      </c>
      <c r="AO14" s="11">
        <f t="shared" si="5"/>
        <v>4.8265610157845006E-11</v>
      </c>
      <c r="AP14" s="13">
        <f t="shared" si="6"/>
        <v>2634.45</v>
      </c>
      <c r="AR14" s="65">
        <v>1780</v>
      </c>
      <c r="AS14" s="7">
        <v>7.9930000000000001E-3</v>
      </c>
      <c r="AT14" s="7">
        <v>30.2665881</v>
      </c>
      <c r="AU14" s="6">
        <f>AR14</f>
        <v>1780</v>
      </c>
      <c r="AV14" s="7">
        <f>(0.012*AS14*AT14)/(2*PI()*0.018*8.314462175*AR14)^0.5</f>
        <v>7.0957982112174658E-5</v>
      </c>
      <c r="AW14" s="8">
        <f>AT14</f>
        <v>30.2665881</v>
      </c>
    </row>
    <row r="15" spans="2:49">
      <c r="B15" s="6">
        <v>1100</v>
      </c>
      <c r="C15" s="7">
        <v>0.9</v>
      </c>
      <c r="D15" s="53">
        <v>4.9093440000000004E-3</v>
      </c>
      <c r="E15" s="53">
        <v>6.6992639999999999E-3</v>
      </c>
      <c r="F15" s="7">
        <f t="shared" si="7"/>
        <v>10132.5</v>
      </c>
      <c r="G15" s="8">
        <f>G13/G9</f>
        <v>1.655347415078464E-2</v>
      </c>
      <c r="H15" s="7"/>
      <c r="I15" s="46">
        <f t="shared" si="8"/>
        <v>0.27159178378378379</v>
      </c>
      <c r="J15" s="7">
        <f t="shared" si="9"/>
        <v>-1.7899199999999995E-3</v>
      </c>
      <c r="K15" s="7">
        <f t="shared" si="19"/>
        <v>3.1360450000000057E-3</v>
      </c>
      <c r="L15" s="7">
        <f t="shared" si="10"/>
        <v>5.1912439843197509E-5</v>
      </c>
      <c r="M15" s="7">
        <f t="shared" si="11"/>
        <v>1373.15</v>
      </c>
      <c r="N15" s="51">
        <f t="shared" si="20"/>
        <v>1.9114142232124881E-7</v>
      </c>
      <c r="O15" s="8">
        <f t="shared" si="21"/>
        <v>10132.5</v>
      </c>
      <c r="Q15" s="6">
        <v>1786</v>
      </c>
      <c r="R15" s="60">
        <v>1.8773060405469399E-2</v>
      </c>
      <c r="S15" s="7">
        <v>23078.795249999999</v>
      </c>
      <c r="T15" s="6">
        <f t="shared" si="0"/>
        <v>1786</v>
      </c>
      <c r="U15" s="7">
        <f t="shared" si="1"/>
        <v>0.1268660630372854</v>
      </c>
      <c r="V15" s="8">
        <f t="shared" si="2"/>
        <v>23078.795249999999</v>
      </c>
      <c r="X15" s="6">
        <v>1000</v>
      </c>
      <c r="Y15" s="7">
        <v>1478.02197802197</v>
      </c>
      <c r="Z15" s="7">
        <v>1.0359947409115899</v>
      </c>
      <c r="AA15" s="7">
        <f t="shared" si="12"/>
        <v>3039.75</v>
      </c>
      <c r="AB15" s="24"/>
      <c r="AC15" s="7">
        <f t="shared" si="13"/>
        <v>5.5999715724950803E-10</v>
      </c>
      <c r="AD15" s="9">
        <f t="shared" si="14"/>
        <v>82990200924318.781</v>
      </c>
      <c r="AE15" s="9">
        <f t="shared" si="15"/>
        <v>0.14331234798829001</v>
      </c>
      <c r="AF15" s="7">
        <f t="shared" si="22"/>
        <v>8.2585943892936128E-10</v>
      </c>
      <c r="AG15" s="7">
        <f t="shared" si="16"/>
        <v>1273.1500000000001</v>
      </c>
      <c r="AH15" s="9">
        <f t="shared" si="17"/>
        <v>5.7626537456272914E-9</v>
      </c>
      <c r="AI15" s="8">
        <f t="shared" si="18"/>
        <v>3039.75</v>
      </c>
      <c r="AR15" s="65">
        <v>1770</v>
      </c>
      <c r="AS15" s="7">
        <v>1.0078E-2</v>
      </c>
      <c r="AT15" s="7">
        <v>99.041134499999998</v>
      </c>
      <c r="AU15" s="6">
        <f>AR15</f>
        <v>1770</v>
      </c>
      <c r="AV15" s="7">
        <f>(0.012*AS15*AT15)/(2*PI()*0.018*8.314462175*AR15)^0.5</f>
        <v>2.9359003158949115E-4</v>
      </c>
      <c r="AW15" s="8">
        <f>AT15</f>
        <v>99.041134499999998</v>
      </c>
    </row>
    <row r="16" spans="2:49">
      <c r="B16" s="6">
        <v>1100</v>
      </c>
      <c r="C16" s="7">
        <v>1</v>
      </c>
      <c r="D16" s="53">
        <v>5.5230130000000002E-3</v>
      </c>
      <c r="E16" s="53">
        <v>6.9623849999999998E-3</v>
      </c>
      <c r="F16" s="7">
        <f t="shared" si="7"/>
        <v>10132.5</v>
      </c>
      <c r="G16" s="8"/>
      <c r="H16" s="7"/>
      <c r="I16" s="46">
        <f t="shared" si="8"/>
        <v>0.28225885135135131</v>
      </c>
      <c r="J16" s="7">
        <f t="shared" si="9"/>
        <v>-1.4393719999999995E-3</v>
      </c>
      <c r="K16" s="7">
        <f t="shared" si="19"/>
        <v>4.188159999999992E-3</v>
      </c>
      <c r="L16" s="7">
        <f t="shared" si="10"/>
        <v>6.932859829935007E-5</v>
      </c>
      <c r="M16" s="7">
        <f t="shared" si="11"/>
        <v>1373.15</v>
      </c>
      <c r="N16" s="51">
        <f t="shared" si="20"/>
        <v>2.4562063498604315E-7</v>
      </c>
      <c r="O16" s="8">
        <f t="shared" si="21"/>
        <v>10132.5</v>
      </c>
      <c r="Q16" s="6">
        <v>1783</v>
      </c>
      <c r="R16" s="60">
        <v>1.6239829290950501E-2</v>
      </c>
      <c r="S16" s="7">
        <v>23078.795249999999</v>
      </c>
      <c r="T16" s="6">
        <f t="shared" si="0"/>
        <v>1783</v>
      </c>
      <c r="U16" s="7">
        <f t="shared" si="1"/>
        <v>0.10983908355919671</v>
      </c>
      <c r="V16" s="8">
        <f t="shared" si="2"/>
        <v>23078.795249999999</v>
      </c>
      <c r="X16" s="6">
        <v>1000</v>
      </c>
      <c r="Y16" s="7">
        <v>1609.8901098901099</v>
      </c>
      <c r="Z16" s="53">
        <v>0.97529276799999998</v>
      </c>
      <c r="AA16" s="7">
        <f t="shared" si="12"/>
        <v>3039.75</v>
      </c>
      <c r="AB16" s="24"/>
      <c r="AC16" s="7">
        <f t="shared" si="13"/>
        <v>5.2718527999999998E-10</v>
      </c>
      <c r="AD16" s="9">
        <f t="shared" si="14"/>
        <v>82990200924318.781</v>
      </c>
      <c r="AE16" s="9">
        <f t="shared" si="15"/>
        <v>0.13765814515865035</v>
      </c>
      <c r="AF16" s="7">
        <f t="shared" si="22"/>
        <v>3.9656389469057242E-10</v>
      </c>
      <c r="AG16" s="7">
        <f t="shared" si="16"/>
        <v>1273.1500000000001</v>
      </c>
      <c r="AH16" s="9">
        <f t="shared" si="17"/>
        <v>2.8807877240648161E-9</v>
      </c>
      <c r="AI16" s="8">
        <f t="shared" si="18"/>
        <v>3039.75</v>
      </c>
      <c r="AR16" s="66">
        <v>1770</v>
      </c>
      <c r="AS16" s="11">
        <v>7.9930000000000001E-3</v>
      </c>
      <c r="AT16" s="11">
        <v>21.996340275000001</v>
      </c>
      <c r="AU16" s="10">
        <f>AR16</f>
        <v>1770</v>
      </c>
      <c r="AV16" s="11">
        <f>(0.012*AS16*AT16)/(2*PI()*0.018*8.314462175*AR16)^0.5</f>
        <v>5.1714411585604425E-5</v>
      </c>
      <c r="AW16" s="13">
        <f>AT16</f>
        <v>21.996340275000001</v>
      </c>
    </row>
    <row r="17" spans="2:43">
      <c r="B17" s="6">
        <v>1100</v>
      </c>
      <c r="C17" s="7">
        <v>1.1000000000000001</v>
      </c>
      <c r="D17" s="53">
        <v>6.0994889999999996E-3</v>
      </c>
      <c r="E17" s="53">
        <v>7.0517770000000004E-3</v>
      </c>
      <c r="F17" s="7">
        <f t="shared" si="7"/>
        <v>10132.5</v>
      </c>
      <c r="G17" s="8"/>
      <c r="H17" s="7"/>
      <c r="I17" s="46">
        <f t="shared" si="8"/>
        <v>0.28588285135135133</v>
      </c>
      <c r="J17" s="7">
        <f t="shared" si="9"/>
        <v>-9.5228800000000079E-4</v>
      </c>
      <c r="K17" s="7">
        <f t="shared" si="19"/>
        <v>4.5603999999999966E-3</v>
      </c>
      <c r="L17" s="7">
        <f t="shared" si="10"/>
        <v>7.549046351723822E-5</v>
      </c>
      <c r="M17" s="7">
        <f t="shared" si="11"/>
        <v>1373.15</v>
      </c>
      <c r="N17" s="51">
        <f t="shared" si="20"/>
        <v>2.6406083177217259E-7</v>
      </c>
      <c r="O17" s="8">
        <f t="shared" si="21"/>
        <v>10132.5</v>
      </c>
      <c r="Q17" s="6">
        <v>1781</v>
      </c>
      <c r="R17" s="60">
        <v>1.62789308757149E-2</v>
      </c>
      <c r="S17" s="7">
        <v>23078.795249999999</v>
      </c>
      <c r="T17" s="6">
        <f t="shared" si="0"/>
        <v>1781</v>
      </c>
      <c r="U17" s="7">
        <f t="shared" si="1"/>
        <v>0.11016535338073255</v>
      </c>
      <c r="V17" s="8">
        <f t="shared" si="2"/>
        <v>23078.795249999999</v>
      </c>
      <c r="X17" s="6">
        <v>1000</v>
      </c>
      <c r="Y17" s="7">
        <v>1752.7472527472501</v>
      </c>
      <c r="Z17" s="53">
        <v>0.92269077099999997</v>
      </c>
      <c r="AA17" s="7">
        <f t="shared" si="12"/>
        <v>3039.75</v>
      </c>
      <c r="AB17" s="24"/>
      <c r="AC17" s="7">
        <f t="shared" si="13"/>
        <v>4.9875176810810806E-10</v>
      </c>
      <c r="AD17" s="9">
        <f t="shared" si="14"/>
        <v>82990200924318.781</v>
      </c>
      <c r="AE17" s="9">
        <f t="shared" si="15"/>
        <v>0.13266286191648533</v>
      </c>
      <c r="AF17" s="7">
        <f t="shared" si="22"/>
        <v>3.3789756128272886E-10</v>
      </c>
      <c r="AG17" s="7">
        <f t="shared" si="16"/>
        <v>1273.1500000000001</v>
      </c>
      <c r="AH17" s="9">
        <f t="shared" si="17"/>
        <v>2.5470395889351766E-9</v>
      </c>
      <c r="AI17" s="8">
        <f t="shared" si="18"/>
        <v>3039.75</v>
      </c>
      <c r="AK17" s="7"/>
      <c r="AL17" s="60"/>
      <c r="AM17" s="60"/>
      <c r="AN17" s="7"/>
      <c r="AO17" s="7"/>
      <c r="AP17" s="7"/>
      <c r="AQ17" s="7"/>
    </row>
    <row r="18" spans="2:43">
      <c r="B18" s="6">
        <v>1100</v>
      </c>
      <c r="C18" s="7">
        <v>1.2</v>
      </c>
      <c r="D18" s="53">
        <v>6.6573689999999998E-3</v>
      </c>
      <c r="E18" s="53">
        <v>7.1846610000000002E-3</v>
      </c>
      <c r="F18" s="7">
        <f t="shared" si="7"/>
        <v>10132.5</v>
      </c>
      <c r="G18" s="8"/>
      <c r="H18" s="7"/>
      <c r="I18" s="46">
        <f t="shared" si="8"/>
        <v>0.29127004054054056</v>
      </c>
      <c r="J18" s="7">
        <f t="shared" si="9"/>
        <v>-5.2729200000000039E-4</v>
      </c>
      <c r="K18" s="7">
        <f t="shared" si="19"/>
        <v>4.7139750000000039E-3</v>
      </c>
      <c r="L18" s="7">
        <f t="shared" si="10"/>
        <v>7.8032663309945084E-5</v>
      </c>
      <c r="M18" s="7">
        <f t="shared" si="11"/>
        <v>1373.15</v>
      </c>
      <c r="N18" s="51">
        <f t="shared" si="20"/>
        <v>2.6790487330977001E-7</v>
      </c>
      <c r="O18" s="8">
        <f t="shared" si="21"/>
        <v>10132.5</v>
      </c>
      <c r="Q18" s="6">
        <v>1781</v>
      </c>
      <c r="R18" s="60">
        <v>1.5247818954469E-2</v>
      </c>
      <c r="S18" s="7">
        <v>23111.219249999998</v>
      </c>
      <c r="T18" s="6">
        <f t="shared" si="0"/>
        <v>1781</v>
      </c>
      <c r="U18" s="7">
        <f t="shared" si="1"/>
        <v>0.10333242058681118</v>
      </c>
      <c r="V18" s="8">
        <f t="shared" si="2"/>
        <v>23111.219249999998</v>
      </c>
      <c r="X18" s="6">
        <v>1000</v>
      </c>
      <c r="Y18" s="7">
        <v>1895.60439560439</v>
      </c>
      <c r="Z18" s="7">
        <v>0.87875060763350799</v>
      </c>
      <c r="AA18" s="7">
        <f t="shared" si="12"/>
        <v>3039.75</v>
      </c>
      <c r="AB18" s="24"/>
      <c r="AC18" s="7">
        <f t="shared" si="13"/>
        <v>4.7500032845054486E-10</v>
      </c>
      <c r="AD18" s="9">
        <f t="shared" si="14"/>
        <v>82990200924318.781</v>
      </c>
      <c r="AE18" s="9">
        <f t="shared" si="15"/>
        <v>0.12841694573434537</v>
      </c>
      <c r="AF18" s="7">
        <f t="shared" si="22"/>
        <v>1.1880396900620925E-9</v>
      </c>
      <c r="AG18" s="7">
        <f t="shared" si="16"/>
        <v>1273.1500000000001</v>
      </c>
      <c r="AH18" s="9">
        <f t="shared" si="17"/>
        <v>9.251424594070135E-9</v>
      </c>
      <c r="AI18" s="8">
        <f t="shared" si="18"/>
        <v>3039.75</v>
      </c>
      <c r="AK18" s="7"/>
      <c r="AL18" s="60"/>
      <c r="AM18" s="60"/>
      <c r="AN18" s="7"/>
      <c r="AO18" s="7"/>
      <c r="AP18" s="7"/>
      <c r="AQ18" s="7"/>
    </row>
    <row r="19" spans="2:43">
      <c r="B19" s="6">
        <v>1100</v>
      </c>
      <c r="C19" s="7">
        <v>1.3</v>
      </c>
      <c r="D19" s="53">
        <v>7.1780569999999998E-3</v>
      </c>
      <c r="E19" s="53">
        <v>7.18755E-3</v>
      </c>
      <c r="F19" s="7">
        <f t="shared" si="7"/>
        <v>10132.5</v>
      </c>
      <c r="G19" s="8"/>
      <c r="H19" s="7"/>
      <c r="I19" s="46">
        <f t="shared" si="8"/>
        <v>0.29138716216216215</v>
      </c>
      <c r="J19" s="7">
        <f t="shared" si="9"/>
        <v>-9.4930000000001749E-6</v>
      </c>
      <c r="K19" s="7">
        <f t="shared" si="19"/>
        <v>5.4872300000000027E-3</v>
      </c>
      <c r="L19" s="7">
        <f t="shared" si="10"/>
        <v>9.0832719964410044E-5</v>
      </c>
      <c r="M19" s="7">
        <f t="shared" si="11"/>
        <v>1373.15</v>
      </c>
      <c r="N19" s="51">
        <f t="shared" si="20"/>
        <v>3.1172519506490823E-7</v>
      </c>
      <c r="O19" s="8">
        <f t="shared" si="21"/>
        <v>10132.5</v>
      </c>
      <c r="Q19" s="6">
        <v>1780</v>
      </c>
      <c r="R19" s="60">
        <v>1.7128833238679898E-2</v>
      </c>
      <c r="S19" s="7">
        <v>23142.63</v>
      </c>
      <c r="T19" s="6">
        <f>Q19</f>
        <v>1780</v>
      </c>
      <c r="U19" s="7">
        <f t="shared" si="1"/>
        <v>0.11627021362829142</v>
      </c>
      <c r="V19" s="8">
        <f>S19</f>
        <v>23142.63</v>
      </c>
      <c r="X19" s="6">
        <v>1000</v>
      </c>
      <c r="Y19" s="7">
        <v>2032.96703296703</v>
      </c>
      <c r="Z19" s="7">
        <v>0.59630624076315497</v>
      </c>
      <c r="AA19" s="7">
        <f t="shared" si="12"/>
        <v>3039.75</v>
      </c>
      <c r="AB19" s="24"/>
      <c r="AC19" s="7">
        <f t="shared" si="13"/>
        <v>3.2232769770981348E-10</v>
      </c>
      <c r="AD19" s="9">
        <f t="shared" si="14"/>
        <v>82990200924318.781</v>
      </c>
      <c r="AE19" s="9">
        <f t="shared" si="15"/>
        <v>9.9164938591325039E-2</v>
      </c>
      <c r="AF19" s="7">
        <f t="shared" si="22"/>
        <v>9.1096870771729517E-10</v>
      </c>
      <c r="AG19" s="7">
        <f t="shared" si="16"/>
        <v>1273.1500000000001</v>
      </c>
      <c r="AH19" s="9">
        <f t="shared" si="17"/>
        <v>9.1863991513325741E-9</v>
      </c>
      <c r="AI19" s="8">
        <f t="shared" si="18"/>
        <v>3039.75</v>
      </c>
      <c r="AQ19" s="7"/>
    </row>
    <row r="20" spans="2:43">
      <c r="B20" s="6">
        <v>1100</v>
      </c>
      <c r="C20" s="7">
        <v>1.4</v>
      </c>
      <c r="D20" s="53">
        <v>7.717341E-3</v>
      </c>
      <c r="E20" s="53">
        <v>7.1471870000000002E-3</v>
      </c>
      <c r="F20" s="7">
        <f t="shared" si="7"/>
        <v>10132.5</v>
      </c>
      <c r="G20" s="8"/>
      <c r="H20" s="7"/>
      <c r="I20" s="46">
        <f t="shared" si="8"/>
        <v>0.28975082432432431</v>
      </c>
      <c r="J20" s="7">
        <f t="shared" si="9"/>
        <v>5.701539999999998E-4</v>
      </c>
      <c r="K20" s="7">
        <f t="shared" si="19"/>
        <v>5.3950550000000036E-3</v>
      </c>
      <c r="L20" s="7">
        <f t="shared" si="10"/>
        <v>8.9306903484561486E-5</v>
      </c>
      <c r="M20" s="7">
        <f t="shared" si="11"/>
        <v>1373.15</v>
      </c>
      <c r="N20" s="51">
        <f t="shared" si="20"/>
        <v>3.0821967010039756E-7</v>
      </c>
      <c r="O20" s="8">
        <f t="shared" si="21"/>
        <v>10132.5</v>
      </c>
      <c r="Q20" s="6">
        <v>1780</v>
      </c>
      <c r="R20" s="60">
        <v>1.4986761684043099E-2</v>
      </c>
      <c r="S20" s="7">
        <v>23142.63</v>
      </c>
      <c r="T20" s="6">
        <f t="shared" si="0"/>
        <v>1780</v>
      </c>
      <c r="U20" s="7">
        <f t="shared" si="1"/>
        <v>0.10172987023220487</v>
      </c>
      <c r="V20" s="8">
        <f t="shared" si="2"/>
        <v>23142.63</v>
      </c>
      <c r="X20" s="6">
        <v>1000</v>
      </c>
      <c r="Y20" s="7">
        <v>2175.8241758241702</v>
      </c>
      <c r="Z20" s="53">
        <v>0.618473834</v>
      </c>
      <c r="AA20" s="7">
        <f t="shared" si="12"/>
        <v>3039.75</v>
      </c>
      <c r="AB20" s="24"/>
      <c r="AC20" s="7">
        <f t="shared" si="13"/>
        <v>3.3431018054054054E-10</v>
      </c>
      <c r="AD20" s="9">
        <f t="shared" si="14"/>
        <v>82990200924318.781</v>
      </c>
      <c r="AE20" s="9">
        <f t="shared" si="15"/>
        <v>0.10160758547170937</v>
      </c>
      <c r="AF20" s="7">
        <f t="shared" si="22"/>
        <v>-4.2957810230375026E-12</v>
      </c>
      <c r="AG20" s="7">
        <f t="shared" si="16"/>
        <v>1273.1500000000001</v>
      </c>
      <c r="AH20" s="9">
        <f t="shared" si="17"/>
        <v>-4.227815278844096E-11</v>
      </c>
      <c r="AI20" s="8">
        <f t="shared" si="18"/>
        <v>3039.75</v>
      </c>
      <c r="AQ20" s="7"/>
    </row>
    <row r="21" spans="2:43">
      <c r="B21" s="6">
        <v>1100</v>
      </c>
      <c r="C21" s="7">
        <v>1.5</v>
      </c>
      <c r="D21" s="53">
        <v>8.2194329999999999E-3</v>
      </c>
      <c r="E21" s="53">
        <v>7.1499149999999997E-3</v>
      </c>
      <c r="F21" s="7">
        <f t="shared" si="7"/>
        <v>10132.5</v>
      </c>
      <c r="G21" s="8"/>
      <c r="H21" s="7"/>
      <c r="I21" s="46">
        <f t="shared" si="8"/>
        <v>0.28986141891891887</v>
      </c>
      <c r="J21" s="7">
        <f t="shared" si="9"/>
        <v>1.0695180000000002E-3</v>
      </c>
      <c r="K21" s="7">
        <f t="shared" si="19"/>
        <v>5.5805299999999933E-3</v>
      </c>
      <c r="L21" s="7">
        <f t="shared" si="10"/>
        <v>9.2377159102678094E-5</v>
      </c>
      <c r="M21" s="7">
        <f t="shared" si="11"/>
        <v>1373.15</v>
      </c>
      <c r="N21" s="51">
        <f t="shared" si="20"/>
        <v>3.1869422100813693E-7</v>
      </c>
      <c r="O21" s="8">
        <f t="shared" si="21"/>
        <v>10132.5</v>
      </c>
      <c r="Q21" s="10">
        <v>1777</v>
      </c>
      <c r="R21" s="61">
        <v>1.3883381794115499E-2</v>
      </c>
      <c r="S21" s="11">
        <v>23142.63</v>
      </c>
      <c r="T21" s="10">
        <f t="shared" si="0"/>
        <v>1777</v>
      </c>
      <c r="U21" s="11">
        <f t="shared" si="1"/>
        <v>9.4319663657187275E-2</v>
      </c>
      <c r="V21" s="13">
        <f t="shared" si="2"/>
        <v>23142.63</v>
      </c>
      <c r="X21" s="6">
        <v>1000</v>
      </c>
      <c r="Y21" s="7">
        <v>2307.6923076922999</v>
      </c>
      <c r="Z21" s="53">
        <v>0.59743919400000001</v>
      </c>
      <c r="AA21" s="7">
        <f t="shared" si="12"/>
        <v>3039.75</v>
      </c>
      <c r="AB21" s="24"/>
      <c r="AC21" s="7">
        <f t="shared" si="13"/>
        <v>3.2294010486486487E-10</v>
      </c>
      <c r="AD21" s="9">
        <f t="shared" si="14"/>
        <v>82990200924318.781</v>
      </c>
      <c r="AE21" s="9">
        <f t="shared" si="15"/>
        <v>9.9290504599894885E-2</v>
      </c>
      <c r="AF21" s="7">
        <f t="shared" si="22"/>
        <v>1.576423780778468E-10</v>
      </c>
      <c r="AG21" s="7">
        <f t="shared" si="16"/>
        <v>1273.1500000000001</v>
      </c>
      <c r="AH21" s="9">
        <f t="shared" si="17"/>
        <v>1.5876883566368107E-9</v>
      </c>
      <c r="AI21" s="8">
        <f t="shared" si="18"/>
        <v>3039.75</v>
      </c>
      <c r="AQ21" s="7"/>
    </row>
    <row r="22" spans="2:43">
      <c r="B22" s="6">
        <v>1100</v>
      </c>
      <c r="C22" s="7">
        <v>1.6</v>
      </c>
      <c r="D22" s="53">
        <v>8.6657369999999997E-3</v>
      </c>
      <c r="E22" s="53">
        <v>6.9794770000000004E-3</v>
      </c>
      <c r="F22" s="7">
        <f t="shared" si="7"/>
        <v>10132.5</v>
      </c>
      <c r="G22" s="8"/>
      <c r="H22" s="7"/>
      <c r="I22" s="46">
        <f t="shared" si="8"/>
        <v>0.2829517702702703</v>
      </c>
      <c r="J22" s="7">
        <f t="shared" si="9"/>
        <v>1.6862599999999993E-3</v>
      </c>
      <c r="K22" s="7">
        <f t="shared" si="19"/>
        <v>6.2211100000000115E-3</v>
      </c>
      <c r="L22" s="7">
        <f t="shared" si="10"/>
        <v>1.0298098357418802E-4</v>
      </c>
      <c r="M22" s="7">
        <f t="shared" si="11"/>
        <v>1373.15</v>
      </c>
      <c r="N22" s="51">
        <f t="shared" si="20"/>
        <v>3.6395242721338162E-7</v>
      </c>
      <c r="O22" s="8">
        <f t="shared" si="21"/>
        <v>10132.5</v>
      </c>
      <c r="X22" s="6">
        <v>1000</v>
      </c>
      <c r="Y22" s="7">
        <v>2445.0549450549402</v>
      </c>
      <c r="Z22" s="7">
        <v>0.57516548837421699</v>
      </c>
      <c r="AA22" s="7">
        <f t="shared" si="12"/>
        <v>3039.75</v>
      </c>
      <c r="AB22" s="24"/>
      <c r="AC22" s="7">
        <f t="shared" si="13"/>
        <v>3.1090026398606323E-10</v>
      </c>
      <c r="AD22" s="9">
        <f t="shared" si="14"/>
        <v>82990200924318.781</v>
      </c>
      <c r="AE22" s="9">
        <f t="shared" si="15"/>
        <v>9.6807080678309329E-2</v>
      </c>
      <c r="AF22" s="7">
        <f>(Z21-Z22)/(Y22-Y21)/1000000</f>
        <v>1.6215257695569692E-10</v>
      </c>
      <c r="AG22" s="7">
        <f t="shared" si="16"/>
        <v>1273.1500000000001</v>
      </c>
      <c r="AH22" s="9">
        <f t="shared" si="17"/>
        <v>1.6750074046187921E-9</v>
      </c>
      <c r="AI22" s="8">
        <f t="shared" si="18"/>
        <v>3039.75</v>
      </c>
    </row>
    <row r="23" spans="2:43">
      <c r="B23" s="6">
        <v>1100</v>
      </c>
      <c r="C23" s="7">
        <v>1.65</v>
      </c>
      <c r="D23" s="55">
        <v>8.8900000000000003E-3</v>
      </c>
      <c r="E23" s="55">
        <v>6.8900000000000003E-3</v>
      </c>
      <c r="F23" s="7">
        <f t="shared" si="7"/>
        <v>10132.5</v>
      </c>
      <c r="G23" s="8"/>
      <c r="H23" s="56"/>
      <c r="I23" s="46">
        <f t="shared" si="8"/>
        <v>0.27932432432432436</v>
      </c>
      <c r="J23" s="7">
        <f t="shared" si="9"/>
        <v>2E-3</v>
      </c>
      <c r="K23" s="7">
        <f>+(J23-J22)/(C23-C22)</f>
        <v>6.2748000000000369E-3</v>
      </c>
      <c r="L23" s="7">
        <f t="shared" si="10"/>
        <v>1.0386973960134407E-4</v>
      </c>
      <c r="M23" s="7">
        <f>B23+273.15</f>
        <v>1373.15</v>
      </c>
      <c r="N23" s="51">
        <f t="shared" si="20"/>
        <v>3.7186070297530042E-7</v>
      </c>
      <c r="O23" s="8">
        <f t="shared" si="21"/>
        <v>10132.5</v>
      </c>
      <c r="P23" s="49"/>
      <c r="Q23" s="49"/>
      <c r="R23" s="49"/>
      <c r="X23" s="41" t="s">
        <v>82</v>
      </c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3"/>
    </row>
    <row r="24" spans="2:43">
      <c r="B24" s="41" t="s">
        <v>71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X24" s="6">
        <v>1000</v>
      </c>
      <c r="Y24" s="7">
        <v>76.0250871474327</v>
      </c>
      <c r="Z24" s="7">
        <v>4.1775456919060003</v>
      </c>
      <c r="AA24" s="7">
        <f>0.04*101325</f>
        <v>4053</v>
      </c>
      <c r="AB24" s="24"/>
      <c r="AC24" s="7">
        <f>Z24/1000000/$AB$9</f>
        <v>2.2581328064356757E-9</v>
      </c>
      <c r="AD24" s="9">
        <f>$AC$6/$AB$13</f>
        <v>82990200924318.781</v>
      </c>
      <c r="AE24" s="9">
        <f>4*PI()*(AC24/AD24*3/(PI()*4))^(2/3)*AD24</f>
        <v>0.3630719658425951</v>
      </c>
      <c r="AF24" s="7">
        <f>(Z24-Z25)/(Y25-Y24)/1000000</f>
        <v>6.6360293054179777E-9</v>
      </c>
      <c r="AG24" s="7">
        <f>X24+273.15</f>
        <v>1273.1500000000001</v>
      </c>
      <c r="AH24" s="9">
        <f>AF24/AE24</f>
        <v>1.8277448907456925E-8</v>
      </c>
      <c r="AI24" s="8">
        <f>AA24</f>
        <v>4053</v>
      </c>
    </row>
    <row r="25" spans="2:43">
      <c r="B25" s="28">
        <v>1200</v>
      </c>
      <c r="C25" s="7">
        <v>0</v>
      </c>
      <c r="D25" s="7">
        <v>0</v>
      </c>
      <c r="E25" s="7">
        <v>0</v>
      </c>
      <c r="F25" s="7">
        <f>0.1*101325</f>
        <v>10132.5</v>
      </c>
      <c r="G25" s="8"/>
      <c r="H25" s="7"/>
      <c r="I25" s="46">
        <f>E25/$H$9/$H$13*$H$11</f>
        <v>0</v>
      </c>
      <c r="J25" s="7">
        <f>D25-E25</f>
        <v>0</v>
      </c>
      <c r="K25" s="7">
        <f>(J26-J25)/(C26-C25)</f>
        <v>3.3356762487932098E-5</v>
      </c>
      <c r="L25" s="7">
        <f>K25*$G$15</f>
        <v>5.521703055978467E-7</v>
      </c>
      <c r="M25" s="7">
        <f>B25+273.15</f>
        <v>1473.15</v>
      </c>
      <c r="N25" s="51" t="e">
        <f>L25/I25/1000</f>
        <v>#DIV/0!</v>
      </c>
      <c r="O25" s="8">
        <f>F25</f>
        <v>10132.5</v>
      </c>
      <c r="X25" s="6">
        <v>1000</v>
      </c>
      <c r="Y25" s="7">
        <v>214.52056538001901</v>
      </c>
      <c r="Z25" s="7">
        <v>3.2584856396866799</v>
      </c>
      <c r="AA25" s="7">
        <f t="shared" ref="AA25:AA34" si="23">0.04*101325</f>
        <v>4053</v>
      </c>
      <c r="AB25" s="24"/>
      <c r="AC25" s="7">
        <f t="shared" ref="AC25:AC33" si="24">Z25/1000000/$AB$9</f>
        <v>1.7613435890198269E-9</v>
      </c>
      <c r="AD25" s="9">
        <f t="shared" ref="AD25:AE47" si="25">$AC$6/$AB$13</f>
        <v>82990200924318.781</v>
      </c>
      <c r="AE25" s="9">
        <f t="shared" ref="AE25:AE33" si="26">4*PI()*(AC25/AD25*3/(PI()*4))^(2/3)*AD25</f>
        <v>0.30764919649300215</v>
      </c>
      <c r="AF25" s="7">
        <f>0.5*((Z25-Z24)/(Y25-Y26)+(Z25-Z26)/(Y26-Y25))/1000000</f>
        <v>6.152881972681889E-9</v>
      </c>
      <c r="AG25" s="7">
        <f t="shared" ref="AG25:AG33" si="27">X25+273.15</f>
        <v>1273.1500000000001</v>
      </c>
      <c r="AH25" s="9">
        <f t="shared" ref="AH25:AH33" si="28">AF25/AE25</f>
        <v>1.9999668592737064E-8</v>
      </c>
      <c r="AI25" s="8">
        <f t="shared" ref="AI25:AI33" si="29">AA25</f>
        <v>4053</v>
      </c>
    </row>
    <row r="26" spans="2:43">
      <c r="B26" s="6">
        <v>1200</v>
      </c>
      <c r="C26" s="7">
        <v>0.1</v>
      </c>
      <c r="D26" s="7">
        <v>3.3356762487932098E-6</v>
      </c>
      <c r="E26" s="7">
        <v>0</v>
      </c>
      <c r="F26" s="7">
        <f t="shared" ref="F26:F42" si="30">0.1*101325</f>
        <v>10132.5</v>
      </c>
      <c r="G26" s="8"/>
      <c r="H26" s="7"/>
      <c r="I26" s="46">
        <f t="shared" ref="I26:I42" si="31">E26/$H$9/$H$13*$H$11</f>
        <v>0</v>
      </c>
      <c r="J26" s="7">
        <f t="shared" ref="J26:J42" si="32">D26-E26</f>
        <v>3.3356762487932098E-6</v>
      </c>
      <c r="K26" s="7">
        <f>0.5*((J27-J26)/(C27-C26)+(J26-J25)/(C26-C25))</f>
        <v>-4.88746829343865E-3</v>
      </c>
      <c r="L26" s="7">
        <f t="shared" ref="L26:L42" si="33">K26*$G$15</f>
        <v>-8.0904580058216205E-5</v>
      </c>
      <c r="M26" s="7">
        <f t="shared" ref="M26:M42" si="34">B26+273.15</f>
        <v>1473.15</v>
      </c>
      <c r="N26" s="51" t="e">
        <f t="shared" ref="N26:N42" si="35">L26/I26/1000</f>
        <v>#DIV/0!</v>
      </c>
      <c r="O26" s="8">
        <f t="shared" ref="O26:O42" si="36">F26</f>
        <v>10132.5</v>
      </c>
      <c r="X26" s="6">
        <v>1000</v>
      </c>
      <c r="Y26" s="7">
        <v>347.76598527862399</v>
      </c>
      <c r="Z26" s="7">
        <v>2.53785900783289</v>
      </c>
      <c r="AA26" s="7">
        <f t="shared" si="23"/>
        <v>4053</v>
      </c>
      <c r="AB26" s="24"/>
      <c r="AC26" s="7">
        <f t="shared" si="24"/>
        <v>1.3718156799096703E-9</v>
      </c>
      <c r="AD26" s="9">
        <f t="shared" si="25"/>
        <v>82990200924318.781</v>
      </c>
      <c r="AE26" s="9">
        <f t="shared" si="26"/>
        <v>0.26042953661951362</v>
      </c>
      <c r="AF26" s="7">
        <f t="shared" ref="AF26:AF33" si="37">0.5*((Z26-Z25)/(Y26-Y27)+(Z26-Z27)/(Y27-Y26))/1000000</f>
        <v>4.2733687901632349E-9</v>
      </c>
      <c r="AG26" s="7">
        <f t="shared" si="27"/>
        <v>1273.1500000000001</v>
      </c>
      <c r="AH26" s="9">
        <f t="shared" si="28"/>
        <v>1.6408925214986684E-8</v>
      </c>
      <c r="AI26" s="8">
        <f t="shared" si="29"/>
        <v>4053</v>
      </c>
    </row>
    <row r="27" spans="2:43">
      <c r="B27" s="6">
        <v>1200</v>
      </c>
      <c r="C27" s="7">
        <v>0.2</v>
      </c>
      <c r="D27" s="7">
        <v>8.9262696417720996E-4</v>
      </c>
      <c r="E27" s="7">
        <v>1.87012062286494E-3</v>
      </c>
      <c r="F27" s="7">
        <f t="shared" si="30"/>
        <v>10132.5</v>
      </c>
      <c r="G27" s="8"/>
      <c r="H27" s="7"/>
      <c r="I27" s="46">
        <f t="shared" si="31"/>
        <v>7.5815700926957011E-2</v>
      </c>
      <c r="J27" s="7">
        <f t="shared" si="32"/>
        <v>-9.7749365868773008E-4</v>
      </c>
      <c r="K27" s="7">
        <f t="shared" ref="K27:K41" si="38">0.5*((J28-J27)/(C28-C27)+(J27-J26)/(C27-C26))</f>
        <v>-6.8462076983543145E-3</v>
      </c>
      <c r="L27" s="7">
        <f t="shared" si="33"/>
        <v>-1.1332852216561096E-4</v>
      </c>
      <c r="M27" s="7">
        <f t="shared" si="34"/>
        <v>1473.15</v>
      </c>
      <c r="N27" s="51">
        <f t="shared" si="35"/>
        <v>-1.4947896119142242E-6</v>
      </c>
      <c r="O27" s="8">
        <f t="shared" si="36"/>
        <v>10132.5</v>
      </c>
      <c r="X27" s="6">
        <v>1000</v>
      </c>
      <c r="Y27" s="7">
        <v>496.84642960679298</v>
      </c>
      <c r="Z27" s="7">
        <v>1.98433420365535</v>
      </c>
      <c r="AA27" s="7">
        <f t="shared" si="23"/>
        <v>4053</v>
      </c>
      <c r="AB27" s="24"/>
      <c r="AC27" s="7">
        <f t="shared" si="24"/>
        <v>1.072613083056946E-9</v>
      </c>
      <c r="AD27" s="9">
        <f t="shared" si="25"/>
        <v>82990200924318.781</v>
      </c>
      <c r="AE27" s="9">
        <f t="shared" si="26"/>
        <v>0.22103198458177356</v>
      </c>
      <c r="AF27" s="7">
        <f t="shared" si="37"/>
        <v>3.8299822688641446E-9</v>
      </c>
      <c r="AG27" s="7">
        <f t="shared" si="27"/>
        <v>1273.1500000000001</v>
      </c>
      <c r="AH27" s="9">
        <f t="shared" si="28"/>
        <v>1.7327728727184251E-8</v>
      </c>
      <c r="AI27" s="8">
        <f t="shared" si="29"/>
        <v>4053</v>
      </c>
    </row>
    <row r="28" spans="2:43">
      <c r="B28" s="6">
        <v>1200</v>
      </c>
      <c r="C28" s="7">
        <v>0.3</v>
      </c>
      <c r="D28" s="7">
        <v>3.0765418567803501E-3</v>
      </c>
      <c r="E28" s="7">
        <v>4.4424477202024198E-3</v>
      </c>
      <c r="F28" s="7">
        <f t="shared" si="30"/>
        <v>10132.5</v>
      </c>
      <c r="G28" s="8"/>
      <c r="H28" s="7"/>
      <c r="I28" s="46">
        <f t="shared" si="31"/>
        <v>0.18009923190009811</v>
      </c>
      <c r="J28" s="7">
        <f t="shared" si="32"/>
        <v>-1.3659058634220697E-3</v>
      </c>
      <c r="K28" s="7">
        <f t="shared" si="38"/>
        <v>5.1082079093814955E-4</v>
      </c>
      <c r="L28" s="7">
        <f t="shared" si="33"/>
        <v>8.4558587584780225E-6</v>
      </c>
      <c r="M28" s="7">
        <f t="shared" si="34"/>
        <v>1473.15</v>
      </c>
      <c r="N28" s="51">
        <f t="shared" si="35"/>
        <v>4.6951109503723631E-8</v>
      </c>
      <c r="O28" s="8">
        <f t="shared" si="36"/>
        <v>10132.5</v>
      </c>
      <c r="X28" s="6">
        <v>1000</v>
      </c>
      <c r="Y28" s="7">
        <v>630.46306575123504</v>
      </c>
      <c r="Z28" s="7">
        <v>1.51436031331592</v>
      </c>
      <c r="AA28" s="7">
        <f t="shared" si="23"/>
        <v>4053</v>
      </c>
      <c r="AB28" s="24"/>
      <c r="AC28" s="7">
        <f t="shared" si="24"/>
        <v>8.1857314233292977E-10</v>
      </c>
      <c r="AD28" s="9">
        <f t="shared" si="25"/>
        <v>82990200924318.781</v>
      </c>
      <c r="AE28" s="9">
        <f t="shared" si="26"/>
        <v>0.18458570188661735</v>
      </c>
      <c r="AF28" s="7">
        <f t="shared" si="37"/>
        <v>2.8694579251792855E-9</v>
      </c>
      <c r="AG28" s="7">
        <f t="shared" si="27"/>
        <v>1273.1500000000001</v>
      </c>
      <c r="AH28" s="9">
        <f t="shared" si="28"/>
        <v>1.554539650607317E-8</v>
      </c>
      <c r="AI28" s="8">
        <f t="shared" si="29"/>
        <v>4053</v>
      </c>
    </row>
    <row r="29" spans="2:43">
      <c r="B29" s="6">
        <v>1200</v>
      </c>
      <c r="C29" s="7">
        <v>0.4</v>
      </c>
      <c r="D29" s="7">
        <v>5.8741258741258698E-3</v>
      </c>
      <c r="E29" s="7">
        <v>6.7494553746259697E-3</v>
      </c>
      <c r="F29" s="7">
        <f t="shared" si="30"/>
        <v>10132.5</v>
      </c>
      <c r="G29" s="8"/>
      <c r="H29" s="7"/>
      <c r="I29" s="46">
        <f t="shared" si="31"/>
        <v>0.27362656924159334</v>
      </c>
      <c r="J29" s="7">
        <f t="shared" si="32"/>
        <v>-8.7532950050009991E-4</v>
      </c>
      <c r="K29" s="7">
        <f t="shared" si="38"/>
        <v>6.7772454920567464E-3</v>
      </c>
      <c r="L29" s="7">
        <f t="shared" si="33"/>
        <v>1.1218695806628309E-4</v>
      </c>
      <c r="M29" s="7">
        <f t="shared" si="34"/>
        <v>1473.15</v>
      </c>
      <c r="N29" s="51">
        <f t="shared" si="35"/>
        <v>4.1000023637042996E-7</v>
      </c>
      <c r="O29" s="8">
        <f t="shared" si="36"/>
        <v>10132.5</v>
      </c>
      <c r="X29" s="6">
        <v>1000</v>
      </c>
      <c r="Y29" s="7">
        <v>774.229814674708</v>
      </c>
      <c r="Z29" s="7">
        <v>1.15926892950391</v>
      </c>
      <c r="AA29" s="7">
        <f t="shared" si="23"/>
        <v>4053</v>
      </c>
      <c r="AB29" s="24"/>
      <c r="AC29" s="7">
        <f t="shared" si="24"/>
        <v>6.2663185378589731E-10</v>
      </c>
      <c r="AD29" s="9">
        <f t="shared" si="25"/>
        <v>82990200924318.781</v>
      </c>
      <c r="AE29" s="9">
        <f t="shared" si="26"/>
        <v>0.15446664304840024</v>
      </c>
      <c r="AF29" s="7">
        <f t="shared" si="37"/>
        <v>2.2661845465315448E-9</v>
      </c>
      <c r="AG29" s="7">
        <f t="shared" si="27"/>
        <v>1273.1500000000001</v>
      </c>
      <c r="AH29" s="9">
        <f t="shared" si="28"/>
        <v>1.4671028655820942E-8</v>
      </c>
      <c r="AI29" s="8">
        <f t="shared" si="29"/>
        <v>4053</v>
      </c>
    </row>
    <row r="30" spans="2:43">
      <c r="B30" s="6">
        <v>1200</v>
      </c>
      <c r="C30" s="7">
        <v>0.5</v>
      </c>
      <c r="D30" s="7">
        <v>8.60318557081758E-3</v>
      </c>
      <c r="E30" s="7">
        <v>8.6136423358283004E-3</v>
      </c>
      <c r="F30" s="7">
        <f t="shared" si="30"/>
        <v>10132.5</v>
      </c>
      <c r="G30" s="44"/>
      <c r="H30" s="7"/>
      <c r="I30" s="46">
        <f t="shared" si="31"/>
        <v>0.34920171631736346</v>
      </c>
      <c r="J30" s="7">
        <f t="shared" si="32"/>
        <v>-1.0456765010720404E-5</v>
      </c>
      <c r="K30" s="7">
        <f t="shared" si="38"/>
        <v>1.0315563546840496E-2</v>
      </c>
      <c r="L30" s="7">
        <f t="shared" si="33"/>
        <v>1.7075841452340049E-4</v>
      </c>
      <c r="M30" s="7">
        <f t="shared" si="34"/>
        <v>1473.15</v>
      </c>
      <c r="N30" s="51">
        <f t="shared" si="35"/>
        <v>4.8899649269825148E-7</v>
      </c>
      <c r="O30" s="8">
        <f t="shared" si="36"/>
        <v>10132.5</v>
      </c>
      <c r="X30" s="6">
        <v>1000</v>
      </c>
      <c r="Y30" s="7">
        <v>907.87826935450698</v>
      </c>
      <c r="Z30" s="7">
        <v>0.90861618798955601</v>
      </c>
      <c r="AA30" s="7">
        <f t="shared" si="23"/>
        <v>4053</v>
      </c>
      <c r="AB30" s="24"/>
      <c r="AC30" s="7">
        <f t="shared" si="24"/>
        <v>4.9114388539976001E-10</v>
      </c>
      <c r="AD30" s="9">
        <f t="shared" si="25"/>
        <v>82990200924318.781</v>
      </c>
      <c r="AE30" s="9">
        <f t="shared" si="26"/>
        <v>0.13131032942902177</v>
      </c>
      <c r="AF30" s="7">
        <f t="shared" si="37"/>
        <v>1.6634753424898912E-9</v>
      </c>
      <c r="AG30" s="7">
        <f t="shared" si="27"/>
        <v>1273.1500000000001</v>
      </c>
      <c r="AH30" s="9">
        <f t="shared" si="28"/>
        <v>1.266827483963524E-8</v>
      </c>
      <c r="AI30" s="8">
        <f t="shared" si="29"/>
        <v>4053</v>
      </c>
    </row>
    <row r="31" spans="2:43">
      <c r="B31" s="6">
        <v>1200</v>
      </c>
      <c r="C31" s="7">
        <v>0.6</v>
      </c>
      <c r="D31" s="7">
        <v>1.14002930629847E-2</v>
      </c>
      <c r="E31" s="7">
        <v>1.0212509854116701E-2</v>
      </c>
      <c r="F31" s="7">
        <f t="shared" si="30"/>
        <v>10132.5</v>
      </c>
      <c r="G31" s="8"/>
      <c r="H31" s="7"/>
      <c r="I31" s="46">
        <f t="shared" si="31"/>
        <v>0.41402066976148783</v>
      </c>
      <c r="J31" s="7">
        <f t="shared" si="32"/>
        <v>1.1877832088679988E-3</v>
      </c>
      <c r="K31" s="7">
        <f t="shared" si="38"/>
        <v>1.262936666455511E-2</v>
      </c>
      <c r="L31" s="7">
        <f t="shared" si="33"/>
        <v>2.0905989462249424E-4</v>
      </c>
      <c r="M31" s="7">
        <f t="shared" si="34"/>
        <v>1473.15</v>
      </c>
      <c r="N31" s="51">
        <f t="shared" si="35"/>
        <v>5.0495038023809549E-7</v>
      </c>
      <c r="O31" s="8">
        <f t="shared" si="36"/>
        <v>10132.5</v>
      </c>
      <c r="X31" s="6">
        <v>1000</v>
      </c>
      <c r="Y31" s="7">
        <v>1036.5842448754399</v>
      </c>
      <c r="Z31" s="7">
        <v>0.73107049608355101</v>
      </c>
      <c r="AA31" s="7">
        <f t="shared" si="23"/>
        <v>4053</v>
      </c>
      <c r="AB31" s="24"/>
      <c r="AC31" s="7">
        <f t="shared" si="24"/>
        <v>3.9517324112624378E-10</v>
      </c>
      <c r="AD31" s="9">
        <f t="shared" si="25"/>
        <v>82990200924318.781</v>
      </c>
      <c r="AE31" s="9">
        <f t="shared" si="26"/>
        <v>0.1135929598164052</v>
      </c>
      <c r="AF31" s="7">
        <f t="shared" si="37"/>
        <v>1.1889088337684886E-9</v>
      </c>
      <c r="AG31" s="7">
        <f t="shared" si="27"/>
        <v>1273.1500000000001</v>
      </c>
      <c r="AH31" s="9">
        <f t="shared" si="28"/>
        <v>1.0466395414734015E-8</v>
      </c>
      <c r="AI31" s="8">
        <f t="shared" si="29"/>
        <v>4053</v>
      </c>
    </row>
    <row r="32" spans="2:43">
      <c r="B32" s="6">
        <v>1200</v>
      </c>
      <c r="C32" s="7">
        <v>0.7</v>
      </c>
      <c r="D32" s="7">
        <v>1.4061304964201E-2</v>
      </c>
      <c r="E32" s="7">
        <v>1.15458883963007E-2</v>
      </c>
      <c r="F32" s="7">
        <f t="shared" si="30"/>
        <v>10132.5</v>
      </c>
      <c r="G32" s="8"/>
      <c r="H32" s="7"/>
      <c r="I32" s="46">
        <f t="shared" si="31"/>
        <v>0.46807655660678515</v>
      </c>
      <c r="J32" s="7">
        <f t="shared" si="32"/>
        <v>2.5154165679003009E-3</v>
      </c>
      <c r="K32" s="7">
        <f t="shared" si="38"/>
        <v>1.5387823266191503E-2</v>
      </c>
      <c r="L32" s="7">
        <f t="shared" si="33"/>
        <v>2.5472193467374353E-4</v>
      </c>
      <c r="M32" s="7">
        <f t="shared" si="34"/>
        <v>1473.15</v>
      </c>
      <c r="N32" s="51">
        <f t="shared" si="35"/>
        <v>5.4418861846081855E-7</v>
      </c>
      <c r="O32" s="8">
        <f t="shared" si="36"/>
        <v>10132.5</v>
      </c>
      <c r="X32" s="6">
        <v>1000</v>
      </c>
      <c r="Y32" s="7">
        <v>1185.9192374864699</v>
      </c>
      <c r="Z32" s="7">
        <v>0.55352480417754502</v>
      </c>
      <c r="AA32" s="7">
        <f t="shared" si="23"/>
        <v>4053</v>
      </c>
      <c r="AB32" s="24"/>
      <c r="AC32" s="7">
        <f t="shared" si="24"/>
        <v>2.9920259685272704E-10</v>
      </c>
      <c r="AD32" s="9">
        <f t="shared" si="25"/>
        <v>82990200924318.781</v>
      </c>
      <c r="AE32" s="9">
        <f t="shared" si="26"/>
        <v>9.4363339526978215E-2</v>
      </c>
      <c r="AF32" s="7">
        <f t="shared" si="37"/>
        <v>1.1358447397720967E-9</v>
      </c>
      <c r="AG32" s="7">
        <f t="shared" si="27"/>
        <v>1273.1500000000001</v>
      </c>
      <c r="AH32" s="9">
        <f t="shared" si="28"/>
        <v>1.2036928170048094E-8</v>
      </c>
      <c r="AI32" s="8">
        <f t="shared" si="29"/>
        <v>4053</v>
      </c>
    </row>
    <row r="33" spans="2:35">
      <c r="B33" s="6">
        <v>1200</v>
      </c>
      <c r="C33" s="7">
        <v>0.8</v>
      </c>
      <c r="D33" s="7">
        <v>1.67904599659284E-2</v>
      </c>
      <c r="E33" s="7">
        <v>1.25251121038221E-2</v>
      </c>
      <c r="F33" s="7">
        <f t="shared" si="30"/>
        <v>10132.5</v>
      </c>
      <c r="G33" s="8"/>
      <c r="H33" s="7"/>
      <c r="I33" s="46">
        <f t="shared" si="31"/>
        <v>0.50777481501981481</v>
      </c>
      <c r="J33" s="7">
        <f t="shared" si="32"/>
        <v>4.2653478621063005E-3</v>
      </c>
      <c r="K33" s="7">
        <f t="shared" si="38"/>
        <v>1.780291598301249E-2</v>
      </c>
      <c r="L33" s="7">
        <f t="shared" si="33"/>
        <v>2.9470010953338796E-4</v>
      </c>
      <c r="M33" s="7">
        <f t="shared" si="34"/>
        <v>1473.15</v>
      </c>
      <c r="N33" s="51">
        <f t="shared" si="35"/>
        <v>5.8037559330682431E-7</v>
      </c>
      <c r="O33" s="8">
        <f t="shared" si="36"/>
        <v>10132.5</v>
      </c>
      <c r="X33" s="6">
        <v>1000</v>
      </c>
      <c r="Y33" s="7">
        <v>1314.6464253643201</v>
      </c>
      <c r="Z33" s="7">
        <v>0.43864229765013002</v>
      </c>
      <c r="AA33" s="7">
        <f t="shared" si="23"/>
        <v>4053</v>
      </c>
      <c r="AB33" s="24"/>
      <c r="AC33" s="7">
        <f t="shared" si="24"/>
        <v>2.3710394467574596E-10</v>
      </c>
      <c r="AD33" s="9">
        <f t="shared" si="25"/>
        <v>82990200924318.781</v>
      </c>
      <c r="AE33" s="9">
        <f t="shared" si="26"/>
        <v>8.0807607641636192E-2</v>
      </c>
      <c r="AF33" s="7">
        <f t="shared" si="37"/>
        <v>7.9656264404827699E-10</v>
      </c>
      <c r="AG33" s="7">
        <f t="shared" si="27"/>
        <v>1273.1500000000001</v>
      </c>
      <c r="AH33" s="9">
        <f t="shared" si="28"/>
        <v>9.857520440165183E-9</v>
      </c>
      <c r="AI33" s="8">
        <f t="shared" si="29"/>
        <v>4053</v>
      </c>
    </row>
    <row r="34" spans="2:35">
      <c r="B34" s="6">
        <v>1200</v>
      </c>
      <c r="C34" s="7">
        <v>0.9</v>
      </c>
      <c r="D34" s="7">
        <v>1.93151856661226E-2</v>
      </c>
      <c r="E34" s="7">
        <v>1.32391859016198E-2</v>
      </c>
      <c r="F34" s="7">
        <f t="shared" si="30"/>
        <v>10132.5</v>
      </c>
      <c r="G34" s="8"/>
      <c r="H34" s="7"/>
      <c r="I34" s="46">
        <f t="shared" si="31"/>
        <v>0.53672375276837025</v>
      </c>
      <c r="J34" s="7">
        <f t="shared" si="32"/>
        <v>6.0759997645027999E-3</v>
      </c>
      <c r="K34" s="7">
        <f t="shared" si="38"/>
        <v>1.8752427514969996E-2</v>
      </c>
      <c r="L34" s="7">
        <f t="shared" si="33"/>
        <v>3.1041782413351849E-4</v>
      </c>
      <c r="M34" s="7">
        <f t="shared" si="34"/>
        <v>1473.15</v>
      </c>
      <c r="N34" s="51">
        <f t="shared" si="35"/>
        <v>5.7835678509179591E-7</v>
      </c>
      <c r="O34" s="8">
        <f t="shared" si="36"/>
        <v>10132.5</v>
      </c>
      <c r="X34" s="6">
        <v>1000</v>
      </c>
      <c r="Y34" s="7">
        <v>1458.8692399612501</v>
      </c>
      <c r="Z34" s="7">
        <v>0.32375979112271502</v>
      </c>
      <c r="AA34" s="7">
        <f t="shared" si="23"/>
        <v>4053</v>
      </c>
      <c r="AB34" s="24"/>
      <c r="AC34" s="7">
        <f>Z34/1000000/$AB$9</f>
        <v>1.7500529249876488E-10</v>
      </c>
      <c r="AD34" s="9">
        <f t="shared" si="25"/>
        <v>82990200924318.781</v>
      </c>
      <c r="AE34" s="9">
        <f>4*PI()*(AC34/AD34*3/(PI()*4))^(2/3)*AD34</f>
        <v>6.5997454463206567E-2</v>
      </c>
      <c r="AF34" s="7">
        <f>(Z33-Z34)/(Y34-Y33)/1000000</f>
        <v>7.9656264404827699E-10</v>
      </c>
      <c r="AG34" s="7">
        <f>X34+273.15</f>
        <v>1273.1500000000001</v>
      </c>
      <c r="AH34" s="9">
        <f>AF34/AE34</f>
        <v>1.2069596479548448E-8</v>
      </c>
      <c r="AI34" s="8">
        <f>AA34</f>
        <v>4053</v>
      </c>
    </row>
    <row r="35" spans="2:35">
      <c r="B35" s="6">
        <v>1200</v>
      </c>
      <c r="C35" s="7">
        <v>1</v>
      </c>
      <c r="D35" s="7">
        <v>2.1703434555223299E-2</v>
      </c>
      <c r="E35" s="7">
        <v>1.3687601190123E-2</v>
      </c>
      <c r="F35" s="7">
        <f t="shared" si="30"/>
        <v>10132.5</v>
      </c>
      <c r="G35" s="8"/>
      <c r="H35" s="7"/>
      <c r="I35" s="46">
        <f t="shared" si="31"/>
        <v>0.55490275095093244</v>
      </c>
      <c r="J35" s="7">
        <f t="shared" si="32"/>
        <v>8.0158333651002989E-3</v>
      </c>
      <c r="K35" s="7">
        <f t="shared" si="38"/>
        <v>2.0626768528876981E-2</v>
      </c>
      <c r="L35" s="7">
        <f t="shared" si="33"/>
        <v>3.4144467965698325E-4</v>
      </c>
      <c r="M35" s="7">
        <f t="shared" si="34"/>
        <v>1473.15</v>
      </c>
      <c r="N35" s="51">
        <f t="shared" si="35"/>
        <v>6.1532345815884348E-7</v>
      </c>
      <c r="O35" s="8">
        <f t="shared" si="36"/>
        <v>10132.5</v>
      </c>
      <c r="X35" s="41" t="s">
        <v>83</v>
      </c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3"/>
    </row>
    <row r="36" spans="2:35">
      <c r="B36" s="6">
        <v>1200</v>
      </c>
      <c r="C36" s="7">
        <v>1.1000000000000001</v>
      </c>
      <c r="D36" s="7">
        <v>2.4160207764977699E-2</v>
      </c>
      <c r="E36" s="7">
        <v>1.3958854294699501E-2</v>
      </c>
      <c r="F36" s="7">
        <f t="shared" si="30"/>
        <v>10132.5</v>
      </c>
      <c r="G36" s="8"/>
      <c r="H36" s="7"/>
      <c r="I36" s="46">
        <f t="shared" si="31"/>
        <v>0.56589949843376353</v>
      </c>
      <c r="J36" s="7">
        <f t="shared" si="32"/>
        <v>1.0201353470278198E-2</v>
      </c>
      <c r="K36" s="7">
        <f t="shared" si="38"/>
        <v>2.049090946602301E-2</v>
      </c>
      <c r="L36" s="7">
        <f t="shared" si="33"/>
        <v>3.391957401718802E-4</v>
      </c>
      <c r="M36" s="7">
        <f t="shared" si="34"/>
        <v>1473.15</v>
      </c>
      <c r="N36" s="51">
        <f t="shared" si="35"/>
        <v>5.993921908583947E-7</v>
      </c>
      <c r="O36" s="8">
        <f t="shared" si="36"/>
        <v>10132.5</v>
      </c>
      <c r="X36" s="6">
        <v>1000</v>
      </c>
      <c r="Y36" s="7">
        <v>91.726618705035804</v>
      </c>
      <c r="Z36" s="7">
        <v>3.4035572857238701</v>
      </c>
      <c r="AA36" s="7">
        <f>0.05*101325</f>
        <v>5066.25</v>
      </c>
      <c r="AB36" s="24"/>
      <c r="AC36" s="7">
        <f>Z36/1000000/$AB$9</f>
        <v>1.8397606949858756E-9</v>
      </c>
      <c r="AD36" s="9">
        <f>$AC$6/$AB$13</f>
        <v>82990200924318.781</v>
      </c>
      <c r="AE36" s="9">
        <f>4*PI()*(AC36/AD36*3/(PI()*4))^(2/3)*AD36</f>
        <v>0.31671401898379314</v>
      </c>
      <c r="AF36" s="7">
        <f>(Z36-Z37)/(Y37-Y36)/1000000</f>
        <v>5.2668053784370691E-9</v>
      </c>
      <c r="AG36" s="7">
        <f>X36+273.15</f>
        <v>1273.1500000000001</v>
      </c>
      <c r="AH36" s="9">
        <f>AF36/AE36</f>
        <v>1.6629530310455191E-8</v>
      </c>
      <c r="AI36" s="8">
        <f>AA36</f>
        <v>5066.25</v>
      </c>
    </row>
    <row r="37" spans="2:35">
      <c r="B37" s="6">
        <v>1200</v>
      </c>
      <c r="C37" s="7">
        <v>1.2</v>
      </c>
      <c r="D37" s="7">
        <v>2.6344122657580901E-2</v>
      </c>
      <c r="E37" s="7">
        <v>1.4230107399276E-2</v>
      </c>
      <c r="F37" s="7">
        <f t="shared" si="30"/>
        <v>10132.5</v>
      </c>
      <c r="G37" s="8"/>
      <c r="H37" s="7"/>
      <c r="I37" s="46">
        <f t="shared" si="31"/>
        <v>0.57689624591659461</v>
      </c>
      <c r="J37" s="7">
        <f t="shared" si="32"/>
        <v>1.2114015258304901E-2</v>
      </c>
      <c r="K37" s="7">
        <f t="shared" si="38"/>
        <v>2.0214742241743508E-2</v>
      </c>
      <c r="L37" s="7">
        <f t="shared" si="33"/>
        <v>3.3462421316347553E-4</v>
      </c>
      <c r="M37" s="7">
        <f t="shared" si="34"/>
        <v>1473.15</v>
      </c>
      <c r="N37" s="51">
        <f t="shared" si="35"/>
        <v>5.80042278888142E-7</v>
      </c>
      <c r="O37" s="8">
        <f t="shared" si="36"/>
        <v>10132.5</v>
      </c>
      <c r="X37" s="6">
        <v>1000</v>
      </c>
      <c r="Y37" s="7">
        <v>242.80575539568301</v>
      </c>
      <c r="Z37" s="7">
        <v>2.6078528760319402</v>
      </c>
      <c r="AA37" s="7">
        <f t="shared" ref="AA37:AA44" si="39">0.05*101325</f>
        <v>5066.25</v>
      </c>
      <c r="AB37" s="24"/>
      <c r="AC37" s="7">
        <f>Z37/1000000/$AB$9</f>
        <v>1.4096502032605082E-9</v>
      </c>
      <c r="AD37" s="9">
        <f t="shared" si="25"/>
        <v>82990200924318.781</v>
      </c>
      <c r="AE37" s="9">
        <f>4*PI()*(AC37/AD37*3/(PI()*4))^(2/3)*AD37</f>
        <v>0.26519620321743631</v>
      </c>
      <c r="AF37" s="7">
        <f>0.5*((Z37-Z36)/(Y37-Y38)+(Z37-Z38)/(Y38-Y37))/1000000</f>
        <v>5.2009267736089907E-9</v>
      </c>
      <c r="AG37" s="7">
        <f>X37+273.15</f>
        <v>1273.1500000000001</v>
      </c>
      <c r="AH37" s="9">
        <f>AF37/AE37</f>
        <v>1.96116185319015E-8</v>
      </c>
      <c r="AI37" s="8">
        <f>AA37</f>
        <v>5066.25</v>
      </c>
    </row>
    <row r="38" spans="2:35">
      <c r="B38" s="6">
        <v>1200</v>
      </c>
      <c r="C38" s="7">
        <v>1.3</v>
      </c>
      <c r="D38" s="7">
        <v>2.83918466541975E-2</v>
      </c>
      <c r="E38" s="7">
        <v>1.4147544735570601E-2</v>
      </c>
      <c r="F38" s="7">
        <f t="shared" si="30"/>
        <v>10132.5</v>
      </c>
      <c r="G38" s="8"/>
      <c r="H38" s="7"/>
      <c r="I38" s="46">
        <f t="shared" si="31"/>
        <v>0.57354911090151084</v>
      </c>
      <c r="J38" s="7">
        <f t="shared" si="32"/>
        <v>1.4244301918626899E-2</v>
      </c>
      <c r="K38" s="7">
        <f t="shared" si="38"/>
        <v>2.1982602276428485E-2</v>
      </c>
      <c r="L38" s="7">
        <f t="shared" si="33"/>
        <v>3.6388843854983852E-4</v>
      </c>
      <c r="M38" s="7">
        <f t="shared" si="34"/>
        <v>1473.15</v>
      </c>
      <c r="N38" s="51">
        <f t="shared" si="35"/>
        <v>6.3445035766488184E-7</v>
      </c>
      <c r="O38" s="8">
        <f t="shared" si="36"/>
        <v>10132.5</v>
      </c>
      <c r="X38" s="6">
        <v>1000</v>
      </c>
      <c r="Y38" s="7">
        <v>377.69784172661798</v>
      </c>
      <c r="Z38" s="7">
        <v>2.0004295590307999</v>
      </c>
      <c r="AA38" s="7">
        <f t="shared" si="39"/>
        <v>5066.25</v>
      </c>
      <c r="AB38" s="24"/>
      <c r="AC38" s="7">
        <f>Z38/1000000/$AB$9</f>
        <v>1.0813132751517838E-9</v>
      </c>
      <c r="AD38" s="9">
        <f t="shared" si="25"/>
        <v>82990200924318.781</v>
      </c>
      <c r="AE38" s="9">
        <f>4*PI()*(AC38/AD38*3/(PI()*4))^(2/3)*AD38</f>
        <v>0.22222559944719666</v>
      </c>
      <c r="AF38" s="7">
        <f>0.5*((Z38-Z37)/(Y38-Y39)+(Z38-Z39)/(Y39-Y38))/1000000</f>
        <v>3.6675703647357057E-9</v>
      </c>
      <c r="AG38" s="7">
        <f>X38+273.15</f>
        <v>1273.1500000000001</v>
      </c>
      <c r="AH38" s="9">
        <f>AF38/AE38</f>
        <v>1.6503815824365284E-8</v>
      </c>
      <c r="AI38" s="8">
        <f>AA38</f>
        <v>5066.25</v>
      </c>
    </row>
    <row r="39" spans="2:35">
      <c r="B39" s="6">
        <v>1200</v>
      </c>
      <c r="C39" s="7">
        <v>1.4</v>
      </c>
      <c r="D39" s="7">
        <v>3.0575856851836399E-2</v>
      </c>
      <c r="E39" s="7">
        <v>1.4065321138245801E-2</v>
      </c>
      <c r="F39" s="7">
        <f t="shared" si="30"/>
        <v>10132.5</v>
      </c>
      <c r="G39" s="8"/>
      <c r="H39" s="7"/>
      <c r="I39" s="46">
        <f t="shared" si="31"/>
        <v>0.57021572182077573</v>
      </c>
      <c r="J39" s="7">
        <f t="shared" si="32"/>
        <v>1.6510535713590596E-2</v>
      </c>
      <c r="K39" s="7">
        <f t="shared" si="38"/>
        <v>2.0518821807874524E-2</v>
      </c>
      <c r="L39" s="7">
        <f t="shared" si="33"/>
        <v>3.3965778640120711E-4</v>
      </c>
      <c r="M39" s="7">
        <f t="shared" si="34"/>
        <v>1473.15</v>
      </c>
      <c r="N39" s="51">
        <f t="shared" si="35"/>
        <v>5.9566541819757963E-7</v>
      </c>
      <c r="O39" s="8">
        <f t="shared" si="36"/>
        <v>10132.5</v>
      </c>
      <c r="X39" s="6">
        <v>1000</v>
      </c>
      <c r="Y39" s="7">
        <v>523.38129496402803</v>
      </c>
      <c r="Z39" s="7">
        <v>1.53924424458017</v>
      </c>
      <c r="AA39" s="7">
        <f t="shared" si="39"/>
        <v>5066.25</v>
      </c>
      <c r="AB39" s="24"/>
      <c r="AC39" s="7">
        <f>Z39/1000000/$AB$9</f>
        <v>8.3202391598928108E-10</v>
      </c>
      <c r="AD39" s="9">
        <f t="shared" si="25"/>
        <v>82990200924318.781</v>
      </c>
      <c r="AE39" s="9">
        <f>4*PI()*(AC39/AD39*3/(PI()*4))^(2/3)*AD39</f>
        <v>0.18660227596989359</v>
      </c>
      <c r="AF39" s="7">
        <f>0.5*((Z39-Z38)/(Y39-Y40)+(Z39-Z40)/(Y40-Y39))/1000000</f>
        <v>3.3776522303315448E-9</v>
      </c>
      <c r="AG39" s="7">
        <f>X39+273.15</f>
        <v>1273.1500000000001</v>
      </c>
      <c r="AH39" s="9">
        <f>AF39/AE39</f>
        <v>1.8100809396754064E-8</v>
      </c>
      <c r="AI39" s="8">
        <f>AA39</f>
        <v>5066.25</v>
      </c>
    </row>
    <row r="40" spans="2:35">
      <c r="B40" s="6">
        <v>1200</v>
      </c>
      <c r="C40" s="7">
        <v>1.5</v>
      </c>
      <c r="D40" s="7">
        <v>3.2419151546919801E-2</v>
      </c>
      <c r="E40" s="7">
        <v>1.4071085266718001E-2</v>
      </c>
      <c r="F40" s="7">
        <f t="shared" si="30"/>
        <v>10132.5</v>
      </c>
      <c r="G40" s="8"/>
      <c r="H40" s="7"/>
      <c r="I40" s="46">
        <f t="shared" si="31"/>
        <v>0.57044940270478373</v>
      </c>
      <c r="J40" s="7">
        <f t="shared" si="32"/>
        <v>1.8348066280201802E-2</v>
      </c>
      <c r="K40" s="7">
        <f t="shared" si="38"/>
        <v>1.9804040145739998E-2</v>
      </c>
      <c r="L40" s="7">
        <f t="shared" si="33"/>
        <v>3.2782566663360835E-4</v>
      </c>
      <c r="M40" s="7">
        <f t="shared" si="34"/>
        <v>1473.15</v>
      </c>
      <c r="N40" s="51">
        <f t="shared" si="35"/>
        <v>5.7467965621354704E-7</v>
      </c>
      <c r="O40" s="8">
        <f t="shared" si="36"/>
        <v>10132.5</v>
      </c>
      <c r="X40" s="6">
        <v>1000</v>
      </c>
      <c r="Y40" s="7">
        <v>647.48201438848901</v>
      </c>
      <c r="Z40" s="7">
        <v>1.1620914155312401</v>
      </c>
      <c r="AA40" s="7">
        <f t="shared" si="39"/>
        <v>5066.25</v>
      </c>
      <c r="AB40" s="24"/>
      <c r="AC40" s="7">
        <f>Z40/1000000/$AB$9</f>
        <v>6.2815752190877845E-10</v>
      </c>
      <c r="AD40" s="9">
        <f t="shared" si="25"/>
        <v>82990200924318.781</v>
      </c>
      <c r="AE40" s="9">
        <f>4*PI()*(AC40/AD40*3/(PI()*4))^(2/3)*AD40</f>
        <v>0.15471726261704807</v>
      </c>
      <c r="AF40" s="7">
        <f>0.5*((Z40-Z39)/(Y40-Y41)+(Z40-Z41)/(Y41-Y40))/1000000</f>
        <v>2.2778296943005842E-9</v>
      </c>
      <c r="AG40" s="7">
        <f>X40+273.15</f>
        <v>1273.1500000000001</v>
      </c>
      <c r="AH40" s="9">
        <f>AF40/AE40</f>
        <v>1.4722530994738484E-8</v>
      </c>
      <c r="AI40" s="8">
        <f>AA40</f>
        <v>5066.25</v>
      </c>
    </row>
    <row r="41" spans="2:35">
      <c r="B41" s="6">
        <v>1200</v>
      </c>
      <c r="C41" s="7">
        <v>1.6</v>
      </c>
      <c r="D41" s="7">
        <v>3.4194207836456499E-2</v>
      </c>
      <c r="E41" s="7">
        <v>1.3722864093717899E-2</v>
      </c>
      <c r="F41" s="7">
        <f t="shared" si="30"/>
        <v>10132.5</v>
      </c>
      <c r="G41" s="8"/>
      <c r="H41" s="7"/>
      <c r="I41" s="46">
        <f t="shared" si="31"/>
        <v>0.55633232812369871</v>
      </c>
      <c r="J41" s="7">
        <f t="shared" si="32"/>
        <v>2.0471343742738599E-2</v>
      </c>
      <c r="K41" s="7">
        <f t="shared" si="38"/>
        <v>3.937251618951005E-2</v>
      </c>
      <c r="L41" s="7">
        <f t="shared" si="33"/>
        <v>6.5175192899440441E-4</v>
      </c>
      <c r="M41" s="7">
        <f t="shared" si="34"/>
        <v>1473.15</v>
      </c>
      <c r="N41" s="51">
        <f t="shared" si="35"/>
        <v>1.171515470245133E-6</v>
      </c>
      <c r="O41" s="8">
        <f t="shared" si="36"/>
        <v>10132.5</v>
      </c>
      <c r="X41" s="6">
        <v>1000</v>
      </c>
      <c r="Y41" s="7">
        <v>787.76978417266196</v>
      </c>
      <c r="Z41" s="7">
        <v>0.90014094905698305</v>
      </c>
      <c r="AA41" s="7">
        <f t="shared" si="39"/>
        <v>5066.25</v>
      </c>
      <c r="AB41" s="24"/>
      <c r="AC41" s="7">
        <f>Z41/1000000/$AB$9</f>
        <v>4.8656267516593682E-10</v>
      </c>
      <c r="AD41" s="9">
        <f t="shared" si="25"/>
        <v>82990200924318.781</v>
      </c>
      <c r="AE41" s="9">
        <f>4*PI()*(AC41/AD41*3/(PI()*4))^(2/3)*AD41</f>
        <v>0.13049251163677897</v>
      </c>
      <c r="AF41" s="7">
        <f>0.5*((Z41-Z40)/(Y41-Y42)+(Z41-Z42)/(Y42-Y41))/1000000</f>
        <v>1.6430419525660784E-9</v>
      </c>
      <c r="AG41" s="7">
        <f>X41+273.15</f>
        <v>1273.1500000000001</v>
      </c>
      <c r="AH41" s="9">
        <f>AF41/AE41</f>
        <v>1.259108229244161E-8</v>
      </c>
      <c r="AI41" s="8">
        <f>AA41</f>
        <v>5066.25</v>
      </c>
    </row>
    <row r="42" spans="2:35">
      <c r="B42" s="6">
        <v>1200</v>
      </c>
      <c r="C42" s="7">
        <v>1.65</v>
      </c>
      <c r="D42" s="56">
        <v>3.6063492063491999E-2</v>
      </c>
      <c r="E42" s="56">
        <v>1.2716535433070801E-2</v>
      </c>
      <c r="F42" s="7">
        <f t="shared" si="30"/>
        <v>10132.5</v>
      </c>
      <c r="G42" s="8"/>
      <c r="H42" s="7"/>
      <c r="I42" s="46">
        <f t="shared" si="31"/>
        <v>0.51553522025962706</v>
      </c>
      <c r="J42" s="7">
        <f t="shared" si="32"/>
        <v>2.3346956630421196E-2</v>
      </c>
      <c r="K42" s="7">
        <f>+(J42-J41)/(C42-C41)</f>
        <v>5.7512257753652145E-2</v>
      </c>
      <c r="L42" s="7">
        <f t="shared" si="33"/>
        <v>9.520276720783443E-4</v>
      </c>
      <c r="M42" s="7">
        <f t="shared" si="34"/>
        <v>1473.15</v>
      </c>
      <c r="N42" s="51">
        <f t="shared" si="35"/>
        <v>1.8466782378105936E-6</v>
      </c>
      <c r="O42" s="8">
        <f t="shared" si="36"/>
        <v>10132.5</v>
      </c>
      <c r="X42" s="6">
        <v>1000</v>
      </c>
      <c r="Y42" s="7">
        <v>928.057553956834</v>
      </c>
      <c r="Z42" s="7">
        <v>0.70109403315658703</v>
      </c>
      <c r="AA42" s="7">
        <f t="shared" si="39"/>
        <v>5066.25</v>
      </c>
      <c r="AB42" s="24"/>
      <c r="AC42" s="7">
        <f>Z42/1000000/$AB$9</f>
        <v>3.7896974765220924E-10</v>
      </c>
      <c r="AD42" s="9">
        <f t="shared" si="25"/>
        <v>82990200924318.781</v>
      </c>
      <c r="AE42" s="9">
        <f>4*PI()*(AC42/AD42*3/(PI()*4))^(2/3)*AD42</f>
        <v>0.11046620259058949</v>
      </c>
      <c r="AF42" s="7">
        <f>0.5*((Z42-Z41)/(Y42-Y43)+(Z42-Z43)/(Y43-Y42))/1000000</f>
        <v>1.0802852789026656E-9</v>
      </c>
      <c r="AG42" s="7">
        <f>X42+273.15</f>
        <v>1273.1500000000001</v>
      </c>
      <c r="AH42" s="9">
        <f>AF42/AE42</f>
        <v>9.7793284603656144E-9</v>
      </c>
      <c r="AI42" s="8">
        <f>AA42</f>
        <v>5066.25</v>
      </c>
    </row>
    <row r="43" spans="2:35">
      <c r="B43" s="41" t="s">
        <v>72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3"/>
      <c r="X43" s="6">
        <v>1000</v>
      </c>
      <c r="Y43" s="7">
        <v>1073.74100719424</v>
      </c>
      <c r="Z43" s="7">
        <v>0.58538156923283402</v>
      </c>
      <c r="AA43" s="7">
        <f t="shared" si="39"/>
        <v>5066.25</v>
      </c>
      <c r="AB43" s="24"/>
      <c r="AC43" s="7">
        <f>Z43/1000000/$AB$9</f>
        <v>3.1642246985558592E-10</v>
      </c>
      <c r="AD43" s="9">
        <f t="shared" si="25"/>
        <v>82990200924318.781</v>
      </c>
      <c r="AE43" s="9">
        <f>4*PI()*(AC43/AD43*3/(PI()*4))^(2/3)*AD43</f>
        <v>9.7950037647251215E-2</v>
      </c>
      <c r="AF43" s="7">
        <f>0.5*((Z43-Z42)/(Y43-Y44)+(Z43-Z44)/(Y44-Y43))/1000000</f>
        <v>4.6751916235987136E-10</v>
      </c>
      <c r="AG43" s="7">
        <f>X43+273.15</f>
        <v>1273.1500000000001</v>
      </c>
      <c r="AH43" s="9">
        <f>AF43/AE43</f>
        <v>4.7730370869642177E-9</v>
      </c>
      <c r="AI43" s="8">
        <f>AA43</f>
        <v>5066.25</v>
      </c>
    </row>
    <row r="44" spans="2:35">
      <c r="B44" s="6">
        <v>1300</v>
      </c>
      <c r="C44" s="7">
        <v>0</v>
      </c>
      <c r="D44" s="7">
        <v>0</v>
      </c>
      <c r="E44" s="7">
        <v>0</v>
      </c>
      <c r="F44" s="7">
        <f>0.1*101325</f>
        <v>10132.5</v>
      </c>
      <c r="G44" s="8"/>
      <c r="H44" s="7"/>
      <c r="I44" s="46">
        <f>E44/$H$9/$H$13*$H$11</f>
        <v>0</v>
      </c>
      <c r="J44" s="7">
        <f>D44-E44</f>
        <v>0</v>
      </c>
      <c r="K44" s="7">
        <f>(J45-J44)/(C45-C44)</f>
        <v>-3.9147273639020497E-4</v>
      </c>
      <c r="L44" s="7">
        <f>K44*$G$15</f>
        <v>-6.4802338225721872E-6</v>
      </c>
      <c r="M44" s="7">
        <f>B44+273.15</f>
        <v>1573.15</v>
      </c>
      <c r="N44" s="51" t="e">
        <f>L44/I44/1000</f>
        <v>#DIV/0!</v>
      </c>
      <c r="O44" s="8">
        <f>F44</f>
        <v>10132.5</v>
      </c>
      <c r="X44" s="6">
        <v>1000</v>
      </c>
      <c r="Y44" s="7">
        <v>1208.6330935251799</v>
      </c>
      <c r="Z44" s="7">
        <v>0.57496476273575403</v>
      </c>
      <c r="AA44" s="7">
        <f t="shared" si="39"/>
        <v>5066.25</v>
      </c>
      <c r="AB44" s="24"/>
      <c r="AC44" s="7">
        <f>Z44/1000000/$AB$9</f>
        <v>3.1079176364094817E-10</v>
      </c>
      <c r="AD44" s="9">
        <f t="shared" si="25"/>
        <v>82990200924318.781</v>
      </c>
      <c r="AE44" s="9">
        <f>4*PI()*(AC44/AD44*3/(PI()*4))^(2/3)*AD44</f>
        <v>9.6784556385875173E-2</v>
      </c>
      <c r="AF44" s="7">
        <f>(Z43-Z44)/(Y44-Y43)/1000000</f>
        <v>7.7223258831683628E-11</v>
      </c>
      <c r="AG44" s="7">
        <f>X44+273.15</f>
        <v>1273.1500000000001</v>
      </c>
      <c r="AH44" s="9">
        <f>AF44/AE44</f>
        <v>7.9788823460427268E-10</v>
      </c>
      <c r="AI44" s="8">
        <f>AA44</f>
        <v>5066.25</v>
      </c>
    </row>
    <row r="45" spans="2:35">
      <c r="B45" s="6">
        <v>1300</v>
      </c>
      <c r="C45" s="7">
        <v>0.1</v>
      </c>
      <c r="D45" s="7">
        <v>8.6072922893011496E-5</v>
      </c>
      <c r="E45" s="7">
        <v>1.2522019653203199E-4</v>
      </c>
      <c r="F45" s="7">
        <f t="shared" ref="F45:F61" si="40">0.1*101325</f>
        <v>10132.5</v>
      </c>
      <c r="G45" s="8"/>
      <c r="H45" s="7"/>
      <c r="I45" s="46">
        <f t="shared" ref="I45:I61" si="41">E45/$H$9/$H$13*$H$11</f>
        <v>5.0764944540012966E-3</v>
      </c>
      <c r="J45" s="7">
        <f t="shared" ref="J45:J61" si="42">D45-E45</f>
        <v>-3.9147273639020497E-5</v>
      </c>
      <c r="K45" s="7">
        <f>0.5*((J46-J45)/(C46-C45)+(J45-J44)/(C45-C44))</f>
        <v>8.6942094942121545E-4</v>
      </c>
      <c r="L45" s="7">
        <f t="shared" ref="L45:L61" si="43">K45*$G$15</f>
        <v>1.4391937212394731E-5</v>
      </c>
      <c r="M45" s="7">
        <f t="shared" ref="M45:M61" si="44">B45+273.15</f>
        <v>1573.15</v>
      </c>
      <c r="N45" s="51">
        <f t="shared" ref="N45:N61" si="45">L45/I45/1000</f>
        <v>2.8350148597229326E-6</v>
      </c>
      <c r="O45" s="8">
        <f t="shared" ref="O45:O61" si="46">F45</f>
        <v>10132.5</v>
      </c>
      <c r="X45" s="41" t="s">
        <v>84</v>
      </c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3"/>
    </row>
    <row r="46" spans="2:35">
      <c r="B46" s="6">
        <v>1300</v>
      </c>
      <c r="C46" s="7">
        <v>0.2</v>
      </c>
      <c r="D46" s="7">
        <v>1.1189479976090801E-3</v>
      </c>
      <c r="E46" s="7">
        <v>9.4506380772483699E-4</v>
      </c>
      <c r="F46" s="7">
        <f t="shared" si="40"/>
        <v>10132.5</v>
      </c>
      <c r="G46" s="8"/>
      <c r="H46" s="7"/>
      <c r="I46" s="46">
        <f t="shared" si="41"/>
        <v>3.8313397610466357E-2</v>
      </c>
      <c r="J46" s="7">
        <f t="shared" si="42"/>
        <v>1.7388418988424311E-4</v>
      </c>
      <c r="K46" s="7">
        <f t="shared" ref="K46:K60" si="47">0.5*((J47-J46)/(C47-C46)+(J46-J45)/(C46-C45))</f>
        <v>8.6730126265146049E-3</v>
      </c>
      <c r="L46" s="7">
        <f t="shared" si="43"/>
        <v>1.4356849032243831E-4</v>
      </c>
      <c r="M46" s="7">
        <f t="shared" si="44"/>
        <v>1573.15</v>
      </c>
      <c r="N46" s="51">
        <f t="shared" si="45"/>
        <v>3.747213749668044E-6</v>
      </c>
      <c r="O46" s="8">
        <f t="shared" si="46"/>
        <v>10132.5</v>
      </c>
      <c r="X46" s="6">
        <v>1000</v>
      </c>
      <c r="Y46" s="7">
        <v>127.208480565371</v>
      </c>
      <c r="Z46" s="53">
        <v>4.3777783750000001</v>
      </c>
      <c r="AA46" s="7">
        <f>0.07*101325</f>
        <v>7092.7500000000009</v>
      </c>
      <c r="AB46" s="24"/>
      <c r="AC46" s="7">
        <f>Z46/1000000/$AB$9</f>
        <v>2.3663666891891892E-9</v>
      </c>
      <c r="AD46" s="9">
        <f>$AC$6/$AB$13</f>
        <v>82990200924318.781</v>
      </c>
      <c r="AE46" s="9">
        <f>4*PI()*(AC46/AD46*3/(PI()*4))^(2/3)*AD46</f>
        <v>0.37458273702286549</v>
      </c>
      <c r="AF46" s="7">
        <f>(Z46-Z47)/(Y47-Y46)/1000000</f>
        <v>9.0995677141600367E-9</v>
      </c>
      <c r="AG46" s="7">
        <f>X46+273.15</f>
        <v>1273.1500000000001</v>
      </c>
      <c r="AH46" s="9">
        <f>AF46/AE46</f>
        <v>2.4292544249321813E-8</v>
      </c>
      <c r="AI46" s="8">
        <f>AA46</f>
        <v>7092.7500000000009</v>
      </c>
    </row>
    <row r="47" spans="2:35">
      <c r="B47" s="6">
        <v>1300</v>
      </c>
      <c r="C47" s="7">
        <v>0.3</v>
      </c>
      <c r="D47" s="7">
        <v>3.7872086072922801E-3</v>
      </c>
      <c r="E47" s="7">
        <v>2.0917533556283801E-3</v>
      </c>
      <c r="F47" s="7">
        <f t="shared" si="40"/>
        <v>10132.5</v>
      </c>
      <c r="G47" s="8"/>
      <c r="H47" s="7"/>
      <c r="I47" s="46">
        <f t="shared" si="41"/>
        <v>8.4800811714664054E-2</v>
      </c>
      <c r="J47" s="7">
        <f t="shared" si="42"/>
        <v>1.6954552516639E-3</v>
      </c>
      <c r="K47" s="7">
        <f t="shared" si="47"/>
        <v>1.6936411084152281E-2</v>
      </c>
      <c r="L47" s="7">
        <f t="shared" si="43"/>
        <v>2.8035644308857722E-4</v>
      </c>
      <c r="M47" s="7">
        <f t="shared" si="44"/>
        <v>1573.15</v>
      </c>
      <c r="N47" s="51">
        <f t="shared" si="45"/>
        <v>3.3060584848163307E-6</v>
      </c>
      <c r="O47" s="8">
        <f t="shared" si="46"/>
        <v>10132.5</v>
      </c>
      <c r="X47" s="6">
        <v>1000</v>
      </c>
      <c r="Y47" s="7">
        <v>259.717314487632</v>
      </c>
      <c r="Z47" s="53">
        <v>3.1720052679999999</v>
      </c>
      <c r="AA47" s="7">
        <f t="shared" ref="AA47:AA55" si="48">0.07*101325</f>
        <v>7092.7500000000009</v>
      </c>
      <c r="AB47" s="24"/>
      <c r="AC47" s="7">
        <f t="shared" ref="AC47:AC54" si="49">Z47/1000000/$AB$9</f>
        <v>1.7145974421621621E-9</v>
      </c>
      <c r="AD47" s="9">
        <f t="shared" si="25"/>
        <v>82990200924318.781</v>
      </c>
      <c r="AE47" s="9">
        <f t="shared" ref="AE47:AE54" si="50">4*PI()*(AC47/AD47*3/(PI()*4))^(2/3)*AD47</f>
        <v>0.30218148017718521</v>
      </c>
      <c r="AF47" s="7">
        <f>0.5*((Z47-Z46)/(Y47-Y48)+(Z47-Z48)/(Y48-Y47))/1000000</f>
        <v>7.2946400977901435E-9</v>
      </c>
      <c r="AG47" s="7">
        <f t="shared" ref="AG47:AG54" si="51">X47+273.15</f>
        <v>1273.1500000000001</v>
      </c>
      <c r="AH47" s="9">
        <f t="shared" ref="AH47:AH54" si="52">AF47/AE47</f>
        <v>2.4139931055711638E-8</v>
      </c>
      <c r="AI47" s="8">
        <f t="shared" ref="AI47:AI54" si="53">AA47</f>
        <v>7092.7500000000009</v>
      </c>
    </row>
    <row r="48" spans="2:35">
      <c r="B48" s="6">
        <v>1300</v>
      </c>
      <c r="C48" s="7">
        <v>0.4</v>
      </c>
      <c r="D48" s="7">
        <v>6.79976090854751E-3</v>
      </c>
      <c r="E48" s="7">
        <v>3.2385945018328101E-3</v>
      </c>
      <c r="F48" s="7">
        <f t="shared" si="40"/>
        <v>10132.5</v>
      </c>
      <c r="G48" s="8"/>
      <c r="H48" s="7"/>
      <c r="I48" s="46">
        <f t="shared" si="41"/>
        <v>0.13129437169592473</v>
      </c>
      <c r="J48" s="7">
        <f t="shared" si="42"/>
        <v>3.5611664067146998E-3</v>
      </c>
      <c r="K48" s="7">
        <f t="shared" si="47"/>
        <v>2.0744650029359948E-2</v>
      </c>
      <c r="L48" s="7">
        <f t="shared" si="43"/>
        <v>3.4339602802808375E-4</v>
      </c>
      <c r="M48" s="7">
        <f t="shared" si="44"/>
        <v>1573.15</v>
      </c>
      <c r="N48" s="51">
        <f t="shared" si="45"/>
        <v>2.6154664788174045E-6</v>
      </c>
      <c r="O48" s="8">
        <f t="shared" si="46"/>
        <v>10132.5</v>
      </c>
      <c r="X48" s="6">
        <v>1000</v>
      </c>
      <c r="Y48" s="7">
        <v>402.82685512367402</v>
      </c>
      <c r="Z48" s="53">
        <v>2.2899131879999999</v>
      </c>
      <c r="AA48" s="7">
        <f t="shared" si="48"/>
        <v>7092.7500000000009</v>
      </c>
      <c r="AB48" s="24"/>
      <c r="AC48" s="7">
        <f t="shared" si="49"/>
        <v>1.2377909124324324E-9</v>
      </c>
      <c r="AD48" s="9">
        <f t="shared" ref="AD48:AD55" si="54">$AC$6/$AB$13</f>
        <v>82990200924318.781</v>
      </c>
      <c r="AE48" s="9">
        <f t="shared" si="50"/>
        <v>0.24317817214690921</v>
      </c>
      <c r="AF48" s="7">
        <f t="shared" ref="AF48:AF54" si="55">0.5*((Z48-Z47)/(Y48-Y49)+(Z48-Z49)/(Y49-Y48))/1000000</f>
        <v>5.7489101892399802E-9</v>
      </c>
      <c r="AG48" s="7">
        <f t="shared" si="51"/>
        <v>1273.1500000000001</v>
      </c>
      <c r="AH48" s="9">
        <f t="shared" si="52"/>
        <v>2.3640732794746639E-8</v>
      </c>
      <c r="AI48" s="8">
        <f t="shared" si="53"/>
        <v>7092.7500000000009</v>
      </c>
    </row>
    <row r="49" spans="2:35">
      <c r="B49" s="6">
        <v>1300</v>
      </c>
      <c r="C49" s="7">
        <v>0.5</v>
      </c>
      <c r="D49" s="7">
        <v>9.98445905558875E-3</v>
      </c>
      <c r="E49" s="7">
        <v>4.1400737980528601E-3</v>
      </c>
      <c r="F49" s="7">
        <f t="shared" si="40"/>
        <v>10132.5</v>
      </c>
      <c r="G49" s="8"/>
      <c r="H49" s="7"/>
      <c r="I49" s="46">
        <f t="shared" si="41"/>
        <v>0.16784082965079164</v>
      </c>
      <c r="J49" s="7">
        <f t="shared" si="42"/>
        <v>5.8443852575358899E-3</v>
      </c>
      <c r="K49" s="7">
        <f t="shared" si="47"/>
        <v>2.4305374872722402E-2</v>
      </c>
      <c r="L49" s="7">
        <f t="shared" si="43"/>
        <v>4.023383946807408E-4</v>
      </c>
      <c r="M49" s="7">
        <f t="shared" si="44"/>
        <v>1573.15</v>
      </c>
      <c r="N49" s="51">
        <f t="shared" si="45"/>
        <v>2.3971425517726708E-6</v>
      </c>
      <c r="O49" s="8">
        <f t="shared" si="46"/>
        <v>10132.5</v>
      </c>
      <c r="X49" s="6">
        <v>1000</v>
      </c>
      <c r="Y49" s="7">
        <v>535.33568904593596</v>
      </c>
      <c r="Z49" s="53">
        <v>1.648442497</v>
      </c>
      <c r="AA49" s="7">
        <f t="shared" si="48"/>
        <v>7092.7500000000009</v>
      </c>
      <c r="AB49" s="24"/>
      <c r="AC49" s="7">
        <f t="shared" si="49"/>
        <v>8.9104999837837842E-10</v>
      </c>
      <c r="AD49" s="9">
        <f t="shared" si="54"/>
        <v>82990200924318.781</v>
      </c>
      <c r="AE49" s="9">
        <f t="shared" si="50"/>
        <v>0.19532647490122043</v>
      </c>
      <c r="AF49" s="7">
        <f t="shared" si="55"/>
        <v>3.8181473196790202E-9</v>
      </c>
      <c r="AG49" s="7">
        <f t="shared" si="51"/>
        <v>1273.1500000000001</v>
      </c>
      <c r="AH49" s="9">
        <f t="shared" si="52"/>
        <v>1.9547515622804925E-8</v>
      </c>
      <c r="AI49" s="8">
        <f t="shared" si="53"/>
        <v>7092.7500000000009</v>
      </c>
    </row>
    <row r="50" spans="2:35">
      <c r="B50" s="6">
        <v>1300</v>
      </c>
      <c r="C50" s="7">
        <v>0.6</v>
      </c>
      <c r="D50" s="7">
        <v>1.3341303048415999E-2</v>
      </c>
      <c r="E50" s="7">
        <v>4.91906166715682E-3</v>
      </c>
      <c r="F50" s="7">
        <f t="shared" si="40"/>
        <v>10132.5</v>
      </c>
      <c r="G50" s="8"/>
      <c r="H50" s="7"/>
      <c r="I50" s="46">
        <f t="shared" si="41"/>
        <v>0.19942141893878998</v>
      </c>
      <c r="J50" s="7">
        <f t="shared" si="42"/>
        <v>8.4222413812591792E-3</v>
      </c>
      <c r="K50" s="7">
        <f t="shared" si="47"/>
        <v>2.5734946850079463E-2</v>
      </c>
      <c r="L50" s="7">
        <f t="shared" si="43"/>
        <v>4.2600277745460702E-4</v>
      </c>
      <c r="M50" s="7">
        <f t="shared" si="44"/>
        <v>1573.15</v>
      </c>
      <c r="N50" s="51">
        <f t="shared" si="45"/>
        <v>2.1361936933432583E-6</v>
      </c>
      <c r="O50" s="8">
        <f t="shared" si="46"/>
        <v>10132.5</v>
      </c>
      <c r="X50" s="6">
        <v>1000</v>
      </c>
      <c r="Y50" s="7">
        <v>678.44522968197805</v>
      </c>
      <c r="Z50" s="53">
        <v>1.19708657</v>
      </c>
      <c r="AA50" s="7">
        <f t="shared" si="48"/>
        <v>7092.7500000000009</v>
      </c>
      <c r="AB50" s="24"/>
      <c r="AC50" s="7">
        <f t="shared" si="49"/>
        <v>6.470738216216216E-10</v>
      </c>
      <c r="AD50" s="9">
        <f t="shared" si="54"/>
        <v>82990200924318.781</v>
      </c>
      <c r="AE50" s="9">
        <f t="shared" si="50"/>
        <v>0.15780797606649358</v>
      </c>
      <c r="AF50" s="7">
        <f t="shared" si="55"/>
        <v>2.7751904730799905E-9</v>
      </c>
      <c r="AG50" s="7">
        <f t="shared" si="51"/>
        <v>1273.1500000000001</v>
      </c>
      <c r="AH50" s="9">
        <f t="shared" si="52"/>
        <v>1.7585869499464608E-8</v>
      </c>
      <c r="AI50" s="8">
        <f t="shared" si="53"/>
        <v>7092.7500000000009</v>
      </c>
    </row>
    <row r="51" spans="2:35">
      <c r="B51" s="6">
        <v>1300</v>
      </c>
      <c r="C51" s="7">
        <v>0.7</v>
      </c>
      <c r="D51" s="7">
        <v>1.6526001195457201E-2</v>
      </c>
      <c r="E51" s="7">
        <v>5.5346265679054197E-3</v>
      </c>
      <c r="F51" s="7">
        <f t="shared" si="40"/>
        <v>10132.5</v>
      </c>
      <c r="G51" s="8"/>
      <c r="H51" s="7"/>
      <c r="I51" s="46">
        <f t="shared" si="41"/>
        <v>0.22437675275292243</v>
      </c>
      <c r="J51" s="7">
        <f t="shared" si="42"/>
        <v>1.0991374627551781E-2</v>
      </c>
      <c r="K51" s="7">
        <f t="shared" si="47"/>
        <v>2.6077703694485706E-2</v>
      </c>
      <c r="L51" s="7">
        <f t="shared" si="43"/>
        <v>4.3167659401849024E-4</v>
      </c>
      <c r="M51" s="7">
        <f t="shared" si="44"/>
        <v>1573.15</v>
      </c>
      <c r="N51" s="51">
        <f t="shared" si="45"/>
        <v>1.9238917968201492E-6</v>
      </c>
      <c r="O51" s="8">
        <f t="shared" si="46"/>
        <v>10132.5</v>
      </c>
      <c r="X51" s="6">
        <v>1000</v>
      </c>
      <c r="Y51" s="7">
        <v>810.95406360423999</v>
      </c>
      <c r="Z51" s="53">
        <v>0.91296798999999995</v>
      </c>
      <c r="AA51" s="7">
        <f t="shared" si="48"/>
        <v>7092.7500000000009</v>
      </c>
      <c r="AB51" s="24"/>
      <c r="AC51" s="7">
        <f t="shared" si="49"/>
        <v>4.9349621081081078E-10</v>
      </c>
      <c r="AD51" s="9">
        <f t="shared" si="54"/>
        <v>82990200924318.781</v>
      </c>
      <c r="AE51" s="9">
        <f t="shared" si="50"/>
        <v>0.13172926787174574</v>
      </c>
      <c r="AF51" s="7">
        <f t="shared" si="55"/>
        <v>1.6645034798809621E-9</v>
      </c>
      <c r="AG51" s="7">
        <f t="shared" si="51"/>
        <v>1273.1500000000001</v>
      </c>
      <c r="AH51" s="9">
        <f t="shared" si="52"/>
        <v>1.2635790866928344E-8</v>
      </c>
      <c r="AI51" s="8">
        <f t="shared" si="53"/>
        <v>7092.7500000000009</v>
      </c>
    </row>
    <row r="52" spans="2:35">
      <c r="B52" s="6">
        <v>1300</v>
      </c>
      <c r="C52" s="7">
        <v>0.8</v>
      </c>
      <c r="D52" s="7">
        <v>1.9624626419605402E-2</v>
      </c>
      <c r="E52" s="7">
        <v>5.98684429944908E-3</v>
      </c>
      <c r="F52" s="7">
        <f t="shared" si="40"/>
        <v>10132.5</v>
      </c>
      <c r="G52" s="8"/>
      <c r="H52" s="7"/>
      <c r="I52" s="46">
        <f t="shared" si="41"/>
        <v>0.24270990403171946</v>
      </c>
      <c r="J52" s="7">
        <f t="shared" si="42"/>
        <v>1.3637782120156322E-2</v>
      </c>
      <c r="K52" s="7">
        <f t="shared" si="47"/>
        <v>2.6873390338438743E-2</v>
      </c>
      <c r="L52" s="7">
        <f t="shared" si="43"/>
        <v>4.4484797231129144E-4</v>
      </c>
      <c r="M52" s="7">
        <f t="shared" si="44"/>
        <v>1573.15</v>
      </c>
      <c r="N52" s="51">
        <f t="shared" si="45"/>
        <v>1.8328381533748816E-6</v>
      </c>
      <c r="O52" s="8">
        <f t="shared" si="46"/>
        <v>10132.5</v>
      </c>
      <c r="X52" s="6">
        <v>1000</v>
      </c>
      <c r="Y52" s="7">
        <v>959.36395759717198</v>
      </c>
      <c r="Z52" s="53">
        <v>0.70302900000000002</v>
      </c>
      <c r="AA52" s="7">
        <f t="shared" si="48"/>
        <v>7092.7500000000009</v>
      </c>
      <c r="AB52" s="24"/>
      <c r="AC52" s="7">
        <f t="shared" si="49"/>
        <v>3.8001567567567567E-10</v>
      </c>
      <c r="AD52" s="9">
        <f t="shared" si="54"/>
        <v>82990200924318.781</v>
      </c>
      <c r="AE52" s="9">
        <f t="shared" si="50"/>
        <v>0.1106693614899019</v>
      </c>
      <c r="AF52" s="7">
        <f t="shared" si="55"/>
        <v>1.3088975003867011E-9</v>
      </c>
      <c r="AG52" s="7">
        <f t="shared" si="51"/>
        <v>1273.1500000000001</v>
      </c>
      <c r="AH52" s="9">
        <f t="shared" si="52"/>
        <v>1.1827099052217196E-8</v>
      </c>
      <c r="AI52" s="8">
        <f t="shared" si="53"/>
        <v>7092.7500000000009</v>
      </c>
    </row>
    <row r="53" spans="2:35">
      <c r="B53" s="6">
        <v>1300</v>
      </c>
      <c r="C53" s="7">
        <v>0.9</v>
      </c>
      <c r="D53" s="7">
        <v>2.27232516437537E-2</v>
      </c>
      <c r="E53" s="7">
        <v>6.3571989485141697E-3</v>
      </c>
      <c r="F53" s="7">
        <f t="shared" si="40"/>
        <v>10132.5</v>
      </c>
      <c r="G53" s="8"/>
      <c r="H53" s="7"/>
      <c r="I53" s="46">
        <f t="shared" si="41"/>
        <v>0.25772428169652034</v>
      </c>
      <c r="J53" s="7">
        <f t="shared" si="42"/>
        <v>1.6366052695239532E-2</v>
      </c>
      <c r="K53" s="7">
        <f t="shared" si="47"/>
        <v>2.6602932055760344E-2</v>
      </c>
      <c r="L53" s="7">
        <f t="shared" si="43"/>
        <v>4.4037094812010894E-4</v>
      </c>
      <c r="M53" s="7">
        <f t="shared" si="44"/>
        <v>1573.15</v>
      </c>
      <c r="N53" s="51">
        <f t="shared" si="45"/>
        <v>1.708690175490184E-6</v>
      </c>
      <c r="O53" s="8">
        <f t="shared" si="46"/>
        <v>10132.5</v>
      </c>
      <c r="X53" s="6">
        <v>1000</v>
      </c>
      <c r="Y53" s="7">
        <v>1091.8727915194299</v>
      </c>
      <c r="Z53" s="53">
        <v>0.56608702700000002</v>
      </c>
      <c r="AA53" s="7">
        <f t="shared" si="48"/>
        <v>7092.7500000000009</v>
      </c>
      <c r="AB53" s="24"/>
      <c r="AC53" s="7">
        <f t="shared" si="49"/>
        <v>3.0599298756756759E-10</v>
      </c>
      <c r="AD53" s="9">
        <f t="shared" si="54"/>
        <v>82990200924318.781</v>
      </c>
      <c r="AE53" s="9">
        <f t="shared" si="50"/>
        <v>9.5785707723947316E-2</v>
      </c>
      <c r="AF53" s="7">
        <f t="shared" si="55"/>
        <v>9.1761440164199049E-10</v>
      </c>
      <c r="AG53" s="7">
        <f t="shared" si="51"/>
        <v>1273.1500000000001</v>
      </c>
      <c r="AH53" s="9">
        <f t="shared" si="52"/>
        <v>9.579867638359354E-9</v>
      </c>
      <c r="AI53" s="8">
        <f t="shared" si="53"/>
        <v>7092.7500000000009</v>
      </c>
    </row>
    <row r="54" spans="2:35">
      <c r="B54" s="6">
        <v>1300</v>
      </c>
      <c r="C54" s="7">
        <v>1</v>
      </c>
      <c r="D54" s="7">
        <v>2.55636580992229E-2</v>
      </c>
      <c r="E54" s="7">
        <v>6.60528956791451E-3</v>
      </c>
      <c r="F54" s="7">
        <f t="shared" si="40"/>
        <v>10132.5</v>
      </c>
      <c r="G54" s="8"/>
      <c r="H54" s="7"/>
      <c r="I54" s="46">
        <f t="shared" si="41"/>
        <v>0.26778200951004766</v>
      </c>
      <c r="J54" s="7">
        <f t="shared" si="42"/>
        <v>1.8958368531308389E-2</v>
      </c>
      <c r="K54" s="7">
        <f t="shared" si="47"/>
        <v>2.5881438952296526E-2</v>
      </c>
      <c r="L54" s="7">
        <f t="shared" si="43"/>
        <v>4.2842773068195125E-4</v>
      </c>
      <c r="M54" s="7">
        <f t="shared" si="44"/>
        <v>1573.15</v>
      </c>
      <c r="N54" s="51">
        <f t="shared" si="45"/>
        <v>1.5999122998062193E-6</v>
      </c>
      <c r="O54" s="8">
        <f t="shared" si="46"/>
        <v>10132.5</v>
      </c>
      <c r="X54" s="6">
        <v>1000</v>
      </c>
      <c r="Y54" s="7">
        <v>1234.98233215547</v>
      </c>
      <c r="Z54" s="53">
        <v>0.44039024900000001</v>
      </c>
      <c r="AA54" s="7">
        <f t="shared" si="48"/>
        <v>7092.7500000000009</v>
      </c>
      <c r="AB54" s="24"/>
      <c r="AC54" s="7">
        <f t="shared" si="49"/>
        <v>2.3804878324324326E-10</v>
      </c>
      <c r="AD54" s="9">
        <f t="shared" si="54"/>
        <v>82990200924318.781</v>
      </c>
      <c r="AE54" s="9">
        <f t="shared" si="50"/>
        <v>8.1022139502583884E-2</v>
      </c>
      <c r="AF54" s="7">
        <f t="shared" si="55"/>
        <v>7.9891308173077985E-10</v>
      </c>
      <c r="AG54" s="7">
        <f t="shared" si="51"/>
        <v>1273.1500000000001</v>
      </c>
      <c r="AH54" s="9">
        <f t="shared" si="52"/>
        <v>9.8604293423441579E-9</v>
      </c>
      <c r="AI54" s="8">
        <f t="shared" si="53"/>
        <v>7092.7500000000009</v>
      </c>
    </row>
    <row r="55" spans="2:35">
      <c r="B55" s="6">
        <v>1300</v>
      </c>
      <c r="C55" s="7">
        <v>1.1000000000000001</v>
      </c>
      <c r="D55" s="7">
        <v>2.8231918708906099E-2</v>
      </c>
      <c r="E55" s="7">
        <v>6.6895782232072598E-3</v>
      </c>
      <c r="F55" s="7">
        <f t="shared" si="40"/>
        <v>10132.5</v>
      </c>
      <c r="G55" s="8"/>
      <c r="H55" s="7"/>
      <c r="I55" s="46">
        <f t="shared" si="41"/>
        <v>0.27119911715705108</v>
      </c>
      <c r="J55" s="7">
        <f t="shared" si="42"/>
        <v>2.1542340485698839E-2</v>
      </c>
      <c r="K55" s="7">
        <f t="shared" si="47"/>
        <v>2.5204318227490845E-2</v>
      </c>
      <c r="L55" s="7">
        <f t="shared" si="43"/>
        <v>4.1721903026691986E-4</v>
      </c>
      <c r="M55" s="7">
        <f t="shared" si="44"/>
        <v>1573.15</v>
      </c>
      <c r="N55" s="51">
        <f t="shared" si="45"/>
        <v>1.5384232612575534E-6</v>
      </c>
      <c r="O55" s="8">
        <f t="shared" si="46"/>
        <v>10132.5</v>
      </c>
      <c r="X55" s="6">
        <v>1000</v>
      </c>
      <c r="Y55" s="7">
        <v>1372.7915194346201</v>
      </c>
      <c r="Z55" s="53">
        <v>0.34589190199999997</v>
      </c>
      <c r="AA55" s="7">
        <f t="shared" si="48"/>
        <v>7092.7500000000009</v>
      </c>
      <c r="AB55" s="24"/>
      <c r="AC55" s="7">
        <f>Z55/1000000/$AB$9</f>
        <v>1.8696859567567568E-10</v>
      </c>
      <c r="AD55" s="9">
        <f t="shared" si="54"/>
        <v>82990200924318.781</v>
      </c>
      <c r="AE55" s="9">
        <f>4*PI()*(AC55/AD55*3/(PI()*4))^(2/3)*AD55</f>
        <v>6.8971897460790188E-2</v>
      </c>
      <c r="AF55" s="7">
        <f>(Z54-Z55)/(Y55-Y54)/1000000</f>
        <v>6.8571877438462468E-10</v>
      </c>
      <c r="AG55" s="7">
        <f>X55+273.15</f>
        <v>1273.1500000000001</v>
      </c>
      <c r="AH55" s="9">
        <f>AF55/AE55</f>
        <v>9.9420024622992101E-9</v>
      </c>
      <c r="AI55" s="8">
        <f>AA55</f>
        <v>7092.7500000000009</v>
      </c>
    </row>
    <row r="56" spans="2:35">
      <c r="B56" s="6">
        <v>1300</v>
      </c>
      <c r="C56" s="7">
        <v>1.2</v>
      </c>
      <c r="D56" s="7">
        <v>3.0814106395696299E-2</v>
      </c>
      <c r="E56" s="7">
        <v>6.8148742188897399E-3</v>
      </c>
      <c r="F56" s="7">
        <f t="shared" si="40"/>
        <v>10132.5</v>
      </c>
      <c r="G56" s="8"/>
      <c r="H56" s="7"/>
      <c r="I56" s="46">
        <f t="shared" si="41"/>
        <v>0.27627868454958404</v>
      </c>
      <c r="J56" s="7">
        <f t="shared" si="42"/>
        <v>2.3999232176806558E-2</v>
      </c>
      <c r="K56" s="7">
        <f t="shared" si="47"/>
        <v>2.4321023813479815E-2</v>
      </c>
      <c r="L56" s="7">
        <f t="shared" si="43"/>
        <v>4.0259743901705582E-4</v>
      </c>
      <c r="M56" s="7">
        <f t="shared" si="44"/>
        <v>1573.15</v>
      </c>
      <c r="N56" s="51">
        <f t="shared" si="45"/>
        <v>1.4572149844763041E-6</v>
      </c>
      <c r="O56" s="8">
        <f t="shared" si="46"/>
        <v>10132.5</v>
      </c>
      <c r="X56" s="41" t="s">
        <v>85</v>
      </c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3"/>
    </row>
    <row r="57" spans="2:35">
      <c r="B57" s="6">
        <v>1300</v>
      </c>
      <c r="C57" s="7">
        <v>1.3</v>
      </c>
      <c r="D57" s="7">
        <v>3.3224148236700501E-2</v>
      </c>
      <c r="E57" s="7">
        <v>6.8176029883057002E-3</v>
      </c>
      <c r="F57" s="7">
        <f t="shared" si="40"/>
        <v>10132.5</v>
      </c>
      <c r="G57" s="8"/>
      <c r="H57" s="7"/>
      <c r="I57" s="46">
        <f t="shared" si="41"/>
        <v>0.27638931033671754</v>
      </c>
      <c r="J57" s="7">
        <f t="shared" si="42"/>
        <v>2.6406545248394801E-2</v>
      </c>
      <c r="K57" s="7">
        <f t="shared" si="47"/>
        <v>2.4707395045039025E-2</v>
      </c>
      <c r="L57" s="7">
        <f t="shared" si="43"/>
        <v>4.0899322521127798E-4</v>
      </c>
      <c r="M57" s="7">
        <f t="shared" si="44"/>
        <v>1573.15</v>
      </c>
      <c r="N57" s="51">
        <f t="shared" si="45"/>
        <v>1.47977222676598E-6</v>
      </c>
      <c r="O57" s="8">
        <f t="shared" si="46"/>
        <v>10132.5</v>
      </c>
      <c r="X57" s="6">
        <v>1000</v>
      </c>
      <c r="Y57" s="53">
        <v>154.58871540000001</v>
      </c>
      <c r="Z57" s="53">
        <v>3.3497137640000001</v>
      </c>
      <c r="AA57" s="7">
        <f>101325*0.1</f>
        <v>10132.5</v>
      </c>
      <c r="AB57" s="24"/>
      <c r="AC57" s="7">
        <f>Z57/1000000/$AB$9</f>
        <v>1.8106560886486489E-9</v>
      </c>
      <c r="AD57" s="9">
        <f>$AC$6/$AB$13</f>
        <v>82990200924318.781</v>
      </c>
      <c r="AE57" s="9">
        <f>4*PI()*(AC57/AD57*3/(PI()*4))^(2/3)*AD57</f>
        <v>0.31336491915524639</v>
      </c>
      <c r="AF57" s="7">
        <f>(Z57-Z58)/(Y58-Y57)/1000000</f>
        <v>6.7520131269174753E-9</v>
      </c>
      <c r="AG57" s="7">
        <f>X57+273.15</f>
        <v>1273.1500000000001</v>
      </c>
      <c r="AH57" s="9">
        <f>AF57/AE57</f>
        <v>2.1546806021296889E-8</v>
      </c>
      <c r="AI57" s="8">
        <f>AA57</f>
        <v>10132.5</v>
      </c>
    </row>
    <row r="58" spans="2:35">
      <c r="B58" s="6">
        <v>1300</v>
      </c>
      <c r="C58" s="7">
        <v>1.4</v>
      </c>
      <c r="D58" s="7">
        <v>3.57202630005976E-2</v>
      </c>
      <c r="E58" s="7">
        <v>6.77955181478324E-3</v>
      </c>
      <c r="F58" s="7">
        <f t="shared" si="40"/>
        <v>10132.5</v>
      </c>
      <c r="G58" s="8"/>
      <c r="H58" s="7"/>
      <c r="I58" s="46">
        <f t="shared" si="41"/>
        <v>0.27484669519391514</v>
      </c>
      <c r="J58" s="7">
        <f t="shared" si="42"/>
        <v>2.8940711185814361E-2</v>
      </c>
      <c r="K58" s="7">
        <f t="shared" si="47"/>
        <v>2.4277788422078443E-2</v>
      </c>
      <c r="L58" s="7">
        <f t="shared" si="43"/>
        <v>4.0188174308309412E-4</v>
      </c>
      <c r="M58" s="7">
        <f t="shared" si="44"/>
        <v>1573.15</v>
      </c>
      <c r="N58" s="51">
        <f t="shared" si="45"/>
        <v>1.4622032940929151E-6</v>
      </c>
      <c r="O58" s="8">
        <f t="shared" si="46"/>
        <v>10132.5</v>
      </c>
      <c r="X58" s="6">
        <v>1000</v>
      </c>
      <c r="Y58" s="53">
        <v>291.36964690000002</v>
      </c>
      <c r="Z58" s="53">
        <v>2.426167119</v>
      </c>
      <c r="AA58" s="7">
        <f t="shared" ref="AA58:AA68" si="56">101325*0.1</f>
        <v>10132.5</v>
      </c>
      <c r="AB58" s="24"/>
      <c r="AC58" s="7">
        <f t="shared" ref="AC58:AC66" si="57">Z58/1000000/$AB$9</f>
        <v>1.3114416859459459E-9</v>
      </c>
      <c r="AD58" s="9">
        <f t="shared" ref="AD58:AD68" si="58">$AC$6/$AB$13</f>
        <v>82990200924318.781</v>
      </c>
      <c r="AE58" s="9">
        <f t="shared" ref="AE58:AE65" si="59">4*PI()*(AC58/AD58*3/(PI()*4))^(2/3)*AD58</f>
        <v>0.25273131241211655</v>
      </c>
      <c r="AF58" s="7">
        <f>0.5*((Z58-Z57)/(Y58-Y59)+(Z58-Z59)/(Y59-Y58))/1000000</f>
        <v>5.8327133380987847E-9</v>
      </c>
      <c r="AG58" s="7">
        <f t="shared" ref="AG58:AG66" si="60">X58+273.15</f>
        <v>1273.1500000000001</v>
      </c>
      <c r="AH58" s="9">
        <f t="shared" ref="AH58:AH66" si="61">AF58/AE58</f>
        <v>2.3078712655073247E-8</v>
      </c>
      <c r="AI58" s="8">
        <f t="shared" ref="AI58:AI66" si="62">AA58</f>
        <v>10132.5</v>
      </c>
    </row>
    <row r="59" spans="2:35">
      <c r="B59" s="6">
        <v>1300</v>
      </c>
      <c r="C59" s="7">
        <v>1.5</v>
      </c>
      <c r="D59" s="7">
        <v>3.8044231918708801E-2</v>
      </c>
      <c r="E59" s="7">
        <v>6.7821289858983102E-3</v>
      </c>
      <c r="F59" s="7">
        <f t="shared" si="40"/>
        <v>10132.5</v>
      </c>
      <c r="G59" s="8"/>
      <c r="H59" s="7"/>
      <c r="I59" s="46">
        <f t="shared" si="41"/>
        <v>0.27495117510398553</v>
      </c>
      <c r="J59" s="7">
        <f t="shared" si="42"/>
        <v>3.1262102932810489E-2</v>
      </c>
      <c r="K59" s="7">
        <f t="shared" si="47"/>
        <v>2.2739180476838667E-2</v>
      </c>
      <c r="L59" s="7">
        <f t="shared" si="43"/>
        <v>3.7641243623337561E-4</v>
      </c>
      <c r="M59" s="7">
        <f t="shared" si="44"/>
        <v>1573.15</v>
      </c>
      <c r="N59" s="51">
        <f t="shared" si="45"/>
        <v>1.3690155573658407E-6</v>
      </c>
      <c r="O59" s="8">
        <f t="shared" si="46"/>
        <v>10132.5</v>
      </c>
      <c r="X59" s="6">
        <v>1000</v>
      </c>
      <c r="Y59" s="53">
        <v>428.16397790000002</v>
      </c>
      <c r="Z59" s="53">
        <v>1.753949526</v>
      </c>
      <c r="AA59" s="7">
        <f t="shared" si="56"/>
        <v>10132.5</v>
      </c>
      <c r="AB59" s="24"/>
      <c r="AC59" s="7">
        <f t="shared" si="57"/>
        <v>9.480808248648649E-10</v>
      </c>
      <c r="AD59" s="9">
        <f t="shared" si="58"/>
        <v>82990200924318.781</v>
      </c>
      <c r="AE59" s="9">
        <f t="shared" si="59"/>
        <v>0.20357446641514337</v>
      </c>
      <c r="AF59" s="7">
        <f t="shared" ref="AF59:AF66" si="63">0.5*((Z59-Z58)/(Y59-Y60)+(Z59-Z60)/(Y60-Y59))/1000000</f>
        <v>4.1374010642067242E-9</v>
      </c>
      <c r="AG59" s="7">
        <f t="shared" si="60"/>
        <v>1273.1500000000001</v>
      </c>
      <c r="AH59" s="9">
        <f t="shared" si="61"/>
        <v>2.0323772116732189E-8</v>
      </c>
      <c r="AI59" s="8">
        <f t="shared" si="62"/>
        <v>10132.5</v>
      </c>
    </row>
    <row r="60" spans="2:35">
      <c r="B60" s="6">
        <v>1300</v>
      </c>
      <c r="C60" s="7">
        <v>1.6</v>
      </c>
      <c r="D60" s="7">
        <v>4.0109982068141002E-2</v>
      </c>
      <c r="E60" s="7">
        <v>6.6214347869588998E-3</v>
      </c>
      <c r="F60" s="7">
        <f t="shared" si="40"/>
        <v>10132.5</v>
      </c>
      <c r="G60" s="8"/>
      <c r="H60" s="7"/>
      <c r="I60" s="46">
        <f t="shared" si="41"/>
        <v>0.26843654541725265</v>
      </c>
      <c r="J60" s="7">
        <f t="shared" si="42"/>
        <v>3.3488547281182099E-2</v>
      </c>
      <c r="K60" s="7">
        <f t="shared" si="47"/>
        <v>2.2714690437348261E-2</v>
      </c>
      <c r="L60" s="7">
        <f t="shared" si="43"/>
        <v>3.7600704099771947E-4</v>
      </c>
      <c r="M60" s="7">
        <f t="shared" si="44"/>
        <v>1573.15</v>
      </c>
      <c r="N60" s="51">
        <f t="shared" si="45"/>
        <v>1.4007296972670443E-6</v>
      </c>
      <c r="O60" s="8">
        <f t="shared" si="46"/>
        <v>10132.5</v>
      </c>
      <c r="X60" s="6">
        <v>1000</v>
      </c>
      <c r="Y60" s="53">
        <v>565.26649459999999</v>
      </c>
      <c r="Z60" s="53">
        <v>1.291670922</v>
      </c>
      <c r="AA60" s="7">
        <f t="shared" si="56"/>
        <v>10132.5</v>
      </c>
      <c r="AB60" s="24"/>
      <c r="AC60" s="7">
        <f t="shared" si="57"/>
        <v>6.9820049837837836E-10</v>
      </c>
      <c r="AD60" s="9">
        <f t="shared" si="58"/>
        <v>82990200924318.781</v>
      </c>
      <c r="AE60" s="9">
        <f t="shared" si="59"/>
        <v>0.16601468262323424</v>
      </c>
      <c r="AF60" s="7">
        <f t="shared" si="63"/>
        <v>2.9032197351767739E-9</v>
      </c>
      <c r="AG60" s="7">
        <f t="shared" si="60"/>
        <v>1273.1500000000001</v>
      </c>
      <c r="AH60" s="9">
        <f t="shared" si="61"/>
        <v>1.7487728731593888E-8</v>
      </c>
      <c r="AI60" s="8">
        <f t="shared" si="62"/>
        <v>10132.5</v>
      </c>
    </row>
    <row r="61" spans="2:35">
      <c r="B61" s="6">
        <v>1300</v>
      </c>
      <c r="C61" s="7">
        <v>1.65</v>
      </c>
      <c r="D61" s="56">
        <v>4.1142857142857099E-2</v>
      </c>
      <c r="E61" s="56">
        <v>6.4960629921259798E-3</v>
      </c>
      <c r="F61" s="7">
        <f t="shared" si="40"/>
        <v>10132.5</v>
      </c>
      <c r="G61" s="8"/>
      <c r="H61" s="7"/>
      <c r="I61" s="46">
        <f t="shared" si="41"/>
        <v>0.26335390508618833</v>
      </c>
      <c r="J61" s="7">
        <f t="shared" si="42"/>
        <v>3.4646794150731117E-2</v>
      </c>
      <c r="K61" s="7">
        <f>+(J61-J60)/(C61-C60)</f>
        <v>2.3164937390980439E-2</v>
      </c>
      <c r="L61" s="7">
        <f t="shared" si="43"/>
        <v>3.8346019230613929E-4</v>
      </c>
      <c r="M61" s="7">
        <f t="shared" si="44"/>
        <v>1573.15</v>
      </c>
      <c r="N61" s="51">
        <f t="shared" si="45"/>
        <v>1.4560641968861009E-6</v>
      </c>
      <c r="O61" s="8">
        <f t="shared" si="46"/>
        <v>10132.5</v>
      </c>
      <c r="X61" s="6">
        <v>1000</v>
      </c>
      <c r="Y61" s="53">
        <v>708.18434490000004</v>
      </c>
      <c r="Z61" s="53">
        <v>0.92410567899999996</v>
      </c>
      <c r="AA61" s="7">
        <f t="shared" si="56"/>
        <v>10132.5</v>
      </c>
      <c r="AB61" s="24"/>
      <c r="AC61" s="7">
        <f t="shared" si="57"/>
        <v>4.9951658324324316E-10</v>
      </c>
      <c r="AD61" s="9">
        <f t="shared" si="58"/>
        <v>82990200924318.781</v>
      </c>
      <c r="AE61" s="9">
        <f t="shared" si="59"/>
        <v>0.13279844927325477</v>
      </c>
      <c r="AF61" s="7">
        <f t="shared" si="63"/>
        <v>2.2917210517024092E-9</v>
      </c>
      <c r="AG61" s="7">
        <f t="shared" si="60"/>
        <v>1273.1500000000001</v>
      </c>
      <c r="AH61" s="9">
        <f t="shared" si="61"/>
        <v>1.7257137144627452E-8</v>
      </c>
      <c r="AI61" s="8">
        <f t="shared" si="62"/>
        <v>10132.5</v>
      </c>
    </row>
    <row r="62" spans="2:35">
      <c r="B62" s="41" t="s">
        <v>73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3"/>
      <c r="X62" s="6">
        <v>1000</v>
      </c>
      <c r="Y62" s="53">
        <v>845.6754439</v>
      </c>
      <c r="Z62" s="53">
        <v>0.66148843000000002</v>
      </c>
      <c r="AA62" s="7">
        <f t="shared" si="56"/>
        <v>10132.5</v>
      </c>
      <c r="AB62" s="24"/>
      <c r="AC62" s="7">
        <f t="shared" si="57"/>
        <v>3.575613135135135E-10</v>
      </c>
      <c r="AD62" s="9">
        <f t="shared" si="58"/>
        <v>82990200924318.781</v>
      </c>
      <c r="AE62" s="9">
        <f t="shared" si="59"/>
        <v>0.10626577465999304</v>
      </c>
      <c r="AF62" s="7">
        <f t="shared" si="63"/>
        <v>1.6020738687343248E-9</v>
      </c>
      <c r="AG62" s="7">
        <f t="shared" si="60"/>
        <v>1273.1500000000001</v>
      </c>
      <c r="AH62" s="9">
        <f t="shared" si="61"/>
        <v>1.5076103984187806E-8</v>
      </c>
      <c r="AI62" s="8">
        <f t="shared" si="62"/>
        <v>10132.5</v>
      </c>
    </row>
    <row r="63" spans="2:35">
      <c r="B63" s="6">
        <v>1400</v>
      </c>
      <c r="C63" s="7">
        <v>0</v>
      </c>
      <c r="D63" s="7">
        <v>0</v>
      </c>
      <c r="E63" s="7">
        <v>0</v>
      </c>
      <c r="F63" s="7">
        <f>0.1*101325</f>
        <v>10132.5</v>
      </c>
      <c r="G63" s="8"/>
      <c r="H63" s="7"/>
      <c r="I63" s="46">
        <f>E63/$H$9/$H$13*$H$11</f>
        <v>0</v>
      </c>
      <c r="J63" s="7">
        <f>D63-E63</f>
        <v>0</v>
      </c>
      <c r="K63" s="7">
        <f>(J64-J63)/(C64-C63)</f>
        <v>4.660021998240459E-4</v>
      </c>
      <c r="L63" s="7">
        <f>K63*$G$15</f>
        <v>7.7139553689961218E-6</v>
      </c>
      <c r="M63" s="7">
        <f>B63+273.15</f>
        <v>1673.15</v>
      </c>
      <c r="N63" s="51" t="e">
        <f>L63/I63/1000</f>
        <v>#DIV/0!</v>
      </c>
      <c r="O63" s="8">
        <f>F63</f>
        <v>10132.5</v>
      </c>
      <c r="X63" s="6">
        <v>1000</v>
      </c>
      <c r="Y63" s="53">
        <v>983.36753369999997</v>
      </c>
      <c r="Z63" s="53">
        <v>0.482919881</v>
      </c>
      <c r="AA63" s="7">
        <f t="shared" si="56"/>
        <v>10132.5</v>
      </c>
      <c r="AB63" s="24"/>
      <c r="AC63" s="7">
        <f t="shared" si="57"/>
        <v>2.610377735135135E-10</v>
      </c>
      <c r="AD63" s="9">
        <f t="shared" si="58"/>
        <v>82990200924318.781</v>
      </c>
      <c r="AE63" s="9">
        <f t="shared" si="59"/>
        <v>8.6157938858194394E-2</v>
      </c>
      <c r="AF63" s="7">
        <f t="shared" si="63"/>
        <v>1.0999607768321776E-9</v>
      </c>
      <c r="AG63" s="7">
        <f t="shared" si="60"/>
        <v>1273.1500000000001</v>
      </c>
      <c r="AH63" s="9">
        <f t="shared" si="61"/>
        <v>1.2766795392384918E-8</v>
      </c>
      <c r="AI63" s="8">
        <f t="shared" si="62"/>
        <v>10132.5</v>
      </c>
    </row>
    <row r="64" spans="2:35">
      <c r="B64" s="6">
        <v>1400</v>
      </c>
      <c r="C64" s="7">
        <v>0.1</v>
      </c>
      <c r="D64" s="7">
        <v>9.2110079531464094E-5</v>
      </c>
      <c r="E64" s="7">
        <v>4.55098595490595E-5</v>
      </c>
      <c r="F64" s="7">
        <f t="shared" ref="F64:F80" si="64">0.1*101325</f>
        <v>10132.5</v>
      </c>
      <c r="G64" s="8"/>
      <c r="H64" s="7"/>
      <c r="I64" s="46">
        <f t="shared" ref="I64:I80" si="65">E64/$H$9/$H$13*$H$11</f>
        <v>1.8449943060429527E-3</v>
      </c>
      <c r="J64" s="7">
        <f t="shared" ref="J64:J80" si="66">D64-E64</f>
        <v>4.6600219982404594E-5</v>
      </c>
      <c r="K64" s="7">
        <f>0.5*((J65-J64)/(C65-C64)+(J64-J63)/(C64-C63))</f>
        <v>4.2689370499196799E-3</v>
      </c>
      <c r="L64" s="7">
        <f t="shared" ref="L64:L80" si="67">K64*$G$15</f>
        <v>7.0665739107172263E-5</v>
      </c>
      <c r="M64" s="7">
        <f t="shared" ref="M64:M80" si="68">B64+273.15</f>
        <v>1673.15</v>
      </c>
      <c r="N64" s="51">
        <f t="shared" ref="N64:N80" si="69">L64/I64/1000</f>
        <v>3.8301331812092388E-5</v>
      </c>
      <c r="O64" s="8">
        <f t="shared" ref="O64:O80" si="70">F64</f>
        <v>10132.5</v>
      </c>
      <c r="X64" s="6">
        <v>1000</v>
      </c>
      <c r="Y64" s="53">
        <v>1126.620369</v>
      </c>
      <c r="Z64" s="53">
        <v>0.34634343000000001</v>
      </c>
      <c r="AA64" s="7">
        <f t="shared" si="56"/>
        <v>10132.5</v>
      </c>
      <c r="AB64" s="24"/>
      <c r="AC64" s="7">
        <f t="shared" si="57"/>
        <v>1.8721266486486487E-10</v>
      </c>
      <c r="AD64" s="9">
        <f t="shared" si="58"/>
        <v>82990200924318.781</v>
      </c>
      <c r="AE64" s="9">
        <f t="shared" si="59"/>
        <v>6.9031908446941723E-2</v>
      </c>
      <c r="AF64" s="7">
        <f t="shared" si="63"/>
        <v>8.7332888821163742E-10</v>
      </c>
      <c r="AG64" s="7">
        <f t="shared" si="60"/>
        <v>1273.1500000000001</v>
      </c>
      <c r="AH64" s="9">
        <f t="shared" si="61"/>
        <v>1.2651090022853453E-8</v>
      </c>
      <c r="AI64" s="8">
        <f t="shared" si="62"/>
        <v>10132.5</v>
      </c>
    </row>
    <row r="65" spans="2:35">
      <c r="B65" s="6">
        <v>1400</v>
      </c>
      <c r="C65" s="7">
        <v>0.2</v>
      </c>
      <c r="D65" s="7">
        <v>1.19743103390901E-3</v>
      </c>
      <c r="E65" s="7">
        <v>3.4364362392507402E-4</v>
      </c>
      <c r="F65" s="7">
        <f t="shared" si="64"/>
        <v>10132.5</v>
      </c>
      <c r="G65" s="8"/>
      <c r="H65" s="7"/>
      <c r="I65" s="46">
        <f t="shared" si="65"/>
        <v>1.3931498267232731E-2</v>
      </c>
      <c r="J65" s="7">
        <f t="shared" si="66"/>
        <v>8.5378740998393607E-4</v>
      </c>
      <c r="K65" s="7">
        <f t="shared" ref="K65:K79" si="71">0.5*((J66-J65)/(C66-C65)+(J65-J64)/(C65-C64))</f>
        <v>1.6228050221587013E-2</v>
      </c>
      <c r="L65" s="7">
        <f t="shared" si="67"/>
        <v>2.6863060986067559E-4</v>
      </c>
      <c r="M65" s="7">
        <f t="shared" si="68"/>
        <v>1673.15</v>
      </c>
      <c r="N65" s="51">
        <f t="shared" si="69"/>
        <v>1.9282248377584931E-5</v>
      </c>
      <c r="O65" s="8">
        <f t="shared" si="70"/>
        <v>10132.5</v>
      </c>
      <c r="X65" s="6">
        <v>1000</v>
      </c>
      <c r="Y65" s="53">
        <v>1258.952704</v>
      </c>
      <c r="Z65" s="53">
        <v>0.251780579</v>
      </c>
      <c r="AA65" s="7">
        <f t="shared" si="56"/>
        <v>10132.5</v>
      </c>
      <c r="AB65" s="24"/>
      <c r="AC65" s="7">
        <f t="shared" si="57"/>
        <v>1.3609761027027026E-10</v>
      </c>
      <c r="AD65" s="9">
        <f t="shared" si="58"/>
        <v>82990200924318.781</v>
      </c>
      <c r="AE65" s="9">
        <f t="shared" si="59"/>
        <v>5.5811889988169938E-2</v>
      </c>
      <c r="AF65" s="7">
        <f t="shared" si="63"/>
        <v>6.6998812066905313E-10</v>
      </c>
      <c r="AG65" s="7">
        <f t="shared" si="60"/>
        <v>1273.1500000000001</v>
      </c>
      <c r="AH65" s="9">
        <f t="shared" si="61"/>
        <v>1.2004397643782819E-8</v>
      </c>
      <c r="AI65" s="8">
        <f t="shared" si="62"/>
        <v>10132.5</v>
      </c>
    </row>
    <row r="66" spans="2:35">
      <c r="B66" s="6">
        <v>1400</v>
      </c>
      <c r="C66" s="7">
        <v>0.3</v>
      </c>
      <c r="D66" s="7">
        <v>4.0528434993843702E-3</v>
      </c>
      <c r="E66" s="7">
        <v>7.6063323508456296E-4</v>
      </c>
      <c r="F66" s="7">
        <f t="shared" si="64"/>
        <v>10132.5</v>
      </c>
      <c r="G66" s="8"/>
      <c r="H66" s="7"/>
      <c r="I66" s="46">
        <f t="shared" si="65"/>
        <v>3.0836482503428225E-2</v>
      </c>
      <c r="J66" s="7">
        <f t="shared" si="66"/>
        <v>3.2922102642998071E-3</v>
      </c>
      <c r="K66" s="7">
        <f t="shared" si="71"/>
        <v>2.6226153981727566E-2</v>
      </c>
      <c r="L66" s="7">
        <f t="shared" si="67"/>
        <v>4.3413396201102494E-4</v>
      </c>
      <c r="M66" s="7">
        <f t="shared" si="68"/>
        <v>1673.15</v>
      </c>
      <c r="N66" s="51">
        <f t="shared" si="69"/>
        <v>1.4078582470058329E-5</v>
      </c>
      <c r="O66" s="8">
        <f t="shared" si="70"/>
        <v>10132.5</v>
      </c>
      <c r="X66" s="6">
        <v>1000</v>
      </c>
      <c r="Y66" s="53">
        <v>1407.8600799999999</v>
      </c>
      <c r="Z66" s="53">
        <v>0.14681108400000001</v>
      </c>
      <c r="AA66" s="7">
        <f t="shared" si="56"/>
        <v>10132.5</v>
      </c>
      <c r="AB66" s="24"/>
      <c r="AC66" s="7">
        <f t="shared" ref="AC66:AC67" si="72">Z66/1000000/$AB$9</f>
        <v>7.9357342702702714E-11</v>
      </c>
      <c r="AD66" s="9">
        <f t="shared" si="58"/>
        <v>82990200924318.781</v>
      </c>
      <c r="AE66" s="9">
        <f t="shared" ref="AE66:AE67" si="73">4*PI()*(AC66/AD66*3/(PI()*4))^(2/3)*AD66</f>
        <v>3.8953917589374658E-2</v>
      </c>
      <c r="AF66" s="7">
        <f t="shared" ref="AF66:AF67" si="74">0.5*((Z66-Z65)/(Y66-Y67)+(Z66-Z67)/(Y67-Y66))/1000000</f>
        <v>4.3572880247796685E-10</v>
      </c>
      <c r="AG66" s="7">
        <f t="shared" ref="AG66:AG67" si="75">X66+273.15</f>
        <v>1273.1500000000001</v>
      </c>
      <c r="AH66" s="9">
        <f t="shared" ref="AH66:AH67" si="76">AF66/AE66</f>
        <v>1.1185750482688789E-8</v>
      </c>
      <c r="AI66" s="8">
        <f t="shared" ref="AI66:AI67" si="77">AA66</f>
        <v>10132.5</v>
      </c>
    </row>
    <row r="67" spans="2:35">
      <c r="B67" s="6">
        <v>1400</v>
      </c>
      <c r="C67" s="7">
        <v>0.4</v>
      </c>
      <c r="D67" s="7">
        <v>7.2766962829855699E-3</v>
      </c>
      <c r="E67" s="7">
        <v>1.17767807665612E-3</v>
      </c>
      <c r="F67" s="7">
        <f t="shared" si="64"/>
        <v>10132.5</v>
      </c>
      <c r="G67" s="8"/>
      <c r="H67" s="7"/>
      <c r="I67" s="46">
        <f t="shared" si="65"/>
        <v>4.7743705810383244E-2</v>
      </c>
      <c r="J67" s="7">
        <f t="shared" si="66"/>
        <v>6.0990182063294495E-3</v>
      </c>
      <c r="K67" s="7">
        <f t="shared" si="71"/>
        <v>2.9435303869139662E-2</v>
      </c>
      <c r="L67" s="7">
        <f t="shared" si="67"/>
        <v>4.872565417182945E-4</v>
      </c>
      <c r="M67" s="7">
        <f t="shared" si="68"/>
        <v>1673.15</v>
      </c>
      <c r="N67" s="51">
        <f t="shared" si="69"/>
        <v>1.020567074649506E-5</v>
      </c>
      <c r="O67" s="8">
        <f t="shared" si="70"/>
        <v>10132.5</v>
      </c>
      <c r="X67" s="6">
        <v>1000</v>
      </c>
      <c r="Y67" s="53">
        <v>1540.353208</v>
      </c>
      <c r="Z67" s="53">
        <v>0.13631843499999999</v>
      </c>
      <c r="AA67" s="7">
        <f t="shared" si="56"/>
        <v>10132.5</v>
      </c>
      <c r="AB67" s="24"/>
      <c r="AC67" s="7">
        <f t="shared" si="72"/>
        <v>7.3685640540540529E-11</v>
      </c>
      <c r="AD67" s="9">
        <f t="shared" si="58"/>
        <v>82990200924318.781</v>
      </c>
      <c r="AE67" s="9">
        <f t="shared" si="73"/>
        <v>3.7075040882556094E-2</v>
      </c>
      <c r="AF67" s="7">
        <f t="shared" si="74"/>
        <v>1.8254752610042891E-10</v>
      </c>
      <c r="AG67" s="7">
        <f t="shared" si="75"/>
        <v>1273.1500000000001</v>
      </c>
      <c r="AH67" s="9">
        <f t="shared" si="76"/>
        <v>4.9237309455353293E-9</v>
      </c>
      <c r="AI67" s="8">
        <f t="shared" si="77"/>
        <v>10132.5</v>
      </c>
    </row>
    <row r="68" spans="2:35">
      <c r="B68" s="6">
        <v>1400</v>
      </c>
      <c r="C68" s="7">
        <v>0.5</v>
      </c>
      <c r="D68" s="7">
        <v>1.0684769225649701E-2</v>
      </c>
      <c r="E68" s="7">
        <v>1.5054981875219601E-3</v>
      </c>
      <c r="F68" s="7">
        <f t="shared" si="64"/>
        <v>10132.5</v>
      </c>
      <c r="G68" s="8"/>
      <c r="H68" s="7"/>
      <c r="I68" s="46">
        <f t="shared" si="65"/>
        <v>6.1033710304944325E-2</v>
      </c>
      <c r="J68" s="7">
        <f t="shared" si="66"/>
        <v>9.1792710381277398E-3</v>
      </c>
      <c r="K68" s="7">
        <f t="shared" si="71"/>
        <v>3.1946345749986019E-2</v>
      </c>
      <c r="L68" s="7">
        <f t="shared" si="67"/>
        <v>5.2882300858442233E-4</v>
      </c>
      <c r="M68" s="7">
        <f t="shared" si="68"/>
        <v>1673.15</v>
      </c>
      <c r="N68" s="51">
        <f t="shared" si="69"/>
        <v>8.6644414364168617E-6</v>
      </c>
      <c r="O68" s="8">
        <f t="shared" si="70"/>
        <v>10132.5</v>
      </c>
      <c r="X68" s="10">
        <v>1000</v>
      </c>
      <c r="Y68" s="63">
        <v>1683.8740299999999</v>
      </c>
      <c r="Z68" s="63">
        <v>9.4412341999999996E-2</v>
      </c>
      <c r="AA68" s="11">
        <f t="shared" si="56"/>
        <v>10132.5</v>
      </c>
      <c r="AB68" s="26"/>
      <c r="AC68" s="11">
        <f>Z68/1000000/$AB$9</f>
        <v>5.1033698378378377E-11</v>
      </c>
      <c r="AD68" s="12">
        <f t="shared" si="58"/>
        <v>82990200924318.781</v>
      </c>
      <c r="AE68" s="12">
        <f>4*PI()*(AC68/AD68*3/(PI()*4))^(2/3)*AD68</f>
        <v>2.9022250846667427E-2</v>
      </c>
      <c r="AF68" s="11">
        <f>(Z67-Z68)/(Y68-Y67)/1000000</f>
        <v>2.9198615515175913E-10</v>
      </c>
      <c r="AG68" s="11">
        <f>X68+273.15</f>
        <v>1273.1500000000001</v>
      </c>
      <c r="AH68" s="12">
        <f>AF68/AE68</f>
        <v>1.0060768776839628E-8</v>
      </c>
      <c r="AI68" s="13">
        <f>AA68</f>
        <v>10132.5</v>
      </c>
    </row>
    <row r="69" spans="2:35">
      <c r="B69" s="6">
        <v>1400</v>
      </c>
      <c r="C69" s="7">
        <v>0.6</v>
      </c>
      <c r="D69" s="7">
        <v>1.42770623273767E-2</v>
      </c>
      <c r="E69" s="7">
        <v>1.78877497105005E-3</v>
      </c>
      <c r="F69" s="7">
        <f t="shared" si="64"/>
        <v>10132.5</v>
      </c>
      <c r="G69" s="8"/>
      <c r="H69" s="7"/>
      <c r="I69" s="46">
        <f t="shared" si="65"/>
        <v>7.2517904231758787E-2</v>
      </c>
      <c r="J69" s="7">
        <f t="shared" si="66"/>
        <v>1.2488287356326651E-2</v>
      </c>
      <c r="K69" s="7">
        <f t="shared" si="71"/>
        <v>3.2466202003633871E-2</v>
      </c>
      <c r="L69" s="7">
        <f t="shared" si="67"/>
        <v>5.3742843564130575E-4</v>
      </c>
      <c r="M69" s="7">
        <f t="shared" si="68"/>
        <v>1673.15</v>
      </c>
      <c r="N69" s="51">
        <f t="shared" si="69"/>
        <v>7.4109758318958999E-6</v>
      </c>
      <c r="O69" s="8">
        <f t="shared" si="70"/>
        <v>10132.5</v>
      </c>
    </row>
    <row r="70" spans="2:35">
      <c r="B70" s="6">
        <v>1400</v>
      </c>
      <c r="C70" s="7">
        <v>0.7</v>
      </c>
      <c r="D70" s="7">
        <v>1.76851352700409E-2</v>
      </c>
      <c r="E70" s="7">
        <v>2.01262383118639E-3</v>
      </c>
      <c r="F70" s="7">
        <f t="shared" si="64"/>
        <v>10132.5</v>
      </c>
      <c r="G70" s="8"/>
      <c r="H70" s="7"/>
      <c r="I70" s="46">
        <f t="shared" si="65"/>
        <v>8.1592858021069858E-2</v>
      </c>
      <c r="J70" s="7">
        <f t="shared" si="66"/>
        <v>1.5672511438854512E-2</v>
      </c>
      <c r="K70" s="7">
        <f t="shared" si="71"/>
        <v>3.1678691968549028E-2</v>
      </c>
      <c r="L70" s="7">
        <f t="shared" si="67"/>
        <v>5.2439240863204535E-4</v>
      </c>
      <c r="M70" s="7">
        <f t="shared" si="68"/>
        <v>1673.15</v>
      </c>
      <c r="N70" s="51">
        <f t="shared" si="69"/>
        <v>6.4269400698849231E-6</v>
      </c>
      <c r="O70" s="8">
        <f t="shared" si="70"/>
        <v>10132.5</v>
      </c>
    </row>
    <row r="71" spans="2:35">
      <c r="B71" s="6">
        <v>1400</v>
      </c>
      <c r="C71" s="7">
        <v>0.8</v>
      </c>
      <c r="D71" s="7">
        <v>2.1001098133173499E-2</v>
      </c>
      <c r="E71" s="7">
        <v>2.1770723831370398E-3</v>
      </c>
      <c r="F71" s="7">
        <f t="shared" si="64"/>
        <v>10132.5</v>
      </c>
      <c r="G71" s="8"/>
      <c r="H71" s="7"/>
      <c r="I71" s="46">
        <f t="shared" si="65"/>
        <v>8.825969120825837E-2</v>
      </c>
      <c r="J71" s="7">
        <f t="shared" si="66"/>
        <v>1.8824025750036458E-2</v>
      </c>
      <c r="K71" s="7">
        <f t="shared" si="71"/>
        <v>3.1663989072359719E-2</v>
      </c>
      <c r="L71" s="7">
        <f t="shared" si="67"/>
        <v>5.2414902462003389E-4</v>
      </c>
      <c r="M71" s="7">
        <f t="shared" si="68"/>
        <v>1673.15</v>
      </c>
      <c r="N71" s="51">
        <f t="shared" si="69"/>
        <v>5.9387135559226812E-6</v>
      </c>
      <c r="O71" s="8">
        <f t="shared" si="70"/>
        <v>10132.5</v>
      </c>
    </row>
    <row r="72" spans="2:35">
      <c r="B72" s="6">
        <v>1400</v>
      </c>
      <c r="C72" s="7">
        <v>0.9</v>
      </c>
      <c r="D72" s="7">
        <v>2.4317060996306199E-2</v>
      </c>
      <c r="E72" s="7">
        <v>2.3117517429797401E-3</v>
      </c>
      <c r="F72" s="7">
        <f t="shared" si="64"/>
        <v>10132.5</v>
      </c>
      <c r="G72" s="8"/>
      <c r="H72" s="7"/>
      <c r="I72" s="46">
        <f t="shared" si="65"/>
        <v>9.3719665255935392E-2</v>
      </c>
      <c r="J72" s="7">
        <f t="shared" si="66"/>
        <v>2.2005309253326458E-2</v>
      </c>
      <c r="K72" s="7">
        <f t="shared" si="71"/>
        <v>3.0653486248526259E-2</v>
      </c>
      <c r="L72" s="7">
        <f t="shared" si="67"/>
        <v>5.0742169224641186E-4</v>
      </c>
      <c r="M72" s="7">
        <f t="shared" si="68"/>
        <v>1673.15</v>
      </c>
      <c r="N72" s="51">
        <f t="shared" si="69"/>
        <v>5.4142499427490879E-6</v>
      </c>
      <c r="O72" s="8">
        <f t="shared" si="70"/>
        <v>10132.5</v>
      </c>
    </row>
    <row r="73" spans="2:35">
      <c r="B73" s="6">
        <v>1400</v>
      </c>
      <c r="C73" s="7">
        <v>1</v>
      </c>
      <c r="D73" s="7">
        <v>2.7356693620844499E-2</v>
      </c>
      <c r="E73" s="7">
        <v>2.4019706211027901E-3</v>
      </c>
      <c r="F73" s="7">
        <f t="shared" si="64"/>
        <v>10132.5</v>
      </c>
      <c r="G73" s="8"/>
      <c r="H73" s="7"/>
      <c r="I73" s="46">
        <f t="shared" si="65"/>
        <v>9.7377187342005012E-2</v>
      </c>
      <c r="J73" s="7">
        <f t="shared" si="66"/>
        <v>2.4954722999741708E-2</v>
      </c>
      <c r="K73" s="7">
        <f t="shared" si="71"/>
        <v>2.8870866665947112E-2</v>
      </c>
      <c r="L73" s="7">
        <f t="shared" si="67"/>
        <v>4.7791314506550546E-4</v>
      </c>
      <c r="M73" s="7">
        <f t="shared" si="68"/>
        <v>1673.15</v>
      </c>
      <c r="N73" s="51">
        <f t="shared" si="69"/>
        <v>4.9078553007183738E-6</v>
      </c>
      <c r="O73" s="8">
        <f t="shared" si="70"/>
        <v>10132.5</v>
      </c>
    </row>
    <row r="74" spans="2:35">
      <c r="B74" s="6">
        <v>1400</v>
      </c>
      <c r="C74" s="7">
        <v>1.1000000000000001</v>
      </c>
      <c r="D74" s="7">
        <v>3.0212106086319801E-2</v>
      </c>
      <c r="E74" s="7">
        <v>2.4326234998039201E-3</v>
      </c>
      <c r="F74" s="7">
        <f t="shared" si="64"/>
        <v>10132.5</v>
      </c>
      <c r="G74" s="8"/>
      <c r="H74" s="7"/>
      <c r="I74" s="46">
        <f t="shared" si="65"/>
        <v>9.861987161367243E-2</v>
      </c>
      <c r="J74" s="7">
        <f t="shared" si="66"/>
        <v>2.7779482586515882E-2</v>
      </c>
      <c r="K74" s="7">
        <f t="shared" si="71"/>
        <v>2.771248441378471E-2</v>
      </c>
      <c r="L74" s="7">
        <f t="shared" si="67"/>
        <v>4.5873789439760743E-4</v>
      </c>
      <c r="M74" s="7">
        <f t="shared" si="68"/>
        <v>1673.15</v>
      </c>
      <c r="N74" s="51">
        <f t="shared" si="69"/>
        <v>4.6515766740666602E-6</v>
      </c>
      <c r="O74" s="8">
        <f t="shared" si="70"/>
        <v>10132.5</v>
      </c>
    </row>
    <row r="75" spans="2:35">
      <c r="B75" s="6">
        <v>1400</v>
      </c>
      <c r="C75" s="7">
        <v>1.2</v>
      </c>
      <c r="D75" s="7">
        <v>3.2975408472263698E-2</v>
      </c>
      <c r="E75" s="7">
        <v>2.4781885897650498E-3</v>
      </c>
      <c r="F75" s="7">
        <f t="shared" si="64"/>
        <v>10132.5</v>
      </c>
      <c r="G75" s="8"/>
      <c r="H75" s="7"/>
      <c r="I75" s="46">
        <f t="shared" si="65"/>
        <v>0.100467104990475</v>
      </c>
      <c r="J75" s="7">
        <f t="shared" si="66"/>
        <v>3.049721988249865E-2</v>
      </c>
      <c r="K75" s="7">
        <f t="shared" si="71"/>
        <v>2.6479126877232161E-2</v>
      </c>
      <c r="L75" s="7">
        <f t="shared" si="67"/>
        <v>4.3832154229760936E-4</v>
      </c>
      <c r="M75" s="7">
        <f t="shared" si="68"/>
        <v>1673.15</v>
      </c>
      <c r="N75" s="51">
        <f t="shared" si="69"/>
        <v>4.3628363964420532E-6</v>
      </c>
      <c r="O75" s="8">
        <f t="shared" si="70"/>
        <v>10132.5</v>
      </c>
    </row>
    <row r="76" spans="2:35">
      <c r="B76" s="6">
        <v>1400</v>
      </c>
      <c r="C76" s="7">
        <v>1.3</v>
      </c>
      <c r="D76" s="7">
        <v>3.5554490699144702E-2</v>
      </c>
      <c r="E76" s="7">
        <v>2.4791827371823901E-3</v>
      </c>
      <c r="F76" s="7">
        <f t="shared" si="64"/>
        <v>10132.5</v>
      </c>
      <c r="G76" s="8"/>
      <c r="H76" s="7"/>
      <c r="I76" s="46">
        <f t="shared" si="65"/>
        <v>0.10050740826415094</v>
      </c>
      <c r="J76" s="7">
        <f t="shared" si="66"/>
        <v>3.3075307961962314E-2</v>
      </c>
      <c r="K76" s="7">
        <f t="shared" si="71"/>
        <v>2.6315578020503154E-2</v>
      </c>
      <c r="L76" s="7">
        <f t="shared" si="67"/>
        <v>4.356142405253554E-4</v>
      </c>
      <c r="M76" s="7">
        <f t="shared" si="68"/>
        <v>1673.15</v>
      </c>
      <c r="N76" s="51">
        <f t="shared" si="69"/>
        <v>4.3341505670953673E-6</v>
      </c>
      <c r="O76" s="8">
        <f t="shared" si="70"/>
        <v>10132.5</v>
      </c>
    </row>
    <row r="77" spans="2:35">
      <c r="B77" s="6">
        <v>1400</v>
      </c>
      <c r="C77" s="7">
        <v>1.4</v>
      </c>
      <c r="D77" s="7">
        <v>3.82256830055571E-2</v>
      </c>
      <c r="E77" s="7">
        <v>2.46534751895782E-3</v>
      </c>
      <c r="F77" s="7">
        <f t="shared" si="64"/>
        <v>10132.5</v>
      </c>
      <c r="G77" s="8"/>
      <c r="H77" s="7"/>
      <c r="I77" s="46">
        <f t="shared" si="65"/>
        <v>9.9946521038830533E-2</v>
      </c>
      <c r="J77" s="7">
        <f t="shared" si="66"/>
        <v>3.5760335486599279E-2</v>
      </c>
      <c r="K77" s="7">
        <f t="shared" si="71"/>
        <v>2.5855303774906011E-2</v>
      </c>
      <c r="L77" s="7">
        <f t="shared" si="67"/>
        <v>4.2799510269859119E-4</v>
      </c>
      <c r="M77" s="7">
        <f t="shared" si="68"/>
        <v>1673.15</v>
      </c>
      <c r="N77" s="51">
        <f t="shared" si="69"/>
        <v>4.2822411250543628E-6</v>
      </c>
      <c r="O77" s="8">
        <f t="shared" si="70"/>
        <v>10132.5</v>
      </c>
    </row>
    <row r="78" spans="2:35">
      <c r="B78" s="6">
        <v>1400</v>
      </c>
      <c r="C78" s="7">
        <v>1.5</v>
      </c>
      <c r="D78" s="7">
        <v>4.0712655152906597E-2</v>
      </c>
      <c r="E78" s="7">
        <v>2.4662864359630801E-3</v>
      </c>
      <c r="F78" s="7">
        <f t="shared" si="64"/>
        <v>10132.5</v>
      </c>
      <c r="G78" s="8"/>
      <c r="H78" s="7"/>
      <c r="I78" s="46">
        <f t="shared" si="65"/>
        <v>9.9984585241746485E-2</v>
      </c>
      <c r="J78" s="7">
        <f t="shared" si="66"/>
        <v>3.8246368716943514E-2</v>
      </c>
      <c r="K78" s="7">
        <f t="shared" si="71"/>
        <v>2.3775544575369199E-2</v>
      </c>
      <c r="L78" s="7">
        <f t="shared" si="67"/>
        <v>3.9356786254920203E-4</v>
      </c>
      <c r="M78" s="7">
        <f t="shared" si="68"/>
        <v>1673.15</v>
      </c>
      <c r="N78" s="51">
        <f t="shared" si="69"/>
        <v>3.9362853943697308E-6</v>
      </c>
      <c r="O78" s="8">
        <f t="shared" si="70"/>
        <v>10132.5</v>
      </c>
    </row>
    <row r="79" spans="2:35">
      <c r="B79" s="6">
        <v>1400</v>
      </c>
      <c r="C79" s="7">
        <v>1.6</v>
      </c>
      <c r="D79" s="7">
        <v>4.29232970616618E-2</v>
      </c>
      <c r="E79" s="7">
        <v>2.4078526599886798E-3</v>
      </c>
      <c r="F79" s="7">
        <f t="shared" si="64"/>
        <v>10132.5</v>
      </c>
      <c r="G79" s="8"/>
      <c r="H79" s="7"/>
      <c r="I79" s="46">
        <f t="shared" si="65"/>
        <v>9.7615648377919473E-2</v>
      </c>
      <c r="J79" s="7">
        <f t="shared" si="66"/>
        <v>4.0515444401673123E-2</v>
      </c>
      <c r="K79" s="7">
        <f t="shared" si="71"/>
        <v>2.1933966527901409E-2</v>
      </c>
      <c r="L79" s="7">
        <f t="shared" si="67"/>
        <v>3.630833479437915E-4</v>
      </c>
      <c r="M79" s="7">
        <f t="shared" si="68"/>
        <v>1673.15</v>
      </c>
      <c r="N79" s="51">
        <f t="shared" si="69"/>
        <v>3.7195199128126722E-6</v>
      </c>
      <c r="O79" s="8">
        <f t="shared" si="70"/>
        <v>10132.5</v>
      </c>
    </row>
    <row r="80" spans="2:35">
      <c r="B80" s="10">
        <v>1400</v>
      </c>
      <c r="C80" s="11">
        <v>1.65</v>
      </c>
      <c r="D80" s="57">
        <v>4.3936507936507899E-2</v>
      </c>
      <c r="E80" s="57">
        <v>2.3622047244094401E-3</v>
      </c>
      <c r="F80" s="11">
        <f t="shared" si="64"/>
        <v>10132.5</v>
      </c>
      <c r="G80" s="13"/>
      <c r="H80" s="11"/>
      <c r="I80" s="47">
        <f t="shared" si="65"/>
        <v>9.5765056394977302E-2</v>
      </c>
      <c r="J80" s="11">
        <f t="shared" si="66"/>
        <v>4.1574303212098457E-2</v>
      </c>
      <c r="K80" s="11">
        <f>+(J80-J79)/(C80-C79)</f>
        <v>2.1177176208506752E-2</v>
      </c>
      <c r="L80" s="11">
        <f t="shared" si="67"/>
        <v>3.5055583895412802E-4</v>
      </c>
      <c r="M80" s="11">
        <f t="shared" si="68"/>
        <v>1673.15</v>
      </c>
      <c r="N80" s="58">
        <f t="shared" si="69"/>
        <v>3.6605819716565637E-6</v>
      </c>
      <c r="O80" s="13">
        <f t="shared" si="70"/>
        <v>10132.5</v>
      </c>
    </row>
  </sheetData>
  <mergeCells count="24">
    <mergeCell ref="X45:AI45"/>
    <mergeCell ref="X56:AI56"/>
    <mergeCell ref="AR2:AW2"/>
    <mergeCell ref="AR3:AT3"/>
    <mergeCell ref="AU3:AW3"/>
    <mergeCell ref="AN3:AP3"/>
    <mergeCell ref="AK3:AM3"/>
    <mergeCell ref="AK2:AP2"/>
    <mergeCell ref="B62:O62"/>
    <mergeCell ref="Q2:V2"/>
    <mergeCell ref="Q3:S3"/>
    <mergeCell ref="T3:V3"/>
    <mergeCell ref="X2:AI2"/>
    <mergeCell ref="X3:AA3"/>
    <mergeCell ref="AC3:AI3"/>
    <mergeCell ref="X5:AI5"/>
    <mergeCell ref="X23:AI23"/>
    <mergeCell ref="X35:AI35"/>
    <mergeCell ref="B2:O2"/>
    <mergeCell ref="B5:O5"/>
    <mergeCell ref="B3:G3"/>
    <mergeCell ref="I3:O3"/>
    <mergeCell ref="B24:O24"/>
    <mergeCell ref="B43:O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65"/>
  <sheetViews>
    <sheetView tabSelected="1" topLeftCell="AJ1" workbookViewId="0">
      <selection activeCell="AP25" sqref="AP25"/>
    </sheetView>
  </sheetViews>
  <sheetFormatPr baseColWidth="10" defaultRowHeight="15" x14ac:dyDescent="0"/>
  <cols>
    <col min="2" max="2" width="14.6640625" bestFit="1" customWidth="1"/>
    <col min="3" max="3" width="11.5" bestFit="1" customWidth="1"/>
    <col min="4" max="4" width="15" bestFit="1" customWidth="1"/>
    <col min="5" max="5" width="18" bestFit="1" customWidth="1"/>
    <col min="6" max="6" width="23.1640625" bestFit="1" customWidth="1"/>
    <col min="7" max="7" width="23.33203125" bestFit="1" customWidth="1"/>
    <col min="8" max="8" width="21.1640625" bestFit="1" customWidth="1"/>
    <col min="9" max="9" width="19.1640625" bestFit="1" customWidth="1"/>
    <col min="10" max="10" width="12.1640625" bestFit="1" customWidth="1"/>
    <col min="11" max="11" width="14.6640625" bestFit="1" customWidth="1"/>
    <col min="12" max="12" width="17" bestFit="1" customWidth="1"/>
    <col min="13" max="13" width="21.6640625" bestFit="1" customWidth="1"/>
    <col min="15" max="15" width="14.6640625" style="2" bestFit="1" customWidth="1"/>
    <col min="16" max="16" width="6.83203125" style="2" bestFit="1" customWidth="1"/>
    <col min="17" max="17" width="18.33203125" bestFit="1" customWidth="1"/>
    <col min="18" max="18" width="23.33203125" bestFit="1" customWidth="1"/>
    <col min="19" max="19" width="12.1640625" bestFit="1" customWidth="1"/>
    <col min="20" max="20" width="18" bestFit="1" customWidth="1"/>
    <col min="21" max="21" width="16.83203125" bestFit="1" customWidth="1"/>
    <col min="22" max="22" width="16.83203125" customWidth="1"/>
    <col min="23" max="23" width="14.6640625" bestFit="1" customWidth="1"/>
    <col min="24" max="24" width="17" bestFit="1" customWidth="1"/>
    <col min="25" max="25" width="21.6640625" bestFit="1" customWidth="1"/>
    <col min="27" max="27" width="14.6640625" bestFit="1" customWidth="1"/>
    <col min="28" max="28" width="10" bestFit="1" customWidth="1"/>
    <col min="29" max="29" width="18.33203125" bestFit="1" customWidth="1"/>
    <col min="30" max="30" width="23.33203125" bestFit="1" customWidth="1"/>
    <col min="31" max="31" width="12.1640625" bestFit="1" customWidth="1"/>
    <col min="32" max="32" width="12.1640625" customWidth="1"/>
    <col min="33" max="33" width="18" bestFit="1" customWidth="1"/>
    <col min="34" max="34" width="12.83203125" bestFit="1" customWidth="1"/>
    <col min="35" max="35" width="16.83203125" bestFit="1" customWidth="1"/>
    <col min="36" max="36" width="14.6640625" bestFit="1" customWidth="1"/>
    <col min="37" max="37" width="17" bestFit="1" customWidth="1"/>
    <col min="38" max="38" width="21.6640625" bestFit="1" customWidth="1"/>
    <col min="40" max="40" width="14.6640625" bestFit="1" customWidth="1"/>
    <col min="41" max="41" width="19.5" style="67" bestFit="1" customWidth="1"/>
    <col min="42" max="42" width="22.83203125" bestFit="1" customWidth="1"/>
    <col min="43" max="43" width="14.6640625" bestFit="1" customWidth="1"/>
    <col min="44" max="44" width="17" bestFit="1" customWidth="1"/>
    <col min="45" max="45" width="21.5" bestFit="1" customWidth="1"/>
  </cols>
  <sheetData>
    <row r="2" spans="2:45">
      <c r="B2" s="38" t="s">
        <v>89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O2" s="38" t="s">
        <v>100</v>
      </c>
      <c r="P2" s="39"/>
      <c r="Q2" s="39"/>
      <c r="R2" s="39"/>
      <c r="S2" s="39"/>
      <c r="T2" s="39"/>
      <c r="U2" s="39"/>
      <c r="V2" s="39"/>
      <c r="W2" s="39"/>
      <c r="X2" s="39"/>
      <c r="Y2" s="40"/>
      <c r="AA2" s="38" t="s">
        <v>110</v>
      </c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40"/>
      <c r="AN2" s="35" t="s">
        <v>86</v>
      </c>
      <c r="AO2" s="36"/>
      <c r="AP2" s="36"/>
      <c r="AQ2" s="36"/>
      <c r="AR2" s="36"/>
      <c r="AS2" s="37"/>
    </row>
    <row r="3" spans="2:45">
      <c r="B3" s="32" t="s">
        <v>0</v>
      </c>
      <c r="C3" s="33"/>
      <c r="D3" s="33"/>
      <c r="E3" s="33"/>
      <c r="F3" s="34"/>
      <c r="G3" s="15" t="s">
        <v>15</v>
      </c>
      <c r="H3" s="41" t="s">
        <v>4</v>
      </c>
      <c r="I3" s="42"/>
      <c r="J3" s="42"/>
      <c r="K3" s="42"/>
      <c r="L3" s="42"/>
      <c r="M3" s="43"/>
      <c r="O3" s="32" t="s">
        <v>0</v>
      </c>
      <c r="P3" s="33"/>
      <c r="Q3" s="34"/>
      <c r="R3" s="7" t="s">
        <v>15</v>
      </c>
      <c r="S3" s="41" t="s">
        <v>4</v>
      </c>
      <c r="T3" s="42"/>
      <c r="U3" s="42"/>
      <c r="V3" s="42"/>
      <c r="W3" s="42"/>
      <c r="X3" s="42"/>
      <c r="Y3" s="43"/>
      <c r="AA3" s="41" t="s">
        <v>0</v>
      </c>
      <c r="AB3" s="42"/>
      <c r="AC3" s="7"/>
      <c r="AD3" s="24" t="s">
        <v>15</v>
      </c>
      <c r="AE3" s="41" t="s">
        <v>4</v>
      </c>
      <c r="AF3" s="42"/>
      <c r="AG3" s="42"/>
      <c r="AH3" s="42"/>
      <c r="AI3" s="42"/>
      <c r="AJ3" s="42"/>
      <c r="AK3" s="42"/>
      <c r="AL3" s="43"/>
      <c r="AN3" s="32" t="s">
        <v>0</v>
      </c>
      <c r="AO3" s="33"/>
      <c r="AP3" s="34"/>
      <c r="AQ3" s="32" t="s">
        <v>4</v>
      </c>
      <c r="AR3" s="33"/>
      <c r="AS3" s="34"/>
    </row>
    <row r="4" spans="2:45">
      <c r="B4" s="14" t="s">
        <v>21</v>
      </c>
      <c r="C4" s="52" t="s">
        <v>92</v>
      </c>
      <c r="D4" s="52" t="s">
        <v>93</v>
      </c>
      <c r="E4" s="52" t="s">
        <v>94</v>
      </c>
      <c r="F4" s="62" t="s">
        <v>95</v>
      </c>
      <c r="G4" s="7"/>
      <c r="H4" s="6" t="s">
        <v>96</v>
      </c>
      <c r="I4" s="50" t="s">
        <v>51</v>
      </c>
      <c r="J4" s="50" t="s">
        <v>99</v>
      </c>
      <c r="K4" s="15" t="s">
        <v>5</v>
      </c>
      <c r="L4" s="15" t="s">
        <v>6</v>
      </c>
      <c r="M4" s="16" t="s">
        <v>61</v>
      </c>
      <c r="O4" s="77" t="s">
        <v>21</v>
      </c>
      <c r="P4" s="69" t="s">
        <v>104</v>
      </c>
      <c r="Q4" s="8"/>
      <c r="R4" s="7"/>
      <c r="S4" s="6" t="s">
        <v>96</v>
      </c>
      <c r="T4" s="50" t="s">
        <v>108</v>
      </c>
      <c r="U4" s="50" t="s">
        <v>109</v>
      </c>
      <c r="V4" s="50" t="s">
        <v>54</v>
      </c>
      <c r="W4" s="15" t="s">
        <v>5</v>
      </c>
      <c r="X4" s="15" t="s">
        <v>6</v>
      </c>
      <c r="Y4" s="16" t="s">
        <v>61</v>
      </c>
      <c r="AA4" s="29" t="s">
        <v>5</v>
      </c>
      <c r="AB4" s="27" t="s">
        <v>111</v>
      </c>
      <c r="AC4" s="7"/>
      <c r="AD4" s="24"/>
      <c r="AE4" s="6" t="s">
        <v>96</v>
      </c>
      <c r="AF4" s="48" t="s">
        <v>76</v>
      </c>
      <c r="AG4" s="50" t="s">
        <v>108</v>
      </c>
      <c r="AH4" s="50" t="s">
        <v>109</v>
      </c>
      <c r="AI4" s="50" t="s">
        <v>54</v>
      </c>
      <c r="AJ4" s="15" t="s">
        <v>5</v>
      </c>
      <c r="AK4" s="15" t="s">
        <v>6</v>
      </c>
      <c r="AL4" s="16" t="s">
        <v>61</v>
      </c>
      <c r="AN4" s="29" t="s">
        <v>21</v>
      </c>
      <c r="AO4" s="82" t="s">
        <v>87</v>
      </c>
      <c r="AP4" s="30" t="s">
        <v>113</v>
      </c>
      <c r="AQ4" s="14" t="s">
        <v>5</v>
      </c>
      <c r="AR4" s="15" t="s">
        <v>6</v>
      </c>
      <c r="AS4" s="16" t="s">
        <v>114</v>
      </c>
    </row>
    <row r="5" spans="2:45">
      <c r="B5" s="41" t="s">
        <v>90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O5" s="41" t="s">
        <v>101</v>
      </c>
      <c r="P5" s="42"/>
      <c r="Q5" s="42"/>
      <c r="R5" s="42"/>
      <c r="S5" s="42"/>
      <c r="T5" s="42"/>
      <c r="U5" s="42"/>
      <c r="V5" s="42"/>
      <c r="W5" s="42"/>
      <c r="X5" s="42"/>
      <c r="Y5" s="43"/>
      <c r="AA5" s="41" t="s">
        <v>103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N5" s="68">
        <v>887.61571586972696</v>
      </c>
      <c r="AO5" s="67">
        <v>28.297731895525501</v>
      </c>
      <c r="AP5" s="74">
        <f>0.026</f>
        <v>2.5999999999999999E-2</v>
      </c>
      <c r="AQ5" s="69">
        <f>AN5+273.15</f>
        <v>1160.765715869727</v>
      </c>
      <c r="AR5" s="7">
        <f>AO5*10^-9/60</f>
        <v>4.7162886492542508E-10</v>
      </c>
      <c r="AS5" s="8">
        <f>AP5*101325</f>
        <v>2634.45</v>
      </c>
    </row>
    <row r="6" spans="2:45">
      <c r="B6" s="6">
        <v>850</v>
      </c>
      <c r="C6" s="7">
        <v>0</v>
      </c>
      <c r="D6" s="7">
        <v>0</v>
      </c>
      <c r="E6" s="7">
        <f>D6*0.000001</f>
        <v>0</v>
      </c>
      <c r="F6" s="8">
        <f>0.1</f>
        <v>0.1</v>
      </c>
      <c r="G6" s="50" t="s">
        <v>52</v>
      </c>
      <c r="H6" s="46">
        <f>(E7-E6)/(C7-C6)/60</f>
        <v>1.1693351147323134E-10</v>
      </c>
      <c r="I6" s="7">
        <f>($G$19-E6)/$G$9</f>
        <v>5.4054054054054051E-10</v>
      </c>
      <c r="J6" s="9">
        <f>4*PI()*(I6/$G$15*3/(PI()*4))^(2/3)*$G$15</f>
        <v>6.4864864864864785E-2</v>
      </c>
      <c r="K6" s="7">
        <f>B6+273.15</f>
        <v>1123.1500000000001</v>
      </c>
      <c r="L6" s="9">
        <f>H6/J6</f>
        <v>1.802724968545652E-9</v>
      </c>
      <c r="M6" s="8">
        <f>F6*10^6</f>
        <v>100000</v>
      </c>
      <c r="O6" s="78">
        <v>33.665835411471299</v>
      </c>
      <c r="P6" s="69">
        <v>102.70322668937401</v>
      </c>
      <c r="Q6" s="7" t="s">
        <v>105</v>
      </c>
      <c r="R6" s="24" t="s">
        <v>52</v>
      </c>
      <c r="S6" s="7">
        <f>((P6-P7)/100*$Q$9)/((O7-O6)/$Q$7*60)</f>
        <v>5.2184528730879481E-11</v>
      </c>
      <c r="T6" s="9">
        <f>$Q$9*P6/100</f>
        <v>1.0270322668937401E-6</v>
      </c>
      <c r="U6" s="51">
        <f>T6/$R$9</f>
        <v>5.5515257669931899E-10</v>
      </c>
      <c r="V6" s="9">
        <f>4*PI()*(U6/$R$15*3/(PI()*4))^(2/3)*$R$15</f>
        <v>6.6028623432910688E-2</v>
      </c>
      <c r="W6" s="69">
        <f>O6+273.15</f>
        <v>306.81583541147126</v>
      </c>
      <c r="X6" s="9">
        <f>S6/V6</f>
        <v>7.9033191997259041E-10</v>
      </c>
      <c r="Y6" s="8">
        <f>101325*0.1</f>
        <v>10132.5</v>
      </c>
      <c r="AA6" s="78">
        <v>1132.93310463121</v>
      </c>
      <c r="AB6" s="7">
        <v>0</v>
      </c>
      <c r="AC6" s="7"/>
      <c r="AD6" s="7"/>
      <c r="AE6" s="7">
        <v>0</v>
      </c>
      <c r="AF6" s="7">
        <v>0</v>
      </c>
      <c r="AG6" s="7">
        <f>AC10</f>
        <v>3.4999999999999999E-6</v>
      </c>
      <c r="AH6" s="9">
        <f>AG6/$AD$10</f>
        <v>1.891891891891892E-9</v>
      </c>
      <c r="AI6" s="9">
        <f>4*PI()*(AH6/$AD$16*3/(PI()*4))^(2/3)*$AD$16</f>
        <v>0.22702702702702671</v>
      </c>
      <c r="AJ6" s="69">
        <f>AA6</f>
        <v>1132.93310463121</v>
      </c>
      <c r="AK6" s="9">
        <f>AE6/AI6</f>
        <v>0</v>
      </c>
      <c r="AL6" s="8">
        <f>0.9*101325</f>
        <v>91192.5</v>
      </c>
      <c r="AN6" s="68">
        <v>865.06476650535899</v>
      </c>
      <c r="AO6" s="67">
        <v>11.658260127137199</v>
      </c>
      <c r="AP6" s="74">
        <f t="shared" ref="AP6:AP14" si="0">0.026</f>
        <v>2.5999999999999999E-2</v>
      </c>
      <c r="AQ6" s="69">
        <f t="shared" ref="AQ6:AQ14" si="1">AN6+273.15</f>
        <v>1138.214766505359</v>
      </c>
      <c r="AR6" s="7">
        <f t="shared" ref="AR6:AR14" si="2">AO6*10^-9/60</f>
        <v>1.9430433545228666E-10</v>
      </c>
      <c r="AS6" s="8">
        <f t="shared" ref="AS6:AS14" si="3">AP6*101325</f>
        <v>2634.45</v>
      </c>
    </row>
    <row r="7" spans="2:45">
      <c r="B7" s="6">
        <v>850</v>
      </c>
      <c r="C7" s="7">
        <v>18.780773739741999</v>
      </c>
      <c r="D7" s="7">
        <v>0.13176610929433699</v>
      </c>
      <c r="E7" s="7">
        <f t="shared" ref="E7:E16" si="4">D7*0.000001</f>
        <v>1.3176610929433698E-7</v>
      </c>
      <c r="F7" s="8">
        <f t="shared" ref="F7:F16" si="5">0.1</f>
        <v>0.1</v>
      </c>
      <c r="G7" s="9">
        <v>4.9999999999999998E-8</v>
      </c>
      <c r="H7" s="46">
        <f>0.5*((E7-E6)/(C7-C6)/60+(E8-E7)/(C8-C7)/60)</f>
        <v>1.1568777219528803E-10</v>
      </c>
      <c r="I7" s="7">
        <f t="shared" ref="I7:I16" si="6">($G$19-E7)/$G$9</f>
        <v>4.6931561659765561E-10</v>
      </c>
      <c r="J7" s="9">
        <f t="shared" ref="J7:J16" si="7">4*PI()*(I7/$G$15*3/(PI()*4))^(2/3)*$G$15</f>
        <v>5.903379104319393E-2</v>
      </c>
      <c r="K7" s="7">
        <f t="shared" ref="K7:K16" si="8">B7+273.15</f>
        <v>1123.1500000000001</v>
      </c>
      <c r="L7" s="9">
        <f t="shared" ref="L7:L16" si="9">H7/J7</f>
        <v>1.9596873273925681E-9</v>
      </c>
      <c r="M7" s="8">
        <f t="shared" ref="M7:M16" si="10">F7*10^6</f>
        <v>100000</v>
      </c>
      <c r="O7" s="78">
        <v>107.231920199501</v>
      </c>
      <c r="P7" s="69">
        <v>99.632017517182604</v>
      </c>
      <c r="Q7" s="7">
        <v>7.5</v>
      </c>
      <c r="R7" s="64">
        <v>4.9999999999999998E-8</v>
      </c>
      <c r="S7" s="7">
        <f>0.5*(((P7-P8)/100*$Q$9)/((O8-O7)/$Q$7*60)+((P7-P6)/100*$Q$9)/((O6-O7)/$Q$7*60))</f>
        <v>3.4020540839660122E-11</v>
      </c>
      <c r="T7" s="9">
        <f t="shared" ref="T7:T18" si="11">$Q$9*P7/100</f>
        <v>9.9632017517182584E-7</v>
      </c>
      <c r="U7" s="51">
        <f t="shared" ref="U7:U18" si="12">T7/$R$9</f>
        <v>5.3855144603882479E-10</v>
      </c>
      <c r="V7" s="9">
        <f t="shared" ref="V7:V18" si="13">4*PI()*(U7/$R$15*3/(PI()*4))^(2/3)*$R$15</f>
        <v>6.4705639551181124E-2</v>
      </c>
      <c r="W7" s="69">
        <f t="shared" ref="W7:W18" si="14">O7+273.15</f>
        <v>380.381920199501</v>
      </c>
      <c r="X7" s="9">
        <f t="shared" ref="X7:X18" si="15">S7/V7</f>
        <v>5.2577396770416614E-10</v>
      </c>
      <c r="Y7" s="8">
        <f t="shared" ref="Y7:Y18" si="16">101325*0.1</f>
        <v>10132.5</v>
      </c>
      <c r="AA7" s="80">
        <v>1199.8284734133699</v>
      </c>
      <c r="AB7" s="81">
        <v>3.6272040302267099E-5</v>
      </c>
      <c r="AC7" s="7" t="s">
        <v>112</v>
      </c>
      <c r="AD7" s="24" t="s">
        <v>52</v>
      </c>
      <c r="AE7" s="7">
        <f>AB7*$AC$10</f>
        <v>1.2695214105793485E-10</v>
      </c>
      <c r="AF7" s="7">
        <f>AF6+(AA7-AA6)/$AC$8*60</f>
        <v>401.37221269295969</v>
      </c>
      <c r="AG7" s="7">
        <f>AG6-AE7*(AF7-AF6)</f>
        <v>3.4490449382374679E-6</v>
      </c>
      <c r="AH7" s="9">
        <f t="shared" ref="AH7:AH16" si="17">AG7/$AD$10</f>
        <v>1.8643486152634961E-9</v>
      </c>
      <c r="AI7" s="9">
        <f t="shared" ref="AI7:AI16" si="18">4*PI()*(AH7/$AD$16*3/(PI()*4))^(2/3)*$AD$16</f>
        <v>0.22481818345536245</v>
      </c>
      <c r="AJ7" s="69">
        <f t="shared" ref="AJ7:AJ16" si="19">AA7</f>
        <v>1199.8284734133699</v>
      </c>
      <c r="AK7" s="9">
        <f t="shared" ref="AK7:AK16" si="20">AE7/AI7</f>
        <v>5.6468804750013088E-10</v>
      </c>
      <c r="AL7" s="8">
        <f t="shared" ref="AL7:AL16" si="21">0.9*101325</f>
        <v>91192.5</v>
      </c>
      <c r="AN7" s="68">
        <v>850.780894095804</v>
      </c>
      <c r="AO7" s="67">
        <v>3.3615563447804</v>
      </c>
      <c r="AP7" s="74">
        <f t="shared" si="0"/>
        <v>2.5999999999999999E-2</v>
      </c>
      <c r="AQ7" s="69">
        <f t="shared" si="1"/>
        <v>1123.930894095804</v>
      </c>
      <c r="AR7" s="7">
        <f t="shared" si="2"/>
        <v>5.602593907967334E-11</v>
      </c>
      <c r="AS7" s="8">
        <f t="shared" si="3"/>
        <v>2634.45</v>
      </c>
    </row>
    <row r="8" spans="2:45">
      <c r="B8" s="6">
        <v>850</v>
      </c>
      <c r="C8" s="7">
        <v>39.249706916764303</v>
      </c>
      <c r="D8" s="7">
        <v>0.27231648875999998</v>
      </c>
      <c r="E8" s="7">
        <f t="shared" si="4"/>
        <v>2.7231648875999995E-7</v>
      </c>
      <c r="F8" s="8">
        <f t="shared" si="5"/>
        <v>0.1</v>
      </c>
      <c r="G8" s="7" t="s">
        <v>60</v>
      </c>
      <c r="H8" s="46">
        <f t="shared" ref="H8:H15" si="22">0.5*((E8-E7)/(C8-C7)/60+(E9-E8)/(C9-C8)/60)</f>
        <v>1.1440278855272534E-10</v>
      </c>
      <c r="I8" s="7">
        <f t="shared" si="6"/>
        <v>3.9334243850810813E-10</v>
      </c>
      <c r="J8" s="9">
        <f t="shared" si="7"/>
        <v>5.2477266771612061E-2</v>
      </c>
      <c r="K8" s="7">
        <f t="shared" si="8"/>
        <v>1123.1500000000001</v>
      </c>
      <c r="L8" s="9">
        <f t="shared" si="9"/>
        <v>2.1800447239491581E-9</v>
      </c>
      <c r="M8" s="8">
        <f t="shared" si="10"/>
        <v>100000</v>
      </c>
      <c r="O8" s="78">
        <v>205.73566084788001</v>
      </c>
      <c r="P8" s="69">
        <v>98.382473693814205</v>
      </c>
      <c r="Q8" s="7" t="s">
        <v>106</v>
      </c>
      <c r="R8" s="24" t="s">
        <v>29</v>
      </c>
      <c r="S8" s="7">
        <f t="shared" ref="S8:S17" si="23">0.5*(((P8-P9)/100*$Q$9)/((O9-O8)/$Q$7*60)+((P8-P7)/100*$Q$9)/((O7-O8)/$Q$7*60))</f>
        <v>1.2749738041108675E-11</v>
      </c>
      <c r="T8" s="9">
        <f t="shared" si="11"/>
        <v>9.8382473693814209E-7</v>
      </c>
      <c r="U8" s="51">
        <f t="shared" si="12"/>
        <v>5.3179715510169845E-10</v>
      </c>
      <c r="V8" s="9">
        <f t="shared" si="13"/>
        <v>6.4163494656772749E-2</v>
      </c>
      <c r="W8" s="69">
        <f t="shared" si="14"/>
        <v>478.88566084787999</v>
      </c>
      <c r="X8" s="9">
        <f t="shared" si="15"/>
        <v>1.9870703909302862E-10</v>
      </c>
      <c r="Y8" s="8">
        <f t="shared" si="16"/>
        <v>10132.5</v>
      </c>
      <c r="AA8" s="80">
        <v>1252.3156089193801</v>
      </c>
      <c r="AB8" s="81">
        <v>1.51133501259447E-5</v>
      </c>
      <c r="AC8" s="7">
        <v>10</v>
      </c>
      <c r="AD8" s="64">
        <v>4.9999999999999998E-8</v>
      </c>
      <c r="AE8" s="7">
        <f>AB8*$AC$10</f>
        <v>5.2896725440806451E-11</v>
      </c>
      <c r="AF8" s="7">
        <f t="shared" ref="AF8:AF16" si="24">AF7+(AA8-AA7)/$AC$8*60</f>
        <v>716.29502572902084</v>
      </c>
      <c r="AG8" s="7">
        <f t="shared" ref="AG8:AG16" si="25">AG7-AE8*(AF8-AF7)</f>
        <v>3.4323865526612531E-6</v>
      </c>
      <c r="AH8" s="9">
        <f t="shared" si="17"/>
        <v>1.8553440825195962E-9</v>
      </c>
      <c r="AI8" s="9">
        <f t="shared" si="18"/>
        <v>0.22409370672580634</v>
      </c>
      <c r="AJ8" s="69">
        <f t="shared" si="19"/>
        <v>1252.3156089193801</v>
      </c>
      <c r="AK8" s="9">
        <f t="shared" si="20"/>
        <v>2.360473491811581E-10</v>
      </c>
      <c r="AL8" s="8">
        <f t="shared" si="21"/>
        <v>91192.5</v>
      </c>
      <c r="AN8" s="68">
        <v>823.21365640659701</v>
      </c>
      <c r="AO8" s="67">
        <v>1.1685518873180867</v>
      </c>
      <c r="AP8" s="74">
        <f t="shared" si="0"/>
        <v>2.5999999999999999E-2</v>
      </c>
      <c r="AQ8" s="69">
        <f t="shared" si="1"/>
        <v>1096.3636564065969</v>
      </c>
      <c r="AR8" s="7">
        <f t="shared" si="2"/>
        <v>1.9475864788634778E-11</v>
      </c>
      <c r="AS8" s="8">
        <f t="shared" si="3"/>
        <v>2634.45</v>
      </c>
    </row>
    <row r="9" spans="2:45">
      <c r="B9" s="6">
        <v>850</v>
      </c>
      <c r="C9" s="7">
        <v>58.4525205158264</v>
      </c>
      <c r="D9" s="7">
        <v>0.40408259805433799</v>
      </c>
      <c r="E9" s="7">
        <f t="shared" si="4"/>
        <v>4.0408259805433796E-7</v>
      </c>
      <c r="F9" s="8">
        <f t="shared" si="5"/>
        <v>0.1</v>
      </c>
      <c r="G9" s="7">
        <v>1850</v>
      </c>
      <c r="H9" s="46">
        <f t="shared" si="22"/>
        <v>1.1394826745703987E-10</v>
      </c>
      <c r="I9" s="7">
        <f t="shared" si="6"/>
        <v>3.2211751456522272E-10</v>
      </c>
      <c r="J9" s="9">
        <f t="shared" si="7"/>
        <v>4.5933925626360998E-2</v>
      </c>
      <c r="K9" s="7">
        <f t="shared" si="8"/>
        <v>1123.1500000000001</v>
      </c>
      <c r="L9" s="9">
        <f t="shared" si="9"/>
        <v>2.4806995244413894E-9</v>
      </c>
      <c r="M9" s="8">
        <f t="shared" si="10"/>
        <v>100000</v>
      </c>
      <c r="O9" s="78">
        <v>288.02992518703201</v>
      </c>
      <c r="P9" s="69">
        <v>97.747627881515697</v>
      </c>
      <c r="Q9" s="9">
        <v>9.9999999999999995E-7</v>
      </c>
      <c r="R9" s="24">
        <v>1850</v>
      </c>
      <c r="S9" s="7">
        <f t="shared" si="23"/>
        <v>8.9813641642912269E-12</v>
      </c>
      <c r="T9" s="9">
        <f t="shared" si="11"/>
        <v>9.7747627881515707E-7</v>
      </c>
      <c r="U9" s="51">
        <f t="shared" si="12"/>
        <v>5.2836555611630108E-10</v>
      </c>
      <c r="V9" s="9">
        <f t="shared" si="13"/>
        <v>6.3887172674607154E-2</v>
      </c>
      <c r="W9" s="69">
        <f t="shared" si="14"/>
        <v>561.17992518703204</v>
      </c>
      <c r="X9" s="9">
        <f t="shared" si="15"/>
        <v>1.4058165024825079E-10</v>
      </c>
      <c r="Y9" s="8">
        <f t="shared" si="16"/>
        <v>10132.5</v>
      </c>
      <c r="AA9" s="80">
        <v>1303.7735849056601</v>
      </c>
      <c r="AB9" s="81">
        <v>1.17884130982367E-4</v>
      </c>
      <c r="AC9" s="7" t="s">
        <v>106</v>
      </c>
      <c r="AD9" s="24" t="s">
        <v>29</v>
      </c>
      <c r="AE9" s="7">
        <f>AB9*$AC$10</f>
        <v>4.1259445843828449E-10</v>
      </c>
      <c r="AF9" s="7">
        <f t="shared" si="24"/>
        <v>1025.0428816467006</v>
      </c>
      <c r="AG9" s="7">
        <f t="shared" si="25"/>
        <v>3.3049988982549164E-6</v>
      </c>
      <c r="AH9" s="9">
        <f t="shared" si="17"/>
        <v>1.7864858909486035E-9</v>
      </c>
      <c r="AI9" s="9">
        <f t="shared" si="18"/>
        <v>0.21851424053561774</v>
      </c>
      <c r="AJ9" s="69">
        <f t="shared" si="19"/>
        <v>1303.7735849056601</v>
      </c>
      <c r="AK9" s="9">
        <f t="shared" si="20"/>
        <v>1.8881810971538567E-9</v>
      </c>
      <c r="AL9" s="8">
        <f t="shared" si="21"/>
        <v>91192.5</v>
      </c>
      <c r="AN9" s="68">
        <v>792.49877515235301</v>
      </c>
      <c r="AO9" s="67">
        <v>0.39109132535340668</v>
      </c>
      <c r="AP9" s="74">
        <f t="shared" si="0"/>
        <v>2.5999999999999999E-2</v>
      </c>
      <c r="AQ9" s="69">
        <f t="shared" si="1"/>
        <v>1065.648775152353</v>
      </c>
      <c r="AR9" s="7">
        <f t="shared" si="2"/>
        <v>6.5181887558901118E-12</v>
      </c>
      <c r="AS9" s="8">
        <f t="shared" si="3"/>
        <v>2634.45</v>
      </c>
    </row>
    <row r="10" spans="2:45">
      <c r="B10" s="6">
        <v>850</v>
      </c>
      <c r="C10" s="7">
        <v>79.343493552168695</v>
      </c>
      <c r="D10" s="7">
        <v>0.54639147693383505</v>
      </c>
      <c r="E10" s="7">
        <f t="shared" si="4"/>
        <v>5.4639147693383505E-7</v>
      </c>
      <c r="F10" s="8">
        <f t="shared" si="5"/>
        <v>0.1</v>
      </c>
      <c r="G10" s="7" t="s">
        <v>68</v>
      </c>
      <c r="H10" s="46">
        <f t="shared" si="22"/>
        <v>1.1269749349323294E-10</v>
      </c>
      <c r="I10" s="7">
        <f t="shared" si="6"/>
        <v>2.4519379625198103E-10</v>
      </c>
      <c r="J10" s="9">
        <f t="shared" si="7"/>
        <v>3.8293963740564339E-2</v>
      </c>
      <c r="K10" s="7">
        <f t="shared" si="8"/>
        <v>1123.1500000000001</v>
      </c>
      <c r="L10" s="9">
        <f t="shared" si="9"/>
        <v>2.9429571265262841E-9</v>
      </c>
      <c r="M10" s="8">
        <f t="shared" si="10"/>
        <v>100000</v>
      </c>
      <c r="O10" s="78">
        <v>384.03990024937599</v>
      </c>
      <c r="P10" s="69">
        <v>97.108600450094201</v>
      </c>
      <c r="Q10" s="7"/>
      <c r="R10" s="24" t="s">
        <v>68</v>
      </c>
      <c r="S10" s="7">
        <f t="shared" si="23"/>
        <v>2.6714371663434957E-11</v>
      </c>
      <c r="T10" s="9">
        <f t="shared" si="11"/>
        <v>9.7108600450094201E-7</v>
      </c>
      <c r="U10" s="51">
        <f t="shared" si="12"/>
        <v>5.24911353784293E-10</v>
      </c>
      <c r="V10" s="9">
        <f t="shared" si="13"/>
        <v>6.3608425799620658E-2</v>
      </c>
      <c r="W10" s="69">
        <f t="shared" si="14"/>
        <v>657.18990024937602</v>
      </c>
      <c r="X10" s="9">
        <f t="shared" si="15"/>
        <v>4.1998165066355523E-10</v>
      </c>
      <c r="Y10" s="8">
        <f t="shared" si="16"/>
        <v>10132.5</v>
      </c>
      <c r="AA10" s="80">
        <v>1351.11492281303</v>
      </c>
      <c r="AB10" s="81">
        <v>3.3249370277078E-4</v>
      </c>
      <c r="AC10" s="7">
        <v>3.4999999999999999E-6</v>
      </c>
      <c r="AD10" s="24">
        <v>1850</v>
      </c>
      <c r="AE10" s="7">
        <f>AB10*$AC$10</f>
        <v>1.1637279596977299E-9</v>
      </c>
      <c r="AF10" s="7">
        <f t="shared" si="24"/>
        <v>1309.0909090909204</v>
      </c>
      <c r="AG10" s="7">
        <f t="shared" si="25"/>
        <v>2.9744442668210897E-6</v>
      </c>
      <c r="AH10" s="9">
        <f t="shared" si="17"/>
        <v>1.6078077117951835E-9</v>
      </c>
      <c r="AI10" s="9">
        <f t="shared" si="18"/>
        <v>0.20368986623354626</v>
      </c>
      <c r="AJ10" s="69">
        <f t="shared" si="19"/>
        <v>1351.11492281303</v>
      </c>
      <c r="AK10" s="9">
        <f t="shared" si="20"/>
        <v>5.7132344441889188E-9</v>
      </c>
      <c r="AL10" s="8">
        <f t="shared" si="21"/>
        <v>91192.5</v>
      </c>
      <c r="AN10" s="68">
        <v>861.22089375198698</v>
      </c>
      <c r="AO10" s="70">
        <v>16.048750023811632</v>
      </c>
      <c r="AP10" s="74">
        <f t="shared" si="0"/>
        <v>2.5999999999999999E-2</v>
      </c>
      <c r="AQ10" s="69">
        <f t="shared" si="1"/>
        <v>1134.3708937519868</v>
      </c>
      <c r="AR10" s="7">
        <f t="shared" si="2"/>
        <v>2.6747916706352719E-10</v>
      </c>
      <c r="AS10" s="8">
        <f t="shared" si="3"/>
        <v>2634.45</v>
      </c>
    </row>
    <row r="11" spans="2:45">
      <c r="B11" s="6">
        <v>850</v>
      </c>
      <c r="C11" s="7">
        <v>100.023446658851</v>
      </c>
      <c r="D11" s="7">
        <v>0.68518952715904602</v>
      </c>
      <c r="E11" s="7">
        <f t="shared" si="4"/>
        <v>6.8518952715904594E-7</v>
      </c>
      <c r="F11" s="8">
        <f t="shared" si="5"/>
        <v>0.1</v>
      </c>
      <c r="G11" s="9">
        <f>4*PI()*G7^2</f>
        <v>3.1415926535897928E-14</v>
      </c>
      <c r="H11" s="46">
        <f t="shared" si="22"/>
        <v>1.0854472618257093E-10</v>
      </c>
      <c r="I11" s="7">
        <f t="shared" si="6"/>
        <v>1.7016782315727245E-10</v>
      </c>
      <c r="J11" s="9">
        <f t="shared" si="7"/>
        <v>3.0017576912901977E-2</v>
      </c>
      <c r="K11" s="7">
        <f t="shared" si="8"/>
        <v>1123.1500000000001</v>
      </c>
      <c r="L11" s="9">
        <f t="shared" si="9"/>
        <v>3.6160389127183973E-9</v>
      </c>
      <c r="M11" s="8">
        <f t="shared" si="10"/>
        <v>100000</v>
      </c>
      <c r="O11" s="78">
        <v>486.28428927680801</v>
      </c>
      <c r="P11" s="69">
        <v>93.418891794902905</v>
      </c>
      <c r="Q11" s="7"/>
      <c r="R11" s="64">
        <f>4*PI()*(R7/2)^2</f>
        <v>7.853981633974482E-15</v>
      </c>
      <c r="S11" s="7">
        <f t="shared" si="23"/>
        <v>4.8215038171722858E-11</v>
      </c>
      <c r="T11" s="9">
        <f t="shared" si="11"/>
        <v>9.3418891794902907E-7</v>
      </c>
      <c r="U11" s="51">
        <f t="shared" si="12"/>
        <v>5.0496698267515086E-10</v>
      </c>
      <c r="V11" s="9">
        <f t="shared" si="13"/>
        <v>6.1986815422904649E-2</v>
      </c>
      <c r="W11" s="69">
        <f t="shared" si="14"/>
        <v>759.43428927680793</v>
      </c>
      <c r="X11" s="9">
        <f t="shared" si="15"/>
        <v>7.7782731445027574E-10</v>
      </c>
      <c r="Y11" s="8">
        <f t="shared" si="16"/>
        <v>10132.5</v>
      </c>
      <c r="AA11" s="80">
        <v>1401.54373927958</v>
      </c>
      <c r="AB11" s="81">
        <v>3.3249370277078E-4</v>
      </c>
      <c r="AC11" s="7"/>
      <c r="AD11" s="24" t="s">
        <v>68</v>
      </c>
      <c r="AE11" s="7">
        <f>AB11*$AC$10</f>
        <v>1.1637279596977299E-9</v>
      </c>
      <c r="AF11" s="7">
        <f t="shared" si="24"/>
        <v>1611.6638078902201</v>
      </c>
      <c r="AG11" s="7">
        <f t="shared" si="25"/>
        <v>2.6223317246415527E-6</v>
      </c>
      <c r="AH11" s="9">
        <f t="shared" si="17"/>
        <v>1.4174766079143527E-9</v>
      </c>
      <c r="AI11" s="9">
        <f t="shared" si="18"/>
        <v>0.18727966267557206</v>
      </c>
      <c r="AJ11" s="69">
        <f t="shared" si="19"/>
        <v>1401.54373927958</v>
      </c>
      <c r="AK11" s="9">
        <f t="shared" si="20"/>
        <v>6.2138512162619432E-9</v>
      </c>
      <c r="AL11" s="8">
        <f t="shared" si="21"/>
        <v>91192.5</v>
      </c>
      <c r="AN11" s="68">
        <v>862.486139881898</v>
      </c>
      <c r="AO11" s="70">
        <v>15.751377450980499</v>
      </c>
      <c r="AP11" s="74">
        <f t="shared" si="0"/>
        <v>2.5999999999999999E-2</v>
      </c>
      <c r="AQ11" s="69">
        <f t="shared" si="1"/>
        <v>1135.6361398818981</v>
      </c>
      <c r="AR11" s="7">
        <f t="shared" si="2"/>
        <v>2.6252295751634166E-10</v>
      </c>
      <c r="AS11" s="8">
        <f t="shared" si="3"/>
        <v>2634.45</v>
      </c>
    </row>
    <row r="12" spans="2:45">
      <c r="B12" s="6">
        <v>850</v>
      </c>
      <c r="C12" s="7">
        <v>119.226260257913</v>
      </c>
      <c r="D12" s="7">
        <v>0.80642932066391004</v>
      </c>
      <c r="E12" s="7">
        <f t="shared" si="4"/>
        <v>8.0642932066391001E-7</v>
      </c>
      <c r="F12" s="8">
        <f t="shared" si="5"/>
        <v>0.1</v>
      </c>
      <c r="G12" s="7" t="s">
        <v>53</v>
      </c>
      <c r="H12" s="46">
        <f t="shared" si="22"/>
        <v>9.2975182938463698E-11</v>
      </c>
      <c r="I12" s="7">
        <f t="shared" si="6"/>
        <v>1.046327996411297E-10</v>
      </c>
      <c r="J12" s="9">
        <f t="shared" si="7"/>
        <v>2.1705471974435116E-2</v>
      </c>
      <c r="K12" s="7">
        <f t="shared" si="8"/>
        <v>1123.1500000000001</v>
      </c>
      <c r="L12" s="9">
        <f t="shared" si="9"/>
        <v>4.2834904971414874E-9</v>
      </c>
      <c r="M12" s="8">
        <f t="shared" si="10"/>
        <v>100000</v>
      </c>
      <c r="O12" s="78">
        <v>591.02244389027396</v>
      </c>
      <c r="P12" s="69">
        <v>89.118666747764706</v>
      </c>
      <c r="Q12" s="7"/>
      <c r="R12" s="24" t="s">
        <v>53</v>
      </c>
      <c r="S12" s="7">
        <f t="shared" si="23"/>
        <v>6.5525572623514563E-11</v>
      </c>
      <c r="T12" s="9">
        <f t="shared" si="11"/>
        <v>8.9118666747764702E-7</v>
      </c>
      <c r="U12" s="51">
        <f t="shared" si="12"/>
        <v>4.8172252296089024E-10</v>
      </c>
      <c r="V12" s="9">
        <f t="shared" si="13"/>
        <v>6.0069678111060003E-2</v>
      </c>
      <c r="W12" s="69">
        <f t="shared" si="14"/>
        <v>864.17244389027394</v>
      </c>
      <c r="X12" s="9">
        <f t="shared" si="15"/>
        <v>1.0908260986910469E-9</v>
      </c>
      <c r="Y12" s="8">
        <f t="shared" si="16"/>
        <v>10132.5</v>
      </c>
      <c r="AA12" s="80">
        <v>1448.88507718696</v>
      </c>
      <c r="AB12" s="81">
        <v>4.3526448362720299E-4</v>
      </c>
      <c r="AC12" s="7"/>
      <c r="AD12" s="64">
        <f>4*PI()*(AD8/2)^2</f>
        <v>7.853981633974482E-15</v>
      </c>
      <c r="AE12" s="7">
        <f>AB12*$AC$10</f>
        <v>1.5234256926952105E-9</v>
      </c>
      <c r="AF12" s="7">
        <f t="shared" si="24"/>
        <v>1895.7118353344999</v>
      </c>
      <c r="AG12" s="7">
        <f t="shared" si="25"/>
        <v>2.1896056616735427E-6</v>
      </c>
      <c r="AH12" s="9">
        <f t="shared" si="17"/>
        <v>1.1835706279316446E-9</v>
      </c>
      <c r="AI12" s="9">
        <f t="shared" si="18"/>
        <v>0.16606424576419973</v>
      </c>
      <c r="AJ12" s="69">
        <f t="shared" si="19"/>
        <v>1448.88507718696</v>
      </c>
      <c r="AK12" s="9">
        <f t="shared" si="20"/>
        <v>9.1737127741414881E-9</v>
      </c>
      <c r="AL12" s="8">
        <f t="shared" si="21"/>
        <v>91192.5</v>
      </c>
      <c r="AN12" s="68">
        <v>845.58582099173896</v>
      </c>
      <c r="AO12" s="70">
        <v>7.5479097728421669</v>
      </c>
      <c r="AP12" s="74">
        <f t="shared" si="0"/>
        <v>2.5999999999999999E-2</v>
      </c>
      <c r="AQ12" s="69">
        <f t="shared" si="1"/>
        <v>1118.7358209917388</v>
      </c>
      <c r="AR12" s="7">
        <f t="shared" si="2"/>
        <v>1.2579849621403612E-10</v>
      </c>
      <c r="AS12" s="8">
        <f t="shared" si="3"/>
        <v>2634.45</v>
      </c>
    </row>
    <row r="13" spans="2:45">
      <c r="B13" s="6">
        <v>850</v>
      </c>
      <c r="C13" s="7">
        <v>137.37397420867501</v>
      </c>
      <c r="D13" s="7">
        <v>0.89432549721313803</v>
      </c>
      <c r="E13" s="7">
        <f t="shared" si="4"/>
        <v>8.9432549721313796E-7</v>
      </c>
      <c r="F13" s="8">
        <f t="shared" si="5"/>
        <v>0.1</v>
      </c>
      <c r="G13" s="9">
        <f>(4/3)*PI()*G7^3</f>
        <v>5.235987755982987E-22</v>
      </c>
      <c r="H13" s="46">
        <f t="shared" si="22"/>
        <v>6.5846076935088347E-11</v>
      </c>
      <c r="I13" s="7">
        <f t="shared" si="6"/>
        <v>5.7121352857763241E-11</v>
      </c>
      <c r="J13" s="9">
        <f t="shared" si="7"/>
        <v>1.4498497334035762E-2</v>
      </c>
      <c r="K13" s="7">
        <f t="shared" si="8"/>
        <v>1123.1500000000001</v>
      </c>
      <c r="L13" s="9">
        <f t="shared" si="9"/>
        <v>4.5415794077164281E-9</v>
      </c>
      <c r="M13" s="8">
        <f t="shared" si="10"/>
        <v>100000</v>
      </c>
      <c r="O13" s="78">
        <v>720.69825436408996</v>
      </c>
      <c r="P13" s="69">
        <v>80.847424122620197</v>
      </c>
      <c r="Q13" s="7"/>
      <c r="R13" s="64">
        <f>(4/3)*PI()*(R7/2)^3</f>
        <v>6.5449846949787338E-23</v>
      </c>
      <c r="S13" s="7">
        <f t="shared" si="23"/>
        <v>1.2672965131542177E-10</v>
      </c>
      <c r="T13" s="9">
        <f t="shared" si="11"/>
        <v>8.0847424122620197E-7</v>
      </c>
      <c r="U13" s="51">
        <f t="shared" si="12"/>
        <v>4.3701310336551458E-10</v>
      </c>
      <c r="V13" s="9">
        <f t="shared" si="13"/>
        <v>5.6292902608494455E-2</v>
      </c>
      <c r="W13" s="69">
        <f t="shared" si="14"/>
        <v>993.84825436408994</v>
      </c>
      <c r="X13" s="9">
        <f t="shared" si="15"/>
        <v>2.2512545177639959E-9</v>
      </c>
      <c r="Y13" s="8">
        <f t="shared" si="16"/>
        <v>10132.5</v>
      </c>
      <c r="AA13" s="80">
        <v>1501.3722126929599</v>
      </c>
      <c r="AB13" s="81">
        <v>7.5566750629722898E-4</v>
      </c>
      <c r="AC13" s="7"/>
      <c r="AD13" s="24" t="s">
        <v>53</v>
      </c>
      <c r="AE13" s="7">
        <f>AB13*$AC$10</f>
        <v>2.6448362720403012E-9</v>
      </c>
      <c r="AF13" s="7">
        <f t="shared" si="24"/>
        <v>2210.6346483704997</v>
      </c>
      <c r="AG13" s="7">
        <f t="shared" si="25"/>
        <v>1.3566863828629644E-6</v>
      </c>
      <c r="AH13" s="9">
        <f t="shared" si="17"/>
        <v>7.3334399073673747E-10</v>
      </c>
      <c r="AI13" s="9">
        <f t="shared" si="18"/>
        <v>0.12069385983608374</v>
      </c>
      <c r="AJ13" s="69">
        <f t="shared" si="19"/>
        <v>1501.3722126929599</v>
      </c>
      <c r="AK13" s="9">
        <f t="shared" si="20"/>
        <v>2.1913594242758458E-8</v>
      </c>
      <c r="AL13" s="8">
        <f t="shared" si="21"/>
        <v>91192.5</v>
      </c>
      <c r="AN13" s="68">
        <v>824.37575747156995</v>
      </c>
      <c r="AO13" s="70">
        <v>2.0172174631032598</v>
      </c>
      <c r="AP13" s="74">
        <f t="shared" si="0"/>
        <v>2.5999999999999999E-2</v>
      </c>
      <c r="AQ13" s="69">
        <f t="shared" si="1"/>
        <v>1097.5257574715699</v>
      </c>
      <c r="AR13" s="7">
        <f t="shared" si="2"/>
        <v>3.3620291051721002E-11</v>
      </c>
      <c r="AS13" s="8">
        <f t="shared" si="3"/>
        <v>2634.45</v>
      </c>
    </row>
    <row r="14" spans="2:45">
      <c r="B14" s="6">
        <v>850</v>
      </c>
      <c r="C14" s="7">
        <v>156.36576787807701</v>
      </c>
      <c r="D14" s="7">
        <v>0.95240533925669901</v>
      </c>
      <c r="E14" s="7">
        <f t="shared" si="4"/>
        <v>9.5240533925669902E-7</v>
      </c>
      <c r="F14" s="8">
        <f t="shared" si="5"/>
        <v>0.1</v>
      </c>
      <c r="G14" s="7" t="s">
        <v>97</v>
      </c>
      <c r="H14" s="46">
        <f t="shared" si="22"/>
        <v>4.1210166495490814E-11</v>
      </c>
      <c r="I14" s="7">
        <f t="shared" si="6"/>
        <v>2.572684364502753E-11</v>
      </c>
      <c r="J14" s="9">
        <f t="shared" si="7"/>
        <v>8.5188637973408476E-3</v>
      </c>
      <c r="K14" s="7">
        <f t="shared" si="8"/>
        <v>1123.1500000000001</v>
      </c>
      <c r="L14" s="9">
        <f t="shared" si="9"/>
        <v>4.8375191194340392E-9</v>
      </c>
      <c r="M14" s="8">
        <f t="shared" si="10"/>
        <v>100000</v>
      </c>
      <c r="O14" s="78">
        <v>804.23940149625901</v>
      </c>
      <c r="P14" s="69">
        <v>69.236588407031107</v>
      </c>
      <c r="Q14" s="7"/>
      <c r="R14" s="24" t="s">
        <v>107</v>
      </c>
      <c r="S14" s="7">
        <f t="shared" si="23"/>
        <v>3.353878947488188E-10</v>
      </c>
      <c r="T14" s="9">
        <f t="shared" si="11"/>
        <v>6.9236588407031109E-7</v>
      </c>
      <c r="U14" s="51">
        <f t="shared" si="12"/>
        <v>3.742518292271952E-10</v>
      </c>
      <c r="V14" s="9">
        <f t="shared" si="13"/>
        <v>5.0765261119534319E-2</v>
      </c>
      <c r="W14" s="69">
        <f t="shared" si="14"/>
        <v>1077.3894014962589</v>
      </c>
      <c r="X14" s="9">
        <f t="shared" si="15"/>
        <v>6.6066417733792087E-9</v>
      </c>
      <c r="Y14" s="8">
        <f t="shared" si="16"/>
        <v>10132.5</v>
      </c>
      <c r="AA14" s="80">
        <v>1552.8301886792401</v>
      </c>
      <c r="AB14" s="81">
        <v>9.5818639798488602E-4</v>
      </c>
      <c r="AC14" s="7"/>
      <c r="AD14" s="64">
        <f>(4/3)*PI()*(AD8/2)^3</f>
        <v>6.5449846949787338E-23</v>
      </c>
      <c r="AE14" s="7">
        <f>AB14*$AC$10</f>
        <v>3.353652392947101E-9</v>
      </c>
      <c r="AF14" s="7">
        <f t="shared" si="24"/>
        <v>2519.3825042881808</v>
      </c>
      <c r="AG14" s="7">
        <f t="shared" si="25"/>
        <v>3.2125339704734621E-7</v>
      </c>
      <c r="AH14" s="9">
        <f t="shared" si="17"/>
        <v>1.7365048489045741E-10</v>
      </c>
      <c r="AI14" s="9">
        <f t="shared" si="18"/>
        <v>4.619525317205786E-2</v>
      </c>
      <c r="AJ14" s="69">
        <f t="shared" si="19"/>
        <v>1552.8301886792401</v>
      </c>
      <c r="AK14" s="9">
        <f t="shared" si="20"/>
        <v>7.2597337662728216E-8</v>
      </c>
      <c r="AL14" s="8">
        <f t="shared" si="21"/>
        <v>91192.5</v>
      </c>
      <c r="AN14" s="71">
        <v>792.96464702899198</v>
      </c>
      <c r="AO14" s="73">
        <v>0.96531220315690003</v>
      </c>
      <c r="AP14" s="75">
        <f t="shared" si="0"/>
        <v>2.5999999999999999E-2</v>
      </c>
      <c r="AQ14" s="72">
        <f t="shared" si="1"/>
        <v>1066.1146470289918</v>
      </c>
      <c r="AR14" s="11">
        <f t="shared" si="2"/>
        <v>1.6088536719281665E-11</v>
      </c>
      <c r="AS14" s="13">
        <f t="shared" si="3"/>
        <v>2634.45</v>
      </c>
    </row>
    <row r="15" spans="2:45">
      <c r="B15" s="6">
        <v>850</v>
      </c>
      <c r="C15" s="7">
        <v>169.449003516998</v>
      </c>
      <c r="D15" s="7">
        <v>0.97709425968203001</v>
      </c>
      <c r="E15" s="7">
        <f t="shared" si="4"/>
        <v>9.7709425968203004E-7</v>
      </c>
      <c r="F15" s="8">
        <f t="shared" si="5"/>
        <v>0.1</v>
      </c>
      <c r="G15" s="9">
        <f>G19/G9*6/PI()/G7^3</f>
        <v>8258851100984.8418</v>
      </c>
      <c r="H15" s="46">
        <f t="shared" si="22"/>
        <v>2.5704194776068486E-11</v>
      </c>
      <c r="I15" s="7">
        <f t="shared" si="6"/>
        <v>1.2381481252956709E-11</v>
      </c>
      <c r="J15" s="9">
        <f t="shared" si="7"/>
        <v>5.2316547111775063E-3</v>
      </c>
      <c r="K15" s="7">
        <f t="shared" si="8"/>
        <v>1123.1500000000001</v>
      </c>
      <c r="L15" s="9">
        <f t="shared" si="9"/>
        <v>4.9132055143377681E-9</v>
      </c>
      <c r="M15" s="8">
        <f t="shared" si="10"/>
        <v>100000</v>
      </c>
      <c r="O15" s="78">
        <v>854.11471321695694</v>
      </c>
      <c r="P15" s="69">
        <v>49.404309348579702</v>
      </c>
      <c r="Q15" s="7"/>
      <c r="R15" s="64">
        <f>Q9*6/(R9*PI()*R7^3)</f>
        <v>8258851100984.8418</v>
      </c>
      <c r="S15" s="7">
        <f t="shared" si="23"/>
        <v>9.6786731079625988E-10</v>
      </c>
      <c r="T15" s="9">
        <f t="shared" si="11"/>
        <v>4.94043093485797E-7</v>
      </c>
      <c r="U15" s="51">
        <f t="shared" si="12"/>
        <v>2.6705032080313349E-10</v>
      </c>
      <c r="V15" s="9">
        <f t="shared" si="13"/>
        <v>4.0537105876494617E-2</v>
      </c>
      <c r="W15" s="69">
        <f t="shared" si="14"/>
        <v>1127.2647132169568</v>
      </c>
      <c r="X15" s="9">
        <f t="shared" si="15"/>
        <v>2.3876083155642256E-8</v>
      </c>
      <c r="Y15" s="8">
        <f t="shared" si="16"/>
        <v>10132.5</v>
      </c>
      <c r="AA15" s="78">
        <v>1581.6466552315601</v>
      </c>
      <c r="AB15" s="7">
        <v>4.9874055415617105E-4</v>
      </c>
      <c r="AC15" s="7"/>
      <c r="AD15" s="24" t="s">
        <v>107</v>
      </c>
      <c r="AE15" s="7">
        <f>AB15*$AC$10</f>
        <v>1.7455919395465987E-9</v>
      </c>
      <c r="AF15" s="7">
        <f t="shared" si="24"/>
        <v>2692.2813036021007</v>
      </c>
      <c r="AG15" s="7">
        <f t="shared" si="25"/>
        <v>1.9442646607682702E-8</v>
      </c>
      <c r="AH15" s="9">
        <f t="shared" si="17"/>
        <v>1.0509538706855514E-11</v>
      </c>
      <c r="AI15" s="9">
        <f t="shared" si="18"/>
        <v>7.1209147642268293E-3</v>
      </c>
      <c r="AJ15" s="69">
        <f t="shared" si="19"/>
        <v>1581.6466552315601</v>
      </c>
      <c r="AK15" s="9">
        <f t="shared" si="20"/>
        <v>2.4513591263806264E-7</v>
      </c>
      <c r="AL15" s="8">
        <f t="shared" si="21"/>
        <v>91192.5</v>
      </c>
    </row>
    <row r="16" spans="2:45">
      <c r="B16" s="6">
        <v>850</v>
      </c>
      <c r="C16" s="7">
        <v>179.78898007033899</v>
      </c>
      <c r="D16" s="7">
        <v>0.98947574093498603</v>
      </c>
      <c r="E16" s="7">
        <f t="shared" si="4"/>
        <v>9.8947574093498599E-7</v>
      </c>
      <c r="F16" s="8">
        <f t="shared" si="5"/>
        <v>0.1</v>
      </c>
      <c r="G16" s="7"/>
      <c r="H16" s="46">
        <f>(E16-E15)/(C16-C15)/60</f>
        <v>1.9957300659054386E-11</v>
      </c>
      <c r="I16" s="7">
        <f t="shared" si="6"/>
        <v>5.688788683791335E-12</v>
      </c>
      <c r="J16" s="9">
        <f t="shared" si="7"/>
        <v>3.1150895630687454E-3</v>
      </c>
      <c r="K16" s="7">
        <f t="shared" si="8"/>
        <v>1123.1500000000001</v>
      </c>
      <c r="L16" s="9">
        <f t="shared" si="9"/>
        <v>6.4066538874708942E-9</v>
      </c>
      <c r="M16" s="8">
        <f t="shared" si="10"/>
        <v>100000</v>
      </c>
      <c r="O16" s="78">
        <v>875.31172069825402</v>
      </c>
      <c r="P16" s="69">
        <v>25.007602943859801</v>
      </c>
      <c r="Q16" s="7"/>
      <c r="R16" s="24"/>
      <c r="S16" s="7">
        <f t="shared" si="23"/>
        <v>1.6237203341702107E-9</v>
      </c>
      <c r="T16" s="9">
        <f t="shared" si="11"/>
        <v>2.5007602943859802E-7</v>
      </c>
      <c r="U16" s="51">
        <f t="shared" si="12"/>
        <v>1.351762321289719E-10</v>
      </c>
      <c r="V16" s="9">
        <f t="shared" si="13"/>
        <v>2.5746857408969797E-2</v>
      </c>
      <c r="W16" s="69">
        <f t="shared" si="14"/>
        <v>1148.4617206982539</v>
      </c>
      <c r="X16" s="9">
        <f t="shared" si="15"/>
        <v>6.306479693341263E-8</v>
      </c>
      <c r="Y16" s="8">
        <f t="shared" si="16"/>
        <v>10132.5</v>
      </c>
      <c r="AA16" s="80">
        <v>1598.1132075471601</v>
      </c>
      <c r="AB16" s="7">
        <v>5.4408060453400401E-5</v>
      </c>
      <c r="AC16" s="7"/>
      <c r="AD16" s="64">
        <f>AC10*6/(AD10*PI()*AD8^3)</f>
        <v>28905978853446.941</v>
      </c>
      <c r="AE16" s="7">
        <f>AB16*$AC$10</f>
        <v>1.9042821158690141E-10</v>
      </c>
      <c r="AF16" s="7">
        <f t="shared" si="24"/>
        <v>2791.0806174957006</v>
      </c>
      <c r="AG16" s="7">
        <f t="shared" si="25"/>
        <v>6.2846995691157129E-10</v>
      </c>
      <c r="AH16" s="9">
        <f t="shared" si="17"/>
        <v>3.3971349022247098E-13</v>
      </c>
      <c r="AI16" s="9">
        <f t="shared" si="18"/>
        <v>7.2258434280411243E-4</v>
      </c>
      <c r="AJ16" s="69">
        <f t="shared" si="19"/>
        <v>1598.1132075471601</v>
      </c>
      <c r="AK16" s="9">
        <f t="shared" si="20"/>
        <v>2.6353769422668649E-7</v>
      </c>
      <c r="AL16" s="8">
        <f t="shared" si="21"/>
        <v>91192.5</v>
      </c>
    </row>
    <row r="17" spans="2:38">
      <c r="B17" s="41" t="s">
        <v>91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3"/>
      <c r="O17" s="78">
        <v>890.27431421446397</v>
      </c>
      <c r="P17" s="69">
        <v>3.35669971412932</v>
      </c>
      <c r="Q17" s="7"/>
      <c r="R17" s="24"/>
      <c r="S17" s="7">
        <f t="shared" si="23"/>
        <v>9.4277184959346473E-10</v>
      </c>
      <c r="T17" s="9">
        <f t="shared" si="11"/>
        <v>3.3566997141293196E-8</v>
      </c>
      <c r="U17" s="51">
        <f t="shared" si="12"/>
        <v>1.8144322779077403E-11</v>
      </c>
      <c r="V17" s="9">
        <f t="shared" si="13"/>
        <v>6.7497006466510192E-3</v>
      </c>
      <c r="W17" s="69">
        <f t="shared" si="14"/>
        <v>1163.4243142144639</v>
      </c>
      <c r="X17" s="9">
        <f t="shared" si="15"/>
        <v>1.396760980890667E-7</v>
      </c>
      <c r="Y17" s="8">
        <f t="shared" si="16"/>
        <v>10132.5</v>
      </c>
      <c r="AA17" s="41" t="s">
        <v>102</v>
      </c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3"/>
    </row>
    <row r="18" spans="2:38">
      <c r="B18" s="28">
        <v>950</v>
      </c>
      <c r="C18" s="7">
        <v>0</v>
      </c>
      <c r="D18" s="7">
        <v>0</v>
      </c>
      <c r="E18" s="7">
        <f>D18*0.000001</f>
        <v>0</v>
      </c>
      <c r="F18" s="8">
        <v>0.1</v>
      </c>
      <c r="G18" s="7" t="s">
        <v>98</v>
      </c>
      <c r="H18" s="46">
        <f>(E19-E18)/(C19-C18)/60</f>
        <v>1.1738122083803107E-10</v>
      </c>
      <c r="I18" s="7">
        <f>($G$19-E18)/$G$9</f>
        <v>5.4054054054054051E-10</v>
      </c>
      <c r="J18" s="9">
        <f>4*PI()*(I18/$G$15*3/(PI()*4))^(2/3)*$G$15</f>
        <v>6.4864864864864785E-2</v>
      </c>
      <c r="K18" s="7">
        <f>B18+273.15</f>
        <v>1223.1500000000001</v>
      </c>
      <c r="L18" s="9">
        <f>H18/J18</f>
        <v>1.8096271545863145E-9</v>
      </c>
      <c r="M18" s="8">
        <f>F18*10^6</f>
        <v>100000</v>
      </c>
      <c r="O18" s="78">
        <v>940.14962593516202</v>
      </c>
      <c r="P18" s="69">
        <v>0.292713338604698</v>
      </c>
      <c r="Q18" s="7"/>
      <c r="R18" s="24"/>
      <c r="S18" s="7">
        <f>((P18-P17)/100*$Q$9)/((O17-O18)/$Q$7*60)</f>
        <v>7.6791158536586154E-11</v>
      </c>
      <c r="T18" s="9">
        <f t="shared" si="11"/>
        <v>2.92713338604698E-9</v>
      </c>
      <c r="U18" s="51">
        <f t="shared" si="12"/>
        <v>1.5822342627280973E-12</v>
      </c>
      <c r="V18" s="9">
        <f t="shared" si="13"/>
        <v>1.3273064141128743E-3</v>
      </c>
      <c r="W18" s="69">
        <f t="shared" si="14"/>
        <v>1213.2996259351621</v>
      </c>
      <c r="X18" s="9">
        <f t="shared" si="15"/>
        <v>5.7854883936435061E-8</v>
      </c>
      <c r="Y18" s="8">
        <f t="shared" si="16"/>
        <v>10132.5</v>
      </c>
      <c r="AA18" s="6">
        <v>1155.57461406518</v>
      </c>
      <c r="AB18" s="7">
        <v>9.0680100755667799E-6</v>
      </c>
      <c r="AC18" s="7"/>
      <c r="AD18" s="24"/>
      <c r="AE18" s="7">
        <v>0</v>
      </c>
      <c r="AF18" s="7">
        <v>0</v>
      </c>
      <c r="AG18" s="7">
        <f>AC10</f>
        <v>3.4999999999999999E-6</v>
      </c>
      <c r="AH18" s="9">
        <f t="shared" ref="AH18:AH40" si="26">AG18/$AD$10</f>
        <v>1.891891891891892E-9</v>
      </c>
      <c r="AI18" s="9">
        <f>4*PI()*(AH18/$AD$16*3/(PI()*4))^(2/3)*$AD$16</f>
        <v>0.22702702702702671</v>
      </c>
      <c r="AJ18" s="69">
        <f t="shared" ref="AJ18" si="27">AA18</f>
        <v>1155.57461406518</v>
      </c>
      <c r="AK18" s="9">
        <f t="shared" ref="AK18" si="28">AE18/AI18</f>
        <v>0</v>
      </c>
      <c r="AL18" s="8">
        <f>0.5*101325</f>
        <v>50662.5</v>
      </c>
    </row>
    <row r="19" spans="2:38">
      <c r="B19" s="28">
        <v>950</v>
      </c>
      <c r="C19" s="7">
        <v>7.0050761421319798</v>
      </c>
      <c r="D19" s="7">
        <v>4.9335863377609E-2</v>
      </c>
      <c r="E19" s="7">
        <f t="shared" ref="E19:E30" si="29">D19*0.000001</f>
        <v>4.9335863377609E-8</v>
      </c>
      <c r="F19" s="8">
        <v>0.1</v>
      </c>
      <c r="G19" s="7">
        <f>0.000001</f>
        <v>9.9999999999999995E-7</v>
      </c>
      <c r="H19" s="46">
        <f>0.5*((E19-E18)/(C19-C18)/60+(E20-E19)/(C20-C19)/60)</f>
        <v>1.2406960948977151E-10</v>
      </c>
      <c r="I19" s="7">
        <f t="shared" ref="I19:I30" si="30">($G$19-E19)/$G$9</f>
        <v>5.1387250628237345E-10</v>
      </c>
      <c r="J19" s="9">
        <f t="shared" ref="J19:J30" si="31">4*PI()*(I19/$G$15*3/(PI()*4))^(2/3)*$G$15</f>
        <v>6.2713483480424465E-2</v>
      </c>
      <c r="K19" s="7">
        <f>B19+273.15</f>
        <v>1223.1500000000001</v>
      </c>
      <c r="L19" s="9">
        <f t="shared" ref="L19:L30" si="32">H19/J19</f>
        <v>1.9783562099289047E-9</v>
      </c>
      <c r="M19" s="8">
        <f t="shared" ref="M19:M30" si="33">F19*10^6</f>
        <v>100000</v>
      </c>
      <c r="O19" s="41" t="s">
        <v>102</v>
      </c>
      <c r="P19" s="42"/>
      <c r="Q19" s="42"/>
      <c r="R19" s="42"/>
      <c r="S19" s="42"/>
      <c r="T19" s="42"/>
      <c r="U19" s="42"/>
      <c r="V19" s="42"/>
      <c r="W19" s="42"/>
      <c r="X19" s="42"/>
      <c r="Y19" s="43"/>
      <c r="AA19" s="28">
        <v>1196.7409948541999</v>
      </c>
      <c r="AB19" s="7">
        <v>2.11586901763226E-5</v>
      </c>
      <c r="AC19" s="7"/>
      <c r="AD19" s="24"/>
      <c r="AE19" s="7">
        <f>AB19*$AC$10</f>
        <v>7.4055415617129105E-11</v>
      </c>
      <c r="AF19" s="7">
        <f>AF18+(AA19-AA18)/$AC$8*60</f>
        <v>246.99828473411981</v>
      </c>
      <c r="AG19" s="7">
        <f>AG18-AE19*(AF19-AF18)</f>
        <v>3.4817084393672966E-6</v>
      </c>
      <c r="AH19" s="9">
        <f t="shared" si="26"/>
        <v>1.8820045618201604E-9</v>
      </c>
      <c r="AI19" s="9">
        <f>4*PI()*(AH19/$AD$16*3/(PI()*4))^(2/3)*$AD$16</f>
        <v>0.22623535004582046</v>
      </c>
      <c r="AJ19" s="69">
        <f t="shared" ref="AJ19" si="34">AA19</f>
        <v>1196.7409948541999</v>
      </c>
      <c r="AK19" s="9">
        <f t="shared" ref="AK19" si="35">AE19/AI19</f>
        <v>3.2733794962692758E-10</v>
      </c>
      <c r="AL19" s="8">
        <f t="shared" ref="AL19:AL28" si="36">0.5*101325</f>
        <v>50662.5</v>
      </c>
    </row>
    <row r="20" spans="2:38">
      <c r="B20" s="28">
        <v>950</v>
      </c>
      <c r="C20" s="7">
        <v>15.228426395939</v>
      </c>
      <c r="D20" s="7">
        <v>0.113851992409867</v>
      </c>
      <c r="E20" s="7">
        <f t="shared" si="29"/>
        <v>1.1385199240986699E-7</v>
      </c>
      <c r="F20" s="8">
        <v>0.1</v>
      </c>
      <c r="G20" s="7"/>
      <c r="H20" s="46">
        <f t="shared" ref="H20:H29" si="37">0.5*((E20-E19)/(C20-C19)/60+(E21-E20)/(C21-C20)/60)</f>
        <v>1.2873731123104873E-10</v>
      </c>
      <c r="I20" s="7">
        <f t="shared" si="30"/>
        <v>4.7899892302169351E-10</v>
      </c>
      <c r="J20" s="9">
        <f t="shared" si="31"/>
        <v>5.9843046498672996E-2</v>
      </c>
      <c r="K20" s="7">
        <f>B20+273.15</f>
        <v>1223.1500000000001</v>
      </c>
      <c r="L20" s="9">
        <f t="shared" si="32"/>
        <v>2.1512492889863728E-9</v>
      </c>
      <c r="M20" s="8">
        <f t="shared" si="33"/>
        <v>100000</v>
      </c>
      <c r="O20" s="78">
        <v>32.418952618453801</v>
      </c>
      <c r="P20" s="69">
        <v>100.264582446323</v>
      </c>
      <c r="Q20" s="7"/>
      <c r="R20" s="24"/>
      <c r="S20" s="7">
        <f>((P20-P21)/100*$Q$9)/((O21-O20)/$Q$7*60)</f>
        <v>3.0669770380134514E-11</v>
      </c>
      <c r="T20" s="9">
        <f>$Q$9*P20/100</f>
        <v>1.00264582446323E-6</v>
      </c>
      <c r="U20" s="51">
        <f>T20/$R$9</f>
        <v>5.4197071592607028E-10</v>
      </c>
      <c r="V20" s="9">
        <f>4*PI()*(U20/$R$15*3/(PI()*4))^(2/3)*$R$15</f>
        <v>6.4979228501704733E-2</v>
      </c>
      <c r="W20" s="69">
        <f>O20+273.15</f>
        <v>305.56895261845375</v>
      </c>
      <c r="X20" s="9">
        <f>S20/V20</f>
        <v>4.7199345217418045E-10</v>
      </c>
      <c r="Y20" s="8">
        <f>101325*0.5</f>
        <v>50662.5</v>
      </c>
      <c r="AA20" s="28">
        <v>1256.4322469982801</v>
      </c>
      <c r="AB20" s="7">
        <v>2.7204030226700299E-5</v>
      </c>
      <c r="AC20" s="7"/>
      <c r="AD20" s="24"/>
      <c r="AE20" s="7">
        <f>AB20*$AC$10</f>
        <v>9.5214105793451042E-11</v>
      </c>
      <c r="AF20" s="7">
        <f>AF19+(AA20-AA19)/$AC$8*60</f>
        <v>605.14579759860089</v>
      </c>
      <c r="AG20" s="7">
        <f>AG19-AE20*(AF20-AF19)</f>
        <v>3.4476077441877567E-6</v>
      </c>
      <c r="AH20" s="9">
        <f t="shared" si="26"/>
        <v>1.8635717536150036E-9</v>
      </c>
      <c r="AI20" s="9">
        <f>4*PI()*(AH20/$AD$16*3/(PI()*4))^(2/3)*$AD$16</f>
        <v>0.22475572562429613</v>
      </c>
      <c r="AJ20" s="69">
        <f t="shared" ref="AJ20:AJ21" si="38">AA20</f>
        <v>1256.4322469982801</v>
      </c>
      <c r="AK20" s="9">
        <f t="shared" ref="AK20:AK21" si="39">AE20/AI20</f>
        <v>4.2363372736769285E-10</v>
      </c>
      <c r="AL20" s="8">
        <f t="shared" si="36"/>
        <v>50662.5</v>
      </c>
    </row>
    <row r="21" spans="2:38">
      <c r="B21" s="28">
        <v>950</v>
      </c>
      <c r="C21" s="7">
        <v>24.213197969543099</v>
      </c>
      <c r="D21" s="7">
        <v>0.182163187855787</v>
      </c>
      <c r="E21" s="7">
        <f t="shared" si="29"/>
        <v>1.8216318785578698E-7</v>
      </c>
      <c r="F21" s="8">
        <v>0.1</v>
      </c>
      <c r="G21" s="7"/>
      <c r="H21" s="46">
        <f t="shared" si="37"/>
        <v>1.3502062845740052E-10</v>
      </c>
      <c r="I21" s="7">
        <f t="shared" si="30"/>
        <v>4.4207395251038544E-10</v>
      </c>
      <c r="J21" s="9">
        <f t="shared" si="31"/>
        <v>5.6726669672051366E-2</v>
      </c>
      <c r="K21" s="7">
        <f>B21+273.15</f>
        <v>1223.1500000000001</v>
      </c>
      <c r="L21" s="9">
        <f t="shared" si="32"/>
        <v>2.380196638335773E-9</v>
      </c>
      <c r="M21" s="8">
        <f t="shared" si="33"/>
        <v>100000</v>
      </c>
      <c r="O21" s="78">
        <v>170.822942643391</v>
      </c>
      <c r="P21" s="69">
        <v>96.868727571315603</v>
      </c>
      <c r="Q21" s="7"/>
      <c r="R21" s="24"/>
      <c r="S21" s="7">
        <f>0.5*(((P21-P22)/100*$Q$9)/((O22-O21)/$Q$7*60)+((P21-P20)/100*$Q$9)/((O20-O21)/$Q$7*60))</f>
        <v>1.7041788668986035E-11</v>
      </c>
      <c r="T21" s="9">
        <f t="shared" ref="T21:T31" si="40">$Q$9*P21/100</f>
        <v>9.6868727571315604E-7</v>
      </c>
      <c r="U21" s="51">
        <f t="shared" ref="U21:U34" si="41">T21/$R$9</f>
        <v>5.2361474362873302E-10</v>
      </c>
      <c r="V21" s="9">
        <f t="shared" ref="V21:V34" si="42">4*PI()*(U21/$R$15*3/(PI()*4))^(2/3)*$R$15</f>
        <v>6.350363436258695E-2</v>
      </c>
      <c r="W21" s="69">
        <f t="shared" ref="W21:W31" si="43">O21+273.15</f>
        <v>443.97294264339098</v>
      </c>
      <c r="X21" s="9">
        <f t="shared" ref="X21:X31" si="44">S21/V21</f>
        <v>2.6835926541908555E-10</v>
      </c>
      <c r="Y21" s="8">
        <f t="shared" ref="Y21:Y34" si="45">101325*0.5</f>
        <v>50662.5</v>
      </c>
      <c r="AA21" s="28">
        <v>1296.5694682675801</v>
      </c>
      <c r="AB21" s="7">
        <v>9.9748110831234294E-5</v>
      </c>
      <c r="AC21" s="7"/>
      <c r="AD21" s="24"/>
      <c r="AE21" s="7">
        <f t="shared" ref="AE21:AE28" si="46">AB21*$AC$10</f>
        <v>3.4911838790932002E-10</v>
      </c>
      <c r="AF21" s="7">
        <f t="shared" ref="AF21:AF28" si="47">AF20+(AA21-AA20)/$AC$8*60</f>
        <v>845.96912521440072</v>
      </c>
      <c r="AG21" s="7">
        <f t="shared" ref="AG21:AG28" si="48">AG20-AE21*(AF21-AF20)</f>
        <v>3.3635318922795706E-6</v>
      </c>
      <c r="AH21" s="9">
        <f t="shared" si="26"/>
        <v>1.8181253471781463E-9</v>
      </c>
      <c r="AI21" s="9">
        <f t="shared" ref="AI21:AI28" si="49">4*PI()*(AH21/$AD$16*3/(PI()*4))^(2/3)*$AD$16</f>
        <v>0.22108667371730592</v>
      </c>
      <c r="AJ21" s="69">
        <f t="shared" ref="AJ21:AJ28" si="50">AA21</f>
        <v>1296.5694682675801</v>
      </c>
      <c r="AK21" s="9">
        <f t="shared" ref="AK21:AK28" si="51">AE21/AI21</f>
        <v>1.5791019062312312E-9</v>
      </c>
      <c r="AL21" s="8">
        <f t="shared" si="36"/>
        <v>50662.5</v>
      </c>
    </row>
    <row r="22" spans="2:38">
      <c r="B22" s="28">
        <v>950</v>
      </c>
      <c r="C22" s="7">
        <v>35.025380710659903</v>
      </c>
      <c r="D22" s="7">
        <v>0.275142314990512</v>
      </c>
      <c r="E22" s="7">
        <f t="shared" si="29"/>
        <v>2.7514231499051201E-7</v>
      </c>
      <c r="F22" s="8">
        <v>0.1</v>
      </c>
      <c r="G22" s="7"/>
      <c r="H22" s="46">
        <f t="shared" si="37"/>
        <v>1.5690183659567835E-10</v>
      </c>
      <c r="I22" s="7">
        <f t="shared" si="30"/>
        <v>3.9181496486999353E-10</v>
      </c>
      <c r="J22" s="9">
        <f t="shared" si="31"/>
        <v>5.2341321425467234E-2</v>
      </c>
      <c r="K22" s="7">
        <f>B22+273.15</f>
        <v>1223.1500000000001</v>
      </c>
      <c r="L22" s="9">
        <f t="shared" si="32"/>
        <v>2.9976667062008121E-9</v>
      </c>
      <c r="M22" s="8">
        <f t="shared" si="33"/>
        <v>100000</v>
      </c>
      <c r="O22" s="78">
        <v>331.67082294264299</v>
      </c>
      <c r="P22" s="69">
        <v>96.429444680980396</v>
      </c>
      <c r="Q22" s="7"/>
      <c r="R22" s="24"/>
      <c r="S22" s="7">
        <f t="shared" ref="S22:S31" si="52">0.5*(((P22-P23)/100*$Q$9)/((O23-O22)/$Q$7*60)+((P22-P21)/100*$Q$9)/((O21-O22)/$Q$7*60))</f>
        <v>5.1830848813578376E-12</v>
      </c>
      <c r="T22" s="9">
        <f t="shared" si="40"/>
        <v>9.6429444680980394E-7</v>
      </c>
      <c r="U22" s="51">
        <f t="shared" si="41"/>
        <v>5.2124024151881298E-10</v>
      </c>
      <c r="V22" s="9">
        <f t="shared" si="42"/>
        <v>6.3311503649040909E-2</v>
      </c>
      <c r="W22" s="69">
        <f t="shared" si="43"/>
        <v>604.82082294264296</v>
      </c>
      <c r="X22" s="9">
        <f t="shared" si="44"/>
        <v>8.1866399984584081E-11</v>
      </c>
      <c r="Y22" s="8">
        <f t="shared" si="45"/>
        <v>50662.5</v>
      </c>
      <c r="AA22" s="28">
        <v>1349.05660377358</v>
      </c>
      <c r="AB22" s="7">
        <v>2.3879093198992399E-4</v>
      </c>
      <c r="AC22" s="7"/>
      <c r="AD22" s="24"/>
      <c r="AE22" s="7">
        <f t="shared" si="46"/>
        <v>8.3576826196473397E-10</v>
      </c>
      <c r="AF22" s="7">
        <f t="shared" si="47"/>
        <v>1160.8919382504005</v>
      </c>
      <c r="AG22" s="7">
        <f t="shared" si="48"/>
        <v>3.1003294001754283E-6</v>
      </c>
      <c r="AH22" s="9">
        <f t="shared" si="26"/>
        <v>1.6758537298245558E-9</v>
      </c>
      <c r="AI22" s="9">
        <f t="shared" si="49"/>
        <v>0.20939714605072482</v>
      </c>
      <c r="AJ22" s="69">
        <f t="shared" si="50"/>
        <v>1349.05660377358</v>
      </c>
      <c r="AK22" s="9">
        <f t="shared" si="51"/>
        <v>3.9913068431327889E-9</v>
      </c>
      <c r="AL22" s="8">
        <f t="shared" si="36"/>
        <v>50662.5</v>
      </c>
    </row>
    <row r="23" spans="2:38">
      <c r="B23" s="28">
        <v>950</v>
      </c>
      <c r="C23" s="7">
        <v>45.228426395939003</v>
      </c>
      <c r="D23" s="7">
        <v>0.37950664136622297</v>
      </c>
      <c r="E23" s="7">
        <f t="shared" si="29"/>
        <v>3.7950664136622293E-7</v>
      </c>
      <c r="F23" s="8">
        <v>0.1</v>
      </c>
      <c r="G23" s="7"/>
      <c r="H23" s="46">
        <f t="shared" si="37"/>
        <v>1.8734613355319098E-10</v>
      </c>
      <c r="I23" s="7">
        <f t="shared" si="30"/>
        <v>3.354018154777173E-10</v>
      </c>
      <c r="J23" s="9">
        <f t="shared" si="31"/>
        <v>4.7188293932583565E-2</v>
      </c>
      <c r="K23" s="7">
        <f>B23+273.15</f>
        <v>1223.1500000000001</v>
      </c>
      <c r="L23" s="9">
        <f t="shared" si="32"/>
        <v>3.9701823893198281E-9</v>
      </c>
      <c r="M23" s="8">
        <f t="shared" si="33"/>
        <v>100000</v>
      </c>
      <c r="O23" s="78">
        <v>431.42144638403897</v>
      </c>
      <c r="P23" s="69">
        <v>95.874642661638504</v>
      </c>
      <c r="Q23" s="7"/>
      <c r="R23" s="24"/>
      <c r="S23" s="7">
        <f t="shared" si="52"/>
        <v>2.3259053510005918E-11</v>
      </c>
      <c r="T23" s="9">
        <f t="shared" si="40"/>
        <v>9.5874642661638512E-7</v>
      </c>
      <c r="U23" s="51">
        <f t="shared" si="41"/>
        <v>5.1824131168453254E-10</v>
      </c>
      <c r="V23" s="9">
        <f t="shared" si="42"/>
        <v>6.3068430463257608E-2</v>
      </c>
      <c r="W23" s="69">
        <f t="shared" si="43"/>
        <v>704.57144638403895</v>
      </c>
      <c r="X23" s="9">
        <f t="shared" si="44"/>
        <v>3.6879074584797494E-10</v>
      </c>
      <c r="Y23" s="8">
        <f t="shared" si="45"/>
        <v>50662.5</v>
      </c>
      <c r="AA23" s="28">
        <v>1405.66037735849</v>
      </c>
      <c r="AB23" s="7">
        <v>3.4156171284634699E-4</v>
      </c>
      <c r="AC23" s="7"/>
      <c r="AD23" s="24"/>
      <c r="AE23" s="7">
        <f t="shared" si="46"/>
        <v>1.1954659949622144E-9</v>
      </c>
      <c r="AF23" s="7">
        <f t="shared" si="47"/>
        <v>1500.5145797598602</v>
      </c>
      <c r="AG23" s="7">
        <f t="shared" si="48"/>
        <v>2.6943220811316265E-6</v>
      </c>
      <c r="AH23" s="9">
        <f t="shared" si="26"/>
        <v>1.4563903141252036E-9</v>
      </c>
      <c r="AI23" s="9">
        <f t="shared" si="49"/>
        <v>0.19069173609331905</v>
      </c>
      <c r="AJ23" s="69">
        <f t="shared" si="50"/>
        <v>1405.66037735849</v>
      </c>
      <c r="AK23" s="9">
        <f t="shared" si="51"/>
        <v>6.2691022665879335E-9</v>
      </c>
      <c r="AL23" s="8">
        <f t="shared" si="36"/>
        <v>50662.5</v>
      </c>
    </row>
    <row r="24" spans="2:38">
      <c r="B24" s="28">
        <v>950</v>
      </c>
      <c r="C24" s="7">
        <v>54.365482233502497</v>
      </c>
      <c r="D24" s="7">
        <v>0.49146110056925901</v>
      </c>
      <c r="E24" s="7">
        <f t="shared" si="29"/>
        <v>4.9146110056925898E-7</v>
      </c>
      <c r="F24" s="8">
        <v>0.1</v>
      </c>
      <c r="G24" s="7"/>
      <c r="H24" s="46">
        <f t="shared" si="37"/>
        <v>2.2002347199738799E-10</v>
      </c>
      <c r="I24" s="7">
        <f t="shared" si="30"/>
        <v>2.7488589158418432E-10</v>
      </c>
      <c r="J24" s="9">
        <f t="shared" si="31"/>
        <v>4.1326215577506271E-2</v>
      </c>
      <c r="K24" s="7">
        <f>B24+273.15</f>
        <v>1223.1500000000001</v>
      </c>
      <c r="L24" s="9">
        <f t="shared" si="32"/>
        <v>5.3240653401891966E-9</v>
      </c>
      <c r="M24" s="8">
        <f t="shared" si="33"/>
        <v>100000</v>
      </c>
      <c r="O24" s="78">
        <v>528.67830423940097</v>
      </c>
      <c r="P24" s="69">
        <v>92.796210692780207</v>
      </c>
      <c r="Q24" s="7"/>
      <c r="R24" s="24"/>
      <c r="S24" s="7">
        <f t="shared" si="52"/>
        <v>4.9551509007645435E-11</v>
      </c>
      <c r="T24" s="9">
        <f t="shared" si="40"/>
        <v>9.2796210692780211E-7</v>
      </c>
      <c r="U24" s="51">
        <f t="shared" si="41"/>
        <v>5.0160113887989304E-10</v>
      </c>
      <c r="V24" s="9">
        <f t="shared" si="42"/>
        <v>6.1711060884517298E-2</v>
      </c>
      <c r="W24" s="69">
        <f t="shared" si="43"/>
        <v>801.82830423940095</v>
      </c>
      <c r="X24" s="9">
        <f t="shared" si="44"/>
        <v>8.0295992804877263E-10</v>
      </c>
      <c r="Y24" s="8">
        <f t="shared" si="45"/>
        <v>50662.5</v>
      </c>
      <c r="AA24" s="28">
        <v>1445.79759862778</v>
      </c>
      <c r="AB24" s="7">
        <v>3.2342569269521397E-4</v>
      </c>
      <c r="AC24" s="7"/>
      <c r="AD24" s="24"/>
      <c r="AE24" s="7">
        <f t="shared" si="46"/>
        <v>1.1319899244332488E-9</v>
      </c>
      <c r="AF24" s="7">
        <f t="shared" si="47"/>
        <v>1741.3379073756</v>
      </c>
      <c r="AG24" s="7">
        <f t="shared" si="48"/>
        <v>2.4217125007021218E-6</v>
      </c>
      <c r="AH24" s="9">
        <f t="shared" si="26"/>
        <v>1.3090337841633091E-9</v>
      </c>
      <c r="AI24" s="9">
        <f t="shared" si="49"/>
        <v>0.17760175573534465</v>
      </c>
      <c r="AJ24" s="69">
        <f t="shared" si="50"/>
        <v>1445.79759862778</v>
      </c>
      <c r="AK24" s="9">
        <f t="shared" si="51"/>
        <v>6.3737541318009097E-9</v>
      </c>
      <c r="AL24" s="8">
        <f t="shared" si="36"/>
        <v>50662.5</v>
      </c>
    </row>
    <row r="25" spans="2:38">
      <c r="B25" s="28">
        <v>950</v>
      </c>
      <c r="C25" s="7">
        <v>63.350253807106597</v>
      </c>
      <c r="D25" s="7">
        <v>0.61859582542694402</v>
      </c>
      <c r="E25" s="7">
        <f t="shared" si="29"/>
        <v>6.1859582542694398E-7</v>
      </c>
      <c r="F25" s="8">
        <v>0.1</v>
      </c>
      <c r="G25" s="7"/>
      <c r="H25" s="46">
        <f t="shared" si="37"/>
        <v>2.5114198892468536E-10</v>
      </c>
      <c r="I25" s="7">
        <f t="shared" si="30"/>
        <v>2.0616441868813837E-10</v>
      </c>
      <c r="J25" s="9">
        <f t="shared" si="31"/>
        <v>3.4114039327265241E-2</v>
      </c>
      <c r="K25" s="7">
        <f>B25+273.15</f>
        <v>1223.1500000000001</v>
      </c>
      <c r="L25" s="9">
        <f t="shared" si="32"/>
        <v>7.361836765075284E-9</v>
      </c>
      <c r="M25" s="8">
        <f t="shared" si="33"/>
        <v>100000</v>
      </c>
      <c r="O25" s="78">
        <v>605.985037406483</v>
      </c>
      <c r="P25" s="69">
        <v>89.114104981448804</v>
      </c>
      <c r="Q25" s="7"/>
      <c r="R25" s="24"/>
      <c r="S25" s="7">
        <f t="shared" si="52"/>
        <v>5.8172131271561366E-11</v>
      </c>
      <c r="T25" s="9">
        <f t="shared" si="40"/>
        <v>8.91141049814488E-7</v>
      </c>
      <c r="U25" s="51">
        <f t="shared" si="41"/>
        <v>4.8169786476458812E-10</v>
      </c>
      <c r="V25" s="9">
        <f t="shared" si="42"/>
        <v>6.0067628213755914E-2</v>
      </c>
      <c r="W25" s="69">
        <f t="shared" si="43"/>
        <v>879.13503740648298</v>
      </c>
      <c r="X25" s="9">
        <f t="shared" si="44"/>
        <v>9.6844395228242978E-10</v>
      </c>
      <c r="Y25" s="8">
        <f t="shared" si="45"/>
        <v>50662.5</v>
      </c>
      <c r="AA25" s="28">
        <v>1496.2264150943299</v>
      </c>
      <c r="AB25" s="7">
        <v>4.80604534005037E-4</v>
      </c>
      <c r="AC25" s="7"/>
      <c r="AD25" s="24"/>
      <c r="AE25" s="7">
        <f t="shared" si="46"/>
        <v>1.6821158690176295E-9</v>
      </c>
      <c r="AF25" s="7">
        <f t="shared" si="47"/>
        <v>2043.9108061748998</v>
      </c>
      <c r="AG25" s="7">
        <f t="shared" si="48"/>
        <v>1.9127498260971543E-6</v>
      </c>
      <c r="AH25" s="9">
        <f t="shared" si="26"/>
        <v>1.0339188249173807E-9</v>
      </c>
      <c r="AI25" s="9">
        <f t="shared" si="49"/>
        <v>0.15175312619228154</v>
      </c>
      <c r="AJ25" s="69">
        <f t="shared" si="50"/>
        <v>1496.2264150943299</v>
      </c>
      <c r="AK25" s="9">
        <f t="shared" si="51"/>
        <v>1.1084554969142937E-8</v>
      </c>
      <c r="AL25" s="8">
        <f t="shared" si="36"/>
        <v>50662.5</v>
      </c>
    </row>
    <row r="26" spans="2:38">
      <c r="B26" s="28">
        <v>950</v>
      </c>
      <c r="C26" s="7">
        <v>71.421319796954293</v>
      </c>
      <c r="D26" s="7">
        <v>0.74762808349146104</v>
      </c>
      <c r="E26" s="7">
        <f t="shared" si="29"/>
        <v>7.4762808349146097E-7</v>
      </c>
      <c r="F26" s="8">
        <v>0.1</v>
      </c>
      <c r="G26" s="7"/>
      <c r="H26" s="46">
        <f t="shared" si="37"/>
        <v>2.5496533534815267E-10</v>
      </c>
      <c r="I26" s="7">
        <f t="shared" si="30"/>
        <v>1.3641725216677783E-10</v>
      </c>
      <c r="J26" s="9">
        <f t="shared" si="31"/>
        <v>2.5904201012628511E-2</v>
      </c>
      <c r="K26" s="7">
        <f>B26+273.15</f>
        <v>1223.1500000000001</v>
      </c>
      <c r="L26" s="9">
        <f t="shared" si="32"/>
        <v>9.8426249558461565E-9</v>
      </c>
      <c r="M26" s="8">
        <f t="shared" si="33"/>
        <v>100000</v>
      </c>
      <c r="O26" s="78">
        <v>687.03241895261795</v>
      </c>
      <c r="P26" s="69">
        <v>85.430858828538305</v>
      </c>
      <c r="Q26" s="7"/>
      <c r="R26" s="24"/>
      <c r="S26" s="7">
        <f t="shared" si="52"/>
        <v>7.6138081092349409E-11</v>
      </c>
      <c r="T26" s="9">
        <f t="shared" si="40"/>
        <v>8.5430858828538302E-7</v>
      </c>
      <c r="U26" s="51">
        <f t="shared" si="41"/>
        <v>4.6178842610020706E-10</v>
      </c>
      <c r="V26" s="9">
        <f t="shared" si="42"/>
        <v>5.84008765874688E-2</v>
      </c>
      <c r="W26" s="69">
        <f t="shared" si="43"/>
        <v>960.18241895261792</v>
      </c>
      <c r="X26" s="9">
        <f t="shared" si="44"/>
        <v>1.3037146964449248E-9</v>
      </c>
      <c r="Y26" s="8">
        <f t="shared" si="45"/>
        <v>50662.5</v>
      </c>
      <c r="AA26" s="28">
        <v>1545.6260720411599</v>
      </c>
      <c r="AB26" s="7">
        <v>7.4659949622166199E-4</v>
      </c>
      <c r="AC26" s="7"/>
      <c r="AD26" s="24"/>
      <c r="AE26" s="7">
        <f t="shared" si="46"/>
        <v>2.6130982367758171E-9</v>
      </c>
      <c r="AF26" s="7">
        <f t="shared" si="47"/>
        <v>2340.3087478558796</v>
      </c>
      <c r="AG26" s="7">
        <f t="shared" si="48"/>
        <v>1.1382328873066047E-6</v>
      </c>
      <c r="AH26" s="9">
        <f t="shared" si="26"/>
        <v>6.1526102016573225E-10</v>
      </c>
      <c r="AI26" s="9">
        <f t="shared" si="49"/>
        <v>0.10736258317399221</v>
      </c>
      <c r="AJ26" s="69">
        <f t="shared" si="50"/>
        <v>1545.6260720411599</v>
      </c>
      <c r="AK26" s="9">
        <f t="shared" si="51"/>
        <v>2.4339003026231404E-8</v>
      </c>
      <c r="AL26" s="8">
        <f t="shared" si="36"/>
        <v>50662.5</v>
      </c>
    </row>
    <row r="27" spans="2:38">
      <c r="B27" s="28">
        <v>950</v>
      </c>
      <c r="C27" s="7">
        <v>80.253807106598899</v>
      </c>
      <c r="D27" s="7">
        <v>0.87666034155597705</v>
      </c>
      <c r="E27" s="7">
        <f t="shared" si="29"/>
        <v>8.76660341555977E-7</v>
      </c>
      <c r="F27" s="8">
        <v>0.1</v>
      </c>
      <c r="G27" s="7"/>
      <c r="H27" s="46">
        <f t="shared" si="37"/>
        <v>1.8207805724981699E-10</v>
      </c>
      <c r="I27" s="7">
        <f t="shared" si="30"/>
        <v>6.6670085645417811E-11</v>
      </c>
      <c r="J27" s="9">
        <f t="shared" si="31"/>
        <v>1.6072299323676355E-2</v>
      </c>
      <c r="K27" s="7">
        <f>B27+273.15</f>
        <v>1223.1500000000001</v>
      </c>
      <c r="L27" s="9">
        <f t="shared" si="32"/>
        <v>1.1328687550112694E-8</v>
      </c>
      <c r="M27" s="8">
        <f t="shared" si="33"/>
        <v>100000</v>
      </c>
      <c r="O27" s="78">
        <v>743.14214463840403</v>
      </c>
      <c r="P27" s="69">
        <v>81.145459521926796</v>
      </c>
      <c r="Q27" s="7"/>
      <c r="R27" s="24"/>
      <c r="S27" s="7">
        <f t="shared" si="52"/>
        <v>2.0074525745257417E-10</v>
      </c>
      <c r="T27" s="9">
        <f t="shared" si="40"/>
        <v>8.1145459521926784E-7</v>
      </c>
      <c r="U27" s="51">
        <f t="shared" si="41"/>
        <v>4.3862410552392857E-10</v>
      </c>
      <c r="V27" s="9">
        <f t="shared" si="42"/>
        <v>5.6431162932808733E-2</v>
      </c>
      <c r="W27" s="69">
        <f t="shared" si="43"/>
        <v>1016.292144638404</v>
      </c>
      <c r="X27" s="9">
        <f t="shared" si="44"/>
        <v>3.5573475189869267E-9</v>
      </c>
      <c r="Y27" s="8">
        <f t="shared" si="45"/>
        <v>50662.5</v>
      </c>
      <c r="AA27" s="28">
        <v>1604.2881646655201</v>
      </c>
      <c r="AB27" s="7">
        <v>7.4659949622166199E-4</v>
      </c>
      <c r="AC27" s="7"/>
      <c r="AD27" s="24"/>
      <c r="AE27" s="7">
        <f t="shared" si="46"/>
        <v>2.6130982367758171E-9</v>
      </c>
      <c r="AF27" s="7">
        <f t="shared" si="47"/>
        <v>2692.2813036020407</v>
      </c>
      <c r="AG27" s="7">
        <f t="shared" si="48"/>
        <v>2.1849402249283312E-7</v>
      </c>
      <c r="AH27" s="9">
        <f t="shared" si="26"/>
        <v>1.1810487702315305E-10</v>
      </c>
      <c r="AI27" s="9">
        <f t="shared" si="49"/>
        <v>3.5726617955881425E-2</v>
      </c>
      <c r="AJ27" s="69">
        <f t="shared" si="50"/>
        <v>1604.2881646655201</v>
      </c>
      <c r="AK27" s="9">
        <f t="shared" si="51"/>
        <v>7.3141494669400713E-8</v>
      </c>
      <c r="AL27" s="8">
        <f t="shared" si="36"/>
        <v>50662.5</v>
      </c>
    </row>
    <row r="28" spans="2:38">
      <c r="B28" s="28">
        <v>950</v>
      </c>
      <c r="C28" s="7">
        <v>91.522842639593904</v>
      </c>
      <c r="D28" s="7">
        <v>0.95825426944971503</v>
      </c>
      <c r="E28" s="7">
        <f t="shared" si="29"/>
        <v>9.5825426944971501E-7</v>
      </c>
      <c r="F28" s="8">
        <v>0.1</v>
      </c>
      <c r="G28" s="7"/>
      <c r="H28" s="46">
        <f t="shared" si="37"/>
        <v>7.9217349141447717E-11</v>
      </c>
      <c r="I28" s="7">
        <f t="shared" si="30"/>
        <v>2.2565259756910779E-11</v>
      </c>
      <c r="J28" s="9">
        <f t="shared" si="31"/>
        <v>7.8058025482548553E-3</v>
      </c>
      <c r="K28" s="7">
        <f>B28+273.15</f>
        <v>1223.1500000000001</v>
      </c>
      <c r="L28" s="9">
        <f t="shared" si="32"/>
        <v>1.0148520751291403E-8</v>
      </c>
      <c r="M28" s="8">
        <f t="shared" si="33"/>
        <v>100000</v>
      </c>
      <c r="O28" s="78">
        <v>790.52369077306696</v>
      </c>
      <c r="P28" s="69">
        <v>69.545648074934604</v>
      </c>
      <c r="Q28" s="7"/>
      <c r="R28" s="24"/>
      <c r="S28" s="7">
        <f t="shared" si="52"/>
        <v>5.0978150406504153E-10</v>
      </c>
      <c r="T28" s="9">
        <f t="shared" si="40"/>
        <v>6.9545648074934606E-7</v>
      </c>
      <c r="U28" s="51">
        <f t="shared" si="41"/>
        <v>3.7592242202667357E-10</v>
      </c>
      <c r="V28" s="9">
        <f t="shared" si="42"/>
        <v>5.0916220274581807E-2</v>
      </c>
      <c r="W28" s="69">
        <f t="shared" si="43"/>
        <v>1063.6736907730669</v>
      </c>
      <c r="X28" s="9">
        <f t="shared" si="44"/>
        <v>1.0012163144001728E-8</v>
      </c>
      <c r="Y28" s="8">
        <f t="shared" si="45"/>
        <v>50662.5</v>
      </c>
      <c r="AA28" s="28">
        <v>1649.57118353344</v>
      </c>
      <c r="AB28" s="7">
        <v>1.20906801007558E-5</v>
      </c>
      <c r="AC28" s="7"/>
      <c r="AD28" s="24"/>
      <c r="AE28" s="7">
        <f t="shared" si="46"/>
        <v>4.2317380352645302E-11</v>
      </c>
      <c r="AF28" s="7">
        <f t="shared" si="47"/>
        <v>2963.9794168095605</v>
      </c>
      <c r="AG28" s="7">
        <f t="shared" si="48"/>
        <v>2.0699647009513442E-7</v>
      </c>
      <c r="AH28" s="9">
        <f t="shared" si="26"/>
        <v>1.1188998383520779E-10</v>
      </c>
      <c r="AI28" s="9">
        <f t="shared" si="49"/>
        <v>3.4462027561831116E-2</v>
      </c>
      <c r="AJ28" s="69">
        <f t="shared" si="50"/>
        <v>1649.57118353344</v>
      </c>
      <c r="AK28" s="9">
        <f t="shared" si="51"/>
        <v>1.2279422699874597E-9</v>
      </c>
      <c r="AL28" s="8">
        <f t="shared" si="36"/>
        <v>50662.5</v>
      </c>
    </row>
    <row r="29" spans="2:38">
      <c r="B29" s="28">
        <v>950</v>
      </c>
      <c r="C29" s="7">
        <v>104.92385786801999</v>
      </c>
      <c r="D29" s="7">
        <v>0.98861480075901298</v>
      </c>
      <c r="E29" s="7">
        <f t="shared" si="29"/>
        <v>9.8861480075901294E-7</v>
      </c>
      <c r="F29" s="8">
        <v>0.1</v>
      </c>
      <c r="G29" s="7"/>
      <c r="H29" s="46">
        <f t="shared" si="37"/>
        <v>2.5451473881805646E-11</v>
      </c>
      <c r="I29" s="7">
        <f t="shared" si="30"/>
        <v>6.1541617518848727E-12</v>
      </c>
      <c r="J29" s="9">
        <f t="shared" si="31"/>
        <v>3.2827409124610461E-3</v>
      </c>
      <c r="K29" s="7">
        <f>B29+273.15</f>
        <v>1223.1500000000001</v>
      </c>
      <c r="L29" s="9">
        <f t="shared" si="32"/>
        <v>7.7531168497622518E-9</v>
      </c>
      <c r="M29" s="8">
        <f t="shared" si="33"/>
        <v>100000</v>
      </c>
      <c r="O29" s="78">
        <v>820.44887780548595</v>
      </c>
      <c r="P29" s="69">
        <v>52.4633538105954</v>
      </c>
      <c r="Q29" s="7"/>
      <c r="R29" s="24"/>
      <c r="S29" s="7">
        <f t="shared" si="52"/>
        <v>1.0505296278924285E-9</v>
      </c>
      <c r="T29" s="9">
        <f t="shared" si="40"/>
        <v>5.24633538105954E-7</v>
      </c>
      <c r="U29" s="51">
        <f t="shared" si="41"/>
        <v>2.8358569627348865E-10</v>
      </c>
      <c r="V29" s="9">
        <f t="shared" si="42"/>
        <v>4.2193629439930304E-2</v>
      </c>
      <c r="W29" s="69">
        <f t="shared" si="43"/>
        <v>1093.5988778054859</v>
      </c>
      <c r="X29" s="9">
        <f t="shared" si="44"/>
        <v>2.4897825615784803E-8</v>
      </c>
      <c r="Y29" s="8">
        <f t="shared" si="45"/>
        <v>50662.5</v>
      </c>
      <c r="AA29" s="41" t="s">
        <v>101</v>
      </c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3"/>
    </row>
    <row r="30" spans="2:38">
      <c r="B30" s="76">
        <v>950</v>
      </c>
      <c r="C30" s="11">
        <v>116.95431472081199</v>
      </c>
      <c r="D30" s="11">
        <v>0.99810246679316805</v>
      </c>
      <c r="E30" s="11">
        <f t="shared" si="29"/>
        <v>9.9810246679316808E-7</v>
      </c>
      <c r="F30" s="13">
        <v>0.1</v>
      </c>
      <c r="G30" s="11"/>
      <c r="H30" s="47">
        <f>(E30-E29)/(C30-C29)/60</f>
        <v>1.3143953647880053E-11</v>
      </c>
      <c r="I30" s="11">
        <f t="shared" si="30"/>
        <v>1.0256936253145269E-12</v>
      </c>
      <c r="J30" s="12">
        <f t="shared" si="31"/>
        <v>9.9418935216117016E-4</v>
      </c>
      <c r="K30" s="11">
        <f>B30+273.15</f>
        <v>1223.1500000000001</v>
      </c>
      <c r="L30" s="12">
        <f t="shared" si="32"/>
        <v>1.3220774915067948E-8</v>
      </c>
      <c r="M30" s="13">
        <f t="shared" si="33"/>
        <v>100000</v>
      </c>
      <c r="O30" s="78">
        <v>836.65835411471301</v>
      </c>
      <c r="P30" s="69">
        <v>34.470607019037701</v>
      </c>
      <c r="Q30" s="7"/>
      <c r="R30" s="24"/>
      <c r="S30" s="7">
        <f t="shared" si="52"/>
        <v>1.7636901969981357E-9</v>
      </c>
      <c r="T30" s="9">
        <f t="shared" si="40"/>
        <v>3.4470607019037696E-7</v>
      </c>
      <c r="U30" s="51">
        <f t="shared" si="41"/>
        <v>1.8632760550831187E-10</v>
      </c>
      <c r="V30" s="9">
        <f t="shared" si="42"/>
        <v>3.1889090902579978E-2</v>
      </c>
      <c r="W30" s="69">
        <f t="shared" si="43"/>
        <v>1109.808354114713</v>
      </c>
      <c r="X30" s="9">
        <f t="shared" si="44"/>
        <v>5.5307007728321438E-8</v>
      </c>
      <c r="Y30" s="8">
        <f t="shared" si="45"/>
        <v>50662.5</v>
      </c>
      <c r="AA30" s="28">
        <v>1202.9159519725499</v>
      </c>
      <c r="AB30" s="7">
        <v>1.8136020151133699E-5</v>
      </c>
      <c r="AC30" s="7"/>
      <c r="AD30" s="24"/>
      <c r="AE30" s="7">
        <v>0</v>
      </c>
      <c r="AF30" s="7">
        <v>0</v>
      </c>
      <c r="AG30" s="7">
        <f>AC10</f>
        <v>3.4999999999999999E-6</v>
      </c>
      <c r="AH30" s="9">
        <f t="shared" si="26"/>
        <v>1.891891891891892E-9</v>
      </c>
      <c r="AI30" s="9">
        <f>4*PI()*(AH30/$AD$16*3/(PI()*4))^(2/3)*$AD$16</f>
        <v>0.22702702702702671</v>
      </c>
      <c r="AJ30" s="69">
        <f t="shared" ref="AJ30:AJ40" si="53">AA30</f>
        <v>1202.9159519725499</v>
      </c>
      <c r="AK30" s="9">
        <f t="shared" ref="AK30:AK40" si="54">AE30/AI30</f>
        <v>0</v>
      </c>
      <c r="AL30" s="8">
        <f>0.1*101325</f>
        <v>10132.5</v>
      </c>
    </row>
    <row r="31" spans="2:38">
      <c r="B31" s="7"/>
      <c r="C31" s="7"/>
      <c r="D31" s="7"/>
      <c r="E31" s="7"/>
      <c r="F31" s="7"/>
      <c r="G31" s="7"/>
      <c r="H31" s="9"/>
      <c r="I31" s="7"/>
      <c r="J31" s="7"/>
      <c r="K31" s="7"/>
      <c r="L31" s="51"/>
      <c r="M31" s="7"/>
      <c r="O31" s="78">
        <v>845.38653366583503</v>
      </c>
      <c r="P31" s="69">
        <v>19.528921598442899</v>
      </c>
      <c r="Q31" s="7"/>
      <c r="R31" s="24"/>
      <c r="S31" s="7">
        <f t="shared" si="52"/>
        <v>1.8036585365853604E-9</v>
      </c>
      <c r="T31" s="9">
        <f t="shared" si="40"/>
        <v>1.9528921598442898E-7</v>
      </c>
      <c r="U31" s="51">
        <f t="shared" si="41"/>
        <v>1.0556173836996161E-10</v>
      </c>
      <c r="V31" s="9">
        <f t="shared" si="42"/>
        <v>2.1833751289345758E-2</v>
      </c>
      <c r="W31" s="69">
        <f t="shared" si="43"/>
        <v>1118.5365336658351</v>
      </c>
      <c r="X31" s="9">
        <f t="shared" si="44"/>
        <v>8.2608733271844762E-8</v>
      </c>
      <c r="Y31" s="8">
        <f t="shared" si="45"/>
        <v>50662.5</v>
      </c>
      <c r="AA31" s="28">
        <v>1251.2864493996501</v>
      </c>
      <c r="AB31" s="7">
        <v>6.0453400503779196E-6</v>
      </c>
      <c r="AC31" s="7"/>
      <c r="AD31" s="24"/>
      <c r="AE31" s="7">
        <f>AB31*$AC$10</f>
        <v>2.1158690176322719E-11</v>
      </c>
      <c r="AF31" s="7">
        <f>AF30+(AA31-AA30)/$AC$8*60</f>
        <v>290.22298456260114</v>
      </c>
      <c r="AG31" s="7">
        <f>AG30-AE31*(AF31-AF30)</f>
        <v>3.493859261787592E-6</v>
      </c>
      <c r="AH31" s="9">
        <f t="shared" si="26"/>
        <v>1.8885725739392391E-9</v>
      </c>
      <c r="AI31" s="9">
        <f>4*PI()*(AH31/$AD$16*3/(PI()*4))^(2/3)*$AD$16</f>
        <v>0.22676140388044252</v>
      </c>
      <c r="AJ31" s="69">
        <f t="shared" si="53"/>
        <v>1251.2864493996501</v>
      </c>
      <c r="AK31" s="9">
        <f t="shared" si="54"/>
        <v>9.3308163621523561E-11</v>
      </c>
      <c r="AL31" s="8">
        <f t="shared" ref="AL31:AL39" si="55">0.1*101325</f>
        <v>10132.5</v>
      </c>
    </row>
    <row r="32" spans="2:38">
      <c r="B32" s="7"/>
      <c r="C32" s="7"/>
      <c r="D32" s="7"/>
      <c r="E32" s="7"/>
      <c r="F32" s="7"/>
      <c r="G32" s="7"/>
      <c r="H32" s="9"/>
      <c r="I32" s="7"/>
      <c r="J32" s="7"/>
      <c r="K32" s="7"/>
      <c r="L32" s="51"/>
      <c r="M32" s="7"/>
      <c r="O32" s="78">
        <v>857.85536159600997</v>
      </c>
      <c r="P32" s="69">
        <v>4.8909737850495603</v>
      </c>
      <c r="Q32" s="7"/>
      <c r="R32" s="24"/>
      <c r="S32" s="7">
        <f t="shared" ref="S32:S33" si="56">0.5*(((P32-P33)/100*$Q$9)/((O33-O32)/$Q$7*60)+((P32-P31)/100*$Q$9)/((O31-O32)/$Q$7*60))</f>
        <v>7.7287183165947074E-10</v>
      </c>
      <c r="T32" s="9">
        <f t="shared" ref="T32:T33" si="57">$Q$9*P32/100</f>
        <v>4.8909737850495603E-8</v>
      </c>
      <c r="U32" s="51">
        <f t="shared" si="41"/>
        <v>2.6437696135403029E-11</v>
      </c>
      <c r="V32" s="9">
        <f t="shared" si="42"/>
        <v>8.6750717281380823E-3</v>
      </c>
      <c r="W32" s="69">
        <f t="shared" ref="W32:W33" si="58">O32+273.15</f>
        <v>1131.0053615960101</v>
      </c>
      <c r="X32" s="9">
        <f t="shared" ref="X32:X33" si="59">S32/V32</f>
        <v>8.9091117154987615E-8</v>
      </c>
      <c r="Y32" s="8">
        <f t="shared" si="45"/>
        <v>50662.5</v>
      </c>
      <c r="AA32" s="28">
        <v>1297.5986277873001</v>
      </c>
      <c r="AB32" s="7">
        <v>3.0226700251889099E-5</v>
      </c>
      <c r="AC32" s="7"/>
      <c r="AD32" s="24"/>
      <c r="AE32" s="7">
        <f>AB32*$AC$10</f>
        <v>1.0579345088161184E-10</v>
      </c>
      <c r="AF32" s="7">
        <f>AF31+(AA32-AA31)/$AC$8*60</f>
        <v>568.09605488850093</v>
      </c>
      <c r="AG32" s="7">
        <f>AG31-AE32*(AF32-AF31)</f>
        <v>3.4644621107707462E-6</v>
      </c>
      <c r="AH32" s="9">
        <f t="shared" si="26"/>
        <v>1.872682222038241E-9</v>
      </c>
      <c r="AI32" s="9">
        <f>4*PI()*(AH32/$AD$16*3/(PI()*4))^(2/3)*$AD$16</f>
        <v>0.22548764098077961</v>
      </c>
      <c r="AJ32" s="69">
        <f t="shared" si="53"/>
        <v>1297.5986277873001</v>
      </c>
      <c r="AK32" s="9">
        <f t="shared" si="54"/>
        <v>4.6917627246199975E-10</v>
      </c>
      <c r="AL32" s="8">
        <f t="shared" si="55"/>
        <v>10132.5</v>
      </c>
    </row>
    <row r="33" spans="2:38">
      <c r="B33" s="7"/>
      <c r="C33" s="7"/>
      <c r="D33" s="7"/>
      <c r="E33" s="7"/>
      <c r="F33" s="7"/>
      <c r="G33" s="7"/>
      <c r="H33" s="9"/>
      <c r="I33" s="7"/>
      <c r="J33" s="7"/>
      <c r="K33" s="7"/>
      <c r="L33" s="51"/>
      <c r="M33" s="7"/>
      <c r="O33" s="78">
        <v>921.44638403989995</v>
      </c>
      <c r="P33" s="69">
        <v>0.90817164406057305</v>
      </c>
      <c r="Q33" s="7"/>
      <c r="R33" s="24"/>
      <c r="S33" s="7">
        <f t="shared" si="56"/>
        <v>4.2165248551995393E-11</v>
      </c>
      <c r="T33" s="9">
        <f t="shared" si="57"/>
        <v>9.0817164406057309E-9</v>
      </c>
      <c r="U33" s="51">
        <f t="shared" si="41"/>
        <v>4.909035913840936E-12</v>
      </c>
      <c r="V33" s="9">
        <f t="shared" si="42"/>
        <v>2.8235022802910225E-3</v>
      </c>
      <c r="W33" s="69">
        <f t="shared" si="58"/>
        <v>1194.5963840398999</v>
      </c>
      <c r="X33" s="9">
        <f t="shared" si="59"/>
        <v>1.4933669027407111E-8</v>
      </c>
      <c r="Y33" s="8">
        <f t="shared" si="45"/>
        <v>50662.5</v>
      </c>
      <c r="AA33" s="28">
        <v>1349.05660377358</v>
      </c>
      <c r="AB33" s="7">
        <v>6.3476070528967202E-5</v>
      </c>
      <c r="AC33" s="7"/>
      <c r="AD33" s="24"/>
      <c r="AE33" s="7">
        <f t="shared" ref="AE33:AE40" si="60">AB33*$AC$10</f>
        <v>2.2216624685138519E-10</v>
      </c>
      <c r="AF33" s="7">
        <f t="shared" ref="AF33:AF40" si="61">AF32+(AA33-AA32)/$AC$8*60</f>
        <v>876.8439108061807</v>
      </c>
      <c r="AG33" s="7">
        <f t="shared" ref="AG33:AG40" si="62">AG32-AE33*(AF33-AF32)</f>
        <v>3.3958687583981029E-6</v>
      </c>
      <c r="AH33" s="9">
        <f t="shared" si="26"/>
        <v>1.8356047342692447E-9</v>
      </c>
      <c r="AI33" s="9">
        <f t="shared" ref="AI33:AI40" si="63">4*PI()*(AH33/$AD$16*3/(PI()*4))^(2/3)*$AD$16</f>
        <v>0.2225014253605308</v>
      </c>
      <c r="AJ33" s="69">
        <f t="shared" si="53"/>
        <v>1349.05660377358</v>
      </c>
      <c r="AK33" s="9">
        <f t="shared" si="54"/>
        <v>9.9849358938441632E-10</v>
      </c>
      <c r="AL33" s="8">
        <f t="shared" si="55"/>
        <v>10132.5</v>
      </c>
    </row>
    <row r="34" spans="2:38">
      <c r="B34" s="7"/>
      <c r="C34" s="7"/>
      <c r="D34" s="7"/>
      <c r="E34" s="7"/>
      <c r="F34" s="7"/>
      <c r="G34" s="7"/>
      <c r="H34" s="9"/>
      <c r="I34" s="7"/>
      <c r="J34" s="7"/>
      <c r="K34" s="7"/>
      <c r="L34" s="51"/>
      <c r="M34" s="7"/>
      <c r="O34" s="78">
        <v>988.77805486284296</v>
      </c>
      <c r="P34" s="69">
        <v>0.58276564685846199</v>
      </c>
      <c r="Q34" s="7"/>
      <c r="R34" s="24"/>
      <c r="S34" s="7">
        <f>((P34-P33)/100*$Q$9)/((O33-O34)/$Q$7*60)</f>
        <v>6.041102077687306E-12</v>
      </c>
      <c r="T34" s="9">
        <f t="shared" ref="T34" si="64">$Q$9*P34/100</f>
        <v>5.8276564685846198E-9</v>
      </c>
      <c r="U34" s="51">
        <f t="shared" si="41"/>
        <v>3.150084577613308E-12</v>
      </c>
      <c r="V34" s="9">
        <f t="shared" si="42"/>
        <v>2.1005780010202217E-3</v>
      </c>
      <c r="W34" s="69">
        <f t="shared" ref="W34" si="65">O34+273.15</f>
        <v>1261.9280548628431</v>
      </c>
      <c r="X34" s="9">
        <f t="shared" ref="X34" si="66">S34/V34</f>
        <v>2.8759237099280418E-9</v>
      </c>
      <c r="Y34" s="8">
        <f t="shared" si="45"/>
        <v>50662.5</v>
      </c>
      <c r="AA34" s="28">
        <v>1404.63121783876</v>
      </c>
      <c r="AB34" s="7">
        <v>1.6322418136020101E-4</v>
      </c>
      <c r="AC34" s="7"/>
      <c r="AD34" s="24"/>
      <c r="AE34" s="7">
        <f t="shared" si="60"/>
        <v>5.7128463476070356E-10</v>
      </c>
      <c r="AF34" s="7">
        <f t="shared" si="61"/>
        <v>1210.2915951972604</v>
      </c>
      <c r="AG34" s="7">
        <f t="shared" si="62"/>
        <v>3.2053752198089426E-6</v>
      </c>
      <c r="AH34" s="9">
        <f t="shared" si="26"/>
        <v>1.7326352539507797E-9</v>
      </c>
      <c r="AI34" s="9">
        <f t="shared" si="63"/>
        <v>0.21410071412108844</v>
      </c>
      <c r="AJ34" s="69">
        <f t="shared" si="53"/>
        <v>1404.63121783876</v>
      </c>
      <c r="AK34" s="9">
        <f t="shared" si="54"/>
        <v>2.6682985953872318E-9</v>
      </c>
      <c r="AL34" s="8">
        <f t="shared" si="55"/>
        <v>10132.5</v>
      </c>
    </row>
    <row r="35" spans="2:38">
      <c r="B35" s="7"/>
      <c r="C35" s="7"/>
      <c r="D35" s="7"/>
      <c r="E35" s="7"/>
      <c r="F35" s="7"/>
      <c r="G35" s="7"/>
      <c r="H35" s="9"/>
      <c r="I35" s="7"/>
      <c r="J35" s="7"/>
      <c r="K35" s="7"/>
      <c r="L35" s="51"/>
      <c r="M35" s="7"/>
      <c r="O35" s="41" t="s">
        <v>103</v>
      </c>
      <c r="P35" s="42"/>
      <c r="Q35" s="42"/>
      <c r="R35" s="42"/>
      <c r="S35" s="42"/>
      <c r="T35" s="42"/>
      <c r="U35" s="42"/>
      <c r="V35" s="42"/>
      <c r="W35" s="42"/>
      <c r="X35" s="42"/>
      <c r="Y35" s="43"/>
      <c r="AA35" s="28">
        <v>1446.82675814751</v>
      </c>
      <c r="AB35" s="7">
        <v>2.4483627204030203E-4</v>
      </c>
      <c r="AC35" s="7"/>
      <c r="AD35" s="24"/>
      <c r="AE35" s="7">
        <f t="shared" si="60"/>
        <v>8.5692695214105705E-10</v>
      </c>
      <c r="AF35" s="7">
        <f t="shared" si="61"/>
        <v>1463.4648370497603</v>
      </c>
      <c r="AG35" s="7">
        <f t="shared" si="62"/>
        <v>2.9884242453046094E-6</v>
      </c>
      <c r="AH35" s="9">
        <f t="shared" si="26"/>
        <v>1.6153644569214105E-9</v>
      </c>
      <c r="AI35" s="9">
        <f t="shared" si="63"/>
        <v>0.20432759969905173</v>
      </c>
      <c r="AJ35" s="69">
        <f t="shared" si="53"/>
        <v>1446.82675814751</v>
      </c>
      <c r="AK35" s="9">
        <f t="shared" si="54"/>
        <v>4.193887430788597E-9</v>
      </c>
      <c r="AL35" s="8">
        <f t="shared" si="55"/>
        <v>10132.5</v>
      </c>
    </row>
    <row r="36" spans="2:38">
      <c r="B36" s="7"/>
      <c r="C36" s="7"/>
      <c r="D36" s="7"/>
      <c r="E36" s="7"/>
      <c r="F36" s="7"/>
      <c r="G36" s="7"/>
      <c r="H36" s="9"/>
      <c r="I36" s="7"/>
      <c r="J36" s="7"/>
      <c r="K36" s="7"/>
      <c r="L36" s="51"/>
      <c r="M36" s="7"/>
      <c r="O36" s="78">
        <v>36.159600997506203</v>
      </c>
      <c r="P36" s="69">
        <v>102.70246639498799</v>
      </c>
      <c r="Q36" s="7"/>
      <c r="R36" s="24"/>
      <c r="S36" s="7">
        <f>((P36-P37)/100*$Q$9)/((O37-O36)/$Q$7*60)</f>
        <v>4.6515473999088385E-11</v>
      </c>
      <c r="T36" s="9">
        <f>$Q$9*P36/100</f>
        <v>1.0270246639498798E-6</v>
      </c>
      <c r="U36" s="51">
        <f>T36/$R$9</f>
        <v>5.5514846699993503E-10</v>
      </c>
      <c r="V36" s="9">
        <f>4*PI()*(U36/$R$15*3/(PI()*4))^(2/3)*$R$15</f>
        <v>6.6028297566786312E-2</v>
      </c>
      <c r="W36" s="69">
        <f>O36+273.15</f>
        <v>309.30960099750621</v>
      </c>
      <c r="X36" s="9">
        <f>S36/V36</f>
        <v>7.0447786348025873E-10</v>
      </c>
      <c r="Y36" s="8">
        <f>101325*0.9</f>
        <v>91192.5</v>
      </c>
      <c r="AA36" s="28">
        <v>1499.3138936535099</v>
      </c>
      <c r="AB36" s="7">
        <v>2.0856423173803499E-4</v>
      </c>
      <c r="AC36" s="7"/>
      <c r="AD36" s="24"/>
      <c r="AE36" s="7">
        <f t="shared" si="60"/>
        <v>7.2997481108312243E-10</v>
      </c>
      <c r="AF36" s="7">
        <f t="shared" si="61"/>
        <v>1778.38765008576</v>
      </c>
      <c r="AG36" s="7">
        <f t="shared" si="62"/>
        <v>2.7585385243528899E-6</v>
      </c>
      <c r="AH36" s="9">
        <f t="shared" si="26"/>
        <v>1.4911019050556162E-9</v>
      </c>
      <c r="AI36" s="9">
        <f t="shared" si="63"/>
        <v>0.19370978900439376</v>
      </c>
      <c r="AJ36" s="69">
        <f t="shared" si="53"/>
        <v>1499.3138936535099</v>
      </c>
      <c r="AK36" s="9">
        <f t="shared" si="54"/>
        <v>3.7683940230122549E-9</v>
      </c>
      <c r="AL36" s="8">
        <f t="shared" si="55"/>
        <v>10132.5</v>
      </c>
    </row>
    <row r="37" spans="2:38">
      <c r="B37" s="7"/>
      <c r="C37" s="7"/>
      <c r="D37" s="7"/>
      <c r="E37" s="7"/>
      <c r="F37" s="7"/>
      <c r="G37" s="7"/>
      <c r="H37" s="9"/>
      <c r="I37" s="7"/>
      <c r="J37" s="7"/>
      <c r="K37" s="7"/>
      <c r="L37" s="51"/>
      <c r="M37" s="7"/>
      <c r="O37" s="78">
        <v>102.244389027431</v>
      </c>
      <c r="P37" s="69">
        <v>100.24329420351501</v>
      </c>
      <c r="Q37" s="7"/>
      <c r="R37" s="24"/>
      <c r="S37" s="7">
        <f>0.5*(((P37-P38)/100*$Q$9)/((O38-O37)/$Q$7*60)+((P37-P36)/100*$Q$9)/((O36-O37)/$Q$7*60))</f>
        <v>3.1386993413858213E-11</v>
      </c>
      <c r="T37" s="9">
        <f t="shared" ref="T37:T50" si="67">$Q$9*P37/100</f>
        <v>1.0024329420351502E-6</v>
      </c>
      <c r="U37" s="51">
        <f t="shared" ref="U37:U50" si="68">T37/$R$9</f>
        <v>5.4185564434332444E-10</v>
      </c>
      <c r="V37" s="9">
        <f t="shared" ref="V37:V50" si="69">4*PI()*(U37/$R$15*3/(PI()*4))^(2/3)*$R$15</f>
        <v>6.4970030554200961E-2</v>
      </c>
      <c r="W37" s="69">
        <f t="shared" ref="W37:W50" si="70">O37+273.15</f>
        <v>375.39438902743098</v>
      </c>
      <c r="X37" s="9">
        <f t="shared" ref="X37:X50" si="71">S37/V37</f>
        <v>4.8309956369304382E-10</v>
      </c>
      <c r="Y37" s="8">
        <f t="shared" ref="Y37:Y50" si="72">101325*0.9</f>
        <v>91192.5</v>
      </c>
      <c r="AA37" s="28">
        <v>1550.7718696397901</v>
      </c>
      <c r="AB37" s="7">
        <v>2.5692695214105799E-4</v>
      </c>
      <c r="AC37" s="7"/>
      <c r="AD37" s="24"/>
      <c r="AE37" s="7">
        <f t="shared" si="60"/>
        <v>8.9924433249370299E-10</v>
      </c>
      <c r="AF37" s="7">
        <f t="shared" si="61"/>
        <v>2087.1355060034412</v>
      </c>
      <c r="AG37" s="7">
        <f t="shared" si="62"/>
        <v>2.4808987647493328E-6</v>
      </c>
      <c r="AH37" s="9">
        <f t="shared" si="26"/>
        <v>1.3410263593239637E-9</v>
      </c>
      <c r="AI37" s="9">
        <f t="shared" si="63"/>
        <v>0.18048380058614064</v>
      </c>
      <c r="AJ37" s="69">
        <f t="shared" si="53"/>
        <v>1550.7718696397901</v>
      </c>
      <c r="AK37" s="9">
        <f t="shared" si="54"/>
        <v>4.9824102194951006E-9</v>
      </c>
      <c r="AL37" s="8">
        <f t="shared" si="55"/>
        <v>10132.5</v>
      </c>
    </row>
    <row r="38" spans="2:38">
      <c r="B38" s="7"/>
      <c r="C38" s="7"/>
      <c r="D38" s="7"/>
      <c r="E38" s="7"/>
      <c r="F38" s="7"/>
      <c r="G38" s="7"/>
      <c r="H38" s="9"/>
      <c r="I38" s="7"/>
      <c r="J38" s="7"/>
      <c r="K38" s="7"/>
      <c r="L38" s="51"/>
      <c r="M38" s="7"/>
      <c r="O38" s="78">
        <v>198.25436408977501</v>
      </c>
      <c r="P38" s="69">
        <v>98.994510674533103</v>
      </c>
      <c r="Q38" s="7"/>
      <c r="R38" s="24"/>
      <c r="S38" s="7">
        <f t="shared" ref="S38:S49" si="73">0.5*(((P38-P39)/100*$Q$9)/((O39-O38)/$Q$7*60)+((P38-P37)/100*$Q$9)/((O37-O38)/$Q$7*60))</f>
        <v>1.658035232729989E-11</v>
      </c>
      <c r="T38" s="9">
        <f t="shared" si="67"/>
        <v>9.8994510674533095E-7</v>
      </c>
      <c r="U38" s="51">
        <f t="shared" si="68"/>
        <v>5.3510546310558433E-10</v>
      </c>
      <c r="V38" s="9">
        <f t="shared" si="69"/>
        <v>6.442932673961789E-2</v>
      </c>
      <c r="W38" s="69">
        <f t="shared" si="70"/>
        <v>471.40436408977496</v>
      </c>
      <c r="X38" s="9">
        <f t="shared" si="71"/>
        <v>2.573416977381599E-10</v>
      </c>
      <c r="Y38" s="8">
        <f t="shared" si="72"/>
        <v>91192.5</v>
      </c>
      <c r="AA38" s="28">
        <v>1603.2590051457901</v>
      </c>
      <c r="AB38" s="7">
        <v>4.7758186397984799E-4</v>
      </c>
      <c r="AC38" s="7"/>
      <c r="AD38" s="24"/>
      <c r="AE38" s="7">
        <f t="shared" si="60"/>
        <v>1.6715365239294679E-9</v>
      </c>
      <c r="AF38" s="7">
        <f t="shared" si="61"/>
        <v>2402.0583190394409</v>
      </c>
      <c r="AG38" s="7">
        <f t="shared" si="62"/>
        <v>1.9544937805410478E-6</v>
      </c>
      <c r="AH38" s="9">
        <f t="shared" si="26"/>
        <v>1.0564831246167825E-9</v>
      </c>
      <c r="AI38" s="9">
        <f t="shared" si="63"/>
        <v>0.15395308440402816</v>
      </c>
      <c r="AJ38" s="69">
        <f t="shared" si="53"/>
        <v>1603.2590051457901</v>
      </c>
      <c r="AK38" s="9">
        <f t="shared" si="54"/>
        <v>1.0857440956121127E-8</v>
      </c>
      <c r="AL38" s="8">
        <f t="shared" si="55"/>
        <v>10132.5</v>
      </c>
    </row>
    <row r="39" spans="2:38">
      <c r="B39" s="7"/>
      <c r="C39" s="7"/>
      <c r="D39" s="7"/>
      <c r="E39" s="7"/>
      <c r="F39" s="7"/>
      <c r="G39" s="7"/>
      <c r="H39" s="9"/>
      <c r="I39" s="7"/>
      <c r="J39" s="7"/>
      <c r="K39" s="7"/>
      <c r="L39" s="51"/>
      <c r="M39" s="7"/>
      <c r="O39" s="78">
        <v>290.52369077306702</v>
      </c>
      <c r="P39" s="69">
        <v>97.746867587129699</v>
      </c>
      <c r="Q39" s="7"/>
      <c r="R39" s="24"/>
      <c r="S39" s="7">
        <f t="shared" si="73"/>
        <v>1.5144628606291479E-11</v>
      </c>
      <c r="T39" s="9">
        <f t="shared" si="67"/>
        <v>9.7746867587129699E-7</v>
      </c>
      <c r="U39" s="51">
        <f t="shared" si="68"/>
        <v>5.2836144641691732E-10</v>
      </c>
      <c r="V39" s="9">
        <f t="shared" si="69"/>
        <v>6.3886841392081048E-2</v>
      </c>
      <c r="W39" s="69">
        <f t="shared" si="70"/>
        <v>563.67369077306694</v>
      </c>
      <c r="X39" s="9">
        <f t="shared" si="71"/>
        <v>2.3705395784629758E-10</v>
      </c>
      <c r="Y39" s="8">
        <f t="shared" si="72"/>
        <v>91192.5</v>
      </c>
      <c r="AA39" s="76">
        <v>1650.60034305317</v>
      </c>
      <c r="AB39" s="11">
        <v>6.3476070528967199E-4</v>
      </c>
      <c r="AC39" s="11"/>
      <c r="AD39" s="26"/>
      <c r="AE39" s="11">
        <f t="shared" ref="AE39" si="74">AB39*$AC$10</f>
        <v>2.2216624685138517E-9</v>
      </c>
      <c r="AF39" s="11">
        <f t="shared" ref="AF39" si="75">AF38+(AA39-AA38)/$AC$8*60</f>
        <v>2686.1063464837207</v>
      </c>
      <c r="AG39" s="11">
        <f t="shared" ref="AG39" si="76">AG38-AE39*(AF39-AF38)</f>
        <v>1.3234349387126988E-6</v>
      </c>
      <c r="AH39" s="12">
        <f t="shared" si="26"/>
        <v>7.1537023714199939E-10</v>
      </c>
      <c r="AI39" s="12">
        <f t="shared" si="63"/>
        <v>0.11871363310822809</v>
      </c>
      <c r="AJ39" s="72">
        <f t="shared" ref="AJ39" si="77">AA39</f>
        <v>1650.60034305317</v>
      </c>
      <c r="AK39" s="12">
        <f t="shared" ref="AK39" si="78">AE39/AI39</f>
        <v>1.8714467836128144E-8</v>
      </c>
      <c r="AL39" s="8">
        <f t="shared" si="55"/>
        <v>10132.5</v>
      </c>
    </row>
    <row r="40" spans="2:38">
      <c r="B40" s="7"/>
      <c r="C40" s="7"/>
      <c r="D40" s="7"/>
      <c r="E40" s="7"/>
      <c r="F40" s="7"/>
      <c r="G40" s="7"/>
      <c r="H40" s="9"/>
      <c r="I40" s="7"/>
      <c r="J40" s="7"/>
      <c r="K40" s="7"/>
      <c r="L40" s="51"/>
      <c r="M40" s="7"/>
      <c r="O40" s="78">
        <v>407.73067331670802</v>
      </c>
      <c r="P40" s="69">
        <v>96.491621555866402</v>
      </c>
      <c r="Q40" s="7"/>
      <c r="R40" s="24"/>
      <c r="S40" s="7">
        <f t="shared" si="73"/>
        <v>2.1438378802480889E-11</v>
      </c>
      <c r="T40" s="9">
        <f t="shared" si="67"/>
        <v>9.6491621555866388E-7</v>
      </c>
      <c r="U40" s="51">
        <f t="shared" si="68"/>
        <v>5.2157633273441287E-10</v>
      </c>
      <c r="V40" s="9">
        <f t="shared" si="69"/>
        <v>6.3338715866479989E-2</v>
      </c>
      <c r="W40" s="69">
        <f t="shared" si="70"/>
        <v>680.880673316708</v>
      </c>
      <c r="X40" s="9">
        <f t="shared" si="71"/>
        <v>3.3847195209441358E-10</v>
      </c>
      <c r="Y40" s="8">
        <f t="shared" si="72"/>
        <v>91192.5</v>
      </c>
      <c r="AH40" s="1"/>
      <c r="AI40" s="9"/>
      <c r="AJ40" s="2"/>
      <c r="AK40" s="1"/>
    </row>
    <row r="41" spans="2:38">
      <c r="B41" s="7"/>
      <c r="C41" s="7"/>
      <c r="D41" s="7"/>
      <c r="E41" s="7"/>
      <c r="F41" s="7"/>
      <c r="G41" s="7"/>
      <c r="H41" s="9"/>
      <c r="I41" s="7"/>
      <c r="J41" s="7"/>
      <c r="K41" s="7"/>
      <c r="L41" s="51"/>
      <c r="M41" s="7"/>
      <c r="O41" s="78">
        <v>512.46882793017403</v>
      </c>
      <c r="P41" s="69">
        <v>94.020664801411101</v>
      </c>
      <c r="Q41" s="7"/>
      <c r="R41" s="24"/>
      <c r="S41" s="7">
        <f t="shared" si="73"/>
        <v>3.3823275130825221E-11</v>
      </c>
      <c r="T41" s="9">
        <f t="shared" si="67"/>
        <v>9.4020664801411103E-7</v>
      </c>
      <c r="U41" s="51">
        <f t="shared" si="68"/>
        <v>5.0821980973735734E-10</v>
      </c>
      <c r="V41" s="9">
        <f t="shared" si="69"/>
        <v>6.2252729222434008E-2</v>
      </c>
      <c r="W41" s="69">
        <f t="shared" si="70"/>
        <v>785.61882793017401</v>
      </c>
      <c r="X41" s="9">
        <f t="shared" si="71"/>
        <v>5.4332196440692485E-10</v>
      </c>
      <c r="Y41" s="8">
        <f t="shared" si="72"/>
        <v>91192.5</v>
      </c>
    </row>
    <row r="42" spans="2:38">
      <c r="B42" s="7"/>
      <c r="C42" s="7"/>
      <c r="D42" s="7"/>
      <c r="E42" s="7"/>
      <c r="F42" s="7"/>
      <c r="G42" s="7"/>
      <c r="H42" s="9"/>
      <c r="I42" s="7"/>
      <c r="J42" s="7"/>
      <c r="K42" s="7"/>
      <c r="L42" s="51"/>
      <c r="M42" s="7"/>
      <c r="O42" s="78">
        <v>623.44139650872796</v>
      </c>
      <c r="P42" s="69">
        <v>90.633173164649307</v>
      </c>
      <c r="Q42" s="7"/>
      <c r="R42" s="24"/>
      <c r="S42" s="7">
        <f t="shared" si="73"/>
        <v>4.8252104379093735E-11</v>
      </c>
      <c r="T42" s="9">
        <f t="shared" si="67"/>
        <v>9.0633173164649294E-7</v>
      </c>
      <c r="U42" s="51">
        <f t="shared" si="68"/>
        <v>4.8990904413323942E-10</v>
      </c>
      <c r="V42" s="9">
        <f t="shared" si="69"/>
        <v>6.0748325022929768E-2</v>
      </c>
      <c r="W42" s="69">
        <f t="shared" si="70"/>
        <v>896.59139650872794</v>
      </c>
      <c r="X42" s="9">
        <f t="shared" si="71"/>
        <v>7.9429522313381857E-10</v>
      </c>
      <c r="Y42" s="8">
        <f t="shared" si="72"/>
        <v>91192.5</v>
      </c>
    </row>
    <row r="43" spans="2:38">
      <c r="B43" s="7"/>
      <c r="C43" s="7"/>
      <c r="D43" s="7"/>
      <c r="E43" s="7"/>
      <c r="F43" s="7"/>
      <c r="G43" s="7"/>
      <c r="H43" s="9"/>
      <c r="I43" s="7"/>
      <c r="J43" s="7"/>
      <c r="K43" s="7"/>
      <c r="L43" s="51"/>
      <c r="M43" s="7"/>
      <c r="O43" s="78">
        <v>695.76059850373997</v>
      </c>
      <c r="P43" s="69">
        <v>87.257466090870295</v>
      </c>
      <c r="Q43" s="7"/>
      <c r="R43" s="24"/>
      <c r="S43" s="7">
        <f t="shared" si="73"/>
        <v>1.1188708999158956E-10</v>
      </c>
      <c r="T43" s="9">
        <f t="shared" si="67"/>
        <v>8.7257466090870298E-7</v>
      </c>
      <c r="U43" s="51">
        <f t="shared" si="68"/>
        <v>4.7166197886956922E-10</v>
      </c>
      <c r="V43" s="9">
        <f t="shared" si="69"/>
        <v>5.9230388659844771E-2</v>
      </c>
      <c r="W43" s="69">
        <f t="shared" si="70"/>
        <v>968.91059850373995</v>
      </c>
      <c r="X43" s="9">
        <f t="shared" si="71"/>
        <v>1.8890149553829182E-9</v>
      </c>
      <c r="Y43" s="8">
        <f t="shared" si="72"/>
        <v>91192.5</v>
      </c>
    </row>
    <row r="44" spans="2:38">
      <c r="B44" s="7"/>
      <c r="C44" s="7"/>
      <c r="D44" s="7"/>
      <c r="E44" s="7"/>
      <c r="F44" s="7"/>
      <c r="G44" s="7"/>
      <c r="H44" s="9"/>
      <c r="I44" s="7"/>
      <c r="J44" s="7"/>
      <c r="K44" s="7"/>
      <c r="L44" s="51"/>
      <c r="M44" s="7"/>
      <c r="O44" s="78">
        <v>758.10473815461296</v>
      </c>
      <c r="P44" s="69">
        <v>79.006751414147502</v>
      </c>
      <c r="Q44" s="7"/>
      <c r="R44" s="24"/>
      <c r="S44" s="7">
        <f t="shared" si="73"/>
        <v>3.2976723733583312E-10</v>
      </c>
      <c r="T44" s="9">
        <f t="shared" si="67"/>
        <v>7.900675141414749E-7</v>
      </c>
      <c r="U44" s="51">
        <f t="shared" si="68"/>
        <v>4.27063521157554E-10</v>
      </c>
      <c r="V44" s="9">
        <f t="shared" si="69"/>
        <v>5.5435204535836079E-2</v>
      </c>
      <c r="W44" s="69">
        <f t="shared" si="70"/>
        <v>1031.2547381546128</v>
      </c>
      <c r="X44" s="9">
        <f t="shared" si="71"/>
        <v>5.9486970436386711E-9</v>
      </c>
      <c r="Y44" s="8">
        <f t="shared" si="72"/>
        <v>91192.5</v>
      </c>
    </row>
    <row r="45" spans="2:38">
      <c r="B45" s="7"/>
      <c r="C45" s="7"/>
      <c r="D45" s="7"/>
      <c r="E45" s="7"/>
      <c r="F45" s="7"/>
      <c r="G45" s="7"/>
      <c r="H45" s="9"/>
      <c r="I45" s="7"/>
      <c r="J45" s="7"/>
      <c r="K45" s="7"/>
      <c r="L45" s="51"/>
      <c r="M45" s="7"/>
      <c r="O45" s="78">
        <v>790.52369077306696</v>
      </c>
      <c r="P45" s="69">
        <v>66.191989538349205</v>
      </c>
      <c r="Q45" s="7"/>
      <c r="R45" s="24"/>
      <c r="S45" s="7">
        <f t="shared" si="73"/>
        <v>7.8211479831142253E-10</v>
      </c>
      <c r="T45" s="9">
        <f t="shared" si="67"/>
        <v>6.6191989538349197E-7</v>
      </c>
      <c r="U45" s="51">
        <f t="shared" si="68"/>
        <v>3.577945380451308E-10</v>
      </c>
      <c r="V45" s="9">
        <f t="shared" si="69"/>
        <v>4.926590604281661E-2</v>
      </c>
      <c r="W45" s="69">
        <f t="shared" si="70"/>
        <v>1063.6736907730669</v>
      </c>
      <c r="X45" s="9">
        <f t="shared" si="71"/>
        <v>1.5875376322759452E-8</v>
      </c>
      <c r="Y45" s="8">
        <f t="shared" si="72"/>
        <v>91192.5</v>
      </c>
    </row>
    <row r="46" spans="2:38">
      <c r="B46" s="7"/>
      <c r="C46" s="7"/>
      <c r="D46" s="56"/>
      <c r="E46" s="56"/>
      <c r="F46" s="7"/>
      <c r="G46" s="7"/>
      <c r="H46" s="9"/>
      <c r="I46" s="7"/>
      <c r="J46" s="7"/>
      <c r="K46" s="7"/>
      <c r="L46" s="51"/>
      <c r="M46" s="7"/>
      <c r="O46" s="78">
        <v>807.98004987531203</v>
      </c>
      <c r="P46" s="69">
        <v>51.247643087403397</v>
      </c>
      <c r="Q46" s="7"/>
      <c r="R46" s="24"/>
      <c r="S46" s="7">
        <f t="shared" si="73"/>
        <v>1.2576739190687199E-9</v>
      </c>
      <c r="T46" s="9">
        <f t="shared" si="67"/>
        <v>5.1247643087403394E-7</v>
      </c>
      <c r="U46" s="51">
        <f t="shared" si="68"/>
        <v>2.7701428695893726E-10</v>
      </c>
      <c r="V46" s="9">
        <f t="shared" si="69"/>
        <v>4.1539262541393847E-2</v>
      </c>
      <c r="W46" s="69">
        <f t="shared" si="70"/>
        <v>1081.1300498753121</v>
      </c>
      <c r="X46" s="9">
        <f t="shared" si="71"/>
        <v>3.027675124986749E-8</v>
      </c>
      <c r="Y46" s="8">
        <f t="shared" si="72"/>
        <v>91192.5</v>
      </c>
    </row>
    <row r="47" spans="2:38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O47" s="78">
        <v>821.69576059850397</v>
      </c>
      <c r="P47" s="69">
        <v>35.389802931695101</v>
      </c>
      <c r="Q47" s="7"/>
      <c r="R47" s="24"/>
      <c r="S47" s="7">
        <f t="shared" si="73"/>
        <v>1.7161342849224976E-9</v>
      </c>
      <c r="T47" s="9">
        <f t="shared" si="67"/>
        <v>3.53898029316951E-7</v>
      </c>
      <c r="U47" s="51">
        <f t="shared" si="68"/>
        <v>1.9129623206321676E-10</v>
      </c>
      <c r="V47" s="9">
        <f t="shared" si="69"/>
        <v>3.2453505453298691E-2</v>
      </c>
      <c r="W47" s="69">
        <f t="shared" si="70"/>
        <v>1094.8457605985041</v>
      </c>
      <c r="X47" s="9">
        <f t="shared" si="71"/>
        <v>5.2879781735506284E-8</v>
      </c>
      <c r="Y47" s="8">
        <f t="shared" si="72"/>
        <v>91192.5</v>
      </c>
    </row>
    <row r="48" spans="2:38">
      <c r="B48" s="7"/>
      <c r="C48" s="7"/>
      <c r="D48" s="7"/>
      <c r="E48" s="7"/>
      <c r="F48" s="7"/>
      <c r="G48" s="7"/>
      <c r="H48" s="9"/>
      <c r="I48" s="7"/>
      <c r="J48" s="7"/>
      <c r="K48" s="7"/>
      <c r="L48" s="51"/>
      <c r="M48" s="7"/>
      <c r="O48" s="78">
        <v>829.17705735660797</v>
      </c>
      <c r="P48" s="69">
        <v>23.4972781460981</v>
      </c>
      <c r="Q48" s="7"/>
      <c r="R48" s="24"/>
      <c r="S48" s="7">
        <f t="shared" si="73"/>
        <v>2.0889227642276946E-9</v>
      </c>
      <c r="T48" s="9">
        <f t="shared" si="67"/>
        <v>2.3497278146098097E-7</v>
      </c>
      <c r="U48" s="51">
        <f t="shared" si="68"/>
        <v>1.2701231430323295E-10</v>
      </c>
      <c r="V48" s="9">
        <f t="shared" si="69"/>
        <v>2.4699484515893076E-2</v>
      </c>
      <c r="W48" s="69">
        <f t="shared" si="70"/>
        <v>1102.3270573566078</v>
      </c>
      <c r="X48" s="9">
        <f t="shared" si="71"/>
        <v>8.4573536864041075E-8</v>
      </c>
      <c r="Y48" s="8">
        <f t="shared" si="72"/>
        <v>91192.5</v>
      </c>
    </row>
    <row r="49" spans="2:25">
      <c r="B49" s="7"/>
      <c r="C49" s="7"/>
      <c r="D49" s="7"/>
      <c r="E49" s="7"/>
      <c r="F49" s="7"/>
      <c r="G49" s="7"/>
      <c r="H49" s="9"/>
      <c r="I49" s="7"/>
      <c r="J49" s="7"/>
      <c r="K49" s="7"/>
      <c r="L49" s="51"/>
      <c r="M49" s="7"/>
      <c r="O49" s="78">
        <v>836.65835411471301</v>
      </c>
      <c r="P49" s="69">
        <v>10.385241165379201</v>
      </c>
      <c r="Q49" s="7"/>
      <c r="R49" s="24"/>
      <c r="S49" s="7">
        <f t="shared" si="73"/>
        <v>1.3472957018172626E-9</v>
      </c>
      <c r="T49" s="9">
        <f t="shared" si="67"/>
        <v>1.0385241165379201E-7</v>
      </c>
      <c r="U49" s="51">
        <f t="shared" si="68"/>
        <v>5.613643873177946E-11</v>
      </c>
      <c r="V49" s="9">
        <f t="shared" si="69"/>
        <v>1.4331354596003444E-2</v>
      </c>
      <c r="W49" s="69">
        <f t="shared" si="70"/>
        <v>1109.808354114713</v>
      </c>
      <c r="X49" s="9">
        <f t="shared" si="71"/>
        <v>9.4010352810123075E-8</v>
      </c>
      <c r="Y49" s="8">
        <f t="shared" si="72"/>
        <v>91192.5</v>
      </c>
    </row>
    <row r="50" spans="2:25">
      <c r="B50" s="7"/>
      <c r="C50" s="7"/>
      <c r="D50" s="7"/>
      <c r="E50" s="7"/>
      <c r="F50" s="7"/>
      <c r="G50" s="7"/>
      <c r="H50" s="9"/>
      <c r="I50" s="7"/>
      <c r="J50" s="7"/>
      <c r="K50" s="7"/>
      <c r="L50" s="51"/>
      <c r="M50" s="7"/>
      <c r="O50" s="79">
        <v>857.85536159600997</v>
      </c>
      <c r="P50" s="72">
        <v>1.8421932972446999</v>
      </c>
      <c r="Q50" s="11"/>
      <c r="R50" s="26"/>
      <c r="S50" s="11">
        <f>((P50-P49)/100*$Q$9)/((O49-O50)/$Q$7*60)</f>
        <v>5.03788558106162E-10</v>
      </c>
      <c r="T50" s="12">
        <f t="shared" si="67"/>
        <v>1.8421932972446997E-8</v>
      </c>
      <c r="U50" s="58">
        <f t="shared" si="68"/>
        <v>9.9578016067281073E-12</v>
      </c>
      <c r="V50" s="12">
        <f t="shared" si="69"/>
        <v>4.524455448825071E-3</v>
      </c>
      <c r="W50" s="72">
        <f t="shared" si="70"/>
        <v>1131.0053615960101</v>
      </c>
      <c r="X50" s="12">
        <f t="shared" si="71"/>
        <v>1.113478878959871E-7</v>
      </c>
      <c r="Y50" s="13">
        <f t="shared" si="72"/>
        <v>91192.5</v>
      </c>
    </row>
    <row r="51" spans="2:25">
      <c r="B51" s="7"/>
      <c r="C51" s="7"/>
      <c r="D51" s="7"/>
      <c r="E51" s="7"/>
      <c r="F51" s="7"/>
      <c r="G51" s="7"/>
      <c r="H51" s="9"/>
      <c r="I51" s="7"/>
      <c r="J51" s="7"/>
      <c r="K51" s="7"/>
      <c r="L51" s="51"/>
      <c r="M51" s="7"/>
    </row>
    <row r="52" spans="2:25">
      <c r="B52" s="7"/>
      <c r="C52" s="7"/>
      <c r="D52" s="7"/>
      <c r="E52" s="7"/>
      <c r="F52" s="7"/>
      <c r="G52" s="7"/>
      <c r="H52" s="9"/>
      <c r="I52" s="7"/>
      <c r="J52" s="7"/>
      <c r="K52" s="7"/>
      <c r="L52" s="51"/>
      <c r="M52" s="7"/>
    </row>
    <row r="53" spans="2:25">
      <c r="B53" s="7"/>
      <c r="C53" s="7"/>
      <c r="D53" s="7"/>
      <c r="E53" s="7"/>
      <c r="F53" s="7"/>
      <c r="G53" s="7"/>
      <c r="H53" s="9"/>
      <c r="I53" s="7"/>
      <c r="J53" s="7"/>
      <c r="K53" s="7"/>
      <c r="L53" s="51"/>
      <c r="M53" s="7"/>
    </row>
    <row r="54" spans="2:25">
      <c r="B54" s="7"/>
      <c r="C54" s="7"/>
      <c r="D54" s="7"/>
      <c r="E54" s="7"/>
      <c r="F54" s="7"/>
      <c r="G54" s="7"/>
      <c r="H54" s="9"/>
      <c r="I54" s="7"/>
      <c r="J54" s="7"/>
      <c r="K54" s="7"/>
      <c r="L54" s="51"/>
      <c r="M54" s="7"/>
    </row>
    <row r="55" spans="2:25">
      <c r="B55" s="7"/>
      <c r="C55" s="7"/>
      <c r="D55" s="7"/>
      <c r="E55" s="7"/>
      <c r="F55" s="7"/>
      <c r="G55" s="7"/>
      <c r="H55" s="9"/>
      <c r="I55" s="7"/>
      <c r="J55" s="7"/>
      <c r="K55" s="7"/>
      <c r="L55" s="51"/>
      <c r="M55" s="7"/>
    </row>
    <row r="56" spans="2:25">
      <c r="B56" s="7"/>
      <c r="C56" s="7"/>
      <c r="D56" s="7"/>
      <c r="E56" s="7"/>
      <c r="F56" s="7"/>
      <c r="G56" s="7"/>
      <c r="H56" s="9"/>
      <c r="I56" s="7"/>
      <c r="J56" s="7"/>
      <c r="K56" s="7"/>
      <c r="L56" s="51"/>
      <c r="M56" s="7"/>
    </row>
    <row r="57" spans="2:25">
      <c r="B57" s="7"/>
      <c r="C57" s="7"/>
      <c r="D57" s="7"/>
      <c r="E57" s="7"/>
      <c r="F57" s="7"/>
      <c r="G57" s="7"/>
      <c r="H57" s="9"/>
      <c r="I57" s="7"/>
      <c r="J57" s="7"/>
      <c r="K57" s="7"/>
      <c r="L57" s="51"/>
      <c r="M57" s="7"/>
    </row>
    <row r="58" spans="2:25">
      <c r="B58" s="7"/>
      <c r="C58" s="7"/>
      <c r="D58" s="7"/>
      <c r="E58" s="7"/>
      <c r="F58" s="7"/>
      <c r="G58" s="7"/>
      <c r="H58" s="9"/>
      <c r="I58" s="7"/>
      <c r="J58" s="7"/>
      <c r="K58" s="7"/>
      <c r="L58" s="51"/>
      <c r="M58" s="7"/>
    </row>
    <row r="59" spans="2:25">
      <c r="B59" s="7"/>
      <c r="C59" s="7"/>
      <c r="D59" s="7"/>
      <c r="E59" s="7"/>
      <c r="F59" s="7"/>
      <c r="G59" s="7"/>
      <c r="H59" s="9"/>
      <c r="I59" s="7"/>
      <c r="J59" s="7"/>
      <c r="K59" s="7"/>
      <c r="L59" s="51"/>
      <c r="M59" s="7"/>
    </row>
    <row r="60" spans="2:25">
      <c r="B60" s="7"/>
      <c r="C60" s="7"/>
      <c r="D60" s="7"/>
      <c r="E60" s="7"/>
      <c r="F60" s="7"/>
      <c r="G60" s="7"/>
      <c r="H60" s="9"/>
      <c r="I60" s="7"/>
      <c r="J60" s="7"/>
      <c r="K60" s="7"/>
      <c r="L60" s="51"/>
      <c r="M60" s="7"/>
    </row>
    <row r="61" spans="2:25">
      <c r="B61" s="7"/>
      <c r="C61" s="7"/>
      <c r="D61" s="7"/>
      <c r="E61" s="7"/>
      <c r="F61" s="7"/>
      <c r="G61" s="7"/>
      <c r="H61" s="9"/>
      <c r="I61" s="7"/>
      <c r="J61" s="7"/>
      <c r="K61" s="7"/>
      <c r="L61" s="51"/>
      <c r="M61" s="7"/>
    </row>
    <row r="62" spans="2:25">
      <c r="B62" s="7"/>
      <c r="C62" s="7"/>
      <c r="D62" s="7"/>
      <c r="E62" s="7"/>
      <c r="F62" s="7"/>
      <c r="G62" s="7"/>
      <c r="H62" s="9"/>
      <c r="I62" s="7"/>
      <c r="J62" s="7"/>
      <c r="K62" s="7"/>
      <c r="L62" s="51"/>
      <c r="M62" s="7"/>
    </row>
    <row r="63" spans="2:25">
      <c r="B63" s="7"/>
      <c r="C63" s="7"/>
      <c r="D63" s="7"/>
      <c r="E63" s="7"/>
      <c r="F63" s="7"/>
      <c r="G63" s="7"/>
      <c r="H63" s="9"/>
      <c r="I63" s="7"/>
      <c r="J63" s="7"/>
      <c r="K63" s="7"/>
      <c r="L63" s="51"/>
      <c r="M63" s="7"/>
    </row>
    <row r="64" spans="2:25">
      <c r="B64" s="7"/>
      <c r="C64" s="7"/>
      <c r="D64" s="7"/>
      <c r="E64" s="7"/>
      <c r="F64" s="7"/>
      <c r="G64" s="7"/>
      <c r="H64" s="9"/>
      <c r="I64" s="7"/>
      <c r="J64" s="7"/>
      <c r="K64" s="7"/>
      <c r="L64" s="51"/>
      <c r="M64" s="7"/>
    </row>
    <row r="65" spans="2:13">
      <c r="B65" s="7"/>
      <c r="C65" s="7"/>
      <c r="D65" s="56"/>
      <c r="E65" s="56"/>
      <c r="F65" s="7"/>
      <c r="G65" s="7"/>
      <c r="H65" s="9"/>
      <c r="I65" s="7"/>
      <c r="J65" s="7"/>
      <c r="K65" s="7"/>
      <c r="L65" s="51"/>
      <c r="M65" s="7"/>
    </row>
  </sheetData>
  <mergeCells count="21">
    <mergeCell ref="B47:M47"/>
    <mergeCell ref="O3:Q3"/>
    <mergeCell ref="O2:Y2"/>
    <mergeCell ref="O5:Y5"/>
    <mergeCell ref="O19:Y19"/>
    <mergeCell ref="O35:Y35"/>
    <mergeCell ref="S3:Y3"/>
    <mergeCell ref="B3:F3"/>
    <mergeCell ref="H3:M3"/>
    <mergeCell ref="B5:M5"/>
    <mergeCell ref="B17:M17"/>
    <mergeCell ref="AA3:AB3"/>
    <mergeCell ref="AA5:AL5"/>
    <mergeCell ref="AE3:AL3"/>
    <mergeCell ref="AA17:AL17"/>
    <mergeCell ref="B2:M2"/>
    <mergeCell ref="AA2:AL2"/>
    <mergeCell ref="AA29:AL29"/>
    <mergeCell ref="AN2:AS2"/>
    <mergeCell ref="AN3:AP3"/>
    <mergeCell ref="AQ3:AS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Oxidation Data</vt:lpstr>
      <vt:lpstr>H2O Gasification Data</vt:lpstr>
      <vt:lpstr>CO2 Gasification Data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Josephson</dc:creator>
  <cp:lastModifiedBy>Alexander Josephson</cp:lastModifiedBy>
  <dcterms:created xsi:type="dcterms:W3CDTF">2016-10-10T21:19:53Z</dcterms:created>
  <dcterms:modified xsi:type="dcterms:W3CDTF">2016-10-18T22:58:11Z</dcterms:modified>
</cp:coreProperties>
</file>