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240" yWindow="240" windowWidth="25360" windowHeight="14220" tabRatio="500" activeTab="2"/>
  </bookViews>
  <sheets>
    <sheet name="Sheet1" sheetId="1" r:id="rId1"/>
    <sheet name="Sheet2" sheetId="2" r:id="rId2"/>
    <sheet name="by genotype" sheetId="3" r:id="rId3"/>
    <sheet name="Sheet6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3" l="1"/>
  <c r="G60" i="3"/>
  <c r="H60" i="3"/>
  <c r="I60" i="3"/>
  <c r="Q60" i="3"/>
  <c r="R60" i="3"/>
  <c r="S60" i="3"/>
  <c r="T60" i="3"/>
  <c r="F60" i="3"/>
  <c r="G49" i="3"/>
  <c r="H49" i="3"/>
  <c r="I49" i="3"/>
  <c r="Q49" i="3"/>
  <c r="R49" i="3"/>
  <c r="S49" i="3"/>
  <c r="T49" i="3"/>
  <c r="F49" i="3"/>
  <c r="G61" i="3"/>
  <c r="H61" i="3"/>
  <c r="I61" i="3"/>
  <c r="Q61" i="3"/>
  <c r="R61" i="3"/>
  <c r="S61" i="3"/>
  <c r="T61" i="3"/>
  <c r="F61" i="3"/>
  <c r="G50" i="3"/>
  <c r="H50" i="3"/>
  <c r="I50" i="3"/>
  <c r="Q50" i="3"/>
  <c r="R50" i="3"/>
  <c r="S50" i="3"/>
  <c r="T50" i="3"/>
  <c r="F50" i="3"/>
  <c r="F30" i="3"/>
  <c r="G31" i="3"/>
  <c r="H31" i="3"/>
  <c r="I31" i="3"/>
  <c r="J31" i="3"/>
  <c r="Q31" i="3"/>
  <c r="R31" i="3"/>
  <c r="S31" i="3"/>
  <c r="T31" i="3"/>
  <c r="U31" i="3"/>
  <c r="F31" i="3"/>
  <c r="G30" i="3"/>
  <c r="H30" i="3"/>
  <c r="I30" i="3"/>
  <c r="J30" i="3"/>
  <c r="Q30" i="3"/>
  <c r="R30" i="3"/>
  <c r="S30" i="3"/>
  <c r="T30" i="3"/>
  <c r="U30" i="3"/>
  <c r="G20" i="3"/>
  <c r="H20" i="3"/>
  <c r="I20" i="3"/>
  <c r="J20" i="3"/>
  <c r="Q20" i="3"/>
  <c r="R20" i="3"/>
  <c r="S20" i="3"/>
  <c r="T20" i="3"/>
  <c r="U20" i="3"/>
  <c r="F20" i="3"/>
  <c r="G19" i="3"/>
  <c r="H19" i="3"/>
  <c r="I19" i="3"/>
  <c r="J19" i="3"/>
  <c r="Q19" i="3"/>
  <c r="R19" i="3"/>
  <c r="S19" i="3"/>
  <c r="T19" i="3"/>
  <c r="U19" i="3"/>
  <c r="F19" i="3"/>
  <c r="F13" i="2"/>
  <c r="U5" i="3"/>
  <c r="U6" i="3"/>
  <c r="U7" i="3"/>
  <c r="U8" i="3"/>
  <c r="U9" i="3"/>
  <c r="U10" i="3"/>
  <c r="U11" i="3"/>
  <c r="U12" i="3"/>
  <c r="U13" i="3"/>
  <c r="U14" i="3"/>
  <c r="U15" i="3"/>
  <c r="U22" i="3"/>
  <c r="U23" i="3"/>
  <c r="U24" i="3"/>
  <c r="U25" i="3"/>
  <c r="U26" i="3"/>
  <c r="U27" i="3"/>
  <c r="U28" i="3"/>
  <c r="U29" i="3"/>
  <c r="U4" i="3"/>
  <c r="F35" i="3"/>
  <c r="G35" i="3"/>
  <c r="H35" i="3"/>
  <c r="F5" i="3"/>
  <c r="G5" i="3"/>
  <c r="H5" i="3"/>
  <c r="J5" i="3"/>
  <c r="F36" i="3"/>
  <c r="G36" i="3"/>
  <c r="H36" i="3"/>
  <c r="F6" i="3"/>
  <c r="G6" i="3"/>
  <c r="H6" i="3"/>
  <c r="J6" i="3"/>
  <c r="F37" i="3"/>
  <c r="G37" i="3"/>
  <c r="H37" i="3"/>
  <c r="F7" i="3"/>
  <c r="G7" i="3"/>
  <c r="H7" i="3"/>
  <c r="J7" i="3"/>
  <c r="F38" i="3"/>
  <c r="G38" i="3"/>
  <c r="H38" i="3"/>
  <c r="F8" i="3"/>
  <c r="G8" i="3"/>
  <c r="H8" i="3"/>
  <c r="J8" i="3"/>
  <c r="F39" i="3"/>
  <c r="G39" i="3"/>
  <c r="H39" i="3"/>
  <c r="F9" i="3"/>
  <c r="G9" i="3"/>
  <c r="H9" i="3"/>
  <c r="J9" i="3"/>
  <c r="F40" i="3"/>
  <c r="G40" i="3"/>
  <c r="H40" i="3"/>
  <c r="F10" i="3"/>
  <c r="G10" i="3"/>
  <c r="H10" i="3"/>
  <c r="J10" i="3"/>
  <c r="F41" i="3"/>
  <c r="G41" i="3"/>
  <c r="H41" i="3"/>
  <c r="F11" i="3"/>
  <c r="G11" i="3"/>
  <c r="H11" i="3"/>
  <c r="J11" i="3"/>
  <c r="H42" i="3"/>
  <c r="H12" i="3"/>
  <c r="J12" i="3"/>
  <c r="H43" i="3"/>
  <c r="H13" i="3"/>
  <c r="J13" i="3"/>
  <c r="H44" i="3"/>
  <c r="H14" i="3"/>
  <c r="J14" i="3"/>
  <c r="H45" i="3"/>
  <c r="H15" i="3"/>
  <c r="J15" i="3"/>
  <c r="H46" i="3"/>
  <c r="H16" i="3"/>
  <c r="J16" i="3"/>
  <c r="H47" i="3"/>
  <c r="H17" i="3"/>
  <c r="J17" i="3"/>
  <c r="H48" i="3"/>
  <c r="H18" i="3"/>
  <c r="J18" i="3"/>
  <c r="H52" i="3"/>
  <c r="H22" i="3"/>
  <c r="J22" i="3"/>
  <c r="H53" i="3"/>
  <c r="H23" i="3"/>
  <c r="J23" i="3"/>
  <c r="H54" i="3"/>
  <c r="H24" i="3"/>
  <c r="J24" i="3"/>
  <c r="H55" i="3"/>
  <c r="H25" i="3"/>
  <c r="J25" i="3"/>
  <c r="H56" i="3"/>
  <c r="H26" i="3"/>
  <c r="J26" i="3"/>
  <c r="H57" i="3"/>
  <c r="H27" i="3"/>
  <c r="J27" i="3"/>
  <c r="H58" i="3"/>
  <c r="H28" i="3"/>
  <c r="J28" i="3"/>
  <c r="H59" i="3"/>
  <c r="H29" i="3"/>
  <c r="J29" i="3"/>
  <c r="G34" i="3"/>
  <c r="H34" i="3"/>
  <c r="F4" i="3"/>
  <c r="G4" i="3"/>
  <c r="H4" i="3"/>
  <c r="I56" i="3"/>
  <c r="I55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I59" i="3"/>
  <c r="I58" i="3"/>
  <c r="I57" i="3"/>
  <c r="I54" i="3"/>
  <c r="I53" i="3"/>
  <c r="I52" i="3"/>
  <c r="I48" i="3"/>
  <c r="I47" i="3"/>
  <c r="I46" i="3"/>
  <c r="I45" i="3"/>
  <c r="I44" i="3"/>
  <c r="I43" i="3"/>
  <c r="I42" i="3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F53" i="6"/>
  <c r="G53" i="6"/>
  <c r="E54" i="6"/>
  <c r="F54" i="6"/>
  <c r="G54" i="6"/>
  <c r="D55" i="6"/>
  <c r="E55" i="6"/>
  <c r="F55" i="6"/>
  <c r="G55" i="6"/>
  <c r="D56" i="6"/>
  <c r="E56" i="6"/>
  <c r="F56" i="6"/>
  <c r="G56" i="6"/>
  <c r="D57" i="6"/>
  <c r="E57" i="6"/>
  <c r="F57" i="6"/>
  <c r="G57" i="6"/>
  <c r="D58" i="6"/>
  <c r="E58" i="6"/>
  <c r="F58" i="6"/>
  <c r="G58" i="6"/>
  <c r="D59" i="6"/>
  <c r="E59" i="6"/>
  <c r="F59" i="6"/>
  <c r="G59" i="6"/>
  <c r="F86" i="6"/>
  <c r="F35" i="6"/>
  <c r="F87" i="6"/>
  <c r="F36" i="6"/>
  <c r="F12" i="6"/>
  <c r="F26" i="6"/>
  <c r="F13" i="6"/>
  <c r="F27" i="6"/>
  <c r="F14" i="6"/>
  <c r="F28" i="6"/>
  <c r="F15" i="6"/>
  <c r="F29" i="6"/>
  <c r="F16" i="6"/>
  <c r="F30" i="6"/>
  <c r="F76" i="6"/>
  <c r="G86" i="6"/>
  <c r="G87" i="6"/>
  <c r="G64" i="6"/>
  <c r="G65" i="6"/>
  <c r="G39" i="6"/>
  <c r="G40" i="6"/>
  <c r="G41" i="6"/>
  <c r="G42" i="6"/>
  <c r="G43" i="6"/>
  <c r="D67" i="6"/>
  <c r="E67" i="6"/>
  <c r="G67" i="6"/>
  <c r="F64" i="6"/>
  <c r="F65" i="6"/>
  <c r="F39" i="6"/>
  <c r="F40" i="6"/>
  <c r="F41" i="6"/>
  <c r="F42" i="6"/>
  <c r="F43" i="6"/>
  <c r="F67" i="6"/>
  <c r="F72" i="6"/>
  <c r="F73" i="6"/>
  <c r="F4" i="6"/>
  <c r="F70" i="6"/>
  <c r="F5" i="6"/>
  <c r="F71" i="6"/>
  <c r="F6" i="6"/>
  <c r="F7" i="6"/>
  <c r="F8" i="6"/>
  <c r="D74" i="6"/>
  <c r="E74" i="6"/>
  <c r="F74" i="6"/>
  <c r="G35" i="6"/>
  <c r="G36" i="6"/>
  <c r="G12" i="6"/>
  <c r="G13" i="6"/>
  <c r="G14" i="6"/>
  <c r="G15" i="6"/>
  <c r="G16" i="6"/>
  <c r="G72" i="6"/>
  <c r="G73" i="6"/>
  <c r="G4" i="6"/>
  <c r="G5" i="6"/>
  <c r="G6" i="6"/>
  <c r="G7" i="6"/>
  <c r="G8" i="6"/>
  <c r="F82" i="6"/>
  <c r="F31" i="6"/>
  <c r="F83" i="6"/>
  <c r="F32" i="6"/>
  <c r="F84" i="6"/>
  <c r="F33" i="6"/>
  <c r="F85" i="6"/>
  <c r="F34" i="6"/>
  <c r="F17" i="6"/>
  <c r="F11" i="6"/>
  <c r="F25" i="6"/>
  <c r="F10" i="6"/>
  <c r="G82" i="6"/>
  <c r="G83" i="6"/>
  <c r="G84" i="6"/>
  <c r="G85" i="6"/>
  <c r="G60" i="6"/>
  <c r="G61" i="6"/>
  <c r="G62" i="6"/>
  <c r="G63" i="6"/>
  <c r="G38" i="6"/>
  <c r="G37" i="6"/>
  <c r="F60" i="6"/>
  <c r="F61" i="6"/>
  <c r="F62" i="6"/>
  <c r="F63" i="6"/>
  <c r="F38" i="6"/>
  <c r="F37" i="6"/>
  <c r="G44" i="6"/>
  <c r="F44" i="6"/>
  <c r="F68" i="6"/>
  <c r="F69" i="6"/>
  <c r="F18" i="6"/>
  <c r="F3" i="6"/>
  <c r="F2" i="6"/>
  <c r="F9" i="6"/>
  <c r="D75" i="6"/>
  <c r="E75" i="6"/>
  <c r="F75" i="6"/>
  <c r="G31" i="6"/>
  <c r="G32" i="6"/>
  <c r="G33" i="6"/>
  <c r="G34" i="6"/>
  <c r="G17" i="6"/>
  <c r="G11" i="6"/>
  <c r="G10" i="6"/>
  <c r="G68" i="6"/>
  <c r="G69" i="6"/>
  <c r="G70" i="6"/>
  <c r="G71" i="6"/>
  <c r="G18" i="6"/>
  <c r="G3" i="6"/>
  <c r="G2" i="6"/>
  <c r="G9" i="6"/>
  <c r="G76" i="6"/>
  <c r="G77" i="6"/>
  <c r="G78" i="6"/>
  <c r="G79" i="6"/>
  <c r="G80" i="6"/>
  <c r="G81" i="6"/>
  <c r="F77" i="6"/>
  <c r="F78" i="6"/>
  <c r="F79" i="6"/>
  <c r="F80" i="6"/>
  <c r="F81" i="6"/>
  <c r="D66" i="6"/>
  <c r="E66" i="6"/>
  <c r="G66" i="6"/>
  <c r="F66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G25" i="6"/>
  <c r="G26" i="6"/>
  <c r="G27" i="6"/>
  <c r="G28" i="6"/>
  <c r="G29" i="6"/>
  <c r="G30" i="6"/>
  <c r="G19" i="6"/>
  <c r="G20" i="6"/>
  <c r="G21" i="6"/>
  <c r="G22" i="6"/>
  <c r="G23" i="6"/>
  <c r="G24" i="6"/>
  <c r="G74" i="6"/>
  <c r="G75" i="6"/>
  <c r="I41" i="3"/>
  <c r="I40" i="3"/>
  <c r="I39" i="3"/>
  <c r="I38" i="3"/>
  <c r="I37" i="3"/>
  <c r="I36" i="3"/>
  <c r="I35" i="3"/>
  <c r="I34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I29" i="3"/>
  <c r="I28" i="3"/>
  <c r="I27" i="3"/>
  <c r="I26" i="3"/>
  <c r="I25" i="3"/>
  <c r="I24" i="3"/>
  <c r="I23" i="3"/>
  <c r="I22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G19" i="2"/>
  <c r="G20" i="2"/>
  <c r="G21" i="2"/>
  <c r="G22" i="2"/>
  <c r="G23" i="2"/>
  <c r="G24" i="2"/>
  <c r="G25" i="2"/>
  <c r="G26" i="2"/>
  <c r="G28" i="2"/>
  <c r="G6" i="2"/>
  <c r="G7" i="2"/>
  <c r="G8" i="2"/>
  <c r="G11" i="2"/>
  <c r="G9" i="2"/>
  <c r="G10" i="2"/>
  <c r="G13" i="2"/>
  <c r="G43" i="2"/>
  <c r="G58" i="2"/>
  <c r="G72" i="2"/>
  <c r="G87" i="2"/>
  <c r="G14" i="2"/>
  <c r="G29" i="2"/>
  <c r="G88" i="2"/>
  <c r="H78" i="2"/>
  <c r="H79" i="2"/>
  <c r="H80" i="2"/>
  <c r="H81" i="2"/>
  <c r="H82" i="2"/>
  <c r="H83" i="2"/>
  <c r="H84" i="2"/>
  <c r="H35" i="2"/>
  <c r="H49" i="2"/>
  <c r="H50" i="2"/>
  <c r="F9" i="2"/>
  <c r="H9" i="2"/>
  <c r="F10" i="2"/>
  <c r="H10" i="2"/>
  <c r="F24" i="2"/>
  <c r="H24" i="2"/>
  <c r="F25" i="2"/>
  <c r="H25" i="2"/>
  <c r="H19" i="2"/>
  <c r="F20" i="2"/>
  <c r="H20" i="2"/>
  <c r="F21" i="2"/>
  <c r="H21" i="2"/>
  <c r="F22" i="2"/>
  <c r="H22" i="2"/>
  <c r="F23" i="2"/>
  <c r="H23" i="2"/>
  <c r="F26" i="2"/>
  <c r="H26" i="2"/>
  <c r="H28" i="2"/>
  <c r="H34" i="2"/>
  <c r="F6" i="2"/>
  <c r="H6" i="2"/>
  <c r="F7" i="2"/>
  <c r="H7" i="2"/>
  <c r="F8" i="2"/>
  <c r="H8" i="2"/>
  <c r="F11" i="2"/>
  <c r="H11" i="2"/>
  <c r="H4" i="2"/>
  <c r="H5" i="2"/>
  <c r="H13" i="2"/>
  <c r="H36" i="2"/>
  <c r="H37" i="2"/>
  <c r="H38" i="2"/>
  <c r="H39" i="2"/>
  <c r="H40" i="2"/>
  <c r="H41" i="2"/>
  <c r="H43" i="2"/>
  <c r="H51" i="2"/>
  <c r="H52" i="2"/>
  <c r="H53" i="2"/>
  <c r="H54" i="2"/>
  <c r="H55" i="2"/>
  <c r="H58" i="2"/>
  <c r="H63" i="2"/>
  <c r="H64" i="2"/>
  <c r="H65" i="2"/>
  <c r="H66" i="2"/>
  <c r="H67" i="2"/>
  <c r="H68" i="2"/>
  <c r="H69" i="2"/>
  <c r="H72" i="2"/>
  <c r="H87" i="2"/>
  <c r="H14" i="2"/>
  <c r="H29" i="2"/>
  <c r="H88" i="2"/>
  <c r="I78" i="2"/>
  <c r="I79" i="2"/>
  <c r="I80" i="2"/>
  <c r="I81" i="2"/>
  <c r="I82" i="2"/>
  <c r="I83" i="2"/>
  <c r="I84" i="2"/>
  <c r="I35" i="2"/>
  <c r="I49" i="2"/>
  <c r="I50" i="2"/>
  <c r="I9" i="2"/>
  <c r="I10" i="2"/>
  <c r="I24" i="2"/>
  <c r="I25" i="2"/>
  <c r="I19" i="2"/>
  <c r="I20" i="2"/>
  <c r="I21" i="2"/>
  <c r="I22" i="2"/>
  <c r="I23" i="2"/>
  <c r="I26" i="2"/>
  <c r="I28" i="2"/>
  <c r="I34" i="2"/>
  <c r="I6" i="2"/>
  <c r="I7" i="2"/>
  <c r="I8" i="2"/>
  <c r="I11" i="2"/>
  <c r="I4" i="2"/>
  <c r="I5" i="2"/>
  <c r="I13" i="2"/>
  <c r="I36" i="2"/>
  <c r="I37" i="2"/>
  <c r="I38" i="2"/>
  <c r="I39" i="2"/>
  <c r="I40" i="2"/>
  <c r="I41" i="2"/>
  <c r="I43" i="2"/>
  <c r="I51" i="2"/>
  <c r="I52" i="2"/>
  <c r="I53" i="2"/>
  <c r="I54" i="2"/>
  <c r="I55" i="2"/>
  <c r="I58" i="2"/>
  <c r="I63" i="2"/>
  <c r="I64" i="2"/>
  <c r="I65" i="2"/>
  <c r="I66" i="2"/>
  <c r="I67" i="2"/>
  <c r="I68" i="2"/>
  <c r="I69" i="2"/>
  <c r="I72" i="2"/>
  <c r="I87" i="2"/>
  <c r="I14" i="2"/>
  <c r="I29" i="2"/>
  <c r="I88" i="2"/>
  <c r="O28" i="2"/>
  <c r="O13" i="2"/>
  <c r="O43" i="2"/>
  <c r="O58" i="2"/>
  <c r="O72" i="2"/>
  <c r="O87" i="2"/>
  <c r="O14" i="2"/>
  <c r="O29" i="2"/>
  <c r="O88" i="2"/>
  <c r="P28" i="2"/>
  <c r="P13" i="2"/>
  <c r="P43" i="2"/>
  <c r="P58" i="2"/>
  <c r="P72" i="2"/>
  <c r="P87" i="2"/>
  <c r="P14" i="2"/>
  <c r="P29" i="2"/>
  <c r="P88" i="2"/>
  <c r="Q78" i="2"/>
  <c r="Q79" i="2"/>
  <c r="Q80" i="2"/>
  <c r="Q81" i="2"/>
  <c r="Q82" i="2"/>
  <c r="Q83" i="2"/>
  <c r="Q84" i="2"/>
  <c r="Q35" i="2"/>
  <c r="Q49" i="2"/>
  <c r="Q50" i="2"/>
  <c r="Q8" i="2"/>
  <c r="Q9" i="2"/>
  <c r="Q24" i="2"/>
  <c r="Q19" i="2"/>
  <c r="Q20" i="2"/>
  <c r="Q21" i="2"/>
  <c r="Q22" i="2"/>
  <c r="Q23" i="2"/>
  <c r="Q28" i="2"/>
  <c r="Q34" i="2"/>
  <c r="Q4" i="2"/>
  <c r="Q5" i="2"/>
  <c r="Q6" i="2"/>
  <c r="Q7" i="2"/>
  <c r="Q13" i="2"/>
  <c r="Q36" i="2"/>
  <c r="Q37" i="2"/>
  <c r="Q38" i="2"/>
  <c r="Q39" i="2"/>
  <c r="Q40" i="2"/>
  <c r="Q43" i="2"/>
  <c r="Q51" i="2"/>
  <c r="Q52" i="2"/>
  <c r="Q53" i="2"/>
  <c r="Q54" i="2"/>
  <c r="Q55" i="2"/>
  <c r="Q58" i="2"/>
  <c r="Q63" i="2"/>
  <c r="Q64" i="2"/>
  <c r="Q65" i="2"/>
  <c r="Q66" i="2"/>
  <c r="Q67" i="2"/>
  <c r="Q68" i="2"/>
  <c r="Q69" i="2"/>
  <c r="Q72" i="2"/>
  <c r="Q87" i="2"/>
  <c r="Q14" i="2"/>
  <c r="Q29" i="2"/>
  <c r="Q88" i="2"/>
  <c r="R78" i="2"/>
  <c r="R79" i="2"/>
  <c r="R80" i="2"/>
  <c r="R81" i="2"/>
  <c r="R82" i="2"/>
  <c r="R83" i="2"/>
  <c r="R84" i="2"/>
  <c r="R35" i="2"/>
  <c r="R49" i="2"/>
  <c r="R50" i="2"/>
  <c r="R8" i="2"/>
  <c r="R9" i="2"/>
  <c r="R24" i="2"/>
  <c r="R19" i="2"/>
  <c r="R20" i="2"/>
  <c r="R21" i="2"/>
  <c r="R22" i="2"/>
  <c r="R23" i="2"/>
  <c r="R28" i="2"/>
  <c r="R34" i="2"/>
  <c r="R4" i="2"/>
  <c r="R5" i="2"/>
  <c r="R6" i="2"/>
  <c r="R7" i="2"/>
  <c r="R13" i="2"/>
  <c r="R36" i="2"/>
  <c r="R37" i="2"/>
  <c r="R38" i="2"/>
  <c r="R39" i="2"/>
  <c r="R40" i="2"/>
  <c r="R43" i="2"/>
  <c r="R51" i="2"/>
  <c r="R52" i="2"/>
  <c r="R53" i="2"/>
  <c r="R54" i="2"/>
  <c r="R55" i="2"/>
  <c r="R58" i="2"/>
  <c r="R63" i="2"/>
  <c r="R64" i="2"/>
  <c r="R65" i="2"/>
  <c r="R66" i="2"/>
  <c r="R67" i="2"/>
  <c r="R68" i="2"/>
  <c r="R69" i="2"/>
  <c r="R72" i="2"/>
  <c r="R87" i="2"/>
  <c r="R14" i="2"/>
  <c r="R29" i="2"/>
  <c r="R88" i="2"/>
  <c r="U78" i="2"/>
  <c r="U79" i="2"/>
  <c r="U80" i="2"/>
  <c r="U81" i="2"/>
  <c r="U82" i="2"/>
  <c r="U83" i="2"/>
  <c r="U84" i="2"/>
  <c r="U34" i="2"/>
  <c r="U35" i="2"/>
  <c r="U49" i="2"/>
  <c r="U50" i="2"/>
  <c r="H73" i="2"/>
  <c r="U8" i="2"/>
  <c r="U9" i="2"/>
  <c r="U18" i="2"/>
  <c r="U19" i="2"/>
  <c r="U20" i="2"/>
  <c r="U21" i="2"/>
  <c r="U22" i="2"/>
  <c r="U23" i="2"/>
  <c r="U28" i="2"/>
  <c r="U36" i="2"/>
  <c r="U37" i="2"/>
  <c r="U38" i="2"/>
  <c r="U39" i="2"/>
  <c r="U40" i="2"/>
  <c r="H56" i="2"/>
  <c r="U41" i="2"/>
  <c r="U43" i="2"/>
  <c r="U51" i="2"/>
  <c r="U52" i="2"/>
  <c r="U53" i="2"/>
  <c r="U54" i="2"/>
  <c r="U55" i="2"/>
  <c r="U58" i="2"/>
  <c r="U10" i="2"/>
  <c r="U63" i="2"/>
  <c r="U64" i="2"/>
  <c r="U65" i="2"/>
  <c r="U66" i="2"/>
  <c r="U67" i="2"/>
  <c r="U68" i="2"/>
  <c r="U69" i="2"/>
  <c r="U72" i="2"/>
  <c r="U87" i="2"/>
  <c r="U4" i="2"/>
  <c r="U5" i="2"/>
  <c r="U6" i="2"/>
  <c r="U7" i="2"/>
  <c r="U11" i="2"/>
  <c r="U13" i="2"/>
  <c r="U14" i="2"/>
  <c r="U88" i="2"/>
  <c r="F28" i="2"/>
  <c r="F43" i="2"/>
  <c r="F58" i="2"/>
  <c r="F72" i="2"/>
  <c r="F87" i="2"/>
  <c r="F14" i="2"/>
  <c r="F29" i="2"/>
  <c r="F88" i="2"/>
  <c r="G73" i="2"/>
  <c r="I73" i="2"/>
  <c r="O73" i="2"/>
  <c r="P73" i="2"/>
  <c r="Q73" i="2"/>
  <c r="R73" i="2"/>
  <c r="U73" i="2"/>
  <c r="F73" i="2"/>
  <c r="F59" i="2"/>
  <c r="G59" i="2"/>
  <c r="H59" i="2"/>
  <c r="I59" i="2"/>
  <c r="O59" i="2"/>
  <c r="P59" i="2"/>
  <c r="Q59" i="2"/>
  <c r="R59" i="2"/>
  <c r="G44" i="2"/>
  <c r="H44" i="2"/>
  <c r="I44" i="2"/>
  <c r="O44" i="2"/>
  <c r="P44" i="2"/>
  <c r="Q44" i="2"/>
  <c r="R44" i="2"/>
  <c r="F44" i="2"/>
  <c r="U59" i="2"/>
  <c r="U44" i="2"/>
  <c r="I56" i="2"/>
  <c r="F4" i="2"/>
  <c r="G4" i="2"/>
  <c r="F5" i="2"/>
  <c r="G5" i="2"/>
  <c r="U27" i="2"/>
  <c r="D35" i="1"/>
  <c r="D34" i="1"/>
  <c r="D33" i="1"/>
  <c r="D32" i="1"/>
  <c r="D31" i="1"/>
  <c r="D27" i="1"/>
  <c r="D25" i="1"/>
  <c r="D30" i="1"/>
  <c r="D29" i="1"/>
  <c r="D28" i="1"/>
  <c r="D26" i="1"/>
  <c r="D24" i="1"/>
  <c r="D23" i="1"/>
  <c r="D22" i="1"/>
  <c r="C35" i="1"/>
  <c r="C34" i="1"/>
  <c r="C33" i="1"/>
  <c r="C32" i="1"/>
  <c r="C31" i="1"/>
  <c r="C29" i="1"/>
  <c r="C27" i="1"/>
  <c r="C25" i="1"/>
  <c r="C30" i="1"/>
  <c r="C28" i="1"/>
  <c r="C26" i="1"/>
  <c r="C24" i="1"/>
  <c r="D3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</calcChain>
</file>

<file path=xl/sharedStrings.xml><?xml version="1.0" encoding="utf-8"?>
<sst xmlns="http://schemas.openxmlformats.org/spreadsheetml/2006/main" count="921" uniqueCount="52">
  <si>
    <t>CS+</t>
  </si>
  <si>
    <t>CS-</t>
  </si>
  <si>
    <t>Mean</t>
  </si>
  <si>
    <t>SEM</t>
  </si>
  <si>
    <t>P=.08</t>
  </si>
  <si>
    <t>ANOVA/2TAILED</t>
  </si>
  <si>
    <t>P=.04</t>
  </si>
  <si>
    <t>1 tailed T</t>
  </si>
  <si>
    <t>Q</t>
  </si>
  <si>
    <t>S</t>
  </si>
  <si>
    <t>Q*</t>
  </si>
  <si>
    <t>S*</t>
  </si>
  <si>
    <t>Test Day 1 Results (Day 5)</t>
  </si>
  <si>
    <t>Injection</t>
  </si>
  <si>
    <t>Mouse #</t>
  </si>
  <si>
    <t>P&lt;.05</t>
  </si>
  <si>
    <t>ANOVA</t>
  </si>
  <si>
    <t>Ratio</t>
  </si>
  <si>
    <t>% change from day 5 to 10</t>
  </si>
  <si>
    <t>WT(WT)</t>
  </si>
  <si>
    <t>Test Day 2 Results (Day 10)</t>
  </si>
  <si>
    <t>Cage#</t>
  </si>
  <si>
    <t>Saline</t>
  </si>
  <si>
    <t>0.1mpk Quin</t>
  </si>
  <si>
    <t>Perc CS+</t>
  </si>
  <si>
    <t>15/321</t>
  </si>
  <si>
    <t>15/323</t>
  </si>
  <si>
    <t>15/326</t>
  </si>
  <si>
    <t>15/327</t>
  </si>
  <si>
    <t>Test Day 1 Results (Day 5) (Round 2)</t>
  </si>
  <si>
    <t>15/298</t>
  </si>
  <si>
    <t>15/305</t>
  </si>
  <si>
    <t>15/264</t>
  </si>
  <si>
    <t>15/270</t>
  </si>
  <si>
    <t>15/271</t>
  </si>
  <si>
    <t>15/276</t>
  </si>
  <si>
    <t>15/300</t>
  </si>
  <si>
    <t>15/302</t>
  </si>
  <si>
    <t>Test Day 1 Results (Day 5) (Round 3)</t>
  </si>
  <si>
    <t>Test Day 2 Results (Day 10) (Round 2)</t>
  </si>
  <si>
    <t>Test Day 1 Results (Day 10) (Round 3)</t>
  </si>
  <si>
    <t>WT</t>
  </si>
  <si>
    <t>Genotype</t>
  </si>
  <si>
    <t>KO</t>
  </si>
  <si>
    <t>?</t>
  </si>
  <si>
    <t>Quin</t>
  </si>
  <si>
    <t>Day 1</t>
  </si>
  <si>
    <t>Day 2</t>
  </si>
  <si>
    <t>% change from day 5-10</t>
  </si>
  <si>
    <t>%change from day 5-10</t>
  </si>
  <si>
    <t>KO(KO)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</si>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</sst>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CS+</c:v>
                </c:pt>
              </c:strCache>
            </c:strRef>
          </c:tx>
          <c:invertIfNegative val="0"/>
          <c:cat>
            <c:numRef>
              <c:f>Sheet1!$A$3:$A$16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</c:numCache>
            </c:numRef>
          </c:cat>
          <c:val>
            <c:numRef>
              <c:f>Sheet1!$C$3:$C$16</c:f>
              <c:numCache>
                <c:formatCode>General</c:formatCode>
                <c:ptCount val="14"/>
                <c:pt idx="0">
                  <c:v>1.989999999999995</c:v>
                </c:pt>
                <c:pt idx="1">
                  <c:v>1.39</c:v>
                </c:pt>
                <c:pt idx="2">
                  <c:v>1.530000000000001</c:v>
                </c:pt>
                <c:pt idx="3">
                  <c:v>0.299999999999997</c:v>
                </c:pt>
                <c:pt idx="4">
                  <c:v>2.63000000000001</c:v>
                </c:pt>
                <c:pt idx="5">
                  <c:v>1.179999999999993</c:v>
                </c:pt>
                <c:pt idx="6">
                  <c:v>0.5</c:v>
                </c:pt>
                <c:pt idx="7">
                  <c:v>0.430000000000007</c:v>
                </c:pt>
                <c:pt idx="8">
                  <c:v>2.170000000000002</c:v>
                </c:pt>
                <c:pt idx="9">
                  <c:v>1.239999999999995</c:v>
                </c:pt>
                <c:pt idx="10">
                  <c:v>0.540000000000006</c:v>
                </c:pt>
                <c:pt idx="11">
                  <c:v>0.64</c:v>
                </c:pt>
                <c:pt idx="12">
                  <c:v>0.590000000000003</c:v>
                </c:pt>
                <c:pt idx="13">
                  <c:v>0.299999999999997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CS-</c:v>
                </c:pt>
              </c:strCache>
            </c:strRef>
          </c:tx>
          <c:invertIfNegative val="0"/>
          <c:cat>
            <c:numRef>
              <c:f>Sheet1!$A$3:$A$16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</c:numCache>
            </c:numRef>
          </c:cat>
          <c:val>
            <c:numRef>
              <c:f>Sheet1!$D$3:$D$16</c:f>
              <c:numCache>
                <c:formatCode>General</c:formatCode>
                <c:ptCount val="14"/>
                <c:pt idx="0">
                  <c:v>1.5</c:v>
                </c:pt>
                <c:pt idx="1">
                  <c:v>0.150000000000006</c:v>
                </c:pt>
                <c:pt idx="2">
                  <c:v>0.450000000000003</c:v>
                </c:pt>
                <c:pt idx="3">
                  <c:v>0.900000000000006</c:v>
                </c:pt>
                <c:pt idx="4">
                  <c:v>0.190000000000012</c:v>
                </c:pt>
                <c:pt idx="5">
                  <c:v>0.370000000000004</c:v>
                </c:pt>
                <c:pt idx="6">
                  <c:v>0.719999999999999</c:v>
                </c:pt>
                <c:pt idx="7">
                  <c:v>0.600000000000008</c:v>
                </c:pt>
                <c:pt idx="8">
                  <c:v>1.679999999999993</c:v>
                </c:pt>
                <c:pt idx="9">
                  <c:v>0.140000000000001</c:v>
                </c:pt>
                <c:pt idx="10">
                  <c:v>0.150000000000006</c:v>
                </c:pt>
                <c:pt idx="11">
                  <c:v>0.519999999999996</c:v>
                </c:pt>
                <c:pt idx="12">
                  <c:v>1.379999999999995</c:v>
                </c:pt>
                <c:pt idx="13">
                  <c:v>0.459999999999994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61944"/>
        <c:axId val="2140456424"/>
      </c:barChart>
      <c:catAx>
        <c:axId val="214046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Mouse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456424"/>
        <c:crosses val="autoZero"/>
        <c:auto val="1"/>
        <c:lblAlgn val="ctr"/>
        <c:lblOffset val="100"/>
        <c:noMultiLvlLbl val="0"/>
      </c:catAx>
      <c:valAx>
        <c:axId val="2140456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Amt of CS consumed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4619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CS+</c:v>
                </c:pt>
              </c:strCache>
            </c:strRef>
          </c:tx>
          <c:invertIfNegative val="0"/>
          <c:val>
            <c:numRef>
              <c:f>Sheet1!$C$22:$C$35</c:f>
              <c:numCache>
                <c:formatCode>General</c:formatCode>
                <c:ptCount val="14"/>
                <c:pt idx="0">
                  <c:v>1.3</c:v>
                </c:pt>
                <c:pt idx="1">
                  <c:v>2.99</c:v>
                </c:pt>
                <c:pt idx="2">
                  <c:v>2.38000000000001</c:v>
                </c:pt>
                <c:pt idx="3">
                  <c:v>0.659999999999996</c:v>
                </c:pt>
                <c:pt idx="4">
                  <c:v>3.060000000000002</c:v>
                </c:pt>
                <c:pt idx="5">
                  <c:v>0.769999999999996</c:v>
                </c:pt>
                <c:pt idx="6">
                  <c:v>1.89</c:v>
                </c:pt>
                <c:pt idx="7">
                  <c:v>3.13000000000001</c:v>
                </c:pt>
                <c:pt idx="8">
                  <c:v>0.650000000000006</c:v>
                </c:pt>
                <c:pt idx="9">
                  <c:v>2.239999999999995</c:v>
                </c:pt>
                <c:pt idx="10">
                  <c:v>1.140000000000001</c:v>
                </c:pt>
                <c:pt idx="11">
                  <c:v>2.870000000000004</c:v>
                </c:pt>
                <c:pt idx="12">
                  <c:v>3.689999999999998</c:v>
                </c:pt>
                <c:pt idx="13">
                  <c:v>1.39</c:v>
                </c:pt>
              </c:numCache>
            </c:numRef>
          </c:val>
        </c:ser>
        <c:ser>
          <c:idx val="1"/>
          <c:order val="1"/>
          <c:tx>
            <c:strRef>
              <c:f>Sheet1!$D$21</c:f>
              <c:strCache>
                <c:ptCount val="1"/>
                <c:pt idx="0">
                  <c:v>CS-</c:v>
                </c:pt>
              </c:strCache>
            </c:strRef>
          </c:tx>
          <c:invertIfNegative val="0"/>
          <c:val>
            <c:numRef>
              <c:f>Sheet1!$D$22:$D$35</c:f>
              <c:numCache>
                <c:formatCode>General</c:formatCode>
                <c:ptCount val="14"/>
                <c:pt idx="0">
                  <c:v>0.870000000000004</c:v>
                </c:pt>
                <c:pt idx="1">
                  <c:v>0.599999999999994</c:v>
                </c:pt>
                <c:pt idx="2">
                  <c:v>0.570000000000007</c:v>
                </c:pt>
                <c:pt idx="3">
                  <c:v>0.700000000000003</c:v>
                </c:pt>
                <c:pt idx="4">
                  <c:v>0.570000000000007</c:v>
                </c:pt>
                <c:pt idx="5">
                  <c:v>0.459999999999994</c:v>
                </c:pt>
                <c:pt idx="6">
                  <c:v>0.790000000000006</c:v>
                </c:pt>
                <c:pt idx="7">
                  <c:v>0.780000000000001</c:v>
                </c:pt>
                <c:pt idx="8">
                  <c:v>0.0600000000000023</c:v>
                </c:pt>
                <c:pt idx="9">
                  <c:v>0.64</c:v>
                </c:pt>
                <c:pt idx="10">
                  <c:v>1.009999999999991</c:v>
                </c:pt>
                <c:pt idx="11">
                  <c:v>0.829999999999998</c:v>
                </c:pt>
                <c:pt idx="12">
                  <c:v>0.519999999999996</c:v>
                </c:pt>
                <c:pt idx="13">
                  <c:v>0.159999999999997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28680"/>
        <c:axId val="2140425688"/>
      </c:barChart>
      <c:catAx>
        <c:axId val="214042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425688"/>
        <c:crosses val="autoZero"/>
        <c:auto val="1"/>
        <c:lblAlgn val="ctr"/>
        <c:lblOffset val="100"/>
        <c:noMultiLvlLbl val="0"/>
      </c:catAx>
      <c:valAx>
        <c:axId val="2140425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0428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Test</a:t>
            </a:r>
            <a:r>
              <a:rPr lang="en-US" sz="1400" b="0" baseline="0"/>
              <a:t> day 1: WT(WT)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CS-</c:v>
          </c:tx>
          <c:invertIfNegative val="0"/>
          <c:errBars>
            <c:errBarType val="plus"/>
            <c:errValType val="cust"/>
            <c:noEndCap val="0"/>
            <c:plus>
              <c:numRef>
                <c:f>(Sheet2!$P$14,Sheet2!$G$14)</c:f>
                <c:numCache>
                  <c:formatCode>General</c:formatCode>
                  <c:ptCount val="2"/>
                  <c:pt idx="0">
                    <c:v>0.196289185755211</c:v>
                  </c:pt>
                  <c:pt idx="1">
                    <c:v>0.203827220248634</c:v>
                  </c:pt>
                </c:numCache>
              </c:numRef>
            </c:plus>
            <c:minus>
              <c:numRef>
                <c:f>(Sheet2!$P$14,Sheet2!$G$14)</c:f>
                <c:numCache>
                  <c:formatCode>General</c:formatCode>
                  <c:ptCount val="2"/>
                  <c:pt idx="0">
                    <c:v>0.196289185755211</c:v>
                  </c:pt>
                  <c:pt idx="1">
                    <c:v>0.203827220248634</c:v>
                  </c:pt>
                </c:numCache>
              </c:numRef>
            </c:minus>
          </c:errBars>
          <c:cat>
            <c:strRef>
              <c:f>(Sheet2!$N$2,Sheet2!$E$2)</c:f>
              <c:strCache>
                <c:ptCount val="2"/>
                <c:pt idx="0">
                  <c:v>Saline</c:v>
                </c:pt>
                <c:pt idx="1">
                  <c:v>0.1mpk Quin</c:v>
                </c:pt>
              </c:strCache>
            </c:strRef>
          </c:cat>
          <c:val>
            <c:numRef>
              <c:f>(Sheet2!$P$13,Sheet2!$G$13)</c:f>
              <c:numCache>
                <c:formatCode>General</c:formatCode>
                <c:ptCount val="2"/>
                <c:pt idx="0">
                  <c:v>0.591666666666671</c:v>
                </c:pt>
                <c:pt idx="1">
                  <c:v>0.7075</c:v>
                </c:pt>
              </c:numCache>
            </c:numRef>
          </c:val>
        </c:ser>
        <c:ser>
          <c:idx val="0"/>
          <c:order val="1"/>
          <c:tx>
            <c:v>CS+</c:v>
          </c:tx>
          <c:invertIfNegative val="0"/>
          <c:errBars>
            <c:errBarType val="plus"/>
            <c:errValType val="cust"/>
            <c:noEndCap val="0"/>
            <c:plus>
              <c:numRef>
                <c:f>(Sheet2!$O$14,Sheet2!$F$14)</c:f>
                <c:numCache>
                  <c:formatCode>General</c:formatCode>
                  <c:ptCount val="2"/>
                  <c:pt idx="0">
                    <c:v>0.179655534596379</c:v>
                  </c:pt>
                  <c:pt idx="1">
                    <c:v>0.301454805899658</c:v>
                  </c:pt>
                </c:numCache>
              </c:numRef>
            </c:plus>
            <c:minus>
              <c:numRef>
                <c:f>(Sheet2!$O$14,Sheet2!$F$14)</c:f>
                <c:numCache>
                  <c:formatCode>General</c:formatCode>
                  <c:ptCount val="2"/>
                  <c:pt idx="0">
                    <c:v>0.179655534596379</c:v>
                  </c:pt>
                  <c:pt idx="1">
                    <c:v>0.301454805899658</c:v>
                  </c:pt>
                </c:numCache>
              </c:numRef>
            </c:minus>
          </c:errBars>
          <c:cat>
            <c:strRef>
              <c:f>(Sheet2!$N$2,Sheet2!$E$2)</c:f>
              <c:strCache>
                <c:ptCount val="2"/>
                <c:pt idx="0">
                  <c:v>Saline</c:v>
                </c:pt>
                <c:pt idx="1">
                  <c:v>0.1mpk Quin</c:v>
                </c:pt>
              </c:strCache>
            </c:strRef>
          </c:cat>
          <c:val>
            <c:numRef>
              <c:f>(Sheet2!$O$13,Sheet2!$F$13)</c:f>
              <c:numCache>
                <c:formatCode>General</c:formatCode>
                <c:ptCount val="2"/>
                <c:pt idx="0">
                  <c:v>0.738333333333334</c:v>
                </c:pt>
                <c:pt idx="1">
                  <c:v>1.375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377304"/>
        <c:axId val="2140374312"/>
      </c:barChart>
      <c:catAx>
        <c:axId val="214037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74312"/>
        <c:crosses val="autoZero"/>
        <c:auto val="1"/>
        <c:lblAlgn val="ctr"/>
        <c:lblOffset val="100"/>
        <c:noMultiLvlLbl val="0"/>
      </c:catAx>
      <c:valAx>
        <c:axId val="2140374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/>
                  <a:t>Volume</a:t>
                </a:r>
                <a:r>
                  <a:rPr lang="en-US" sz="1200" b="0" baseline="0"/>
                  <a:t> consumed by weight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0377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Test</a:t>
            </a:r>
            <a:r>
              <a:rPr lang="en-US" sz="1400" b="0" baseline="0"/>
              <a:t> day 2: WT(WT)</a:t>
            </a:r>
            <a:endParaRPr lang="en-US" sz="1400" b="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CS-</c:v>
          </c:tx>
          <c:invertIfNegative val="0"/>
          <c:errBars>
            <c:errBarType val="plus"/>
            <c:errValType val="cust"/>
            <c:noEndCap val="0"/>
            <c:plus>
              <c:numRef>
                <c:f>(Sheet2!$P$29,Sheet2!$G$29)</c:f>
                <c:numCache>
                  <c:formatCode>General</c:formatCode>
                  <c:ptCount val="2"/>
                  <c:pt idx="0">
                    <c:v>0.0815849931734451</c:v>
                  </c:pt>
                  <c:pt idx="1">
                    <c:v>0.106778099346262</c:v>
                  </c:pt>
                </c:numCache>
              </c:numRef>
            </c:plus>
            <c:minus>
              <c:numRef>
                <c:f>(Sheet2!$P$29,Sheet2!$G$29)</c:f>
                <c:numCache>
                  <c:formatCode>General</c:formatCode>
                  <c:ptCount val="2"/>
                  <c:pt idx="0">
                    <c:v>0.0815849931734451</c:v>
                  </c:pt>
                  <c:pt idx="1">
                    <c:v>0.106778099346262</c:v>
                  </c:pt>
                </c:numCache>
              </c:numRef>
            </c:minus>
          </c:errBars>
          <c:cat>
            <c:strRef>
              <c:f>(Sheet2!$N$2,Sheet2!$E$2)</c:f>
              <c:strCache>
                <c:ptCount val="2"/>
                <c:pt idx="0">
                  <c:v>Saline</c:v>
                </c:pt>
                <c:pt idx="1">
                  <c:v>0.1mpk Quin</c:v>
                </c:pt>
              </c:strCache>
            </c:strRef>
          </c:cat>
          <c:val>
            <c:numRef>
              <c:f>(Sheet2!$P$28,Sheet2!$G$28)</c:f>
              <c:numCache>
                <c:formatCode>General</c:formatCode>
                <c:ptCount val="2"/>
                <c:pt idx="0">
                  <c:v>0.67833333333333</c:v>
                </c:pt>
                <c:pt idx="1">
                  <c:v>0.561250000000003</c:v>
                </c:pt>
              </c:numCache>
            </c:numRef>
          </c:val>
        </c:ser>
        <c:ser>
          <c:idx val="0"/>
          <c:order val="1"/>
          <c:tx>
            <c:v>CS+</c:v>
          </c:tx>
          <c:invertIfNegative val="0"/>
          <c:errBars>
            <c:errBarType val="plus"/>
            <c:errValType val="cust"/>
            <c:noEndCap val="0"/>
            <c:plus>
              <c:numRef>
                <c:f>(Sheet2!$O$29,Sheet2!$F$29)</c:f>
                <c:numCache>
                  <c:formatCode>General</c:formatCode>
                  <c:ptCount val="2"/>
                  <c:pt idx="0">
                    <c:v>0.55187961650265</c:v>
                  </c:pt>
                  <c:pt idx="1">
                    <c:v>0.291950032417486</c:v>
                  </c:pt>
                </c:numCache>
              </c:numRef>
            </c:plus>
            <c:minus>
              <c:numRef>
                <c:f>(Sheet2!$O$29,Sheet2!$F$29)</c:f>
                <c:numCache>
                  <c:formatCode>General</c:formatCode>
                  <c:ptCount val="2"/>
                  <c:pt idx="0">
                    <c:v>0.55187961650265</c:v>
                  </c:pt>
                  <c:pt idx="1">
                    <c:v>0.291950032417486</c:v>
                  </c:pt>
                </c:numCache>
              </c:numRef>
            </c:minus>
          </c:errBars>
          <c:cat>
            <c:strRef>
              <c:f>(Sheet2!$N$2,Sheet2!$E$2)</c:f>
              <c:strCache>
                <c:ptCount val="2"/>
                <c:pt idx="0">
                  <c:v>Saline</c:v>
                </c:pt>
                <c:pt idx="1">
                  <c:v>0.1mpk Quin</c:v>
                </c:pt>
              </c:strCache>
            </c:strRef>
          </c:cat>
          <c:val>
            <c:numRef>
              <c:f>(Sheet2!$O$28,Sheet2!$F$28)</c:f>
              <c:numCache>
                <c:formatCode>General</c:formatCode>
                <c:ptCount val="2"/>
                <c:pt idx="0">
                  <c:v>2.063333333333333</c:v>
                </c:pt>
                <c:pt idx="1">
                  <c:v>1.972500000000002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067960"/>
        <c:axId val="2097070936"/>
      </c:barChart>
      <c:catAx>
        <c:axId val="209706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070936"/>
        <c:crosses val="autoZero"/>
        <c:auto val="1"/>
        <c:lblAlgn val="ctr"/>
        <c:lblOffset val="100"/>
        <c:noMultiLvlLbl val="0"/>
      </c:catAx>
      <c:valAx>
        <c:axId val="2097070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/>
                  <a:t>Volume</a:t>
                </a:r>
                <a:r>
                  <a:rPr lang="en-US" sz="1200" b="0" baseline="0"/>
                  <a:t> consumed by weight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706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Test</a:t>
            </a:r>
            <a:r>
              <a:rPr lang="en-US" sz="1400" b="0" baseline="0"/>
              <a:t> day 1: WT(WT)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CS-</c:v>
          </c:tx>
          <c:invertIfNegative val="0"/>
          <c:errBars>
            <c:errBarType val="plus"/>
            <c:errValType val="cust"/>
            <c:noEndCap val="0"/>
            <c:plus>
              <c:numRef>
                <c:f>(Sheet2!$P$14,Sheet2!$G$14)</c:f>
                <c:numCache>
                  <c:formatCode>General</c:formatCode>
                  <c:ptCount val="2"/>
                  <c:pt idx="0">
                    <c:v>0.196289185755211</c:v>
                  </c:pt>
                  <c:pt idx="1">
                    <c:v>0.203827220248634</c:v>
                  </c:pt>
                </c:numCache>
              </c:numRef>
            </c:plus>
            <c:minus>
              <c:numRef>
                <c:f>(Sheet2!$P$14,Sheet2!$G$14)</c:f>
                <c:numCache>
                  <c:formatCode>General</c:formatCode>
                  <c:ptCount val="2"/>
                  <c:pt idx="0">
                    <c:v>0.196289185755211</c:v>
                  </c:pt>
                  <c:pt idx="1">
                    <c:v>0.203827220248634</c:v>
                  </c:pt>
                </c:numCache>
              </c:numRef>
            </c:minus>
          </c:errBars>
          <c:cat>
            <c:strRef>
              <c:f>(Sheet2!$N$2,Sheet2!$E$2)</c:f>
              <c:strCache>
                <c:ptCount val="2"/>
                <c:pt idx="0">
                  <c:v>Saline</c:v>
                </c:pt>
                <c:pt idx="1">
                  <c:v>0.1mpk Quin</c:v>
                </c:pt>
              </c:strCache>
            </c:strRef>
          </c:cat>
          <c:val>
            <c:numRef>
              <c:f>(Sheet2!$P$13,Sheet2!$G$13)</c:f>
              <c:numCache>
                <c:formatCode>General</c:formatCode>
                <c:ptCount val="2"/>
                <c:pt idx="0">
                  <c:v>0.591666666666671</c:v>
                </c:pt>
                <c:pt idx="1">
                  <c:v>0.7075</c:v>
                </c:pt>
              </c:numCache>
            </c:numRef>
          </c:val>
        </c:ser>
        <c:ser>
          <c:idx val="0"/>
          <c:order val="1"/>
          <c:tx>
            <c:v>CS+</c:v>
          </c:tx>
          <c:invertIfNegative val="0"/>
          <c:errBars>
            <c:errBarType val="plus"/>
            <c:errValType val="cust"/>
            <c:noEndCap val="0"/>
            <c:plus>
              <c:numRef>
                <c:f>(Sheet2!$O$14,Sheet2!$F$14)</c:f>
                <c:numCache>
                  <c:formatCode>General</c:formatCode>
                  <c:ptCount val="2"/>
                  <c:pt idx="0">
                    <c:v>0.179655534596379</c:v>
                  </c:pt>
                  <c:pt idx="1">
                    <c:v>0.301454805899658</c:v>
                  </c:pt>
                </c:numCache>
              </c:numRef>
            </c:plus>
            <c:minus>
              <c:numRef>
                <c:f>(Sheet2!$O$14,Sheet2!$F$14)</c:f>
                <c:numCache>
                  <c:formatCode>General</c:formatCode>
                  <c:ptCount val="2"/>
                  <c:pt idx="0">
                    <c:v>0.179655534596379</c:v>
                  </c:pt>
                  <c:pt idx="1">
                    <c:v>0.301454805899658</c:v>
                  </c:pt>
                </c:numCache>
              </c:numRef>
            </c:minus>
          </c:errBars>
          <c:cat>
            <c:strRef>
              <c:f>(Sheet2!$N$2,Sheet2!$E$2)</c:f>
              <c:strCache>
                <c:ptCount val="2"/>
                <c:pt idx="0">
                  <c:v>Saline</c:v>
                </c:pt>
                <c:pt idx="1">
                  <c:v>0.1mpk Quin</c:v>
                </c:pt>
              </c:strCache>
            </c:strRef>
          </c:cat>
          <c:val>
            <c:numRef>
              <c:f>(Sheet2!$O$13,Sheet2!$F$13)</c:f>
              <c:numCache>
                <c:formatCode>General</c:formatCode>
                <c:ptCount val="2"/>
                <c:pt idx="0">
                  <c:v>0.738333333333334</c:v>
                </c:pt>
                <c:pt idx="1">
                  <c:v>1.375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794744"/>
        <c:axId val="2090805256"/>
      </c:barChart>
      <c:catAx>
        <c:axId val="209079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05256"/>
        <c:crosses val="autoZero"/>
        <c:auto val="1"/>
        <c:lblAlgn val="ctr"/>
        <c:lblOffset val="100"/>
        <c:noMultiLvlLbl val="0"/>
      </c:catAx>
      <c:valAx>
        <c:axId val="2090805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/>
                  <a:t>Volume</a:t>
                </a:r>
                <a:r>
                  <a:rPr lang="en-US" sz="1200" b="0" baseline="0"/>
                  <a:t> consumed by weight</a:t>
                </a:r>
                <a:endParaRPr lang="en-US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79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Test</a:t>
            </a:r>
            <a:r>
              <a:rPr lang="en-US" sz="1400" b="0" baseline="0"/>
              <a:t> day 2: WT(WT)</a:t>
            </a:r>
            <a:endParaRPr lang="en-US" sz="1400" b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CS-</c:v>
          </c:tx>
          <c:invertIfNegative val="0"/>
          <c:errBars>
            <c:errBarType val="plus"/>
            <c:errValType val="cust"/>
            <c:noEndCap val="0"/>
            <c:plus>
              <c:numRef>
                <c:f>(Sheet2!$P$29,Sheet2!$G$29)</c:f>
                <c:numCache>
                  <c:formatCode>General</c:formatCode>
                  <c:ptCount val="2"/>
                  <c:pt idx="0">
                    <c:v>0.0815849931734451</c:v>
                  </c:pt>
                  <c:pt idx="1">
                    <c:v>0.106778099346262</c:v>
                  </c:pt>
                </c:numCache>
              </c:numRef>
            </c:plus>
            <c:minus>
              <c:numRef>
                <c:f>(Sheet2!$P$29,Sheet2!$G$29)</c:f>
                <c:numCache>
                  <c:formatCode>General</c:formatCode>
                  <c:ptCount val="2"/>
                  <c:pt idx="0">
                    <c:v>0.0815849931734451</c:v>
                  </c:pt>
                  <c:pt idx="1">
                    <c:v>0.106778099346262</c:v>
                  </c:pt>
                </c:numCache>
              </c:numRef>
            </c:minus>
          </c:errBars>
          <c:cat>
            <c:strRef>
              <c:f>(Sheet2!$N$2,Sheet2!$E$2)</c:f>
              <c:strCache>
                <c:ptCount val="2"/>
                <c:pt idx="0">
                  <c:v>Saline</c:v>
                </c:pt>
                <c:pt idx="1">
                  <c:v>0.1mpk Quin</c:v>
                </c:pt>
              </c:strCache>
            </c:strRef>
          </c:cat>
          <c:val>
            <c:numRef>
              <c:f>(Sheet2!$P$28,Sheet2!$G$28)</c:f>
              <c:numCache>
                <c:formatCode>General</c:formatCode>
                <c:ptCount val="2"/>
                <c:pt idx="0">
                  <c:v>0.67833333333333</c:v>
                </c:pt>
                <c:pt idx="1">
                  <c:v>0.561250000000003</c:v>
                </c:pt>
              </c:numCache>
            </c:numRef>
          </c:val>
        </c:ser>
        <c:ser>
          <c:idx val="0"/>
          <c:order val="1"/>
          <c:tx>
            <c:v>CS+</c:v>
          </c:tx>
          <c:invertIfNegative val="0"/>
          <c:errBars>
            <c:errBarType val="plus"/>
            <c:errValType val="cust"/>
            <c:noEndCap val="0"/>
            <c:plus>
              <c:numRef>
                <c:f>(Sheet2!$O$29,Sheet2!$F$29)</c:f>
                <c:numCache>
                  <c:formatCode>General</c:formatCode>
                  <c:ptCount val="2"/>
                  <c:pt idx="0">
                    <c:v>0.55187961650265</c:v>
                  </c:pt>
                  <c:pt idx="1">
                    <c:v>0.291950032417486</c:v>
                  </c:pt>
                </c:numCache>
              </c:numRef>
            </c:plus>
            <c:minus>
              <c:numRef>
                <c:f>(Sheet2!$O$29,Sheet2!$F$29)</c:f>
                <c:numCache>
                  <c:formatCode>General</c:formatCode>
                  <c:ptCount val="2"/>
                  <c:pt idx="0">
                    <c:v>0.55187961650265</c:v>
                  </c:pt>
                  <c:pt idx="1">
                    <c:v>0.291950032417486</c:v>
                  </c:pt>
                </c:numCache>
              </c:numRef>
            </c:minus>
          </c:errBars>
          <c:cat>
            <c:strRef>
              <c:f>(Sheet2!$N$2,Sheet2!$E$2)</c:f>
              <c:strCache>
                <c:ptCount val="2"/>
                <c:pt idx="0">
                  <c:v>Saline</c:v>
                </c:pt>
                <c:pt idx="1">
                  <c:v>0.1mpk Quin</c:v>
                </c:pt>
              </c:strCache>
            </c:strRef>
          </c:cat>
          <c:val>
            <c:numRef>
              <c:f>(Sheet2!$O$28,Sheet2!$F$28)</c:f>
              <c:numCache>
                <c:formatCode>General</c:formatCode>
                <c:ptCount val="2"/>
                <c:pt idx="0">
                  <c:v>2.063333333333333</c:v>
                </c:pt>
                <c:pt idx="1">
                  <c:v>1.972500000000002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0332968"/>
        <c:axId val="2140329976"/>
      </c:barChart>
      <c:catAx>
        <c:axId val="21403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29976"/>
        <c:crosses val="autoZero"/>
        <c:auto val="1"/>
        <c:lblAlgn val="ctr"/>
        <c:lblOffset val="100"/>
        <c:noMultiLvlLbl val="0"/>
      </c:catAx>
      <c:valAx>
        <c:axId val="2140329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0"/>
                  <a:t>Volume</a:t>
                </a:r>
                <a:r>
                  <a:rPr lang="en-US" sz="1200" b="0" baseline="0"/>
                  <a:t> consumed by weight</a:t>
                </a:r>
                <a:endParaRPr lang="en-US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33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12700</xdr:rowOff>
    </xdr:from>
    <xdr:to>
      <xdr:col>17</xdr:col>
      <xdr:colOff>50800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19</xdr:row>
      <xdr:rowOff>177800</xdr:rowOff>
    </xdr:from>
    <xdr:to>
      <xdr:col>17</xdr:col>
      <xdr:colOff>381000</xdr:colOff>
      <xdr:row>35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165100</xdr:colOff>
      <xdr:row>3</xdr:row>
      <xdr:rowOff>19050</xdr:rowOff>
    </xdr:from>
    <xdr:to>
      <xdr:col>28</xdr:col>
      <xdr:colOff>609600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190500</xdr:colOff>
      <xdr:row>18</xdr:row>
      <xdr:rowOff>0</xdr:rowOff>
    </xdr:from>
    <xdr:to>
      <xdr:col>28</xdr:col>
      <xdr:colOff>635000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0.25475</cdr:x>
      <cdr:y>0.40297</cdr:y>
    </cdr:from>
    <cdr:to>
      <cdr:x>0.41111</cdr:x>
      <cdr:y>0.50394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4720" y="1105415"/>
          <a:ext cx="714859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err="1" smtClean="0"/>
            <a:t>57% CS+</a:t>
          </a:r>
          <a:endParaRPr lang="en-US" sz="1200" dirty="0"/>
        </a:p>
      </cdr:txBody>
    </cdr:sp>
  </cdr:relSizeAnchor>
  <cdr:relSizeAnchor xmlns:cdr="http://schemas.openxmlformats.org/drawingml/2006/chartDrawing">
    <cdr:from>
      <cdr:x>0.6</cdr:x>
      <cdr:y>0.19907</cdr:y>
    </cdr:from>
    <cdr:to>
      <cdr:x>0.75636</cdr:x>
      <cdr:y>0.30005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43200" y="546100"/>
          <a:ext cx="714859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err="1" smtClean="0"/>
            <a:t>64% CS+</a:t>
          </a:r>
          <a:endParaRPr lang="en-US" sz="1200" dirty="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0.25475</cdr:x>
      <cdr:y>0.14834</cdr:y>
    </cdr:from>
    <cdr:to>
      <cdr:x>0.41111</cdr:x>
      <cdr:y>0.24932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4717" y="406927"/>
          <a:ext cx="714859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err="1" smtClean="0"/>
            <a:t>69% CS+</a:t>
          </a:r>
          <a:endParaRPr lang="en-US" sz="1200" dirty="0"/>
        </a:p>
      </cdr:txBody>
    </cdr:sp>
  </cdr:relSizeAnchor>
  <cdr:relSizeAnchor xmlns:cdr="http://schemas.openxmlformats.org/drawingml/2006/chartDrawing">
    <cdr:from>
      <cdr:x>0.60556</cdr:x>
      <cdr:y>0.18518</cdr:y>
    </cdr:from>
    <cdr:to>
      <cdr:x>0.76191</cdr:x>
      <cdr:y>0.28616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68600" y="507989"/>
          <a:ext cx="714859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err="1" smtClean="0"/>
            <a:t>79% CS+</a:t>
          </a:r>
          <a:endParaRPr lang="en-US" sz="1200" dirty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165100</xdr:colOff>
      <xdr:row>3</xdr:row>
      <xdr:rowOff>19050</xdr:rowOff>
    </xdr:from>
    <xdr:to>
      <xdr:col>26</xdr:col>
      <xdr:colOff>609600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190500</xdr:colOff>
      <xdr:row>17</xdr:row>
      <xdr:rowOff>0</xdr:rowOff>
    </xdr:from>
    <xdr:to>
      <xdr:col>26</xdr:col>
      <xdr:colOff>635000</xdr:colOff>
      <xdr:row>32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0.25475</cdr:x>
      <cdr:y>0.40297</cdr:y>
    </cdr:from>
    <cdr:to>
      <cdr:x>0.41111</cdr:x>
      <cdr:y>0.50394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4720" y="1105415"/>
          <a:ext cx="714859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err="1" smtClean="0"/>
            <a:t>57% CS+</a:t>
          </a:r>
          <a:endParaRPr lang="en-US" sz="1200" dirty="0"/>
        </a:p>
      </cdr:txBody>
    </cdr:sp>
  </cdr:relSizeAnchor>
  <cdr:relSizeAnchor xmlns:cdr="http://schemas.openxmlformats.org/drawingml/2006/chartDrawing">
    <cdr:from>
      <cdr:x>0.6</cdr:x>
      <cdr:y>0.19907</cdr:y>
    </cdr:from>
    <cdr:to>
      <cdr:x>0.75636</cdr:x>
      <cdr:y>0.30005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43200" y="546100"/>
          <a:ext cx="714859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err="1" smtClean="0"/>
            <a:t>64% CS+</a:t>
          </a:r>
          <a:endParaRPr lang="en-US" sz="1200" dirty="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0.25475</cdr:x>
      <cdr:y>0.14834</cdr:y>
    </cdr:from>
    <cdr:to>
      <cdr:x>0.41111</cdr:x>
      <cdr:y>0.24932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4717" y="406927"/>
          <a:ext cx="714859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err="1" smtClean="0"/>
            <a:t>69% CS+</a:t>
          </a:r>
          <a:endParaRPr lang="en-US" sz="1200" dirty="0"/>
        </a:p>
      </cdr:txBody>
    </cdr:sp>
  </cdr:relSizeAnchor>
  <cdr:relSizeAnchor xmlns:cdr="http://schemas.openxmlformats.org/drawingml/2006/chartDrawing">
    <cdr:from>
      <cdr:x>0.60556</cdr:x>
      <cdr:y>0.18518</cdr:y>
    </cdr:from>
    <cdr:to>
      <cdr:x>0.76191</cdr:x>
      <cdr:y>0.28616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68600" y="507989"/>
          <a:ext cx="714859" cy="276999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dirty="0" err="1" smtClean="0"/>
            <a:t>79% CS+</a:t>
          </a:r>
          <a:endParaRPr lang="en-US" sz="1200" dirty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40" sqref="A40"/>
    </sheetView>
  </sheetViews>
  <sheetFormatPr baseColWidth="10" defaultRowHeight="15" x14ac:dyDescent="0"/>
  <sheetData>
    <row r="1" spans="1:4">
      <c r="A1" t="s">
        <v>12</v>
      </c>
    </row>
    <row r="2" spans="1:4">
      <c r="A2" t="s">
        <v>14</v>
      </c>
      <c r="B2" t="s">
        <v>13</v>
      </c>
      <c r="C2" t="s">
        <v>0</v>
      </c>
      <c r="D2" t="s">
        <v>1</v>
      </c>
    </row>
    <row r="3" spans="1:4">
      <c r="A3">
        <v>1</v>
      </c>
      <c r="B3" t="s">
        <v>8</v>
      </c>
      <c r="C3">
        <f>84.19-82.2</f>
        <v>1.9899999999999949</v>
      </c>
      <c r="D3">
        <f>74.23-72.73</f>
        <v>1.5</v>
      </c>
    </row>
    <row r="4" spans="1:4">
      <c r="A4">
        <v>2</v>
      </c>
      <c r="B4" t="s">
        <v>9</v>
      </c>
      <c r="C4">
        <f>78.59-77.2</f>
        <v>1.3900000000000006</v>
      </c>
      <c r="D4">
        <f>89.9-89.75</f>
        <v>0.15000000000000568</v>
      </c>
    </row>
    <row r="5" spans="1:4">
      <c r="A5">
        <v>3</v>
      </c>
      <c r="B5" t="s">
        <v>8</v>
      </c>
      <c r="C5">
        <f>78.76-77.23</f>
        <v>1.5300000000000011</v>
      </c>
      <c r="D5">
        <f>83.97-83.52</f>
        <v>0.45000000000000284</v>
      </c>
    </row>
    <row r="6" spans="1:4">
      <c r="A6">
        <v>4</v>
      </c>
      <c r="B6" t="s">
        <v>9</v>
      </c>
      <c r="C6">
        <f>87.16-86.86</f>
        <v>0.29999999999999716</v>
      </c>
      <c r="D6">
        <f>74.65-73.75</f>
        <v>0.90000000000000568</v>
      </c>
    </row>
    <row r="7" spans="1:4">
      <c r="A7">
        <v>1</v>
      </c>
      <c r="B7" t="s">
        <v>8</v>
      </c>
      <c r="C7">
        <f>87.9-85.27</f>
        <v>2.6300000000000097</v>
      </c>
      <c r="D7">
        <f>81.68-81.49</f>
        <v>0.19000000000001194</v>
      </c>
    </row>
    <row r="8" spans="1:4">
      <c r="A8">
        <v>2</v>
      </c>
      <c r="B8" t="s">
        <v>9</v>
      </c>
      <c r="C8">
        <f>77.69-76.51</f>
        <v>1.1799999999999926</v>
      </c>
      <c r="D8">
        <f>83.65-83.28</f>
        <v>0.37000000000000455</v>
      </c>
    </row>
    <row r="9" spans="1:4">
      <c r="A9">
        <v>3</v>
      </c>
      <c r="B9" t="s">
        <v>8</v>
      </c>
      <c r="C9">
        <f>77.67-77.17</f>
        <v>0.5</v>
      </c>
      <c r="D9">
        <f>71.48-70.76</f>
        <v>0.71999999999999886</v>
      </c>
    </row>
    <row r="10" spans="1:4">
      <c r="A10">
        <v>1</v>
      </c>
      <c r="B10" t="s">
        <v>9</v>
      </c>
      <c r="C10">
        <f>80.56-80.13</f>
        <v>0.43000000000000682</v>
      </c>
      <c r="D10">
        <f>80.95-80.35</f>
        <v>0.60000000000000853</v>
      </c>
    </row>
    <row r="11" spans="1:4">
      <c r="A11">
        <v>2</v>
      </c>
      <c r="B11" t="s">
        <v>8</v>
      </c>
      <c r="C11">
        <f>79.24-77.07</f>
        <v>2.1700000000000017</v>
      </c>
      <c r="D11">
        <f>77.05-75.37</f>
        <v>1.6799999999999926</v>
      </c>
    </row>
    <row r="12" spans="1:4">
      <c r="A12">
        <v>3</v>
      </c>
      <c r="B12" t="s">
        <v>10</v>
      </c>
      <c r="C12">
        <f>86.71-85.47</f>
        <v>1.2399999999999949</v>
      </c>
      <c r="D12">
        <f>79.55-79.41</f>
        <v>0.14000000000000057</v>
      </c>
    </row>
    <row r="13" spans="1:4">
      <c r="A13">
        <v>4</v>
      </c>
      <c r="B13" t="s">
        <v>11</v>
      </c>
      <c r="C13">
        <f>75.03-74.49</f>
        <v>0.54000000000000625</v>
      </c>
      <c r="D13">
        <f>72.12-71.97</f>
        <v>0.15000000000000568</v>
      </c>
    </row>
    <row r="14" spans="1:4">
      <c r="A14">
        <v>1</v>
      </c>
      <c r="B14" t="s">
        <v>10</v>
      </c>
      <c r="C14">
        <f>80.71-80.07</f>
        <v>0.64000000000000057</v>
      </c>
      <c r="D14">
        <f>82.16-81.64</f>
        <v>0.51999999999999602</v>
      </c>
    </row>
    <row r="15" spans="1:4">
      <c r="A15">
        <v>2</v>
      </c>
      <c r="B15" t="s">
        <v>9</v>
      </c>
      <c r="C15">
        <f>75.15-74.56</f>
        <v>0.59000000000000341</v>
      </c>
      <c r="D15">
        <f>75.75-74.37</f>
        <v>1.3799999999999955</v>
      </c>
    </row>
    <row r="16" spans="1:4">
      <c r="A16">
        <v>3</v>
      </c>
      <c r="B16" t="s">
        <v>8</v>
      </c>
      <c r="C16">
        <f>81.63-81.33</f>
        <v>0.29999999999999716</v>
      </c>
      <c r="D16">
        <f>80.47-80.01</f>
        <v>0.45999999999999375</v>
      </c>
    </row>
    <row r="18" spans="1:7">
      <c r="B18" t="s">
        <v>2</v>
      </c>
      <c r="C18">
        <f>AVERAGE(C3:C16)</f>
        <v>1.1021428571428575</v>
      </c>
      <c r="D18">
        <f>AVERAGE(D3:D16)</f>
        <v>0.65785714285714447</v>
      </c>
      <c r="F18" t="s">
        <v>5</v>
      </c>
      <c r="G18" t="s">
        <v>4</v>
      </c>
    </row>
    <row r="19" spans="1:7">
      <c r="B19" t="s">
        <v>3</v>
      </c>
      <c r="C19">
        <v>0.20228099999999999</v>
      </c>
      <c r="D19">
        <v>0.139237</v>
      </c>
      <c r="F19" t="s">
        <v>7</v>
      </c>
      <c r="G19" t="s">
        <v>6</v>
      </c>
    </row>
    <row r="21" spans="1:7">
      <c r="C21" t="s">
        <v>0</v>
      </c>
      <c r="D21" t="s">
        <v>1</v>
      </c>
    </row>
    <row r="22" spans="1:7">
      <c r="A22">
        <v>1</v>
      </c>
      <c r="B22" t="s">
        <v>8</v>
      </c>
      <c r="C22">
        <v>1.3</v>
      </c>
      <c r="D22">
        <f>88.51-87.64</f>
        <v>0.87000000000000455</v>
      </c>
    </row>
    <row r="23" spans="1:7">
      <c r="A23">
        <v>2</v>
      </c>
      <c r="B23" t="s">
        <v>9</v>
      </c>
      <c r="C23">
        <v>2.99</v>
      </c>
      <c r="D23">
        <f>85.13-84.53</f>
        <v>0.59999999999999432</v>
      </c>
    </row>
    <row r="24" spans="1:7">
      <c r="A24">
        <v>3</v>
      </c>
      <c r="B24" t="s">
        <v>8</v>
      </c>
      <c r="C24">
        <f>94.9-92.52</f>
        <v>2.3800000000000097</v>
      </c>
      <c r="D24">
        <f>82.87-82.3</f>
        <v>0.57000000000000739</v>
      </c>
    </row>
    <row r="25" spans="1:7">
      <c r="A25">
        <v>4</v>
      </c>
      <c r="B25" t="s">
        <v>9</v>
      </c>
      <c r="C25">
        <f>88.67-88.01</f>
        <v>0.65999999999999659</v>
      </c>
      <c r="D25">
        <f>84.2-83.5</f>
        <v>0.70000000000000284</v>
      </c>
    </row>
    <row r="26" spans="1:7">
      <c r="A26">
        <v>1</v>
      </c>
      <c r="B26" t="s">
        <v>8</v>
      </c>
      <c r="C26">
        <f>97.12-94.06</f>
        <v>3.0600000000000023</v>
      </c>
      <c r="D26">
        <f>83.62-83.05</f>
        <v>0.57000000000000739</v>
      </c>
    </row>
    <row r="27" spans="1:7">
      <c r="A27">
        <v>2</v>
      </c>
      <c r="B27" t="s">
        <v>9</v>
      </c>
      <c r="C27">
        <f>89.17-88.4</f>
        <v>0.76999999999999602</v>
      </c>
      <c r="D27">
        <f>76.47-76.01</f>
        <v>0.45999999999999375</v>
      </c>
    </row>
    <row r="28" spans="1:7">
      <c r="A28">
        <v>3</v>
      </c>
      <c r="B28" t="s">
        <v>8</v>
      </c>
      <c r="C28">
        <f>94.95-93.06</f>
        <v>1.8900000000000006</v>
      </c>
      <c r="D28">
        <f>74.28-73.49</f>
        <v>0.79000000000000625</v>
      </c>
    </row>
    <row r="29" spans="1:7">
      <c r="A29">
        <v>1</v>
      </c>
      <c r="B29" t="s">
        <v>9</v>
      </c>
      <c r="C29">
        <f>88.95-85.82</f>
        <v>3.1300000000000097</v>
      </c>
      <c r="D29">
        <f>93.68-92.9</f>
        <v>0.78000000000000114</v>
      </c>
    </row>
    <row r="30" spans="1:7">
      <c r="A30">
        <v>2</v>
      </c>
      <c r="B30" t="s">
        <v>8</v>
      </c>
      <c r="C30">
        <f>92.76-92.11</f>
        <v>0.65000000000000568</v>
      </c>
      <c r="D30">
        <f>77.86-77.8</f>
        <v>6.0000000000002274E-2</v>
      </c>
    </row>
    <row r="31" spans="1:7">
      <c r="A31">
        <v>3</v>
      </c>
      <c r="B31" t="s">
        <v>10</v>
      </c>
      <c r="C31">
        <f>93.91-91.67</f>
        <v>2.2399999999999949</v>
      </c>
      <c r="D31">
        <f>74.97-74.33</f>
        <v>0.64000000000000057</v>
      </c>
    </row>
    <row r="32" spans="1:7">
      <c r="A32">
        <v>4</v>
      </c>
      <c r="B32" t="s">
        <v>11</v>
      </c>
      <c r="C32">
        <f>94.6-93.46</f>
        <v>1.1400000000000006</v>
      </c>
      <c r="D32">
        <f>75.74-74.73</f>
        <v>1.0099999999999909</v>
      </c>
    </row>
    <row r="33" spans="1:7">
      <c r="A33">
        <v>1</v>
      </c>
      <c r="B33" t="s">
        <v>10</v>
      </c>
      <c r="C33">
        <f>91.47-88.6</f>
        <v>2.8700000000000045</v>
      </c>
      <c r="D33">
        <f>77.02-76.19</f>
        <v>0.82999999999999829</v>
      </c>
    </row>
    <row r="34" spans="1:7">
      <c r="A34">
        <v>2</v>
      </c>
      <c r="B34" t="s">
        <v>9</v>
      </c>
      <c r="C34">
        <f>89.41-85.72</f>
        <v>3.6899999999999977</v>
      </c>
      <c r="D34">
        <f>71.16-70.64</f>
        <v>0.51999999999999602</v>
      </c>
    </row>
    <row r="35" spans="1:7">
      <c r="A35">
        <v>3</v>
      </c>
      <c r="B35" t="s">
        <v>8</v>
      </c>
      <c r="C35">
        <f>93.9-92.51</f>
        <v>1.3900000000000006</v>
      </c>
      <c r="D35">
        <f>65.22-65.06</f>
        <v>0.15999999999999659</v>
      </c>
    </row>
    <row r="37" spans="1:7">
      <c r="B37" t="s">
        <v>2</v>
      </c>
      <c r="C37">
        <v>2.0114290000000001</v>
      </c>
      <c r="D37">
        <v>0.611429</v>
      </c>
      <c r="F37" t="s">
        <v>16</v>
      </c>
      <c r="G37" t="s">
        <v>15</v>
      </c>
    </row>
    <row r="38" spans="1:7">
      <c r="B38" t="s">
        <v>3</v>
      </c>
      <c r="C38">
        <v>0.27674100000000001</v>
      </c>
      <c r="D38">
        <v>6.9738999999999995E-2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workbookViewId="0">
      <selection activeCell="F14" sqref="F14"/>
    </sheetView>
  </sheetViews>
  <sheetFormatPr baseColWidth="10" defaultRowHeight="15" x14ac:dyDescent="0"/>
  <sheetData>
    <row r="1" spans="1:21">
      <c r="B1" t="s">
        <v>19</v>
      </c>
    </row>
    <row r="2" spans="1:21">
      <c r="B2" t="s">
        <v>12</v>
      </c>
      <c r="E2" t="s">
        <v>23</v>
      </c>
      <c r="N2" t="s">
        <v>22</v>
      </c>
    </row>
    <row r="3" spans="1:21">
      <c r="A3">
        <v>1</v>
      </c>
      <c r="B3" t="s">
        <v>21</v>
      </c>
      <c r="C3" t="s">
        <v>42</v>
      </c>
      <c r="D3" t="s">
        <v>14</v>
      </c>
      <c r="E3" t="s">
        <v>13</v>
      </c>
      <c r="F3" t="s">
        <v>0</v>
      </c>
      <c r="G3" t="s">
        <v>1</v>
      </c>
      <c r="H3" t="s">
        <v>17</v>
      </c>
      <c r="I3" t="s">
        <v>24</v>
      </c>
      <c r="K3" t="s">
        <v>21</v>
      </c>
      <c r="L3" t="s">
        <v>42</v>
      </c>
      <c r="M3" t="s">
        <v>14</v>
      </c>
      <c r="N3" t="s">
        <v>13</v>
      </c>
      <c r="O3" t="s">
        <v>0</v>
      </c>
      <c r="P3" t="s">
        <v>1</v>
      </c>
      <c r="Q3" t="s">
        <v>17</v>
      </c>
      <c r="U3" t="s">
        <v>18</v>
      </c>
    </row>
    <row r="4" spans="1:21">
      <c r="A4">
        <v>1</v>
      </c>
      <c r="B4" t="s">
        <v>32</v>
      </c>
      <c r="C4" t="s">
        <v>41</v>
      </c>
      <c r="D4">
        <v>1</v>
      </c>
      <c r="E4" t="s">
        <v>8</v>
      </c>
      <c r="F4">
        <f>84.19-82.2</f>
        <v>1.9899999999999949</v>
      </c>
      <c r="G4">
        <f>74.23-72.73</f>
        <v>1.5</v>
      </c>
      <c r="H4">
        <f t="shared" ref="H4:H11" si="0">F4/G4</f>
        <v>1.3266666666666633</v>
      </c>
      <c r="I4">
        <f t="shared" ref="I4:I11" si="1">F4/SUM(F4:G4)</f>
        <v>0.57020057306590199</v>
      </c>
      <c r="K4" t="s">
        <v>32</v>
      </c>
      <c r="L4" t="s">
        <v>41</v>
      </c>
      <c r="M4">
        <v>2</v>
      </c>
      <c r="N4" t="s">
        <v>9</v>
      </c>
      <c r="O4">
        <v>1.3900000000000006</v>
      </c>
      <c r="P4">
        <v>0.15000000000000568</v>
      </c>
      <c r="Q4">
        <f t="shared" ref="Q4:Q9" si="2">O4/P4</f>
        <v>9.2666666666663193</v>
      </c>
      <c r="R4">
        <f t="shared" ref="R4:R9" si="3">O4/SUM(O4:P4)</f>
        <v>0.90259740259739929</v>
      </c>
      <c r="S4">
        <v>1</v>
      </c>
      <c r="T4" t="s">
        <v>8</v>
      </c>
      <c r="U4">
        <f t="shared" ref="U4:U11" si="4">H19/H4</f>
        <v>1.1263212614798097</v>
      </c>
    </row>
    <row r="5" spans="1:21">
      <c r="A5">
        <v>1</v>
      </c>
      <c r="B5" t="s">
        <v>32</v>
      </c>
      <c r="C5" t="s">
        <v>41</v>
      </c>
      <c r="D5">
        <v>3</v>
      </c>
      <c r="E5" t="s">
        <v>8</v>
      </c>
      <c r="F5">
        <f>78.76-77.23</f>
        <v>1.5300000000000011</v>
      </c>
      <c r="G5">
        <f>83.97-83.52</f>
        <v>0.45000000000000284</v>
      </c>
      <c r="H5">
        <f t="shared" si="0"/>
        <v>3.3999999999999813</v>
      </c>
      <c r="I5">
        <f t="shared" si="1"/>
        <v>0.77272727272727171</v>
      </c>
      <c r="K5" t="s">
        <v>32</v>
      </c>
      <c r="L5" t="s">
        <v>41</v>
      </c>
      <c r="M5">
        <v>4</v>
      </c>
      <c r="N5" t="s">
        <v>9</v>
      </c>
      <c r="O5">
        <v>0.29999999999999716</v>
      </c>
      <c r="P5">
        <v>0.90000000000000568</v>
      </c>
      <c r="Q5">
        <f t="shared" si="2"/>
        <v>0.3333333333333281</v>
      </c>
      <c r="R5">
        <f t="shared" si="3"/>
        <v>0.24999999999999703</v>
      </c>
      <c r="S5">
        <v>3</v>
      </c>
      <c r="T5" t="s">
        <v>8</v>
      </c>
      <c r="U5">
        <f t="shared" si="4"/>
        <v>1.2280701754385925</v>
      </c>
    </row>
    <row r="6" spans="1:21">
      <c r="A6">
        <v>1</v>
      </c>
      <c r="B6" t="s">
        <v>33</v>
      </c>
      <c r="C6" t="s">
        <v>41</v>
      </c>
      <c r="D6">
        <v>1</v>
      </c>
      <c r="E6" t="s">
        <v>8</v>
      </c>
      <c r="F6">
        <f>87.9-85.27</f>
        <v>2.6300000000000097</v>
      </c>
      <c r="G6">
        <f>81.68-81.49</f>
        <v>0.19000000000001194</v>
      </c>
      <c r="H6">
        <f t="shared" si="0"/>
        <v>13.842105263157077</v>
      </c>
      <c r="I6">
        <f t="shared" si="1"/>
        <v>0.9326241134751736</v>
      </c>
      <c r="K6" t="s">
        <v>33</v>
      </c>
      <c r="L6" t="s">
        <v>41</v>
      </c>
      <c r="M6">
        <v>2</v>
      </c>
      <c r="N6" t="s">
        <v>9</v>
      </c>
      <c r="O6">
        <v>1.1799999999999926</v>
      </c>
      <c r="P6">
        <v>0.37000000000000455</v>
      </c>
      <c r="Q6">
        <f t="shared" si="2"/>
        <v>3.18918918918913</v>
      </c>
      <c r="R6">
        <f t="shared" si="3"/>
        <v>0.76129032258064178</v>
      </c>
      <c r="S6">
        <v>1</v>
      </c>
      <c r="T6" t="s">
        <v>8</v>
      </c>
      <c r="U6">
        <f t="shared" si="4"/>
        <v>0.38783269961979</v>
      </c>
    </row>
    <row r="7" spans="1:21">
      <c r="A7">
        <v>1</v>
      </c>
      <c r="B7" t="s">
        <v>33</v>
      </c>
      <c r="C7" t="s">
        <v>41</v>
      </c>
      <c r="D7">
        <v>3</v>
      </c>
      <c r="E7" t="s">
        <v>8</v>
      </c>
      <c r="F7">
        <f>77.67-77.17</f>
        <v>0.5</v>
      </c>
      <c r="G7">
        <f>71.48-70.76</f>
        <v>0.71999999999999886</v>
      </c>
      <c r="H7">
        <f t="shared" si="0"/>
        <v>0.69444444444444553</v>
      </c>
      <c r="I7">
        <f t="shared" si="1"/>
        <v>0.40983606557377089</v>
      </c>
      <c r="K7" t="s">
        <v>34</v>
      </c>
      <c r="L7" t="s">
        <v>41</v>
      </c>
      <c r="M7">
        <v>1</v>
      </c>
      <c r="N7" t="s">
        <v>9</v>
      </c>
      <c r="O7">
        <v>0.43000000000000682</v>
      </c>
      <c r="P7">
        <v>0.60000000000000853</v>
      </c>
      <c r="Q7">
        <f t="shared" si="2"/>
        <v>0.7166666666666679</v>
      </c>
      <c r="R7">
        <f t="shared" si="3"/>
        <v>0.41747572815534023</v>
      </c>
      <c r="S7">
        <v>3</v>
      </c>
      <c r="T7" t="s">
        <v>8</v>
      </c>
      <c r="U7">
        <f t="shared" si="4"/>
        <v>3.4450632911392085</v>
      </c>
    </row>
    <row r="8" spans="1:21">
      <c r="A8">
        <v>1</v>
      </c>
      <c r="B8" t="s">
        <v>34</v>
      </c>
      <c r="C8" t="s">
        <v>41</v>
      </c>
      <c r="D8">
        <v>2</v>
      </c>
      <c r="E8" t="s">
        <v>8</v>
      </c>
      <c r="F8">
        <f>79.24-77.07</f>
        <v>2.1700000000000017</v>
      </c>
      <c r="G8">
        <f>77.05-75.37</f>
        <v>1.6799999999999926</v>
      </c>
      <c r="H8">
        <f t="shared" si="0"/>
        <v>1.2916666666666734</v>
      </c>
      <c r="I8">
        <f t="shared" si="1"/>
        <v>0.56363636363636493</v>
      </c>
      <c r="K8" t="s">
        <v>34</v>
      </c>
      <c r="L8" t="s">
        <v>41</v>
      </c>
      <c r="M8">
        <v>4</v>
      </c>
      <c r="N8" t="s">
        <v>11</v>
      </c>
      <c r="O8">
        <v>0.54000000000000625</v>
      </c>
      <c r="P8">
        <v>0.15000000000000568</v>
      </c>
      <c r="Q8">
        <f t="shared" si="2"/>
        <v>3.5999999999999051</v>
      </c>
      <c r="R8">
        <f t="shared" si="3"/>
        <v>0.78260869565216939</v>
      </c>
      <c r="S8">
        <v>2</v>
      </c>
      <c r="T8" t="s">
        <v>8</v>
      </c>
      <c r="U8">
        <f t="shared" si="4"/>
        <v>8.3870967741932603</v>
      </c>
    </row>
    <row r="9" spans="1:21">
      <c r="A9">
        <v>1</v>
      </c>
      <c r="B9" t="s">
        <v>34</v>
      </c>
      <c r="C9" t="s">
        <v>41</v>
      </c>
      <c r="D9">
        <v>3</v>
      </c>
      <c r="E9" t="s">
        <v>10</v>
      </c>
      <c r="F9">
        <f>86.71-85.47</f>
        <v>1.2399999999999949</v>
      </c>
      <c r="G9">
        <f>79.55-79.41</f>
        <v>0.14000000000000057</v>
      </c>
      <c r="H9">
        <f t="shared" si="0"/>
        <v>8.8571428571427848</v>
      </c>
      <c r="I9">
        <f t="shared" si="1"/>
        <v>0.89855072463768038</v>
      </c>
      <c r="K9" t="s">
        <v>35</v>
      </c>
      <c r="L9" t="s">
        <v>41</v>
      </c>
      <c r="M9">
        <v>2</v>
      </c>
      <c r="N9" t="s">
        <v>9</v>
      </c>
      <c r="O9">
        <v>0.59000000000000341</v>
      </c>
      <c r="P9">
        <v>1.3799999999999955</v>
      </c>
      <c r="Q9">
        <f t="shared" si="2"/>
        <v>0.42753623188406187</v>
      </c>
      <c r="R9">
        <f t="shared" si="3"/>
        <v>0.29949238578680393</v>
      </c>
      <c r="S9">
        <v>3</v>
      </c>
      <c r="T9" t="s">
        <v>10</v>
      </c>
      <c r="U9">
        <f t="shared" si="4"/>
        <v>0.39516129032258263</v>
      </c>
    </row>
    <row r="10" spans="1:21">
      <c r="A10">
        <v>1</v>
      </c>
      <c r="B10" t="s">
        <v>35</v>
      </c>
      <c r="C10" t="s">
        <v>41</v>
      </c>
      <c r="D10">
        <v>1</v>
      </c>
      <c r="E10" t="s">
        <v>10</v>
      </c>
      <c r="F10">
        <f>80.71-80.07</f>
        <v>0.64000000000000057</v>
      </c>
      <c r="G10">
        <f>82.16-81.64</f>
        <v>0.51999999999999602</v>
      </c>
      <c r="H10">
        <f t="shared" si="0"/>
        <v>1.2307692307692413</v>
      </c>
      <c r="I10">
        <f t="shared" si="1"/>
        <v>0.55172413793103658</v>
      </c>
      <c r="S10">
        <v>1</v>
      </c>
      <c r="T10" t="s">
        <v>10</v>
      </c>
      <c r="U10">
        <f t="shared" si="4"/>
        <v>2.8094879518072156</v>
      </c>
    </row>
    <row r="11" spans="1:21">
      <c r="A11">
        <v>1</v>
      </c>
      <c r="B11" t="s">
        <v>35</v>
      </c>
      <c r="C11" t="s">
        <v>41</v>
      </c>
      <c r="D11">
        <v>3</v>
      </c>
      <c r="E11" t="s">
        <v>8</v>
      </c>
      <c r="F11">
        <f>81.63-81.33</f>
        <v>0.29999999999999716</v>
      </c>
      <c r="G11">
        <f>80.47-80.01</f>
        <v>0.45999999999999375</v>
      </c>
      <c r="H11">
        <f t="shared" si="0"/>
        <v>0.65217391304348094</v>
      </c>
      <c r="I11">
        <f t="shared" si="1"/>
        <v>0.39473684210526416</v>
      </c>
      <c r="S11">
        <v>3</v>
      </c>
      <c r="T11" t="s">
        <v>8</v>
      </c>
      <c r="U11">
        <f t="shared" si="4"/>
        <v>13.320833333333567</v>
      </c>
    </row>
    <row r="13" spans="1:21">
      <c r="E13" t="s">
        <v>2</v>
      </c>
      <c r="F13">
        <f>AVERAGE(F4:F11)</f>
        <v>1.375</v>
      </c>
      <c r="G13">
        <f>AVERAGE(G4:G11)</f>
        <v>0.70749999999999957</v>
      </c>
      <c r="H13">
        <f>AVERAGE(H4:H11)</f>
        <v>3.9118711302362938</v>
      </c>
      <c r="I13">
        <f>AVERAGE(I4:I11)</f>
        <v>0.63675451164405805</v>
      </c>
      <c r="O13">
        <f>AVERAGE(O4:O11)</f>
        <v>0.73833333333333451</v>
      </c>
      <c r="P13">
        <f>AVERAGE(P4:P11)</f>
        <v>0.59166666666667089</v>
      </c>
      <c r="Q13">
        <f>AVERAGE(Q4:Q11)</f>
        <v>2.9222320146232357</v>
      </c>
      <c r="R13">
        <f>AVERAGE(R4:R11)</f>
        <v>0.56891075579539196</v>
      </c>
      <c r="U13">
        <f>AVERAGE(U4:U11)</f>
        <v>3.8874833471667531</v>
      </c>
    </row>
    <row r="14" spans="1:21">
      <c r="E14" t="s">
        <v>3</v>
      </c>
      <c r="F14">
        <f>STDEV(F4:F11)/(SQRT(COUNT(F4:F11)))</f>
        <v>0.30145480589965812</v>
      </c>
      <c r="G14">
        <f>STDEV(G4:G11)/(SQRT(COUNT(G4:G11)))</f>
        <v>0.20382722024863431</v>
      </c>
      <c r="H14">
        <f>STDEV(H4:H11)/(SQRT(COUNT(H4:H11)))</f>
        <v>1.7167337956778121</v>
      </c>
      <c r="I14">
        <f>STDEV(I4:I11)/(SQRT(COUNT(I4:I11)))</f>
        <v>7.3391691150993324E-2</v>
      </c>
      <c r="O14">
        <f>STDEV(O4:O11)/(SQRT(COUNT(O4:O11)))</f>
        <v>0.17965553459637901</v>
      </c>
      <c r="P14">
        <f>STDEV(P4:P11)/(SQRT(COUNT(P4:P11)))</f>
        <v>0.19628918575521151</v>
      </c>
      <c r="Q14">
        <f>STDEV(Q4:Q11)/(SQRT(COUNT(Q4:Q11)))</f>
        <v>1.3972939151995047</v>
      </c>
      <c r="R14">
        <f>STDEV(R4:R11)/(SQRT(COUNT(R4:R11)))</f>
        <v>0.11419958863409507</v>
      </c>
      <c r="U14">
        <f>STDEV(U4:U11)/(SQRT(COUNT(U4:U11)))</f>
        <v>1.6351757497152088</v>
      </c>
    </row>
    <row r="17" spans="1:21">
      <c r="B17" t="s">
        <v>20</v>
      </c>
    </row>
    <row r="18" spans="1:21">
      <c r="B18" t="s">
        <v>21</v>
      </c>
      <c r="C18" t="s">
        <v>42</v>
      </c>
      <c r="D18" t="s">
        <v>14</v>
      </c>
      <c r="E18" t="s">
        <v>13</v>
      </c>
      <c r="F18" t="s">
        <v>0</v>
      </c>
      <c r="G18" t="s">
        <v>1</v>
      </c>
      <c r="H18" t="s">
        <v>17</v>
      </c>
      <c r="K18" t="s">
        <v>21</v>
      </c>
      <c r="L18" t="s">
        <v>42</v>
      </c>
      <c r="M18" t="s">
        <v>14</v>
      </c>
      <c r="N18" t="s">
        <v>13</v>
      </c>
      <c r="O18" t="s">
        <v>0</v>
      </c>
      <c r="P18" t="s">
        <v>1</v>
      </c>
      <c r="Q18" t="s">
        <v>17</v>
      </c>
      <c r="S18">
        <v>2</v>
      </c>
      <c r="T18" t="s">
        <v>9</v>
      </c>
      <c r="U18">
        <f t="shared" ref="U18:U23" si="5">Q19/Q4</f>
        <v>0.53776978417268706</v>
      </c>
    </row>
    <row r="19" spans="1:21">
      <c r="A19">
        <v>2</v>
      </c>
      <c r="B19" t="s">
        <v>32</v>
      </c>
      <c r="C19" t="s">
        <v>41</v>
      </c>
      <c r="D19">
        <v>1</v>
      </c>
      <c r="E19" t="s">
        <v>8</v>
      </c>
      <c r="F19">
        <v>1.3</v>
      </c>
      <c r="G19">
        <f>88.51-87.64</f>
        <v>0.87000000000000455</v>
      </c>
      <c r="H19">
        <f t="shared" ref="H19:H26" si="6">F19/G19</f>
        <v>1.4942528735632106</v>
      </c>
      <c r="I19">
        <f t="shared" ref="I19:I26" si="7">F19/SUM(F19:G19)</f>
        <v>0.59907834101382373</v>
      </c>
      <c r="K19" t="s">
        <v>32</v>
      </c>
      <c r="L19" t="s">
        <v>41</v>
      </c>
      <c r="M19">
        <v>2</v>
      </c>
      <c r="N19" t="s">
        <v>9</v>
      </c>
      <c r="O19">
        <v>2.99</v>
      </c>
      <c r="P19">
        <v>0.59999999999999432</v>
      </c>
      <c r="Q19">
        <f t="shared" ref="Q19:Q24" si="8">O19/P19</f>
        <v>4.9833333333333805</v>
      </c>
      <c r="R19">
        <f t="shared" ref="R19:R24" si="9">O19/SUM(O19:P19)</f>
        <v>0.83286908077994559</v>
      </c>
      <c r="S19">
        <v>4</v>
      </c>
      <c r="T19" t="s">
        <v>9</v>
      </c>
      <c r="U19">
        <f t="shared" si="5"/>
        <v>2.8285714285714469</v>
      </c>
    </row>
    <row r="20" spans="1:21">
      <c r="A20">
        <v>2</v>
      </c>
      <c r="B20" t="s">
        <v>32</v>
      </c>
      <c r="C20" t="s">
        <v>41</v>
      </c>
      <c r="D20">
        <v>3</v>
      </c>
      <c r="E20" t="s">
        <v>8</v>
      </c>
      <c r="F20">
        <f>94.9-92.52</f>
        <v>2.3800000000000097</v>
      </c>
      <c r="G20">
        <f>82.87-82.3</f>
        <v>0.57000000000000739</v>
      </c>
      <c r="H20">
        <f t="shared" si="6"/>
        <v>4.1754385964911913</v>
      </c>
      <c r="I20">
        <f t="shared" si="7"/>
        <v>0.80677966101694776</v>
      </c>
      <c r="K20" t="s">
        <v>32</v>
      </c>
      <c r="L20" t="s">
        <v>41</v>
      </c>
      <c r="M20">
        <v>4</v>
      </c>
      <c r="N20" t="s">
        <v>9</v>
      </c>
      <c r="O20">
        <v>0.65999999999999659</v>
      </c>
      <c r="P20">
        <v>0.70000000000000284</v>
      </c>
      <c r="Q20">
        <f t="shared" si="8"/>
        <v>0.94285714285713418</v>
      </c>
      <c r="R20">
        <f t="shared" si="9"/>
        <v>0.48529411764705654</v>
      </c>
      <c r="S20">
        <v>2</v>
      </c>
      <c r="T20" t="s">
        <v>9</v>
      </c>
      <c r="U20">
        <f t="shared" si="5"/>
        <v>0.52487103905675703</v>
      </c>
    </row>
    <row r="21" spans="1:21">
      <c r="A21">
        <v>2</v>
      </c>
      <c r="B21" t="s">
        <v>33</v>
      </c>
      <c r="C21" t="s">
        <v>41</v>
      </c>
      <c r="D21">
        <v>1</v>
      </c>
      <c r="E21" t="s">
        <v>8</v>
      </c>
      <c r="F21">
        <f>97.12-94.06</f>
        <v>3.0600000000000023</v>
      </c>
      <c r="G21">
        <f>83.62-83.05</f>
        <v>0.57000000000000739</v>
      </c>
      <c r="H21">
        <f t="shared" si="6"/>
        <v>5.368421052631513</v>
      </c>
      <c r="I21">
        <f t="shared" si="7"/>
        <v>0.84297520661156866</v>
      </c>
      <c r="K21" t="s">
        <v>33</v>
      </c>
      <c r="L21" t="s">
        <v>41</v>
      </c>
      <c r="M21">
        <v>2</v>
      </c>
      <c r="N21" t="s">
        <v>9</v>
      </c>
      <c r="O21">
        <v>0.76999999999999602</v>
      </c>
      <c r="P21">
        <v>0.45999999999999375</v>
      </c>
      <c r="Q21">
        <f t="shared" si="8"/>
        <v>1.673913043478275</v>
      </c>
      <c r="R21">
        <f t="shared" si="9"/>
        <v>0.62601626016260359</v>
      </c>
      <c r="S21">
        <v>1</v>
      </c>
      <c r="T21" t="s">
        <v>9</v>
      </c>
      <c r="U21">
        <f t="shared" si="5"/>
        <v>5.599284436493738</v>
      </c>
    </row>
    <row r="22" spans="1:21">
      <c r="A22">
        <v>2</v>
      </c>
      <c r="B22" t="s">
        <v>33</v>
      </c>
      <c r="C22" t="s">
        <v>41</v>
      </c>
      <c r="D22">
        <v>3</v>
      </c>
      <c r="E22" t="s">
        <v>8</v>
      </c>
      <c r="F22">
        <f>94.95-93.06</f>
        <v>1.8900000000000006</v>
      </c>
      <c r="G22">
        <f>74.28-73.49</f>
        <v>0.79000000000000625</v>
      </c>
      <c r="H22">
        <f t="shared" si="6"/>
        <v>2.3924050632911209</v>
      </c>
      <c r="I22">
        <f t="shared" si="7"/>
        <v>0.70522388059701335</v>
      </c>
      <c r="K22" t="s">
        <v>34</v>
      </c>
      <c r="L22" t="s">
        <v>41</v>
      </c>
      <c r="M22">
        <v>1</v>
      </c>
      <c r="N22" t="s">
        <v>9</v>
      </c>
      <c r="O22">
        <v>3.1300000000000097</v>
      </c>
      <c r="P22">
        <v>0.78000000000000114</v>
      </c>
      <c r="Q22">
        <f t="shared" si="8"/>
        <v>4.012820512820519</v>
      </c>
      <c r="R22">
        <f t="shared" si="9"/>
        <v>0.80051150895140688</v>
      </c>
      <c r="S22">
        <v>4</v>
      </c>
      <c r="T22" t="s">
        <v>11</v>
      </c>
      <c r="U22">
        <f t="shared" si="5"/>
        <v>0.31353135313532482</v>
      </c>
    </row>
    <row r="23" spans="1:21">
      <c r="A23">
        <v>2</v>
      </c>
      <c r="B23" t="s">
        <v>34</v>
      </c>
      <c r="C23" t="s">
        <v>41</v>
      </c>
      <c r="D23">
        <v>2</v>
      </c>
      <c r="E23" t="s">
        <v>8</v>
      </c>
      <c r="F23">
        <f>92.76-92.11</f>
        <v>0.65000000000000568</v>
      </c>
      <c r="G23">
        <f>77.86-77.8</f>
        <v>6.0000000000002274E-2</v>
      </c>
      <c r="H23">
        <f t="shared" si="6"/>
        <v>10.833333333333018</v>
      </c>
      <c r="I23">
        <f t="shared" si="7"/>
        <v>0.91549295774647665</v>
      </c>
      <c r="K23" t="s">
        <v>34</v>
      </c>
      <c r="L23" t="s">
        <v>41</v>
      </c>
      <c r="M23">
        <v>4</v>
      </c>
      <c r="N23" t="s">
        <v>11</v>
      </c>
      <c r="O23">
        <v>1.1400000000000006</v>
      </c>
      <c r="P23">
        <v>1.0099999999999909</v>
      </c>
      <c r="Q23">
        <f t="shared" si="8"/>
        <v>1.1287128712871395</v>
      </c>
      <c r="R23">
        <f t="shared" si="9"/>
        <v>0.53023255813953729</v>
      </c>
      <c r="S23">
        <v>2</v>
      </c>
      <c r="T23" t="s">
        <v>9</v>
      </c>
      <c r="U23">
        <f t="shared" si="5"/>
        <v>16.597783572359809</v>
      </c>
    </row>
    <row r="24" spans="1:21">
      <c r="A24">
        <v>2</v>
      </c>
      <c r="B24" t="s">
        <v>34</v>
      </c>
      <c r="C24" t="s">
        <v>41</v>
      </c>
      <c r="D24">
        <v>3</v>
      </c>
      <c r="E24" t="s">
        <v>10</v>
      </c>
      <c r="F24">
        <f>93.91-91.67</f>
        <v>2.2399999999999949</v>
      </c>
      <c r="G24">
        <f>74.97-74.33</f>
        <v>0.64000000000000057</v>
      </c>
      <c r="H24">
        <f t="shared" si="6"/>
        <v>3.4999999999999889</v>
      </c>
      <c r="I24">
        <f t="shared" si="7"/>
        <v>0.77777777777777724</v>
      </c>
      <c r="K24" t="s">
        <v>35</v>
      </c>
      <c r="L24" t="s">
        <v>41</v>
      </c>
      <c r="M24">
        <v>2</v>
      </c>
      <c r="N24" t="s">
        <v>9</v>
      </c>
      <c r="O24">
        <v>3.6899999999999977</v>
      </c>
      <c r="P24">
        <v>0.51999999999999602</v>
      </c>
      <c r="Q24">
        <f t="shared" si="8"/>
        <v>7.0961538461538964</v>
      </c>
      <c r="R24">
        <f t="shared" si="9"/>
        <v>0.87648456057007207</v>
      </c>
    </row>
    <row r="25" spans="1:21">
      <c r="A25">
        <v>2</v>
      </c>
      <c r="B25" t="s">
        <v>35</v>
      </c>
      <c r="C25" t="s">
        <v>41</v>
      </c>
      <c r="D25">
        <v>1</v>
      </c>
      <c r="E25" t="s">
        <v>10</v>
      </c>
      <c r="F25">
        <f>91.47-88.6</f>
        <v>2.8700000000000045</v>
      </c>
      <c r="G25">
        <f>77.02-76.19</f>
        <v>0.82999999999999829</v>
      </c>
      <c r="H25">
        <f t="shared" si="6"/>
        <v>3.4578313253012176</v>
      </c>
      <c r="I25">
        <f t="shared" si="7"/>
        <v>0.7756756756756763</v>
      </c>
    </row>
    <row r="26" spans="1:21">
      <c r="A26">
        <v>2</v>
      </c>
      <c r="B26" t="s">
        <v>35</v>
      </c>
      <c r="C26" t="s">
        <v>41</v>
      </c>
      <c r="D26">
        <v>3</v>
      </c>
      <c r="E26" t="s">
        <v>8</v>
      </c>
      <c r="F26">
        <f>93.9-92.51</f>
        <v>1.3900000000000006</v>
      </c>
      <c r="G26">
        <f>65.22-65.06</f>
        <v>0.15999999999999659</v>
      </c>
      <c r="H26">
        <f t="shared" si="6"/>
        <v>8.6875000000001883</v>
      </c>
      <c r="I26">
        <f t="shared" si="7"/>
        <v>0.89677419354838905</v>
      </c>
    </row>
    <row r="27" spans="1:21">
      <c r="U27">
        <f>AVERAGE(U18:U25)</f>
        <v>4.4003019356316271</v>
      </c>
    </row>
    <row r="28" spans="1:21">
      <c r="E28" t="s">
        <v>2</v>
      </c>
      <c r="F28">
        <f>AVERAGE(F19:F26)</f>
        <v>1.9725000000000024</v>
      </c>
      <c r="G28">
        <f>AVERAGE(G19:G26)</f>
        <v>0.56125000000000291</v>
      </c>
      <c r="H28">
        <f>AVERAGE(H19:H26)</f>
        <v>4.9886477805764304</v>
      </c>
      <c r="I28">
        <f>AVERAGE(I19:I26)</f>
        <v>0.78997221174845911</v>
      </c>
      <c r="O28">
        <f>AVERAGE(O19:O26)</f>
        <v>2.0633333333333335</v>
      </c>
      <c r="P28">
        <f>AVERAGE(P19:P26)</f>
        <v>0.67833333333332979</v>
      </c>
      <c r="Q28">
        <f>AVERAGE(Q19:Q26)</f>
        <v>3.3062984583217241</v>
      </c>
      <c r="R28">
        <f>AVERAGE(R19:R26)</f>
        <v>0.69190134770843692</v>
      </c>
      <c r="U28">
        <f>STDEV(U18:U25)/(SQRT(COUNT(U18:U25)))</f>
        <v>2.5776363019354038</v>
      </c>
    </row>
    <row r="29" spans="1:21">
      <c r="E29" t="s">
        <v>3</v>
      </c>
      <c r="F29">
        <f>STDEV(F19:F26)/(SQRT(COUNT(F19:F26)))</f>
        <v>0.2919500324174864</v>
      </c>
      <c r="G29">
        <f>STDEV(G19:G26)/(SQRT(COUNT(G19:G26)))</f>
        <v>0.10677809934626156</v>
      </c>
      <c r="H29">
        <f>STDEV(H19:H26)/(SQRT(COUNT(H19:H26)))</f>
        <v>1.1351379487797877</v>
      </c>
      <c r="I29">
        <f>STDEV(I19:I26)/(SQRT(COUNT(I19:I26)))</f>
        <v>3.6407851755252421E-2</v>
      </c>
      <c r="O29">
        <f>STDEV(O19:O26)/(SQRT(COUNT(O19:O26)))</f>
        <v>0.55187961650265027</v>
      </c>
      <c r="P29">
        <f>STDEV(P19:P26)/(SQRT(COUNT(P19:P26)))</f>
        <v>8.1584993173445156E-2</v>
      </c>
      <c r="Q29">
        <f>STDEV(Q19:Q26)/(SQRT(COUNT(Q19:Q26)))</f>
        <v>1.0110562007010042</v>
      </c>
      <c r="R29">
        <f>STDEV(R19:R26)/(SQRT(COUNT(R19:R26)))</f>
        <v>6.8044892328055356E-2</v>
      </c>
    </row>
    <row r="32" spans="1:21">
      <c r="B32" s="1" t="s">
        <v>29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B33" s="1" t="s">
        <v>21</v>
      </c>
      <c r="C33" s="1" t="s">
        <v>42</v>
      </c>
      <c r="D33" s="1" t="s">
        <v>14</v>
      </c>
      <c r="E33" s="1" t="s">
        <v>13</v>
      </c>
      <c r="F33" s="1" t="s">
        <v>0</v>
      </c>
      <c r="G33" s="1" t="s">
        <v>1</v>
      </c>
      <c r="H33" s="1" t="s">
        <v>17</v>
      </c>
      <c r="I33" s="1"/>
      <c r="J33" s="1"/>
      <c r="K33" s="1" t="s">
        <v>21</v>
      </c>
      <c r="L33" s="1" t="s">
        <v>42</v>
      </c>
      <c r="M33" s="1" t="s">
        <v>14</v>
      </c>
      <c r="N33" s="1" t="s">
        <v>13</v>
      </c>
      <c r="O33" s="1" t="s">
        <v>0</v>
      </c>
      <c r="P33" s="1" t="s">
        <v>1</v>
      </c>
      <c r="Q33" s="1" t="s">
        <v>17</v>
      </c>
      <c r="R33" s="1"/>
      <c r="S33" s="1"/>
      <c r="T33" s="1"/>
      <c r="U33" s="1"/>
    </row>
    <row r="34" spans="1:21">
      <c r="A34">
        <v>1</v>
      </c>
      <c r="B34" s="1" t="s">
        <v>30</v>
      </c>
      <c r="C34" s="1" t="s">
        <v>41</v>
      </c>
      <c r="D34" s="1">
        <v>2</v>
      </c>
      <c r="E34" s="1" t="s">
        <v>8</v>
      </c>
      <c r="F34" s="1">
        <v>0.06</v>
      </c>
      <c r="G34" s="1">
        <v>0.56000000000000005</v>
      </c>
      <c r="H34" s="1">
        <f t="shared" ref="H34:H41" si="10">F34/G34</f>
        <v>0.10714285714285712</v>
      </c>
      <c r="I34" s="1">
        <f t="shared" ref="I34:I41" si="11">F34/SUM(F34+G34)</f>
        <v>9.677419354838708E-2</v>
      </c>
      <c r="J34" s="1"/>
      <c r="K34" s="1" t="s">
        <v>30</v>
      </c>
      <c r="L34" s="1" t="s">
        <v>41</v>
      </c>
      <c r="M34" s="1">
        <v>1</v>
      </c>
      <c r="N34" s="1" t="s">
        <v>9</v>
      </c>
      <c r="O34" s="1">
        <v>0.79</v>
      </c>
      <c r="P34" s="1">
        <v>0.37</v>
      </c>
      <c r="Q34" s="1">
        <f t="shared" ref="Q34:Q40" si="12">O34/P34</f>
        <v>2.1351351351351351</v>
      </c>
      <c r="R34" s="1">
        <f t="shared" ref="R34:R40" si="13">O34/SUM(O34+P34)</f>
        <v>0.68103448275862066</v>
      </c>
      <c r="S34" s="1">
        <v>2</v>
      </c>
      <c r="T34" s="1" t="s">
        <v>8</v>
      </c>
      <c r="U34" s="1">
        <f t="shared" ref="U34:U41" si="14">H49/H34</f>
        <v>9.1827956989247337</v>
      </c>
    </row>
    <row r="35" spans="1:21">
      <c r="A35">
        <v>1</v>
      </c>
      <c r="B35" s="1" t="s">
        <v>30</v>
      </c>
      <c r="C35" s="1" t="s">
        <v>41</v>
      </c>
      <c r="D35" s="1">
        <v>4</v>
      </c>
      <c r="E35" s="1" t="s">
        <v>8</v>
      </c>
      <c r="F35" s="1">
        <v>0.36</v>
      </c>
      <c r="G35" s="1">
        <v>0.44</v>
      </c>
      <c r="H35" s="1">
        <f t="shared" si="10"/>
        <v>0.81818181818181812</v>
      </c>
      <c r="I35" s="1">
        <f t="shared" si="11"/>
        <v>0.44999999999999996</v>
      </c>
      <c r="J35" s="1"/>
      <c r="K35" s="1" t="s">
        <v>30</v>
      </c>
      <c r="L35" s="1" t="s">
        <v>41</v>
      </c>
      <c r="M35" s="1">
        <v>3</v>
      </c>
      <c r="N35" s="1" t="s">
        <v>9</v>
      </c>
      <c r="O35" s="1">
        <v>0.27</v>
      </c>
      <c r="P35" s="1">
        <v>0.91</v>
      </c>
      <c r="Q35" s="1">
        <f t="shared" si="12"/>
        <v>0.2967032967032967</v>
      </c>
      <c r="R35" s="1">
        <f t="shared" si="13"/>
        <v>0.22881355932203387</v>
      </c>
      <c r="S35" s="1">
        <v>4</v>
      </c>
      <c r="T35" s="1" t="s">
        <v>8</v>
      </c>
      <c r="U35" s="1">
        <f t="shared" si="14"/>
        <v>31.777777777777786</v>
      </c>
    </row>
    <row r="36" spans="1:21">
      <c r="A36">
        <v>1</v>
      </c>
      <c r="B36" s="1" t="s">
        <v>31</v>
      </c>
      <c r="C36" s="1" t="s">
        <v>41</v>
      </c>
      <c r="D36" s="1">
        <v>2</v>
      </c>
      <c r="E36" s="1" t="s">
        <v>8</v>
      </c>
      <c r="F36" s="1">
        <v>0.38</v>
      </c>
      <c r="G36" s="1">
        <v>0.61</v>
      </c>
      <c r="H36" s="1">
        <f t="shared" si="10"/>
        <v>0.62295081967213117</v>
      </c>
      <c r="I36" s="1">
        <f t="shared" si="11"/>
        <v>0.38383838383838387</v>
      </c>
      <c r="J36" s="1"/>
      <c r="K36" s="1" t="s">
        <v>31</v>
      </c>
      <c r="L36" s="1" t="s">
        <v>41</v>
      </c>
      <c r="M36" s="1">
        <v>1</v>
      </c>
      <c r="N36" s="1" t="s">
        <v>9</v>
      </c>
      <c r="O36" s="1">
        <v>1.39</v>
      </c>
      <c r="P36" s="1">
        <v>0.5</v>
      </c>
      <c r="Q36" s="1">
        <f t="shared" si="12"/>
        <v>2.78</v>
      </c>
      <c r="R36" s="1">
        <f t="shared" si="13"/>
        <v>0.73544973544973546</v>
      </c>
      <c r="S36" s="1">
        <v>2</v>
      </c>
      <c r="T36" s="1" t="s">
        <v>8</v>
      </c>
      <c r="U36" s="1">
        <f t="shared" si="14"/>
        <v>8.7142857142857135</v>
      </c>
    </row>
    <row r="37" spans="1:21">
      <c r="A37">
        <v>1</v>
      </c>
      <c r="B37" s="1" t="s">
        <v>31</v>
      </c>
      <c r="C37" s="1" t="s">
        <v>41</v>
      </c>
      <c r="D37" s="1">
        <v>4</v>
      </c>
      <c r="E37" s="1" t="s">
        <v>8</v>
      </c>
      <c r="F37" s="1">
        <v>1.05</v>
      </c>
      <c r="G37" s="1">
        <v>0.08</v>
      </c>
      <c r="H37" s="1">
        <f t="shared" si="10"/>
        <v>13.125</v>
      </c>
      <c r="I37" s="1">
        <f t="shared" si="11"/>
        <v>0.92920353982300874</v>
      </c>
      <c r="J37" s="1"/>
      <c r="K37" s="1" t="s">
        <v>31</v>
      </c>
      <c r="L37" s="1" t="s">
        <v>41</v>
      </c>
      <c r="M37" s="1">
        <v>3</v>
      </c>
      <c r="N37" s="1" t="s">
        <v>9</v>
      </c>
      <c r="O37" s="1">
        <v>0.2</v>
      </c>
      <c r="P37" s="1">
        <v>0.72</v>
      </c>
      <c r="Q37" s="1">
        <f t="shared" si="12"/>
        <v>0.27777777777777779</v>
      </c>
      <c r="R37" s="1">
        <f t="shared" si="13"/>
        <v>0.21739130434782611</v>
      </c>
      <c r="S37" s="1">
        <v>4</v>
      </c>
      <c r="T37" s="1" t="s">
        <v>8</v>
      </c>
      <c r="U37" s="1">
        <f t="shared" si="14"/>
        <v>0.29931972789115646</v>
      </c>
    </row>
    <row r="38" spans="1:21">
      <c r="A38">
        <v>1</v>
      </c>
      <c r="B38" s="1" t="s">
        <v>31</v>
      </c>
      <c r="C38" s="1" t="s">
        <v>41</v>
      </c>
      <c r="D38" s="1">
        <v>5</v>
      </c>
      <c r="E38" s="1" t="s">
        <v>8</v>
      </c>
      <c r="F38" s="1">
        <v>0.33</v>
      </c>
      <c r="G38" s="1">
        <v>0.03</v>
      </c>
      <c r="H38" s="1">
        <f t="shared" si="10"/>
        <v>11.000000000000002</v>
      </c>
      <c r="I38" s="1">
        <f t="shared" si="11"/>
        <v>0.91666666666666674</v>
      </c>
      <c r="J38" s="1"/>
      <c r="K38" s="1" t="s">
        <v>36</v>
      </c>
      <c r="L38" s="1" t="s">
        <v>43</v>
      </c>
      <c r="M38" s="1">
        <v>1</v>
      </c>
      <c r="N38" s="1" t="s">
        <v>9</v>
      </c>
      <c r="O38" s="1">
        <v>1.06</v>
      </c>
      <c r="P38" s="1">
        <v>0.41</v>
      </c>
      <c r="Q38" s="1">
        <f t="shared" si="12"/>
        <v>2.5853658536585367</v>
      </c>
      <c r="R38" s="1">
        <f t="shared" si="13"/>
        <v>0.72108843537414968</v>
      </c>
      <c r="S38" s="1">
        <v>5</v>
      </c>
      <c r="T38" s="1" t="s">
        <v>8</v>
      </c>
      <c r="U38" s="1">
        <f t="shared" si="14"/>
        <v>1.7316017316017313E-2</v>
      </c>
    </row>
    <row r="39" spans="1:21">
      <c r="A39">
        <v>1</v>
      </c>
      <c r="B39" s="1" t="s">
        <v>36</v>
      </c>
      <c r="C39" s="1" t="s">
        <v>43</v>
      </c>
      <c r="D39" s="1">
        <v>2</v>
      </c>
      <c r="E39" s="1" t="s">
        <v>8</v>
      </c>
      <c r="F39" s="1">
        <v>0.61</v>
      </c>
      <c r="G39" s="1">
        <v>0.44</v>
      </c>
      <c r="H39" s="1">
        <f t="shared" si="10"/>
        <v>1.3863636363636362</v>
      </c>
      <c r="I39" s="1">
        <f t="shared" si="11"/>
        <v>0.58095238095238089</v>
      </c>
      <c r="J39" s="1"/>
      <c r="K39" s="1" t="s">
        <v>36</v>
      </c>
      <c r="L39" s="1" t="s">
        <v>43</v>
      </c>
      <c r="M39" s="1">
        <v>3</v>
      </c>
      <c r="N39" s="1" t="s">
        <v>9</v>
      </c>
      <c r="O39" s="1">
        <v>1.7</v>
      </c>
      <c r="P39" s="1">
        <v>0.37</v>
      </c>
      <c r="Q39" s="1">
        <f t="shared" si="12"/>
        <v>4.5945945945945947</v>
      </c>
      <c r="R39" s="1">
        <f t="shared" si="13"/>
        <v>0.82125603864734309</v>
      </c>
      <c r="S39" s="1">
        <v>2</v>
      </c>
      <c r="T39" s="1" t="s">
        <v>8</v>
      </c>
      <c r="U39" s="1">
        <f t="shared" si="14"/>
        <v>3.6265938069216759</v>
      </c>
    </row>
    <row r="40" spans="1:21">
      <c r="A40">
        <v>1</v>
      </c>
      <c r="B40" s="1" t="s">
        <v>37</v>
      </c>
      <c r="C40" s="1" t="s">
        <v>43</v>
      </c>
      <c r="D40" s="1">
        <v>1</v>
      </c>
      <c r="E40" s="1" t="s">
        <v>8</v>
      </c>
      <c r="F40" s="1">
        <v>1.77</v>
      </c>
      <c r="G40" s="1">
        <v>0.65</v>
      </c>
      <c r="H40" s="1">
        <f t="shared" si="10"/>
        <v>2.7230769230769232</v>
      </c>
      <c r="I40" s="1">
        <f t="shared" si="11"/>
        <v>0.73140495867768596</v>
      </c>
      <c r="J40" s="1"/>
      <c r="K40" s="1" t="s">
        <v>37</v>
      </c>
      <c r="L40" s="1" t="s">
        <v>44</v>
      </c>
      <c r="M40" s="1">
        <v>2</v>
      </c>
      <c r="N40" s="1" t="s">
        <v>9</v>
      </c>
      <c r="O40" s="1">
        <v>0.49</v>
      </c>
      <c r="P40" s="1">
        <v>0.26</v>
      </c>
      <c r="Q40" s="1">
        <f t="shared" si="12"/>
        <v>1.8846153846153846</v>
      </c>
      <c r="R40" s="1">
        <f t="shared" si="13"/>
        <v>0.65333333333333332</v>
      </c>
      <c r="S40" s="1">
        <v>1</v>
      </c>
      <c r="T40" s="1" t="s">
        <v>8</v>
      </c>
      <c r="U40" s="1">
        <f t="shared" si="14"/>
        <v>0.30445699937225362</v>
      </c>
    </row>
    <row r="41" spans="1:21">
      <c r="A41">
        <v>1</v>
      </c>
      <c r="B41" s="1" t="s">
        <v>37</v>
      </c>
      <c r="C41" s="1" t="s">
        <v>43</v>
      </c>
      <c r="D41" s="1">
        <v>3</v>
      </c>
      <c r="E41" s="1" t="s">
        <v>8</v>
      </c>
      <c r="F41" s="1">
        <v>0.48</v>
      </c>
      <c r="G41" s="1">
        <v>0.38</v>
      </c>
      <c r="H41" s="1">
        <f t="shared" si="10"/>
        <v>1.263157894736842</v>
      </c>
      <c r="I41" s="1">
        <f t="shared" si="11"/>
        <v>0.55813953488372092</v>
      </c>
      <c r="J41" s="1"/>
      <c r="K41" s="1"/>
      <c r="L41" s="1"/>
      <c r="M41" s="1"/>
      <c r="N41" s="1"/>
      <c r="O41" s="1"/>
      <c r="P41" s="1"/>
      <c r="Q41" s="1"/>
      <c r="R41" s="1"/>
      <c r="S41" s="1">
        <v>3</v>
      </c>
      <c r="T41" s="1" t="s">
        <v>8</v>
      </c>
      <c r="U41" s="1">
        <f t="shared" si="14"/>
        <v>1.0657051282051284</v>
      </c>
    </row>
    <row r="42" spans="1:2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B43" s="1"/>
      <c r="C43" s="1"/>
      <c r="D43" s="1"/>
      <c r="E43" s="1" t="s">
        <v>2</v>
      </c>
      <c r="F43" s="1">
        <f>AVERAGE(F34:F41)</f>
        <v>0.63000000000000012</v>
      </c>
      <c r="G43" s="1">
        <f>AVERAGE(G34:G41)</f>
        <v>0.39874999999999999</v>
      </c>
      <c r="H43" s="1">
        <f>AVERAGE(H34:H41)</f>
        <v>3.8807342436467764</v>
      </c>
      <c r="I43" s="1">
        <f>AVERAGE(I34:I41)</f>
        <v>0.58087245729877923</v>
      </c>
      <c r="J43" s="1"/>
      <c r="K43" s="1"/>
      <c r="L43" s="1"/>
      <c r="M43" s="1"/>
      <c r="N43" s="1"/>
      <c r="O43" s="1">
        <f>AVERAGE(O34:O41)</f>
        <v>0.84285714285714286</v>
      </c>
      <c r="P43" s="1">
        <f>AVERAGE(P34:P41)</f>
        <v>0.50571428571428567</v>
      </c>
      <c r="Q43" s="1">
        <f>AVERAGE(Q34:Q41)</f>
        <v>2.0791702917835324</v>
      </c>
      <c r="R43" s="1">
        <f>AVERAGE(R34:R41)</f>
        <v>0.57976669846186313</v>
      </c>
      <c r="S43" s="1"/>
      <c r="T43" s="1"/>
      <c r="U43" s="1">
        <f>AVERAGE(U34:U41)</f>
        <v>6.8735313588368099</v>
      </c>
    </row>
    <row r="44" spans="1:21">
      <c r="B44" s="1"/>
      <c r="C44" s="1"/>
      <c r="D44" s="1"/>
      <c r="E44" s="1" t="s">
        <v>3</v>
      </c>
      <c r="F44" s="1">
        <f>STDEV(F34:F41)/(SQRT(COUNT(F34:F41)))</f>
        <v>0.19129259562998541</v>
      </c>
      <c r="G44" s="1">
        <f>STDEV(G34:G41)/(SQRT(COUNT(G34:G41)))</f>
        <v>8.1841255314349715E-2</v>
      </c>
      <c r="H44" s="1">
        <f>STDEV(H34:H41)/(SQRT(COUNT(H34:H41)))</f>
        <v>1.8165239940460951</v>
      </c>
      <c r="I44" s="1">
        <f>STDEV(I34:I41)/(SQRT(COUNT(I34:I41)))</f>
        <v>9.8883975605628865E-2</v>
      </c>
      <c r="J44" s="1"/>
      <c r="K44" s="1"/>
      <c r="L44" s="1"/>
      <c r="M44" s="1"/>
      <c r="N44" s="1"/>
      <c r="O44" s="1">
        <f>STDEV(O34:O41)/(SQRT(COUNT(O34:O41)))</f>
        <v>0.21546974470758931</v>
      </c>
      <c r="P44" s="1">
        <f>STDEV(P34:P41)/(SQRT(COUNT(P34:P41)))</f>
        <v>8.6708519459962927E-2</v>
      </c>
      <c r="Q44" s="1">
        <f>STDEV(Q34:Q41)/(SQRT(COUNT(Q34:Q41)))</f>
        <v>0.56774287656964506</v>
      </c>
      <c r="R44" s="1">
        <f>STDEV(R34:R41)/(SQRT(COUNT(R34:R41)))</f>
        <v>9.4198042238651705E-2</v>
      </c>
      <c r="S44" s="1"/>
      <c r="T44" s="1"/>
      <c r="U44" s="1">
        <f>STDEV(U34:U41)/(SQRT(COUNT(U34:U41)))</f>
        <v>3.7951959821266872</v>
      </c>
    </row>
    <row r="45" spans="1:2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7" spans="1:21">
      <c r="B47" s="1" t="s">
        <v>39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B48" s="1" t="s">
        <v>21</v>
      </c>
      <c r="C48" s="1" t="s">
        <v>42</v>
      </c>
      <c r="D48" s="1" t="s">
        <v>14</v>
      </c>
      <c r="E48" s="1" t="s">
        <v>13</v>
      </c>
      <c r="F48" s="1" t="s">
        <v>0</v>
      </c>
      <c r="G48" s="1" t="s">
        <v>1</v>
      </c>
      <c r="H48" s="1" t="s">
        <v>17</v>
      </c>
      <c r="I48" s="1"/>
      <c r="J48" s="1"/>
      <c r="K48" s="1" t="s">
        <v>21</v>
      </c>
      <c r="L48" s="1" t="s">
        <v>42</v>
      </c>
      <c r="M48" s="1" t="s">
        <v>14</v>
      </c>
      <c r="N48" s="1" t="s">
        <v>13</v>
      </c>
      <c r="O48" s="1" t="s">
        <v>0</v>
      </c>
      <c r="P48" s="1" t="s">
        <v>1</v>
      </c>
      <c r="Q48" s="1" t="s">
        <v>17</v>
      </c>
      <c r="R48" s="1"/>
      <c r="S48" s="1"/>
      <c r="T48" s="1"/>
      <c r="U48" s="1"/>
    </row>
    <row r="49" spans="1:21">
      <c r="A49">
        <v>2</v>
      </c>
      <c r="B49" s="1" t="s">
        <v>30</v>
      </c>
      <c r="C49" s="1" t="s">
        <v>41</v>
      </c>
      <c r="D49" s="1">
        <v>2</v>
      </c>
      <c r="E49" s="1" t="s">
        <v>8</v>
      </c>
      <c r="F49" s="1">
        <v>0.61</v>
      </c>
      <c r="G49" s="1">
        <v>0.62</v>
      </c>
      <c r="H49" s="1">
        <f t="shared" ref="H49:H56" si="15">F49/G49</f>
        <v>0.9838709677419355</v>
      </c>
      <c r="I49" s="1">
        <f t="shared" ref="I49:I56" si="16">F49/SUM(F49+G49)</f>
        <v>0.49593495934959347</v>
      </c>
      <c r="J49" s="1"/>
      <c r="K49" s="1" t="s">
        <v>30</v>
      </c>
      <c r="L49" s="1" t="s">
        <v>41</v>
      </c>
      <c r="M49" s="1">
        <v>1</v>
      </c>
      <c r="N49" s="1" t="s">
        <v>9</v>
      </c>
      <c r="O49" s="1">
        <v>0.71</v>
      </c>
      <c r="P49" s="1">
        <v>0.06</v>
      </c>
      <c r="Q49" s="1">
        <f t="shared" ref="Q49:Q55" si="17">O49/P49</f>
        <v>11.833333333333334</v>
      </c>
      <c r="R49" s="1">
        <f t="shared" ref="R49:R55" si="18">O49/SUM(O49+P49)</f>
        <v>0.92207792207792205</v>
      </c>
      <c r="S49" s="1">
        <v>1</v>
      </c>
      <c r="T49" s="1" t="s">
        <v>9</v>
      </c>
      <c r="U49" s="1">
        <f t="shared" ref="U49:U55" si="19">Q49/Q34</f>
        <v>5.542194092827005</v>
      </c>
    </row>
    <row r="50" spans="1:21">
      <c r="A50">
        <v>2</v>
      </c>
      <c r="B50" s="1" t="s">
        <v>30</v>
      </c>
      <c r="C50" s="1" t="s">
        <v>41</v>
      </c>
      <c r="D50" s="1">
        <v>4</v>
      </c>
      <c r="E50" s="1" t="s">
        <v>8</v>
      </c>
      <c r="F50" s="1">
        <v>0.78</v>
      </c>
      <c r="G50" s="1">
        <v>0.03</v>
      </c>
      <c r="H50" s="1">
        <f t="shared" si="15"/>
        <v>26.000000000000004</v>
      </c>
      <c r="I50" s="1">
        <f t="shared" si="16"/>
        <v>0.96296296296296291</v>
      </c>
      <c r="J50" s="1"/>
      <c r="K50" s="1" t="s">
        <v>30</v>
      </c>
      <c r="L50" s="1" t="s">
        <v>41</v>
      </c>
      <c r="M50" s="1">
        <v>3</v>
      </c>
      <c r="N50" s="1" t="s">
        <v>9</v>
      </c>
      <c r="O50" s="1">
        <v>0.89</v>
      </c>
      <c r="P50" s="1">
        <v>0.02</v>
      </c>
      <c r="Q50" s="1">
        <f t="shared" si="17"/>
        <v>44.5</v>
      </c>
      <c r="R50" s="1">
        <f t="shared" si="18"/>
        <v>0.97802197802197799</v>
      </c>
      <c r="S50" s="1">
        <v>3</v>
      </c>
      <c r="T50" s="1" t="s">
        <v>9</v>
      </c>
      <c r="U50" s="1">
        <f t="shared" si="19"/>
        <v>149.9814814814815</v>
      </c>
    </row>
    <row r="51" spans="1:21">
      <c r="A51">
        <v>2</v>
      </c>
      <c r="B51" s="1" t="s">
        <v>31</v>
      </c>
      <c r="C51" s="1" t="s">
        <v>41</v>
      </c>
      <c r="D51" s="1">
        <v>2</v>
      </c>
      <c r="E51" s="1" t="s">
        <v>8</v>
      </c>
      <c r="F51" s="1">
        <v>0.76</v>
      </c>
      <c r="G51" s="1">
        <v>0.14000000000000001</v>
      </c>
      <c r="H51" s="1">
        <f t="shared" si="15"/>
        <v>5.4285714285714279</v>
      </c>
      <c r="I51" s="1">
        <f t="shared" si="16"/>
        <v>0.84444444444444444</v>
      </c>
      <c r="J51" s="1"/>
      <c r="K51" s="1" t="s">
        <v>31</v>
      </c>
      <c r="L51" s="1" t="s">
        <v>41</v>
      </c>
      <c r="M51" s="1">
        <v>1</v>
      </c>
      <c r="N51" s="1" t="s">
        <v>9</v>
      </c>
      <c r="O51" s="1">
        <v>0.5</v>
      </c>
      <c r="P51" s="1">
        <v>0.85</v>
      </c>
      <c r="Q51" s="1">
        <f t="shared" si="17"/>
        <v>0.58823529411764708</v>
      </c>
      <c r="R51" s="1">
        <f t="shared" si="18"/>
        <v>0.37037037037037035</v>
      </c>
      <c r="S51" s="1">
        <v>1</v>
      </c>
      <c r="T51" s="1" t="s">
        <v>9</v>
      </c>
      <c r="U51" s="1">
        <f t="shared" si="19"/>
        <v>0.21159542953872199</v>
      </c>
    </row>
    <row r="52" spans="1:21">
      <c r="A52">
        <v>2</v>
      </c>
      <c r="B52" s="1" t="s">
        <v>31</v>
      </c>
      <c r="C52" s="1" t="s">
        <v>41</v>
      </c>
      <c r="D52" s="1">
        <v>4</v>
      </c>
      <c r="E52" s="1" t="s">
        <v>8</v>
      </c>
      <c r="F52" s="1">
        <v>0.55000000000000004</v>
      </c>
      <c r="G52" s="1">
        <v>0.14000000000000001</v>
      </c>
      <c r="H52" s="1">
        <f t="shared" si="15"/>
        <v>3.9285714285714284</v>
      </c>
      <c r="I52" s="1">
        <f t="shared" si="16"/>
        <v>0.79710144927536231</v>
      </c>
      <c r="J52" s="1"/>
      <c r="K52" s="1" t="s">
        <v>31</v>
      </c>
      <c r="L52" s="1" t="s">
        <v>41</v>
      </c>
      <c r="M52" s="1">
        <v>3</v>
      </c>
      <c r="N52" s="1" t="s">
        <v>9</v>
      </c>
      <c r="O52" s="1">
        <v>7.0000000000000007E-2</v>
      </c>
      <c r="P52" s="1">
        <v>0.93</v>
      </c>
      <c r="Q52" s="1">
        <f t="shared" si="17"/>
        <v>7.5268817204301078E-2</v>
      </c>
      <c r="R52" s="1">
        <f t="shared" si="18"/>
        <v>7.0000000000000007E-2</v>
      </c>
      <c r="S52" s="1">
        <v>3</v>
      </c>
      <c r="T52" s="1" t="s">
        <v>9</v>
      </c>
      <c r="U52" s="1">
        <f t="shared" si="19"/>
        <v>0.27096774193548384</v>
      </c>
    </row>
    <row r="53" spans="1:21">
      <c r="A53">
        <v>2</v>
      </c>
      <c r="B53" s="1" t="s">
        <v>31</v>
      </c>
      <c r="C53" s="1" t="s">
        <v>41</v>
      </c>
      <c r="D53" s="1">
        <v>5</v>
      </c>
      <c r="E53" s="1" t="s">
        <v>8</v>
      </c>
      <c r="F53" s="1">
        <v>0.12</v>
      </c>
      <c r="G53" s="1">
        <v>0.63</v>
      </c>
      <c r="H53" s="1">
        <f t="shared" si="15"/>
        <v>0.19047619047619047</v>
      </c>
      <c r="I53" s="1">
        <f t="shared" si="16"/>
        <v>0.16</v>
      </c>
      <c r="J53" s="1"/>
      <c r="K53" s="1" t="s">
        <v>36</v>
      </c>
      <c r="L53" s="1" t="s">
        <v>43</v>
      </c>
      <c r="M53" s="1">
        <v>1</v>
      </c>
      <c r="N53" s="1" t="s">
        <v>9</v>
      </c>
      <c r="O53" s="1">
        <v>2.21</v>
      </c>
      <c r="P53" s="1">
        <v>0.83</v>
      </c>
      <c r="Q53" s="1">
        <f t="shared" si="17"/>
        <v>2.6626506024096388</v>
      </c>
      <c r="R53" s="1">
        <f t="shared" si="18"/>
        <v>0.72697368421052633</v>
      </c>
      <c r="S53" s="1">
        <v>1</v>
      </c>
      <c r="T53" s="1" t="s">
        <v>9</v>
      </c>
      <c r="U53" s="1">
        <f t="shared" si="19"/>
        <v>1.0298931575358037</v>
      </c>
    </row>
    <row r="54" spans="1:21">
      <c r="A54">
        <v>2</v>
      </c>
      <c r="B54" s="1" t="s">
        <v>36</v>
      </c>
      <c r="C54" s="1" t="s">
        <v>43</v>
      </c>
      <c r="D54" s="1">
        <v>2</v>
      </c>
      <c r="E54" s="1" t="s">
        <v>8</v>
      </c>
      <c r="F54" s="1">
        <v>1.81</v>
      </c>
      <c r="G54" s="1">
        <v>0.36</v>
      </c>
      <c r="H54" s="1">
        <f t="shared" si="15"/>
        <v>5.0277777777777777</v>
      </c>
      <c r="I54" s="1">
        <f t="shared" si="16"/>
        <v>0.83410138248847931</v>
      </c>
      <c r="J54" s="1"/>
      <c r="K54" s="1" t="s">
        <v>36</v>
      </c>
      <c r="L54" s="1" t="s">
        <v>43</v>
      </c>
      <c r="M54" s="1">
        <v>3</v>
      </c>
      <c r="N54" s="1" t="s">
        <v>9</v>
      </c>
      <c r="O54" s="1">
        <v>1.1100000000000001</v>
      </c>
      <c r="P54" s="1">
        <v>1.01</v>
      </c>
      <c r="Q54" s="1">
        <f t="shared" si="17"/>
        <v>1.0990099009900991</v>
      </c>
      <c r="R54" s="1">
        <f t="shared" si="18"/>
        <v>0.52358490566037741</v>
      </c>
      <c r="S54" s="1">
        <v>3</v>
      </c>
      <c r="T54" s="1" t="s">
        <v>9</v>
      </c>
      <c r="U54" s="1">
        <f t="shared" si="19"/>
        <v>0.23919627256843332</v>
      </c>
    </row>
    <row r="55" spans="1:21">
      <c r="A55">
        <v>2</v>
      </c>
      <c r="B55" s="1" t="s">
        <v>37</v>
      </c>
      <c r="C55" s="1" t="s">
        <v>43</v>
      </c>
      <c r="D55" s="1">
        <v>1</v>
      </c>
      <c r="E55" s="1" t="s">
        <v>8</v>
      </c>
      <c r="F55" s="1">
        <v>0.97</v>
      </c>
      <c r="G55" s="1">
        <v>1.17</v>
      </c>
      <c r="H55" s="1">
        <f t="shared" si="15"/>
        <v>0.82905982905982911</v>
      </c>
      <c r="I55" s="1">
        <f t="shared" si="16"/>
        <v>0.45327102803738323</v>
      </c>
      <c r="J55" s="1"/>
      <c r="K55" s="1" t="s">
        <v>37</v>
      </c>
      <c r="L55" s="1" t="s">
        <v>44</v>
      </c>
      <c r="M55" s="1">
        <v>2</v>
      </c>
      <c r="N55" s="1" t="s">
        <v>9</v>
      </c>
      <c r="O55" s="1">
        <v>0.75</v>
      </c>
      <c r="P55" s="1">
        <v>0.1</v>
      </c>
      <c r="Q55" s="1">
        <f t="shared" si="17"/>
        <v>7.5</v>
      </c>
      <c r="R55" s="1">
        <f t="shared" si="18"/>
        <v>0.88235294117647056</v>
      </c>
      <c r="S55" s="1">
        <v>2</v>
      </c>
      <c r="T55" s="1" t="s">
        <v>9</v>
      </c>
      <c r="U55" s="1">
        <f t="shared" si="19"/>
        <v>3.9795918367346941</v>
      </c>
    </row>
    <row r="56" spans="1:21">
      <c r="A56">
        <v>2</v>
      </c>
      <c r="B56" s="1" t="s">
        <v>37</v>
      </c>
      <c r="C56" s="1" t="s">
        <v>43</v>
      </c>
      <c r="D56" s="1">
        <v>3</v>
      </c>
      <c r="E56" s="1" t="s">
        <v>8</v>
      </c>
      <c r="F56" s="1">
        <v>1.05</v>
      </c>
      <c r="G56" s="1">
        <v>0.78</v>
      </c>
      <c r="H56" s="1">
        <f t="shared" si="15"/>
        <v>1.3461538461538463</v>
      </c>
      <c r="I56" s="1">
        <f t="shared" si="16"/>
        <v>0.57377049180327866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B58" s="1"/>
      <c r="C58" s="1"/>
      <c r="D58" s="1"/>
      <c r="E58" s="1" t="s">
        <v>2</v>
      </c>
      <c r="F58" s="1">
        <f>AVERAGE(F49:F55)</f>
        <v>0.8</v>
      </c>
      <c r="G58" s="1">
        <f>AVERAGE(G49:G55)</f>
        <v>0.44142857142857139</v>
      </c>
      <c r="H58" s="1">
        <f>AVERAGE(H49:H55)</f>
        <v>6.0554753745997996</v>
      </c>
      <c r="I58" s="1">
        <f>AVERAGE(I49:I55)</f>
        <v>0.6496880323654608</v>
      </c>
      <c r="J58" s="1"/>
      <c r="K58" s="1"/>
      <c r="L58" s="1"/>
      <c r="M58" s="1"/>
      <c r="N58" s="1"/>
      <c r="O58" s="1">
        <f>AVERAGE(O49:O55)</f>
        <v>0.89142857142857146</v>
      </c>
      <c r="P58" s="1">
        <f>AVERAGE(P49:P55)</f>
        <v>0.54285714285714293</v>
      </c>
      <c r="Q58" s="1">
        <f>AVERAGE(Q49:Q55)</f>
        <v>9.7512139925792898</v>
      </c>
      <c r="R58" s="1">
        <f>AVERAGE(R49:R55)</f>
        <v>0.63905454307394927</v>
      </c>
      <c r="S58" s="1"/>
      <c r="T58" s="1"/>
      <c r="U58" s="1">
        <f>AVERAGE(U49:U55)</f>
        <v>23.036417144660238</v>
      </c>
    </row>
    <row r="59" spans="1:21">
      <c r="B59" s="1"/>
      <c r="C59" s="1"/>
      <c r="D59" s="1"/>
      <c r="E59" s="1" t="s">
        <v>3</v>
      </c>
      <c r="F59" s="1">
        <f>STDEV(F49:F55)/(SQRT(COUNT(F49:F55)))</f>
        <v>0.19591057240729082</v>
      </c>
      <c r="G59" s="1">
        <f>STDEV(G49:G55)/(SQRT(COUNT(G49:G55)))</f>
        <v>0.15086147179936094</v>
      </c>
      <c r="H59" s="1">
        <f>STDEV(H49:H55)/(SQRT(COUNT(H49:H55)))</f>
        <v>3.4198014422344771</v>
      </c>
      <c r="I59" s="1">
        <f>STDEV(I49:I55)/(SQRT(COUNT(I49:I55)))</f>
        <v>0.10843302271869983</v>
      </c>
      <c r="J59" s="1"/>
      <c r="K59" s="1"/>
      <c r="L59" s="1"/>
      <c r="M59" s="1"/>
      <c r="N59" s="1"/>
      <c r="O59" s="1">
        <f>STDEV(O49:O55)/(SQRT(COUNT(O49:O55)))</f>
        <v>0.25200556089318438</v>
      </c>
      <c r="P59" s="1">
        <f>STDEV(P49:P55)/(SQRT(COUNT(P49:P55)))</f>
        <v>0.17234674746145978</v>
      </c>
      <c r="Q59" s="1">
        <f>STDEV(Q49:Q55)/(SQRT(COUNT(Q49:Q55)))</f>
        <v>6.0150085591977547</v>
      </c>
      <c r="R59" s="1">
        <f>STDEV(R49:R55)/(SQRT(COUNT(R49:R55)))</f>
        <v>0.1264226222724745</v>
      </c>
      <c r="S59" s="1"/>
      <c r="T59" s="1"/>
      <c r="U59" s="1">
        <f>STDEV(U49:U55)/(SQRT(COUNT(U49:U55)))</f>
        <v>21.172476709614848</v>
      </c>
    </row>
    <row r="61" spans="1:21">
      <c r="B61" s="1" t="s">
        <v>38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B62" s="1" t="s">
        <v>21</v>
      </c>
      <c r="C62" s="1" t="s">
        <v>42</v>
      </c>
      <c r="D62" s="1" t="s">
        <v>14</v>
      </c>
      <c r="E62" s="1" t="s">
        <v>13</v>
      </c>
      <c r="F62" s="1" t="s">
        <v>0</v>
      </c>
      <c r="G62" s="1" t="s">
        <v>1</v>
      </c>
      <c r="H62" s="1" t="s">
        <v>17</v>
      </c>
      <c r="I62" s="1"/>
      <c r="J62" s="1"/>
      <c r="K62" s="1" t="s">
        <v>21</v>
      </c>
      <c r="L62" s="1" t="s">
        <v>42</v>
      </c>
      <c r="M62" s="1" t="s">
        <v>14</v>
      </c>
      <c r="N62" s="1" t="s">
        <v>13</v>
      </c>
      <c r="O62" s="1" t="s">
        <v>0</v>
      </c>
      <c r="P62" s="1" t="s">
        <v>1</v>
      </c>
      <c r="Q62" s="1" t="s">
        <v>17</v>
      </c>
      <c r="R62" s="1"/>
      <c r="S62" s="1"/>
      <c r="T62" s="1"/>
      <c r="U62" s="1"/>
    </row>
    <row r="63" spans="1:21">
      <c r="A63">
        <v>1</v>
      </c>
      <c r="B63" s="1" t="s">
        <v>25</v>
      </c>
      <c r="C63" s="1" t="s">
        <v>41</v>
      </c>
      <c r="D63" s="1">
        <v>1</v>
      </c>
      <c r="E63" s="1" t="s">
        <v>8</v>
      </c>
      <c r="F63" s="1">
        <v>1.0900000000000001</v>
      </c>
      <c r="G63" s="1">
        <v>0.19</v>
      </c>
      <c r="H63" s="1">
        <f t="shared" ref="H63:H69" si="20">F63/G63</f>
        <v>5.7368421052631584</v>
      </c>
      <c r="I63" s="1">
        <f t="shared" ref="I63:I69" si="21">F63/SUM(F63:G63)</f>
        <v>0.8515625</v>
      </c>
      <c r="J63" s="1"/>
      <c r="K63" s="1" t="s">
        <v>25</v>
      </c>
      <c r="L63" s="1" t="s">
        <v>41</v>
      </c>
      <c r="M63" s="1">
        <v>2</v>
      </c>
      <c r="N63" s="1" t="s">
        <v>9</v>
      </c>
      <c r="O63" s="1">
        <v>1.92</v>
      </c>
      <c r="P63" s="1">
        <v>0.53</v>
      </c>
      <c r="Q63" s="1">
        <f t="shared" ref="Q63:Q69" si="22">O63/P63</f>
        <v>3.6226415094339619</v>
      </c>
      <c r="R63" s="1">
        <f t="shared" ref="R63:R69" si="23">O63/SUM(O63+P63)</f>
        <v>0.78367346938775506</v>
      </c>
      <c r="S63" s="1">
        <v>1</v>
      </c>
      <c r="T63" s="1" t="s">
        <v>8</v>
      </c>
      <c r="U63" s="1">
        <f t="shared" ref="U63:U69" si="24">H78/H63</f>
        <v>0.31376146788990822</v>
      </c>
    </row>
    <row r="64" spans="1:21">
      <c r="A64">
        <v>1</v>
      </c>
      <c r="B64" s="1" t="s">
        <v>25</v>
      </c>
      <c r="C64" s="1" t="s">
        <v>41</v>
      </c>
      <c r="D64" s="1">
        <v>3</v>
      </c>
      <c r="E64" s="1" t="s">
        <v>8</v>
      </c>
      <c r="F64" s="1">
        <v>2.1800000000000002</v>
      </c>
      <c r="G64" s="1">
        <v>0.34</v>
      </c>
      <c r="H64" s="1">
        <f t="shared" si="20"/>
        <v>6.4117647058823533</v>
      </c>
      <c r="I64" s="1">
        <f t="shared" si="21"/>
        <v>0.86507936507936511</v>
      </c>
      <c r="J64" s="1"/>
      <c r="K64" s="1" t="s">
        <v>25</v>
      </c>
      <c r="L64" s="1" t="s">
        <v>41</v>
      </c>
      <c r="M64" s="1">
        <v>4</v>
      </c>
      <c r="N64" s="1" t="s">
        <v>9</v>
      </c>
      <c r="O64" s="1">
        <v>0.43</v>
      </c>
      <c r="P64" s="1">
        <v>0.49</v>
      </c>
      <c r="Q64" s="1">
        <f t="shared" si="22"/>
        <v>0.87755102040816324</v>
      </c>
      <c r="R64" s="1">
        <f t="shared" si="23"/>
        <v>0.46739130434782611</v>
      </c>
      <c r="S64" s="1">
        <v>3</v>
      </c>
      <c r="T64" s="1" t="s">
        <v>8</v>
      </c>
      <c r="U64" s="1">
        <f t="shared" si="24"/>
        <v>0.78381557280639846</v>
      </c>
    </row>
    <row r="65" spans="1:21">
      <c r="A65">
        <v>1</v>
      </c>
      <c r="B65" s="1" t="s">
        <v>26</v>
      </c>
      <c r="C65" s="1" t="s">
        <v>43</v>
      </c>
      <c r="D65" s="1">
        <v>1</v>
      </c>
      <c r="E65" s="1" t="s">
        <v>8</v>
      </c>
      <c r="F65" s="1">
        <v>1.52</v>
      </c>
      <c r="G65" s="1">
        <v>0.68</v>
      </c>
      <c r="H65" s="1">
        <f t="shared" si="20"/>
        <v>2.2352941176470589</v>
      </c>
      <c r="I65" s="1">
        <f t="shared" si="21"/>
        <v>0.69090909090909081</v>
      </c>
      <c r="J65" s="1"/>
      <c r="K65" s="1" t="s">
        <v>26</v>
      </c>
      <c r="L65" s="1" t="s">
        <v>43</v>
      </c>
      <c r="M65" s="1">
        <v>2</v>
      </c>
      <c r="N65" s="1" t="s">
        <v>9</v>
      </c>
      <c r="O65" s="1">
        <v>0.98</v>
      </c>
      <c r="P65" s="1">
        <v>0.36</v>
      </c>
      <c r="Q65" s="1">
        <f t="shared" si="22"/>
        <v>2.7222222222222223</v>
      </c>
      <c r="R65" s="1">
        <f t="shared" si="23"/>
        <v>0.73134328358208966</v>
      </c>
      <c r="S65" s="1">
        <v>1</v>
      </c>
      <c r="T65" s="1" t="s">
        <v>8</v>
      </c>
      <c r="U65" s="1">
        <f t="shared" si="24"/>
        <v>0.8867481203007519</v>
      </c>
    </row>
    <row r="66" spans="1:21">
      <c r="A66">
        <v>1</v>
      </c>
      <c r="B66" s="1" t="s">
        <v>26</v>
      </c>
      <c r="C66" s="1" t="s">
        <v>43</v>
      </c>
      <c r="D66" s="1">
        <v>3</v>
      </c>
      <c r="E66" s="1" t="s">
        <v>8</v>
      </c>
      <c r="F66" s="1">
        <v>1.86</v>
      </c>
      <c r="G66" s="1">
        <v>0.43</v>
      </c>
      <c r="H66" s="1">
        <f t="shared" si="20"/>
        <v>4.3255813953488378</v>
      </c>
      <c r="I66" s="1">
        <f t="shared" si="21"/>
        <v>0.81222707423580787</v>
      </c>
      <c r="J66" s="1"/>
      <c r="K66" s="1" t="s">
        <v>26</v>
      </c>
      <c r="L66" s="1" t="s">
        <v>43</v>
      </c>
      <c r="M66" s="1">
        <v>4</v>
      </c>
      <c r="N66" s="1" t="s">
        <v>9</v>
      </c>
      <c r="O66" s="1">
        <v>0.51</v>
      </c>
      <c r="P66" s="1">
        <v>1.1299999999999999</v>
      </c>
      <c r="Q66" s="1">
        <f t="shared" si="22"/>
        <v>0.45132743362831862</v>
      </c>
      <c r="R66" s="1">
        <f t="shared" si="23"/>
        <v>0.31097560975609756</v>
      </c>
      <c r="S66" s="1">
        <v>3</v>
      </c>
      <c r="T66" s="1" t="s">
        <v>8</v>
      </c>
      <c r="U66" s="1">
        <f t="shared" si="24"/>
        <v>0.81803143093465658</v>
      </c>
    </row>
    <row r="67" spans="1:21">
      <c r="A67">
        <v>1</v>
      </c>
      <c r="B67" s="1" t="s">
        <v>27</v>
      </c>
      <c r="C67" s="1" t="s">
        <v>43</v>
      </c>
      <c r="D67" s="1">
        <v>1</v>
      </c>
      <c r="E67" s="1" t="s">
        <v>8</v>
      </c>
      <c r="F67" s="1">
        <v>1.25</v>
      </c>
      <c r="G67" s="1">
        <v>0.17</v>
      </c>
      <c r="H67" s="1">
        <f t="shared" si="20"/>
        <v>7.3529411764705879</v>
      </c>
      <c r="I67" s="1">
        <f t="shared" si="21"/>
        <v>0.88028169014084512</v>
      </c>
      <c r="J67" s="1"/>
      <c r="K67" s="1" t="s">
        <v>27</v>
      </c>
      <c r="L67" s="1" t="s">
        <v>43</v>
      </c>
      <c r="M67" s="1">
        <v>2</v>
      </c>
      <c r="N67" s="1" t="s">
        <v>9</v>
      </c>
      <c r="O67" s="1">
        <v>1.1499999999999999</v>
      </c>
      <c r="P67" s="1">
        <v>0.03</v>
      </c>
      <c r="Q67" s="1">
        <f t="shared" si="22"/>
        <v>38.333333333333329</v>
      </c>
      <c r="R67" s="1">
        <f t="shared" si="23"/>
        <v>0.97457627118644063</v>
      </c>
      <c r="S67" s="1">
        <v>1</v>
      </c>
      <c r="T67" s="1" t="s">
        <v>8</v>
      </c>
      <c r="U67" s="1">
        <f t="shared" si="24"/>
        <v>0.19303225806451615</v>
      </c>
    </row>
    <row r="68" spans="1:21">
      <c r="A68">
        <v>1</v>
      </c>
      <c r="B68" s="1" t="s">
        <v>27</v>
      </c>
      <c r="C68" s="1" t="s">
        <v>43</v>
      </c>
      <c r="D68" s="1">
        <v>3</v>
      </c>
      <c r="E68" s="1" t="s">
        <v>8</v>
      </c>
      <c r="F68" s="1">
        <v>1.41</v>
      </c>
      <c r="G68" s="1">
        <v>0.19</v>
      </c>
      <c r="H68" s="1">
        <f t="shared" si="20"/>
        <v>7.4210526315789469</v>
      </c>
      <c r="I68" s="1">
        <f t="shared" si="21"/>
        <v>0.88124999999999998</v>
      </c>
      <c r="J68" s="1"/>
      <c r="K68" s="1" t="s">
        <v>27</v>
      </c>
      <c r="L68" s="1" t="s">
        <v>43</v>
      </c>
      <c r="M68" s="1">
        <v>4</v>
      </c>
      <c r="N68" s="1" t="s">
        <v>9</v>
      </c>
      <c r="O68" s="1">
        <v>1.44</v>
      </c>
      <c r="P68" s="1">
        <v>0.69</v>
      </c>
      <c r="Q68" s="1">
        <f t="shared" si="22"/>
        <v>2.0869565217391304</v>
      </c>
      <c r="R68" s="1">
        <f t="shared" si="23"/>
        <v>0.676056338028169</v>
      </c>
      <c r="S68" s="1">
        <v>3</v>
      </c>
      <c r="T68" s="1" t="s">
        <v>8</v>
      </c>
      <c r="U68" s="1">
        <f t="shared" si="24"/>
        <v>0.60256924929747091</v>
      </c>
    </row>
    <row r="69" spans="1:21">
      <c r="A69">
        <v>1</v>
      </c>
      <c r="B69" s="1" t="s">
        <v>28</v>
      </c>
      <c r="C69" s="1" t="s">
        <v>43</v>
      </c>
      <c r="D69" s="1">
        <v>1</v>
      </c>
      <c r="E69" s="1" t="s">
        <v>8</v>
      </c>
      <c r="F69" s="1">
        <v>0.69</v>
      </c>
      <c r="G69" s="1">
        <v>0.38</v>
      </c>
      <c r="H69" s="1">
        <f t="shared" si="20"/>
        <v>1.8157894736842104</v>
      </c>
      <c r="I69" s="1">
        <f t="shared" si="21"/>
        <v>0.64485981308411222</v>
      </c>
      <c r="J69" s="1"/>
      <c r="K69" s="1" t="s">
        <v>28</v>
      </c>
      <c r="L69" s="1" t="s">
        <v>43</v>
      </c>
      <c r="M69" s="1">
        <v>2</v>
      </c>
      <c r="N69" s="1" t="s">
        <v>9</v>
      </c>
      <c r="O69" s="1">
        <v>0.48</v>
      </c>
      <c r="P69" s="1">
        <v>0.33</v>
      </c>
      <c r="Q69" s="1">
        <f t="shared" si="22"/>
        <v>1.4545454545454544</v>
      </c>
      <c r="R69" s="1">
        <f t="shared" si="23"/>
        <v>0.59259259259259256</v>
      </c>
      <c r="S69" s="1">
        <v>1</v>
      </c>
      <c r="T69" s="1" t="s">
        <v>8</v>
      </c>
      <c r="U69" s="1">
        <f t="shared" si="24"/>
        <v>1.2157506152584086</v>
      </c>
    </row>
    <row r="70" spans="1:2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B72" s="1"/>
      <c r="C72" s="1"/>
      <c r="D72" s="1"/>
      <c r="E72" s="1" t="s">
        <v>2</v>
      </c>
      <c r="F72" s="1">
        <f>AVERAGE(F63:F69)</f>
        <v>1.4285714285714286</v>
      </c>
      <c r="G72" s="1">
        <f>AVERAGE(G63:G69)</f>
        <v>0.33999999999999997</v>
      </c>
      <c r="H72" s="1">
        <f>AVERAGE(H63:H69)</f>
        <v>5.0427522294107368</v>
      </c>
      <c r="I72" s="1">
        <f>AVERAGE(I63:I69)</f>
        <v>0.80373850477846009</v>
      </c>
      <c r="J72" s="1"/>
      <c r="K72" s="1"/>
      <c r="L72" s="1"/>
      <c r="M72" s="1"/>
      <c r="N72" s="1"/>
      <c r="O72" s="1">
        <f>AVERAGE(O63:O69)</f>
        <v>0.98714285714285721</v>
      </c>
      <c r="P72" s="1">
        <f>AVERAGE(P63:P69)</f>
        <v>0.50857142857142856</v>
      </c>
      <c r="Q72" s="1">
        <f>AVERAGE(Q63:Q69)</f>
        <v>7.0783682136157973</v>
      </c>
      <c r="R72" s="1">
        <f>AVERAGE(R63:R69)</f>
        <v>0.64808698126871001</v>
      </c>
      <c r="S72" s="1"/>
      <c r="T72" s="1"/>
      <c r="U72" s="1">
        <f>AVERAGE(U63:U69)</f>
        <v>0.68767267350744432</v>
      </c>
    </row>
    <row r="73" spans="1:21">
      <c r="B73" s="1"/>
      <c r="C73" s="1"/>
      <c r="D73" s="1"/>
      <c r="E73" s="1" t="s">
        <v>3</v>
      </c>
      <c r="F73" s="1">
        <f>STDEV(F63:F69)/(SQRT(COUNT(F63:F69)))</f>
        <v>0.18590100503620038</v>
      </c>
      <c r="G73" s="1">
        <f>STDEV(G63:G69)/(SQRT(COUNT(G63:G69)))</f>
        <v>6.8868404532536898E-2</v>
      </c>
      <c r="H73" s="1">
        <f>STDEV(H63:H69)/(SQRT(COUNT(H63:H69)))</f>
        <v>0.8750331336849011</v>
      </c>
      <c r="I73" s="1">
        <f>STDEV(I63:I69)/(SQRT(COUNT(I63:I69)))</f>
        <v>3.6502347575630471E-2</v>
      </c>
      <c r="J73" s="1"/>
      <c r="K73" s="1"/>
      <c r="L73" s="1"/>
      <c r="M73" s="1"/>
      <c r="N73" s="1"/>
      <c r="O73" s="1">
        <f>STDEV(O63:O69)/(SQRT(COUNT(O63:O69)))</f>
        <v>0.21253251051829894</v>
      </c>
      <c r="P73" s="1">
        <f>STDEV(P63:P69)/(SQRT(COUNT(P63:P69)))</f>
        <v>0.12936527412586374</v>
      </c>
      <c r="Q73" s="1">
        <f>STDEV(Q63:Q69)/(SQRT(COUNT(Q63:Q69)))</f>
        <v>5.2251686599653375</v>
      </c>
      <c r="R73" s="1">
        <f>STDEV(R63:R69)/(SQRT(COUNT(R63:R69)))</f>
        <v>8.1950548477118482E-2</v>
      </c>
      <c r="S73" s="1"/>
      <c r="T73" s="1"/>
      <c r="U73" s="1">
        <f>STDEV(U63:U69)/(SQRT(COUNT(U63:U69)))</f>
        <v>0.13241848632736128</v>
      </c>
    </row>
    <row r="76" spans="1:21">
      <c r="B76" s="1" t="s">
        <v>40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B77" s="1" t="s">
        <v>21</v>
      </c>
      <c r="C77" s="1" t="s">
        <v>42</v>
      </c>
      <c r="D77" s="1" t="s">
        <v>14</v>
      </c>
      <c r="E77" s="1" t="s">
        <v>13</v>
      </c>
      <c r="F77" s="1" t="s">
        <v>0</v>
      </c>
      <c r="G77" s="1" t="s">
        <v>1</v>
      </c>
      <c r="H77" s="1" t="s">
        <v>17</v>
      </c>
      <c r="I77" s="1"/>
      <c r="J77" s="1"/>
      <c r="K77" s="1" t="s">
        <v>21</v>
      </c>
      <c r="L77" s="1" t="s">
        <v>42</v>
      </c>
      <c r="M77" s="1" t="s">
        <v>14</v>
      </c>
      <c r="N77" s="1" t="s">
        <v>13</v>
      </c>
      <c r="O77" s="1" t="s">
        <v>0</v>
      </c>
      <c r="P77" s="1" t="s">
        <v>1</v>
      </c>
      <c r="Q77" s="1" t="s">
        <v>17</v>
      </c>
      <c r="R77" s="1"/>
      <c r="S77" s="1"/>
      <c r="T77" s="1"/>
      <c r="U77" s="1"/>
    </row>
    <row r="78" spans="1:21">
      <c r="A78">
        <v>2</v>
      </c>
      <c r="B78" s="1" t="s">
        <v>25</v>
      </c>
      <c r="C78" s="1" t="s">
        <v>41</v>
      </c>
      <c r="D78" s="1">
        <v>1</v>
      </c>
      <c r="E78" s="1" t="s">
        <v>8</v>
      </c>
      <c r="F78" s="1">
        <v>0.9</v>
      </c>
      <c r="G78" s="1">
        <v>0.5</v>
      </c>
      <c r="H78" s="1">
        <f t="shared" ref="H78:H84" si="25">F78/G78</f>
        <v>1.8</v>
      </c>
      <c r="I78" s="1">
        <f t="shared" ref="I78:I84" si="26">F78/SUM(F78+G78)</f>
        <v>0.6428571428571429</v>
      </c>
      <c r="J78" s="1"/>
      <c r="K78" s="1" t="s">
        <v>25</v>
      </c>
      <c r="L78" s="1" t="s">
        <v>41</v>
      </c>
      <c r="M78" s="1">
        <v>2</v>
      </c>
      <c r="N78" s="1" t="s">
        <v>9</v>
      </c>
      <c r="O78" s="1">
        <v>1.62</v>
      </c>
      <c r="P78" s="1">
        <v>0.15</v>
      </c>
      <c r="Q78" s="1">
        <f t="shared" ref="Q78:Q84" si="27">O78/P78</f>
        <v>10.8</v>
      </c>
      <c r="R78" s="1">
        <f t="shared" ref="R78:R84" si="28">O78/SUM(O78+P78)</f>
        <v>0.9152542372881356</v>
      </c>
      <c r="S78" s="1">
        <v>2</v>
      </c>
      <c r="T78" s="1" t="s">
        <v>9</v>
      </c>
      <c r="U78" s="1">
        <f t="shared" ref="U78:U84" si="29">Q78/Q63</f>
        <v>2.9812500000000006</v>
      </c>
    </row>
    <row r="79" spans="1:21">
      <c r="A79">
        <v>2</v>
      </c>
      <c r="B79" s="1" t="s">
        <v>25</v>
      </c>
      <c r="C79" s="1" t="s">
        <v>41</v>
      </c>
      <c r="D79" s="1">
        <v>3</v>
      </c>
      <c r="E79" s="1" t="s">
        <v>8</v>
      </c>
      <c r="F79" s="1">
        <v>1.96</v>
      </c>
      <c r="G79" s="1">
        <v>0.39</v>
      </c>
      <c r="H79" s="1">
        <f t="shared" si="25"/>
        <v>5.0256410256410255</v>
      </c>
      <c r="I79" s="1">
        <f t="shared" si="26"/>
        <v>0.83404255319148934</v>
      </c>
      <c r="J79" s="1"/>
      <c r="K79" s="1" t="s">
        <v>25</v>
      </c>
      <c r="L79" s="1" t="s">
        <v>41</v>
      </c>
      <c r="M79" s="1">
        <v>4</v>
      </c>
      <c r="N79" s="1" t="s">
        <v>9</v>
      </c>
      <c r="O79">
        <v>1.26</v>
      </c>
      <c r="P79">
        <v>0.62</v>
      </c>
      <c r="Q79" s="1">
        <f t="shared" si="27"/>
        <v>2.032258064516129</v>
      </c>
      <c r="R79" s="1">
        <f t="shared" si="28"/>
        <v>0.67021276595744683</v>
      </c>
      <c r="S79" s="1">
        <v>4</v>
      </c>
      <c r="T79" s="1" t="s">
        <v>9</v>
      </c>
      <c r="U79" s="1">
        <f t="shared" si="29"/>
        <v>2.3158289572393098</v>
      </c>
    </row>
    <row r="80" spans="1:21">
      <c r="A80">
        <v>2</v>
      </c>
      <c r="B80" s="1" t="s">
        <v>26</v>
      </c>
      <c r="C80" s="1" t="s">
        <v>43</v>
      </c>
      <c r="D80" s="1">
        <v>1</v>
      </c>
      <c r="E80" s="1" t="s">
        <v>8</v>
      </c>
      <c r="F80" s="1">
        <v>1.1100000000000001</v>
      </c>
      <c r="G80" s="1">
        <v>0.56000000000000005</v>
      </c>
      <c r="H80" s="1">
        <f t="shared" si="25"/>
        <v>1.9821428571428572</v>
      </c>
      <c r="I80" s="1">
        <f t="shared" si="26"/>
        <v>0.66467065868263475</v>
      </c>
      <c r="J80" s="1"/>
      <c r="K80" s="1" t="s">
        <v>26</v>
      </c>
      <c r="L80" s="1" t="s">
        <v>43</v>
      </c>
      <c r="M80" s="1">
        <v>2</v>
      </c>
      <c r="N80" s="1" t="s">
        <v>9</v>
      </c>
      <c r="O80" s="1">
        <v>1.92</v>
      </c>
      <c r="P80" s="1">
        <v>0.12</v>
      </c>
      <c r="Q80" s="1">
        <f t="shared" si="27"/>
        <v>16</v>
      </c>
      <c r="R80" s="1">
        <f t="shared" si="28"/>
        <v>0.94117647058823528</v>
      </c>
      <c r="S80" s="1">
        <v>2</v>
      </c>
      <c r="T80" s="1" t="s">
        <v>9</v>
      </c>
      <c r="U80" s="1">
        <f t="shared" si="29"/>
        <v>5.8775510204081627</v>
      </c>
    </row>
    <row r="81" spans="1:21">
      <c r="A81">
        <v>2</v>
      </c>
      <c r="B81" s="1" t="s">
        <v>26</v>
      </c>
      <c r="C81" s="1" t="s">
        <v>43</v>
      </c>
      <c r="D81" s="1">
        <v>3</v>
      </c>
      <c r="E81" s="1" t="s">
        <v>8</v>
      </c>
      <c r="F81" s="1">
        <v>0.92</v>
      </c>
      <c r="G81" s="1">
        <v>0.26</v>
      </c>
      <c r="H81" s="1">
        <f t="shared" si="25"/>
        <v>3.5384615384615383</v>
      </c>
      <c r="I81" s="1">
        <f t="shared" si="26"/>
        <v>0.77966101694915246</v>
      </c>
      <c r="J81" s="1"/>
      <c r="K81" s="1" t="s">
        <v>26</v>
      </c>
      <c r="L81" s="1" t="s">
        <v>43</v>
      </c>
      <c r="M81" s="1">
        <v>4</v>
      </c>
      <c r="N81" s="1" t="s">
        <v>9</v>
      </c>
      <c r="O81" s="1">
        <v>0.93</v>
      </c>
      <c r="P81" s="1">
        <v>0.36</v>
      </c>
      <c r="Q81" s="1">
        <f t="shared" si="27"/>
        <v>2.5833333333333335</v>
      </c>
      <c r="R81" s="1">
        <f t="shared" si="28"/>
        <v>0.72093023255813959</v>
      </c>
      <c r="S81" s="1">
        <v>4</v>
      </c>
      <c r="T81" s="1" t="s">
        <v>9</v>
      </c>
      <c r="U81" s="1">
        <f t="shared" si="29"/>
        <v>5.7238562091503269</v>
      </c>
    </row>
    <row r="82" spans="1:21">
      <c r="A82">
        <v>2</v>
      </c>
      <c r="B82" s="1" t="s">
        <v>27</v>
      </c>
      <c r="C82" s="1" t="s">
        <v>43</v>
      </c>
      <c r="D82" s="1">
        <v>1</v>
      </c>
      <c r="E82" s="1" t="s">
        <v>8</v>
      </c>
      <c r="F82" s="1">
        <v>0.88</v>
      </c>
      <c r="G82" s="1">
        <v>0.62</v>
      </c>
      <c r="H82" s="1">
        <f t="shared" si="25"/>
        <v>1.4193548387096775</v>
      </c>
      <c r="I82" s="1">
        <f t="shared" si="26"/>
        <v>0.58666666666666667</v>
      </c>
      <c r="J82" s="1"/>
      <c r="K82" s="1" t="s">
        <v>27</v>
      </c>
      <c r="L82" s="1" t="s">
        <v>43</v>
      </c>
      <c r="M82" s="1">
        <v>2</v>
      </c>
      <c r="N82" s="1" t="s">
        <v>9</v>
      </c>
      <c r="O82" s="1">
        <v>1.28</v>
      </c>
      <c r="P82" s="1">
        <v>0.08</v>
      </c>
      <c r="Q82" s="1">
        <f t="shared" si="27"/>
        <v>16</v>
      </c>
      <c r="R82" s="1">
        <f t="shared" si="28"/>
        <v>0.94117647058823528</v>
      </c>
      <c r="S82" s="1">
        <v>2</v>
      </c>
      <c r="T82" s="1" t="s">
        <v>9</v>
      </c>
      <c r="U82" s="1">
        <f t="shared" si="29"/>
        <v>0.41739130434782612</v>
      </c>
    </row>
    <row r="83" spans="1:21">
      <c r="A83">
        <v>2</v>
      </c>
      <c r="B83" s="1" t="s">
        <v>27</v>
      </c>
      <c r="C83" s="1" t="s">
        <v>43</v>
      </c>
      <c r="D83" s="1">
        <v>3</v>
      </c>
      <c r="E83" s="1" t="s">
        <v>8</v>
      </c>
      <c r="F83" s="1">
        <v>2.37</v>
      </c>
      <c r="G83" s="1">
        <v>0.53</v>
      </c>
      <c r="H83" s="1">
        <f t="shared" si="25"/>
        <v>4.4716981132075473</v>
      </c>
      <c r="I83" s="1">
        <f t="shared" si="26"/>
        <v>0.8172413793103448</v>
      </c>
      <c r="J83" s="1"/>
      <c r="K83" s="1" t="s">
        <v>27</v>
      </c>
      <c r="L83" s="1" t="s">
        <v>43</v>
      </c>
      <c r="M83" s="1">
        <v>4</v>
      </c>
      <c r="N83" s="1" t="s">
        <v>9</v>
      </c>
      <c r="O83" s="1">
        <v>1.75</v>
      </c>
      <c r="P83" s="1">
        <v>0.75</v>
      </c>
      <c r="Q83" s="1">
        <f t="shared" si="27"/>
        <v>2.3333333333333335</v>
      </c>
      <c r="R83" s="1">
        <f t="shared" si="28"/>
        <v>0.7</v>
      </c>
      <c r="S83" s="1">
        <v>4</v>
      </c>
      <c r="T83" s="1" t="s">
        <v>9</v>
      </c>
      <c r="U83" s="1">
        <f t="shared" si="29"/>
        <v>1.1180555555555556</v>
      </c>
    </row>
    <row r="84" spans="1:21">
      <c r="A84">
        <v>2</v>
      </c>
      <c r="B84" s="1" t="s">
        <v>28</v>
      </c>
      <c r="C84" s="1" t="s">
        <v>43</v>
      </c>
      <c r="D84" s="1">
        <v>1</v>
      </c>
      <c r="E84" s="1" t="s">
        <v>8</v>
      </c>
      <c r="F84" s="1">
        <v>1.17</v>
      </c>
      <c r="G84" s="1">
        <v>0.53</v>
      </c>
      <c r="H84" s="1">
        <f t="shared" si="25"/>
        <v>2.2075471698113205</v>
      </c>
      <c r="I84" s="1">
        <f t="shared" si="26"/>
        <v>0.68823529411764706</v>
      </c>
      <c r="J84" s="1"/>
      <c r="K84" s="1" t="s">
        <v>28</v>
      </c>
      <c r="L84" s="1" t="s">
        <v>43</v>
      </c>
      <c r="M84" s="1">
        <v>2</v>
      </c>
      <c r="N84" s="1" t="s">
        <v>9</v>
      </c>
      <c r="O84" s="1">
        <v>1.62</v>
      </c>
      <c r="P84" s="1">
        <v>0.17</v>
      </c>
      <c r="Q84" s="1">
        <f t="shared" si="27"/>
        <v>9.5294117647058822</v>
      </c>
      <c r="R84" s="1">
        <f t="shared" si="28"/>
        <v>0.9050279329608939</v>
      </c>
      <c r="S84" s="1">
        <v>2</v>
      </c>
      <c r="T84" s="1" t="s">
        <v>9</v>
      </c>
      <c r="U84" s="1">
        <f t="shared" si="29"/>
        <v>6.5514705882352953</v>
      </c>
    </row>
    <row r="85" spans="1:2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>
      <c r="B87" s="1"/>
      <c r="C87" s="1"/>
      <c r="D87" s="1"/>
      <c r="E87" s="1" t="s">
        <v>2</v>
      </c>
      <c r="F87" s="1">
        <f>AVERAGE(F78:F84)</f>
        <v>1.33</v>
      </c>
      <c r="G87" s="1">
        <f>AVERAGE(G78:G84)</f>
        <v>0.48428571428571437</v>
      </c>
      <c r="H87" s="1">
        <f>AVERAGE(H78:H84)</f>
        <v>2.920692220424852</v>
      </c>
      <c r="I87" s="1">
        <f>AVERAGE(I78:I84)</f>
        <v>0.71619638739643976</v>
      </c>
      <c r="J87" s="1"/>
      <c r="K87" s="1"/>
      <c r="L87" s="1"/>
      <c r="M87" s="1"/>
      <c r="N87" s="1"/>
      <c r="O87" s="1">
        <f>AVERAGE(O78:O84)</f>
        <v>1.4828571428571427</v>
      </c>
      <c r="P87" s="1">
        <f>AVERAGE(P78:P84)</f>
        <v>0.32142857142857145</v>
      </c>
      <c r="Q87" s="1">
        <f>AVERAGE(Q78:Q84)</f>
        <v>8.4683337851269549</v>
      </c>
      <c r="R87" s="1">
        <f>AVERAGE(R78:R84)</f>
        <v>0.82768258713444087</v>
      </c>
      <c r="S87" s="1"/>
      <c r="T87" s="1"/>
      <c r="U87" s="1">
        <f>AVERAGE(U78:U84)</f>
        <v>3.5693433764194973</v>
      </c>
    </row>
    <row r="88" spans="1:21">
      <c r="B88" s="1"/>
      <c r="C88" s="1"/>
      <c r="D88" s="1"/>
      <c r="E88" s="1" t="s">
        <v>3</v>
      </c>
      <c r="F88" s="1">
        <f>STDEV(F78:F84)/(SQRT(COUNT(F78:F84)))</f>
        <v>0.22403231059486978</v>
      </c>
      <c r="G88" s="1">
        <f>STDEV(G78:G84)/(SQRT(COUNT(G78:G84)))</f>
        <v>4.5714285714285492E-2</v>
      </c>
      <c r="H88" s="1">
        <f>STDEV(H78:H84)/(SQRT(COUNT(H78:H84)))</f>
        <v>0.53713267491824723</v>
      </c>
      <c r="I88" s="1">
        <f>STDEV(I78:I84)/(SQRT(COUNT(I78:I84)))</f>
        <v>3.5763404142629338E-2</v>
      </c>
      <c r="J88" s="1"/>
      <c r="K88" s="1"/>
      <c r="L88" s="1"/>
      <c r="M88" s="1"/>
      <c r="N88" s="1"/>
      <c r="O88" s="1">
        <f>STDEV(O78:O84)/(SQRT(COUNT(O78:O84)))</f>
        <v>0.12878025369402221</v>
      </c>
      <c r="P88" s="1">
        <f>STDEV(P78:P84)/(SQRT(COUNT(P78:P84)))</f>
        <v>0.10065094259319164</v>
      </c>
      <c r="Q88" s="1">
        <f>STDEV(Q78:Q84)/(SQRT(COUNT(Q78:Q84)))</f>
        <v>2.3589196341879073</v>
      </c>
      <c r="R88" s="1">
        <f>STDEV(R78:R84)/(SQRT(COUNT(R78:R84)))</f>
        <v>4.6779236450370451E-2</v>
      </c>
      <c r="S88" s="1"/>
      <c r="T88" s="1"/>
      <c r="U88" s="1">
        <f>STDEV(U78:U84)/(SQRT(COUNT(U78:U84)))</f>
        <v>0.93507826060882748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workbookViewId="0">
      <selection activeCell="J6" sqref="J6"/>
    </sheetView>
  </sheetViews>
  <sheetFormatPr baseColWidth="10" defaultRowHeight="15" x14ac:dyDescent="0"/>
  <sheetData>
    <row r="1" spans="1:23">
      <c r="B1" t="s">
        <v>46</v>
      </c>
    </row>
    <row r="2" spans="1:23">
      <c r="D2" t="s">
        <v>45</v>
      </c>
      <c r="O2" t="s">
        <v>22</v>
      </c>
    </row>
    <row r="3" spans="1:23">
      <c r="A3" t="s">
        <v>51</v>
      </c>
      <c r="B3" t="s">
        <v>21</v>
      </c>
      <c r="C3" t="s">
        <v>42</v>
      </c>
      <c r="D3" t="s">
        <v>14</v>
      </c>
      <c r="E3" t="s">
        <v>13</v>
      </c>
      <c r="F3" t="s">
        <v>0</v>
      </c>
      <c r="G3" t="s">
        <v>1</v>
      </c>
      <c r="H3" t="s">
        <v>17</v>
      </c>
      <c r="I3" t="s">
        <v>24</v>
      </c>
      <c r="J3" t="s">
        <v>48</v>
      </c>
      <c r="L3" t="s">
        <v>51</v>
      </c>
      <c r="M3" t="s">
        <v>21</v>
      </c>
      <c r="N3" t="s">
        <v>42</v>
      </c>
      <c r="O3" t="s">
        <v>14</v>
      </c>
      <c r="P3" t="s">
        <v>13</v>
      </c>
      <c r="Q3" t="s">
        <v>0</v>
      </c>
      <c r="R3" t="s">
        <v>1</v>
      </c>
      <c r="S3" t="s">
        <v>17</v>
      </c>
      <c r="T3" t="s">
        <v>24</v>
      </c>
      <c r="U3" t="s">
        <v>49</v>
      </c>
    </row>
    <row r="4" spans="1:23">
      <c r="A4">
        <v>1</v>
      </c>
      <c r="B4" t="s">
        <v>32</v>
      </c>
      <c r="C4" s="1" t="s">
        <v>19</v>
      </c>
      <c r="D4">
        <v>1</v>
      </c>
      <c r="E4" t="s">
        <v>8</v>
      </c>
      <c r="F4">
        <f>84.19-82.2</f>
        <v>1.9899999999999949</v>
      </c>
      <c r="G4">
        <f>74.23-72.73</f>
        <v>1.5</v>
      </c>
      <c r="H4">
        <f>F4/G4</f>
        <v>1.3266666666666633</v>
      </c>
      <c r="I4">
        <f>F4/SUM(F4:G4)</f>
        <v>0.57020057306590199</v>
      </c>
      <c r="J4">
        <f>H34/H4</f>
        <v>1.1263212614798097</v>
      </c>
      <c r="L4">
        <v>1</v>
      </c>
      <c r="M4" t="s">
        <v>32</v>
      </c>
      <c r="N4" s="1" t="s">
        <v>19</v>
      </c>
      <c r="O4">
        <v>2</v>
      </c>
      <c r="P4" t="s">
        <v>9</v>
      </c>
      <c r="Q4">
        <v>1.3900000000000006</v>
      </c>
      <c r="R4">
        <v>0.15000000000000568</v>
      </c>
      <c r="S4">
        <f>Q4/R4</f>
        <v>9.2666666666663193</v>
      </c>
      <c r="T4">
        <f t="shared" ref="T4:T9" si="0">Q4/SUM(Q4:R4)</f>
        <v>0.90259740259739929</v>
      </c>
      <c r="U4">
        <f>S34/S4</f>
        <v>0.53776978417268706</v>
      </c>
    </row>
    <row r="5" spans="1:23">
      <c r="A5">
        <v>1</v>
      </c>
      <c r="B5" t="s">
        <v>32</v>
      </c>
      <c r="C5" s="1" t="s">
        <v>19</v>
      </c>
      <c r="D5">
        <v>3</v>
      </c>
      <c r="E5" t="s">
        <v>8</v>
      </c>
      <c r="F5">
        <f>78.76-77.23</f>
        <v>1.5300000000000011</v>
      </c>
      <c r="G5">
        <f>83.97-83.52</f>
        <v>0.45000000000000284</v>
      </c>
      <c r="H5">
        <f t="shared" ref="H5:H11" si="1">F5/G5</f>
        <v>3.3999999999999813</v>
      </c>
      <c r="I5">
        <f t="shared" ref="I5:I11" si="2">F5/SUM(F5:G5)</f>
        <v>0.77272727272727171</v>
      </c>
      <c r="J5">
        <f t="shared" ref="J4:J18" si="3">H35/H5</f>
        <v>1.2280701754385925</v>
      </c>
      <c r="L5">
        <v>1</v>
      </c>
      <c r="M5" t="s">
        <v>32</v>
      </c>
      <c r="N5" s="1" t="s">
        <v>19</v>
      </c>
      <c r="O5">
        <v>4</v>
      </c>
      <c r="P5" t="s">
        <v>9</v>
      </c>
      <c r="Q5">
        <v>0.29999999999999716</v>
      </c>
      <c r="R5">
        <v>0.90000000000000568</v>
      </c>
      <c r="S5">
        <f t="shared" ref="S5:S9" si="4">Q5/R5</f>
        <v>0.3333333333333281</v>
      </c>
      <c r="T5">
        <f t="shared" si="0"/>
        <v>0.24999999999999703</v>
      </c>
      <c r="U5">
        <f t="shared" ref="U5:U29" si="5">S35/S5</f>
        <v>2.8285714285714469</v>
      </c>
    </row>
    <row r="6" spans="1:23">
      <c r="A6">
        <v>1</v>
      </c>
      <c r="B6" t="s">
        <v>33</v>
      </c>
      <c r="C6" s="1" t="s">
        <v>19</v>
      </c>
      <c r="D6">
        <v>1</v>
      </c>
      <c r="E6" t="s">
        <v>8</v>
      </c>
      <c r="F6">
        <f>87.9-85.27</f>
        <v>2.6300000000000097</v>
      </c>
      <c r="G6">
        <f>81.68-81.49</f>
        <v>0.19000000000001194</v>
      </c>
      <c r="H6">
        <f t="shared" si="1"/>
        <v>13.842105263157077</v>
      </c>
      <c r="I6">
        <f t="shared" si="2"/>
        <v>0.9326241134751736</v>
      </c>
      <c r="J6">
        <f t="shared" si="3"/>
        <v>0.38783269961979</v>
      </c>
      <c r="L6">
        <v>1</v>
      </c>
      <c r="M6" t="s">
        <v>33</v>
      </c>
      <c r="N6" s="1" t="s">
        <v>19</v>
      </c>
      <c r="O6">
        <v>2</v>
      </c>
      <c r="P6" t="s">
        <v>9</v>
      </c>
      <c r="Q6">
        <v>1.1799999999999926</v>
      </c>
      <c r="R6">
        <v>0.37000000000000455</v>
      </c>
      <c r="S6">
        <f t="shared" si="4"/>
        <v>3.18918918918913</v>
      </c>
      <c r="T6">
        <f t="shared" si="0"/>
        <v>0.76129032258064178</v>
      </c>
      <c r="U6">
        <f t="shared" si="5"/>
        <v>0.52487103905675703</v>
      </c>
    </row>
    <row r="7" spans="1:23">
      <c r="A7">
        <v>1</v>
      </c>
      <c r="B7" t="s">
        <v>33</v>
      </c>
      <c r="C7" s="1" t="s">
        <v>19</v>
      </c>
      <c r="D7">
        <v>3</v>
      </c>
      <c r="E7" t="s">
        <v>8</v>
      </c>
      <c r="F7">
        <f>77.67-77.17</f>
        <v>0.5</v>
      </c>
      <c r="G7">
        <f>71.48-70.76</f>
        <v>0.71999999999999886</v>
      </c>
      <c r="H7">
        <f t="shared" si="1"/>
        <v>0.69444444444444553</v>
      </c>
      <c r="I7">
        <f t="shared" si="2"/>
        <v>0.40983606557377089</v>
      </c>
      <c r="J7">
        <f t="shared" si="3"/>
        <v>3.4450632911392085</v>
      </c>
      <c r="L7">
        <v>1</v>
      </c>
      <c r="M7" t="s">
        <v>34</v>
      </c>
      <c r="N7" s="1" t="s">
        <v>19</v>
      </c>
      <c r="O7">
        <v>1</v>
      </c>
      <c r="P7" t="s">
        <v>9</v>
      </c>
      <c r="Q7">
        <v>0.43000000000000682</v>
      </c>
      <c r="R7">
        <v>0.60000000000000853</v>
      </c>
      <c r="S7">
        <f t="shared" si="4"/>
        <v>0.7166666666666679</v>
      </c>
      <c r="T7">
        <f t="shared" si="0"/>
        <v>0.41747572815534023</v>
      </c>
      <c r="U7">
        <f t="shared" si="5"/>
        <v>5.599284436493738</v>
      </c>
    </row>
    <row r="8" spans="1:23">
      <c r="A8">
        <v>1</v>
      </c>
      <c r="B8" t="s">
        <v>34</v>
      </c>
      <c r="C8" s="1" t="s">
        <v>19</v>
      </c>
      <c r="D8">
        <v>2</v>
      </c>
      <c r="E8" t="s">
        <v>8</v>
      </c>
      <c r="F8">
        <f>79.24-77.07</f>
        <v>2.1700000000000017</v>
      </c>
      <c r="G8">
        <f>77.05-75.37</f>
        <v>1.6799999999999926</v>
      </c>
      <c r="H8">
        <f t="shared" si="1"/>
        <v>1.2916666666666734</v>
      </c>
      <c r="I8">
        <f t="shared" si="2"/>
        <v>0.56363636363636493</v>
      </c>
      <c r="J8">
        <f t="shared" si="3"/>
        <v>8.3870967741932603</v>
      </c>
      <c r="L8">
        <v>1</v>
      </c>
      <c r="M8" t="s">
        <v>34</v>
      </c>
      <c r="N8" s="1" t="s">
        <v>19</v>
      </c>
      <c r="O8">
        <v>4</v>
      </c>
      <c r="P8" t="s">
        <v>9</v>
      </c>
      <c r="Q8">
        <v>0.54000000000000625</v>
      </c>
      <c r="R8">
        <v>0.15000000000000568</v>
      </c>
      <c r="S8">
        <f t="shared" si="4"/>
        <v>3.5999999999999051</v>
      </c>
      <c r="T8">
        <f t="shared" si="0"/>
        <v>0.78260869565216939</v>
      </c>
      <c r="U8">
        <f t="shared" si="5"/>
        <v>0.31353135313532482</v>
      </c>
    </row>
    <row r="9" spans="1:23">
      <c r="A9">
        <v>1</v>
      </c>
      <c r="B9" t="s">
        <v>34</v>
      </c>
      <c r="C9" s="1" t="s">
        <v>19</v>
      </c>
      <c r="D9">
        <v>3</v>
      </c>
      <c r="E9" t="s">
        <v>8</v>
      </c>
      <c r="F9">
        <f>86.71-85.47</f>
        <v>1.2399999999999949</v>
      </c>
      <c r="G9">
        <f>79.55-79.41</f>
        <v>0.14000000000000057</v>
      </c>
      <c r="H9">
        <f t="shared" si="1"/>
        <v>8.8571428571427848</v>
      </c>
      <c r="I9">
        <f t="shared" si="2"/>
        <v>0.89855072463768038</v>
      </c>
      <c r="J9">
        <f t="shared" si="3"/>
        <v>0.39516129032258263</v>
      </c>
      <c r="L9">
        <v>1</v>
      </c>
      <c r="M9" t="s">
        <v>35</v>
      </c>
      <c r="N9" s="1" t="s">
        <v>19</v>
      </c>
      <c r="O9">
        <v>2</v>
      </c>
      <c r="P9" t="s">
        <v>9</v>
      </c>
      <c r="Q9">
        <v>0.59000000000000341</v>
      </c>
      <c r="R9">
        <v>1.3799999999999955</v>
      </c>
      <c r="S9">
        <f t="shared" si="4"/>
        <v>0.42753623188406187</v>
      </c>
      <c r="T9">
        <f t="shared" si="0"/>
        <v>0.29949238578680393</v>
      </c>
      <c r="U9">
        <f t="shared" si="5"/>
        <v>16.597783572359809</v>
      </c>
    </row>
    <row r="10" spans="1:23">
      <c r="A10">
        <v>1</v>
      </c>
      <c r="B10" t="s">
        <v>35</v>
      </c>
      <c r="C10" s="1" t="s">
        <v>19</v>
      </c>
      <c r="D10">
        <v>1</v>
      </c>
      <c r="E10" t="s">
        <v>8</v>
      </c>
      <c r="F10">
        <f>80.71-80.07</f>
        <v>0.64000000000000057</v>
      </c>
      <c r="G10">
        <f>82.16-81.64</f>
        <v>0.51999999999999602</v>
      </c>
      <c r="H10">
        <f t="shared" si="1"/>
        <v>1.2307692307692413</v>
      </c>
      <c r="I10">
        <f t="shared" si="2"/>
        <v>0.55172413793103658</v>
      </c>
      <c r="J10">
        <f t="shared" si="3"/>
        <v>2.8094879518072156</v>
      </c>
      <c r="L10">
        <v>1</v>
      </c>
      <c r="M10" s="1" t="s">
        <v>30</v>
      </c>
      <c r="N10" s="1" t="s">
        <v>19</v>
      </c>
      <c r="O10" s="1">
        <v>1</v>
      </c>
      <c r="P10" s="1" t="s">
        <v>9</v>
      </c>
      <c r="Q10" s="1">
        <v>0.79</v>
      </c>
      <c r="R10" s="1">
        <v>0.37</v>
      </c>
      <c r="S10" s="1">
        <f>Q10/R10</f>
        <v>2.1351351351351351</v>
      </c>
      <c r="T10" s="1">
        <f>Q10/SUM(Q10+R10)</f>
        <v>0.68103448275862066</v>
      </c>
      <c r="U10">
        <f t="shared" si="5"/>
        <v>5.542194092827005</v>
      </c>
    </row>
    <row r="11" spans="1:23">
      <c r="A11">
        <v>1</v>
      </c>
      <c r="B11" t="s">
        <v>35</v>
      </c>
      <c r="C11" s="1" t="s">
        <v>19</v>
      </c>
      <c r="D11">
        <v>3</v>
      </c>
      <c r="E11" t="s">
        <v>8</v>
      </c>
      <c r="F11">
        <f>81.63-81.33</f>
        <v>0.29999999999999716</v>
      </c>
      <c r="G11">
        <f>80.47-80.01</f>
        <v>0.45999999999999375</v>
      </c>
      <c r="H11">
        <f t="shared" si="1"/>
        <v>0.65217391304348094</v>
      </c>
      <c r="I11">
        <f t="shared" si="2"/>
        <v>0.39473684210526416</v>
      </c>
      <c r="J11">
        <f t="shared" si="3"/>
        <v>13.320833333333567</v>
      </c>
      <c r="L11">
        <v>1</v>
      </c>
      <c r="M11" s="1" t="s">
        <v>30</v>
      </c>
      <c r="N11" s="1" t="s">
        <v>19</v>
      </c>
      <c r="O11" s="1">
        <v>3</v>
      </c>
      <c r="P11" s="1" t="s">
        <v>9</v>
      </c>
      <c r="Q11" s="1">
        <v>0.27</v>
      </c>
      <c r="R11" s="1">
        <v>0.91</v>
      </c>
      <c r="S11" s="1">
        <f t="shared" ref="S11:S13" si="6">Q11/R11</f>
        <v>0.2967032967032967</v>
      </c>
      <c r="T11" s="1">
        <f t="shared" ref="T11:T13" si="7">Q11/SUM(Q11+R11)</f>
        <v>0.22881355932203387</v>
      </c>
      <c r="U11">
        <f t="shared" si="5"/>
        <v>149.9814814814815</v>
      </c>
    </row>
    <row r="12" spans="1:23">
      <c r="A12">
        <v>1</v>
      </c>
      <c r="B12" s="1" t="s">
        <v>30</v>
      </c>
      <c r="C12" s="1" t="s">
        <v>19</v>
      </c>
      <c r="D12" s="1">
        <v>2</v>
      </c>
      <c r="E12" t="s">
        <v>8</v>
      </c>
      <c r="F12" s="1">
        <v>0.06</v>
      </c>
      <c r="G12" s="1">
        <v>0.56000000000000005</v>
      </c>
      <c r="H12" s="1">
        <f>F12/G12</f>
        <v>0.10714285714285712</v>
      </c>
      <c r="I12" s="1">
        <f>F12/SUM(F12+G12)</f>
        <v>9.677419354838708E-2</v>
      </c>
      <c r="J12">
        <f t="shared" si="3"/>
        <v>9.1827956989247337</v>
      </c>
      <c r="L12">
        <v>1</v>
      </c>
      <c r="M12" s="1" t="s">
        <v>31</v>
      </c>
      <c r="N12" s="1" t="s">
        <v>19</v>
      </c>
      <c r="O12" s="1">
        <v>1</v>
      </c>
      <c r="P12" s="1" t="s">
        <v>9</v>
      </c>
      <c r="Q12" s="1">
        <v>1.39</v>
      </c>
      <c r="R12" s="1">
        <v>0.5</v>
      </c>
      <c r="S12" s="1">
        <f t="shared" si="6"/>
        <v>2.78</v>
      </c>
      <c r="T12" s="1">
        <f t="shared" si="7"/>
        <v>0.73544973544973546</v>
      </c>
      <c r="U12">
        <f t="shared" si="5"/>
        <v>0.21159542953872199</v>
      </c>
      <c r="V12" s="1"/>
      <c r="W12" s="1"/>
    </row>
    <row r="13" spans="1:23">
      <c r="A13">
        <v>1</v>
      </c>
      <c r="B13" s="1" t="s">
        <v>30</v>
      </c>
      <c r="C13" s="1" t="s">
        <v>19</v>
      </c>
      <c r="D13" s="1">
        <v>4</v>
      </c>
      <c r="E13" t="s">
        <v>8</v>
      </c>
      <c r="F13" s="1">
        <v>0.36</v>
      </c>
      <c r="G13" s="1">
        <v>0.44</v>
      </c>
      <c r="H13" s="1">
        <f t="shared" ref="H13:H16" si="8">F13/G13</f>
        <v>0.81818181818181812</v>
      </c>
      <c r="I13" s="1">
        <f t="shared" ref="I13:I16" si="9">F13/SUM(F13+G13)</f>
        <v>0.44999999999999996</v>
      </c>
      <c r="J13">
        <f t="shared" si="3"/>
        <v>31.777777777777786</v>
      </c>
      <c r="L13">
        <v>1</v>
      </c>
      <c r="M13" s="1" t="s">
        <v>31</v>
      </c>
      <c r="N13" s="1" t="s">
        <v>19</v>
      </c>
      <c r="O13" s="1">
        <v>3</v>
      </c>
      <c r="P13" s="1" t="s">
        <v>9</v>
      </c>
      <c r="Q13" s="1">
        <v>0.2</v>
      </c>
      <c r="R13" s="1">
        <v>0.72</v>
      </c>
      <c r="S13" s="1">
        <f t="shared" si="6"/>
        <v>0.27777777777777779</v>
      </c>
      <c r="T13" s="1">
        <f t="shared" si="7"/>
        <v>0.21739130434782611</v>
      </c>
      <c r="U13">
        <f t="shared" si="5"/>
        <v>0.27096774193548384</v>
      </c>
      <c r="V13" s="1"/>
      <c r="W13" s="1"/>
    </row>
    <row r="14" spans="1:23">
      <c r="A14">
        <v>1</v>
      </c>
      <c r="B14" s="1" t="s">
        <v>31</v>
      </c>
      <c r="C14" s="1" t="s">
        <v>19</v>
      </c>
      <c r="D14" s="1">
        <v>2</v>
      </c>
      <c r="E14" t="s">
        <v>8</v>
      </c>
      <c r="F14" s="1">
        <v>0.38</v>
      </c>
      <c r="G14" s="1">
        <v>0.61</v>
      </c>
      <c r="H14" s="1">
        <f t="shared" si="8"/>
        <v>0.62295081967213117</v>
      </c>
      <c r="I14" s="1">
        <f t="shared" si="9"/>
        <v>0.38383838383838387</v>
      </c>
      <c r="J14">
        <f t="shared" si="3"/>
        <v>8.7142857142857135</v>
      </c>
      <c r="L14">
        <v>1</v>
      </c>
      <c r="M14" s="1" t="s">
        <v>25</v>
      </c>
      <c r="N14" s="1" t="s">
        <v>19</v>
      </c>
      <c r="O14" s="1">
        <v>2</v>
      </c>
      <c r="P14" s="1" t="s">
        <v>9</v>
      </c>
      <c r="Q14" s="1">
        <v>1.92</v>
      </c>
      <c r="R14" s="1">
        <v>0.53</v>
      </c>
      <c r="S14" s="1">
        <f>Q14/R14</f>
        <v>3.6226415094339619</v>
      </c>
      <c r="T14" s="1">
        <f>Q14/SUM(Q14+R14)</f>
        <v>0.78367346938775506</v>
      </c>
      <c r="U14">
        <f t="shared" si="5"/>
        <v>2.9812500000000006</v>
      </c>
      <c r="V14" s="1"/>
      <c r="W14" s="1"/>
    </row>
    <row r="15" spans="1:23">
      <c r="A15">
        <v>1</v>
      </c>
      <c r="B15" s="1" t="s">
        <v>31</v>
      </c>
      <c r="C15" s="1" t="s">
        <v>19</v>
      </c>
      <c r="D15" s="1">
        <v>4</v>
      </c>
      <c r="E15" t="s">
        <v>8</v>
      </c>
      <c r="F15" s="1">
        <v>1.05</v>
      </c>
      <c r="G15" s="1">
        <v>0.08</v>
      </c>
      <c r="H15" s="1">
        <f t="shared" si="8"/>
        <v>13.125</v>
      </c>
      <c r="I15" s="1">
        <f t="shared" si="9"/>
        <v>0.92920353982300874</v>
      </c>
      <c r="J15">
        <f t="shared" si="3"/>
        <v>0.29931972789115646</v>
      </c>
      <c r="L15">
        <v>1</v>
      </c>
      <c r="M15" s="1" t="s">
        <v>25</v>
      </c>
      <c r="N15" s="1" t="s">
        <v>19</v>
      </c>
      <c r="O15" s="1">
        <v>4</v>
      </c>
      <c r="P15" s="1" t="s">
        <v>9</v>
      </c>
      <c r="Q15" s="1">
        <v>0.43</v>
      </c>
      <c r="R15" s="1">
        <v>0.49</v>
      </c>
      <c r="S15" s="1">
        <f t="shared" ref="S15" si="10">Q15/R15</f>
        <v>0.87755102040816324</v>
      </c>
      <c r="T15" s="1">
        <f t="shared" ref="T15" si="11">Q15/SUM(Q15+R15)</f>
        <v>0.46739130434782611</v>
      </c>
      <c r="U15">
        <f t="shared" si="5"/>
        <v>2.3158289572393098</v>
      </c>
      <c r="V15" s="1"/>
      <c r="W15" s="1"/>
    </row>
    <row r="16" spans="1:23">
      <c r="A16">
        <v>1</v>
      </c>
      <c r="B16" s="1" t="s">
        <v>31</v>
      </c>
      <c r="C16" s="1" t="s">
        <v>19</v>
      </c>
      <c r="D16" s="1">
        <v>5</v>
      </c>
      <c r="E16" t="s">
        <v>8</v>
      </c>
      <c r="F16" s="1">
        <v>0.33</v>
      </c>
      <c r="G16" s="1">
        <v>0.03</v>
      </c>
      <c r="H16" s="1">
        <f t="shared" si="8"/>
        <v>11.000000000000002</v>
      </c>
      <c r="I16" s="1">
        <f t="shared" si="9"/>
        <v>0.91666666666666674</v>
      </c>
      <c r="J16">
        <f t="shared" si="3"/>
        <v>1.7316017316017313E-2</v>
      </c>
      <c r="M16" s="1"/>
      <c r="N16" s="1"/>
      <c r="O16" s="1"/>
      <c r="P16" s="1"/>
      <c r="Q16" s="1"/>
      <c r="R16" s="1"/>
      <c r="S16" s="1"/>
      <c r="T16" s="1"/>
      <c r="V16" s="1"/>
      <c r="W16" s="1"/>
    </row>
    <row r="17" spans="1:21">
      <c r="A17">
        <v>1</v>
      </c>
      <c r="B17" s="1" t="s">
        <v>25</v>
      </c>
      <c r="C17" s="1" t="s">
        <v>19</v>
      </c>
      <c r="D17" s="1">
        <v>1</v>
      </c>
      <c r="E17" t="s">
        <v>8</v>
      </c>
      <c r="F17" s="1">
        <v>1.0900000000000001</v>
      </c>
      <c r="G17" s="1">
        <v>0.19</v>
      </c>
      <c r="H17" s="1">
        <f>F17/G17</f>
        <v>5.7368421052631584</v>
      </c>
      <c r="I17" s="1">
        <f>F17/SUM(F17:G17)</f>
        <v>0.8515625</v>
      </c>
      <c r="J17">
        <f t="shared" si="3"/>
        <v>0.31376146788990822</v>
      </c>
    </row>
    <row r="18" spans="1:21">
      <c r="A18">
        <v>1</v>
      </c>
      <c r="B18" s="1" t="s">
        <v>25</v>
      </c>
      <c r="C18" s="1" t="s">
        <v>19</v>
      </c>
      <c r="D18" s="1">
        <v>3</v>
      </c>
      <c r="E18" t="s">
        <v>8</v>
      </c>
      <c r="F18" s="1">
        <v>2.1800000000000002</v>
      </c>
      <c r="G18" s="1">
        <v>0.34</v>
      </c>
      <c r="H18" s="1">
        <f t="shared" ref="H18" si="12">F18/G18</f>
        <v>6.4117647058823533</v>
      </c>
      <c r="I18" s="1">
        <f t="shared" ref="I18" si="13">F18/SUM(F18:G18)</f>
        <v>0.86507936507936511</v>
      </c>
      <c r="J18">
        <f t="shared" si="3"/>
        <v>0.78381557280639846</v>
      </c>
    </row>
    <row r="19" spans="1:21">
      <c r="C19" s="1"/>
      <c r="E19" t="s">
        <v>2</v>
      </c>
      <c r="F19">
        <f>AVERAGE(F4:F18)</f>
        <v>1.0966666666666669</v>
      </c>
      <c r="G19">
        <f t="shared" ref="G19:U19" si="14">AVERAGE(G4:G18)</f>
        <v>0.52733333333333321</v>
      </c>
      <c r="H19">
        <f t="shared" si="14"/>
        <v>4.6077900898688444</v>
      </c>
      <c r="I19">
        <f t="shared" si="14"/>
        <v>0.63914404947388503</v>
      </c>
      <c r="J19">
        <f t="shared" si="14"/>
        <v>5.479262583615049</v>
      </c>
      <c r="Q19">
        <f t="shared" si="14"/>
        <v>0.78583333333333394</v>
      </c>
      <c r="R19">
        <f t="shared" si="14"/>
        <v>0.58916666666666884</v>
      </c>
      <c r="S19">
        <f t="shared" si="14"/>
        <v>2.2936000689331459</v>
      </c>
      <c r="T19">
        <f t="shared" si="14"/>
        <v>0.54393486586551243</v>
      </c>
      <c r="U19">
        <f t="shared" si="14"/>
        <v>15.642094109734316</v>
      </c>
    </row>
    <row r="20" spans="1:21">
      <c r="E20" t="s">
        <v>3</v>
      </c>
      <c r="F20">
        <f>STDEV(F4:F18)/(SQRT(COUNT(F4:F18)))</f>
        <v>0.21384610992524236</v>
      </c>
      <c r="G20">
        <f t="shared" ref="G20:U20" si="15">STDEV(G4:G18)/(SQRT(COUNT(G4:G18)))</f>
        <v>0.12340589885826261</v>
      </c>
      <c r="H20">
        <f t="shared" si="15"/>
        <v>1.2674391444621651</v>
      </c>
      <c r="I20">
        <f t="shared" si="15"/>
        <v>6.7405098314271134E-2</v>
      </c>
      <c r="J20">
        <f t="shared" si="15"/>
        <v>2.1725457970049313</v>
      </c>
      <c r="Q20">
        <f t="shared" si="15"/>
        <v>0.15976051363579061</v>
      </c>
      <c r="R20">
        <f t="shared" si="15"/>
        <v>0.10095347213124178</v>
      </c>
      <c r="S20">
        <f t="shared" si="15"/>
        <v>0.74380448930778509</v>
      </c>
      <c r="T20">
        <f t="shared" si="15"/>
        <v>7.3840996879026108E-2</v>
      </c>
      <c r="U20">
        <f t="shared" si="15"/>
        <v>12.284176421393605</v>
      </c>
    </row>
    <row r="22" spans="1:21">
      <c r="A22">
        <v>1</v>
      </c>
      <c r="B22" s="1" t="s">
        <v>36</v>
      </c>
      <c r="C22" s="1" t="s">
        <v>50</v>
      </c>
      <c r="D22" s="1">
        <v>2</v>
      </c>
      <c r="E22" s="1" t="s">
        <v>8</v>
      </c>
      <c r="F22" s="1">
        <v>0.61</v>
      </c>
      <c r="G22" s="1">
        <v>0.44</v>
      </c>
      <c r="H22" s="1">
        <f t="shared" ref="H22:H29" si="16">F22/G22</f>
        <v>1.3863636363636362</v>
      </c>
      <c r="I22" s="1">
        <f t="shared" ref="I22:I24" si="17">F22/SUM(F22+G22)</f>
        <v>0.58095238095238089</v>
      </c>
      <c r="J22">
        <f t="shared" ref="J22:J29" si="18">H52/H22</f>
        <v>3.6265938069216759</v>
      </c>
      <c r="L22">
        <v>1</v>
      </c>
      <c r="M22" s="1" t="s">
        <v>36</v>
      </c>
      <c r="N22" s="1" t="s">
        <v>50</v>
      </c>
      <c r="O22" s="1">
        <v>1</v>
      </c>
      <c r="P22" s="1" t="s">
        <v>9</v>
      </c>
      <c r="Q22" s="1">
        <v>1.06</v>
      </c>
      <c r="R22" s="1">
        <v>0.41</v>
      </c>
      <c r="S22" s="1">
        <f t="shared" ref="S22:S29" si="19">Q22/R22</f>
        <v>2.5853658536585367</v>
      </c>
      <c r="T22" s="1">
        <f t="shared" ref="T22:T29" si="20">Q22/SUM(Q22+R22)</f>
        <v>0.72108843537414968</v>
      </c>
      <c r="U22">
        <f t="shared" si="5"/>
        <v>1.0298931575358037</v>
      </c>
    </row>
    <row r="23" spans="1:21">
      <c r="A23">
        <v>1</v>
      </c>
      <c r="B23" s="1" t="s">
        <v>37</v>
      </c>
      <c r="C23" s="1" t="s">
        <v>50</v>
      </c>
      <c r="D23" s="1">
        <v>1</v>
      </c>
      <c r="E23" s="1" t="s">
        <v>8</v>
      </c>
      <c r="F23" s="1">
        <v>1.77</v>
      </c>
      <c r="G23" s="1">
        <v>0.65</v>
      </c>
      <c r="H23" s="1">
        <f t="shared" si="16"/>
        <v>2.7230769230769232</v>
      </c>
      <c r="I23" s="1">
        <f t="shared" si="17"/>
        <v>0.73140495867768596</v>
      </c>
      <c r="J23">
        <f t="shared" si="18"/>
        <v>0.30445699937225362</v>
      </c>
      <c r="L23">
        <v>1</v>
      </c>
      <c r="M23" s="1" t="s">
        <v>36</v>
      </c>
      <c r="N23" s="1" t="s">
        <v>50</v>
      </c>
      <c r="O23" s="1">
        <v>3</v>
      </c>
      <c r="P23" s="1" t="s">
        <v>9</v>
      </c>
      <c r="Q23" s="1">
        <v>1.7</v>
      </c>
      <c r="R23" s="1">
        <v>0.37</v>
      </c>
      <c r="S23" s="1">
        <f t="shared" si="19"/>
        <v>4.5945945945945947</v>
      </c>
      <c r="T23" s="1">
        <f t="shared" si="20"/>
        <v>0.82125603864734309</v>
      </c>
      <c r="U23">
        <f t="shared" si="5"/>
        <v>0.23919627256843332</v>
      </c>
    </row>
    <row r="24" spans="1:21">
      <c r="A24">
        <v>1</v>
      </c>
      <c r="B24" s="1" t="s">
        <v>37</v>
      </c>
      <c r="C24" s="1" t="s">
        <v>50</v>
      </c>
      <c r="D24" s="1">
        <v>3</v>
      </c>
      <c r="E24" s="1" t="s">
        <v>8</v>
      </c>
      <c r="F24" s="1">
        <v>0.48</v>
      </c>
      <c r="G24" s="1">
        <v>0.38</v>
      </c>
      <c r="H24" s="1">
        <f t="shared" si="16"/>
        <v>1.263157894736842</v>
      </c>
      <c r="I24" s="1">
        <f t="shared" si="17"/>
        <v>0.55813953488372092</v>
      </c>
      <c r="J24">
        <f t="shared" si="18"/>
        <v>1.0657051282051284</v>
      </c>
      <c r="L24">
        <v>1</v>
      </c>
      <c r="M24" s="1" t="s">
        <v>37</v>
      </c>
      <c r="N24" s="1" t="s">
        <v>50</v>
      </c>
      <c r="O24" s="1">
        <v>2</v>
      </c>
      <c r="P24" s="1" t="s">
        <v>9</v>
      </c>
      <c r="Q24" s="1">
        <v>0.49</v>
      </c>
      <c r="R24" s="1">
        <v>0.26</v>
      </c>
      <c r="S24" s="1">
        <f t="shared" si="19"/>
        <v>1.8846153846153846</v>
      </c>
      <c r="T24" s="1">
        <f t="shared" si="20"/>
        <v>0.65333333333333332</v>
      </c>
      <c r="U24">
        <f t="shared" si="5"/>
        <v>3.9795918367346941</v>
      </c>
    </row>
    <row r="25" spans="1:21">
      <c r="A25">
        <v>1</v>
      </c>
      <c r="B25" s="1" t="s">
        <v>26</v>
      </c>
      <c r="C25" s="1" t="s">
        <v>50</v>
      </c>
      <c r="D25" s="1">
        <v>1</v>
      </c>
      <c r="E25" s="1" t="s">
        <v>8</v>
      </c>
      <c r="F25" s="1">
        <v>1.52</v>
      </c>
      <c r="G25" s="1">
        <v>0.68</v>
      </c>
      <c r="H25" s="1">
        <f t="shared" si="16"/>
        <v>2.2352941176470589</v>
      </c>
      <c r="I25" s="1">
        <f t="shared" ref="I25:I29" si="21">F25/SUM(F25:G25)</f>
        <v>0.69090909090909081</v>
      </c>
      <c r="J25">
        <f t="shared" si="18"/>
        <v>0.8867481203007519</v>
      </c>
      <c r="L25">
        <v>1</v>
      </c>
      <c r="M25" s="1" t="s">
        <v>26</v>
      </c>
      <c r="N25" s="1" t="s">
        <v>50</v>
      </c>
      <c r="O25" s="1">
        <v>2</v>
      </c>
      <c r="P25" s="1" t="s">
        <v>9</v>
      </c>
      <c r="Q25" s="1">
        <v>0.98</v>
      </c>
      <c r="R25" s="1">
        <v>0.36</v>
      </c>
      <c r="S25" s="1">
        <f t="shared" si="19"/>
        <v>2.7222222222222223</v>
      </c>
      <c r="T25" s="1">
        <f t="shared" si="20"/>
        <v>0.73134328358208966</v>
      </c>
      <c r="U25">
        <f t="shared" si="5"/>
        <v>5.8775510204081627</v>
      </c>
    </row>
    <row r="26" spans="1:21">
      <c r="A26">
        <v>1</v>
      </c>
      <c r="B26" s="1" t="s">
        <v>26</v>
      </c>
      <c r="C26" s="1" t="s">
        <v>50</v>
      </c>
      <c r="D26" s="1">
        <v>3</v>
      </c>
      <c r="E26" s="1" t="s">
        <v>8</v>
      </c>
      <c r="F26" s="1">
        <v>1.86</v>
      </c>
      <c r="G26" s="1">
        <v>0.43</v>
      </c>
      <c r="H26" s="1">
        <f t="shared" si="16"/>
        <v>4.3255813953488378</v>
      </c>
      <c r="I26" s="1">
        <f t="shared" si="21"/>
        <v>0.81222707423580787</v>
      </c>
      <c r="J26">
        <f t="shared" si="18"/>
        <v>0.81803143093465658</v>
      </c>
      <c r="L26">
        <v>1</v>
      </c>
      <c r="M26" s="1" t="s">
        <v>26</v>
      </c>
      <c r="N26" s="1" t="s">
        <v>50</v>
      </c>
      <c r="O26" s="1">
        <v>4</v>
      </c>
      <c r="P26" s="1" t="s">
        <v>9</v>
      </c>
      <c r="Q26" s="1">
        <v>0.51</v>
      </c>
      <c r="R26" s="1">
        <v>1.1299999999999999</v>
      </c>
      <c r="S26" s="1">
        <f t="shared" si="19"/>
        <v>0.45132743362831862</v>
      </c>
      <c r="T26" s="1">
        <f t="shared" si="20"/>
        <v>0.31097560975609756</v>
      </c>
      <c r="U26">
        <f t="shared" si="5"/>
        <v>5.7238562091503269</v>
      </c>
    </row>
    <row r="27" spans="1:21">
      <c r="A27">
        <v>1</v>
      </c>
      <c r="B27" s="1" t="s">
        <v>27</v>
      </c>
      <c r="C27" s="1" t="s">
        <v>50</v>
      </c>
      <c r="D27" s="1">
        <v>1</v>
      </c>
      <c r="E27" s="1" t="s">
        <v>8</v>
      </c>
      <c r="F27" s="1">
        <v>1.25</v>
      </c>
      <c r="G27" s="1">
        <v>0.17</v>
      </c>
      <c r="H27" s="1">
        <f t="shared" si="16"/>
        <v>7.3529411764705879</v>
      </c>
      <c r="I27" s="1">
        <f t="shared" si="21"/>
        <v>0.88028169014084512</v>
      </c>
      <c r="J27">
        <f t="shared" si="18"/>
        <v>0.19303225806451615</v>
      </c>
      <c r="L27">
        <v>1</v>
      </c>
      <c r="M27" s="1" t="s">
        <v>27</v>
      </c>
      <c r="N27" s="1" t="s">
        <v>50</v>
      </c>
      <c r="O27" s="1">
        <v>2</v>
      </c>
      <c r="P27" s="1" t="s">
        <v>9</v>
      </c>
      <c r="Q27" s="1">
        <v>1.1499999999999999</v>
      </c>
      <c r="R27" s="1">
        <v>0.03</v>
      </c>
      <c r="S27" s="1">
        <f t="shared" si="19"/>
        <v>38.333333333333329</v>
      </c>
      <c r="T27" s="1">
        <f t="shared" si="20"/>
        <v>0.97457627118644063</v>
      </c>
      <c r="U27">
        <f t="shared" si="5"/>
        <v>0.41739130434782612</v>
      </c>
    </row>
    <row r="28" spans="1:21">
      <c r="A28">
        <v>1</v>
      </c>
      <c r="B28" s="1" t="s">
        <v>27</v>
      </c>
      <c r="C28" s="1" t="s">
        <v>50</v>
      </c>
      <c r="D28" s="1">
        <v>3</v>
      </c>
      <c r="E28" s="1" t="s">
        <v>8</v>
      </c>
      <c r="F28" s="1">
        <v>1.41</v>
      </c>
      <c r="G28" s="1">
        <v>0.19</v>
      </c>
      <c r="H28" s="1">
        <f t="shared" si="16"/>
        <v>7.4210526315789469</v>
      </c>
      <c r="I28" s="1">
        <f t="shared" si="21"/>
        <v>0.88124999999999998</v>
      </c>
      <c r="J28">
        <f t="shared" si="18"/>
        <v>0.60256924929747091</v>
      </c>
      <c r="L28">
        <v>1</v>
      </c>
      <c r="M28" s="1" t="s">
        <v>27</v>
      </c>
      <c r="N28" s="1" t="s">
        <v>50</v>
      </c>
      <c r="O28" s="1">
        <v>4</v>
      </c>
      <c r="P28" s="1" t="s">
        <v>9</v>
      </c>
      <c r="Q28" s="1">
        <v>1.44</v>
      </c>
      <c r="R28" s="1">
        <v>0.69</v>
      </c>
      <c r="S28" s="1">
        <f t="shared" si="19"/>
        <v>2.0869565217391304</v>
      </c>
      <c r="T28" s="1">
        <f t="shared" si="20"/>
        <v>0.676056338028169</v>
      </c>
      <c r="U28">
        <f t="shared" si="5"/>
        <v>1.1180555555555556</v>
      </c>
    </row>
    <row r="29" spans="1:21">
      <c r="A29">
        <v>1</v>
      </c>
      <c r="B29" s="1" t="s">
        <v>28</v>
      </c>
      <c r="C29" s="1" t="s">
        <v>50</v>
      </c>
      <c r="D29" s="1">
        <v>1</v>
      </c>
      <c r="E29" s="1" t="s">
        <v>8</v>
      </c>
      <c r="F29" s="1">
        <v>0.69</v>
      </c>
      <c r="G29" s="1">
        <v>0.38</v>
      </c>
      <c r="H29" s="1">
        <f t="shared" si="16"/>
        <v>1.8157894736842104</v>
      </c>
      <c r="I29" s="1">
        <f t="shared" si="21"/>
        <v>0.64485981308411222</v>
      </c>
      <c r="J29">
        <f t="shared" si="18"/>
        <v>1.2157506152584086</v>
      </c>
      <c r="L29">
        <v>1</v>
      </c>
      <c r="M29" s="1" t="s">
        <v>28</v>
      </c>
      <c r="N29" s="1" t="s">
        <v>50</v>
      </c>
      <c r="O29" s="1">
        <v>2</v>
      </c>
      <c r="P29" s="1" t="s">
        <v>9</v>
      </c>
      <c r="Q29" s="1">
        <v>0.48</v>
      </c>
      <c r="R29" s="1">
        <v>0.33</v>
      </c>
      <c r="S29" s="1">
        <f t="shared" si="19"/>
        <v>1.4545454545454544</v>
      </c>
      <c r="T29" s="1">
        <f t="shared" si="20"/>
        <v>0.59259259259259256</v>
      </c>
      <c r="U29">
        <f t="shared" si="5"/>
        <v>6.5514705882352953</v>
      </c>
    </row>
    <row r="30" spans="1:21">
      <c r="E30" s="1" t="s">
        <v>2</v>
      </c>
      <c r="F30">
        <f>AVERAGE(F22:F29)</f>
        <v>1.19875</v>
      </c>
      <c r="G30">
        <f t="shared" ref="G30:U30" si="22">AVERAGE(G22:G29)</f>
        <v>0.41500000000000004</v>
      </c>
      <c r="H30">
        <f t="shared" si="22"/>
        <v>3.56540715611338</v>
      </c>
      <c r="I30">
        <f t="shared" si="22"/>
        <v>0.72250306786045548</v>
      </c>
      <c r="J30">
        <f t="shared" si="22"/>
        <v>1.0891109510443577</v>
      </c>
      <c r="Q30">
        <f t="shared" si="22"/>
        <v>0.97625000000000006</v>
      </c>
      <c r="R30">
        <f t="shared" si="22"/>
        <v>0.44749999999999995</v>
      </c>
      <c r="S30">
        <f t="shared" si="22"/>
        <v>6.7641200997921214</v>
      </c>
      <c r="T30">
        <f t="shared" si="22"/>
        <v>0.68515273781252695</v>
      </c>
      <c r="U30">
        <f t="shared" si="22"/>
        <v>3.1171257430670121</v>
      </c>
    </row>
    <row r="31" spans="1:21">
      <c r="E31" s="1" t="s">
        <v>3</v>
      </c>
      <c r="F31">
        <f>STDEV(F22:F29)/(SQRT(COUNT(F22:F29)))</f>
        <v>0.190679588202678</v>
      </c>
      <c r="G31">
        <f t="shared" ref="G31:U31" si="23">STDEV(G22:G29)/(SQRT(COUNT(G22:G29)))</f>
        <v>6.5383484153110114E-2</v>
      </c>
      <c r="H31">
        <f t="shared" si="23"/>
        <v>0.90017603571631732</v>
      </c>
      <c r="I31">
        <f t="shared" si="23"/>
        <v>4.4781801433887235E-2</v>
      </c>
      <c r="J31">
        <f t="shared" si="23"/>
        <v>0.38324742981809118</v>
      </c>
      <c r="Q31">
        <f t="shared" si="23"/>
        <v>0.16235914224776057</v>
      </c>
      <c r="R31">
        <f t="shared" si="23"/>
        <v>0.11672235065683496</v>
      </c>
      <c r="S31">
        <f t="shared" si="23"/>
        <v>4.5293671707249548</v>
      </c>
      <c r="T31">
        <f t="shared" si="23"/>
        <v>6.7531230034788392E-2</v>
      </c>
      <c r="U31">
        <f t="shared" si="23"/>
        <v>0.95316605199950666</v>
      </c>
    </row>
    <row r="33" spans="1:20">
      <c r="B33" t="s">
        <v>47</v>
      </c>
    </row>
    <row r="34" spans="1:20">
      <c r="A34">
        <v>2</v>
      </c>
      <c r="B34" t="s">
        <v>32</v>
      </c>
      <c r="C34" s="1" t="s">
        <v>19</v>
      </c>
      <c r="D34">
        <v>1</v>
      </c>
      <c r="E34" t="s">
        <v>8</v>
      </c>
      <c r="F34">
        <v>1.3</v>
      </c>
      <c r="G34">
        <f>88.51-87.64</f>
        <v>0.87000000000000455</v>
      </c>
      <c r="H34">
        <f t="shared" ref="H34:H48" si="24">F34/G34</f>
        <v>1.4942528735632106</v>
      </c>
      <c r="I34">
        <f t="shared" ref="I34:I41" si="25">F34/SUM(F34:G34)</f>
        <v>0.59907834101382373</v>
      </c>
      <c r="L34">
        <v>2</v>
      </c>
      <c r="M34" t="s">
        <v>32</v>
      </c>
      <c r="N34" t="s">
        <v>19</v>
      </c>
      <c r="O34">
        <v>2</v>
      </c>
      <c r="P34" t="s">
        <v>9</v>
      </c>
      <c r="Q34">
        <v>2.99</v>
      </c>
      <c r="R34">
        <v>0.59999999999999432</v>
      </c>
      <c r="S34">
        <f t="shared" ref="S34:S45" si="26">Q34/R34</f>
        <v>4.9833333333333805</v>
      </c>
      <c r="T34">
        <f t="shared" ref="T34:T39" si="27">Q34/SUM(Q34:R34)</f>
        <v>0.83286908077994559</v>
      </c>
    </row>
    <row r="35" spans="1:20">
      <c r="A35">
        <v>2</v>
      </c>
      <c r="B35" t="s">
        <v>32</v>
      </c>
      <c r="C35" s="1" t="s">
        <v>19</v>
      </c>
      <c r="D35">
        <v>3</v>
      </c>
      <c r="E35" t="s">
        <v>8</v>
      </c>
      <c r="F35">
        <f>94.9-92.52</f>
        <v>2.3800000000000097</v>
      </c>
      <c r="G35">
        <f>82.87-82.3</f>
        <v>0.57000000000000739</v>
      </c>
      <c r="H35">
        <f t="shared" si="24"/>
        <v>4.1754385964911913</v>
      </c>
      <c r="I35">
        <f t="shared" si="25"/>
        <v>0.80677966101694776</v>
      </c>
      <c r="L35">
        <v>2</v>
      </c>
      <c r="M35" t="s">
        <v>32</v>
      </c>
      <c r="N35" t="s">
        <v>19</v>
      </c>
      <c r="O35">
        <v>4</v>
      </c>
      <c r="P35" t="s">
        <v>9</v>
      </c>
      <c r="Q35">
        <v>0.65999999999999659</v>
      </c>
      <c r="R35">
        <v>0.70000000000000284</v>
      </c>
      <c r="S35">
        <f t="shared" si="26"/>
        <v>0.94285714285713418</v>
      </c>
      <c r="T35">
        <f t="shared" si="27"/>
        <v>0.48529411764705654</v>
      </c>
    </row>
    <row r="36" spans="1:20">
      <c r="A36">
        <v>2</v>
      </c>
      <c r="B36" t="s">
        <v>33</v>
      </c>
      <c r="C36" s="1" t="s">
        <v>19</v>
      </c>
      <c r="D36">
        <v>1</v>
      </c>
      <c r="E36" t="s">
        <v>8</v>
      </c>
      <c r="F36">
        <f>97.12-94.06</f>
        <v>3.0600000000000023</v>
      </c>
      <c r="G36">
        <f>83.62-83.05</f>
        <v>0.57000000000000739</v>
      </c>
      <c r="H36">
        <f t="shared" si="24"/>
        <v>5.368421052631513</v>
      </c>
      <c r="I36">
        <f t="shared" si="25"/>
        <v>0.84297520661156866</v>
      </c>
      <c r="L36">
        <v>2</v>
      </c>
      <c r="M36" t="s">
        <v>33</v>
      </c>
      <c r="N36" t="s">
        <v>19</v>
      </c>
      <c r="O36">
        <v>2</v>
      </c>
      <c r="P36" t="s">
        <v>9</v>
      </c>
      <c r="Q36">
        <v>0.76999999999999602</v>
      </c>
      <c r="R36">
        <v>0.45999999999999375</v>
      </c>
      <c r="S36">
        <f t="shared" si="26"/>
        <v>1.673913043478275</v>
      </c>
      <c r="T36">
        <f t="shared" si="27"/>
        <v>0.62601626016260359</v>
      </c>
    </row>
    <row r="37" spans="1:20">
      <c r="A37">
        <v>2</v>
      </c>
      <c r="B37" t="s">
        <v>33</v>
      </c>
      <c r="C37" s="1" t="s">
        <v>19</v>
      </c>
      <c r="D37">
        <v>3</v>
      </c>
      <c r="E37" t="s">
        <v>8</v>
      </c>
      <c r="F37">
        <f>94.95-93.06</f>
        <v>1.8900000000000006</v>
      </c>
      <c r="G37">
        <f>74.28-73.49</f>
        <v>0.79000000000000625</v>
      </c>
      <c r="H37">
        <f t="shared" si="24"/>
        <v>2.3924050632911209</v>
      </c>
      <c r="I37">
        <f t="shared" si="25"/>
        <v>0.70522388059701335</v>
      </c>
      <c r="L37">
        <v>2</v>
      </c>
      <c r="M37" t="s">
        <v>34</v>
      </c>
      <c r="N37" t="s">
        <v>19</v>
      </c>
      <c r="O37">
        <v>1</v>
      </c>
      <c r="P37" t="s">
        <v>9</v>
      </c>
      <c r="Q37">
        <v>3.1300000000000097</v>
      </c>
      <c r="R37">
        <v>0.78000000000000114</v>
      </c>
      <c r="S37">
        <f t="shared" si="26"/>
        <v>4.012820512820519</v>
      </c>
      <c r="T37">
        <f t="shared" si="27"/>
        <v>0.80051150895140688</v>
      </c>
    </row>
    <row r="38" spans="1:20">
      <c r="A38">
        <v>2</v>
      </c>
      <c r="B38" t="s">
        <v>34</v>
      </c>
      <c r="C38" s="1" t="s">
        <v>19</v>
      </c>
      <c r="D38">
        <v>2</v>
      </c>
      <c r="E38" t="s">
        <v>8</v>
      </c>
      <c r="F38">
        <f>92.76-92.11</f>
        <v>0.65000000000000568</v>
      </c>
      <c r="G38">
        <f>77.86-77.8</f>
        <v>6.0000000000002274E-2</v>
      </c>
      <c r="H38">
        <f t="shared" si="24"/>
        <v>10.833333333333018</v>
      </c>
      <c r="I38">
        <f t="shared" si="25"/>
        <v>0.91549295774647665</v>
      </c>
      <c r="L38">
        <v>2</v>
      </c>
      <c r="M38" t="s">
        <v>34</v>
      </c>
      <c r="N38" t="s">
        <v>19</v>
      </c>
      <c r="O38">
        <v>4</v>
      </c>
      <c r="P38" t="s">
        <v>9</v>
      </c>
      <c r="Q38">
        <v>1.1400000000000006</v>
      </c>
      <c r="R38">
        <v>1.0099999999999909</v>
      </c>
      <c r="S38">
        <f t="shared" si="26"/>
        <v>1.1287128712871395</v>
      </c>
      <c r="T38">
        <f t="shared" si="27"/>
        <v>0.53023255813953729</v>
      </c>
    </row>
    <row r="39" spans="1:20">
      <c r="A39">
        <v>2</v>
      </c>
      <c r="B39" t="s">
        <v>34</v>
      </c>
      <c r="C39" s="1" t="s">
        <v>19</v>
      </c>
      <c r="D39">
        <v>3</v>
      </c>
      <c r="E39" t="s">
        <v>8</v>
      </c>
      <c r="F39">
        <f>93.91-91.67</f>
        <v>2.2399999999999949</v>
      </c>
      <c r="G39">
        <f>74.97-74.33</f>
        <v>0.64000000000000057</v>
      </c>
      <c r="H39">
        <f t="shared" si="24"/>
        <v>3.4999999999999889</v>
      </c>
      <c r="I39">
        <f t="shared" si="25"/>
        <v>0.77777777777777724</v>
      </c>
      <c r="L39">
        <v>2</v>
      </c>
      <c r="M39" t="s">
        <v>35</v>
      </c>
      <c r="N39" t="s">
        <v>19</v>
      </c>
      <c r="O39">
        <v>2</v>
      </c>
      <c r="P39" t="s">
        <v>9</v>
      </c>
      <c r="Q39">
        <v>3.6899999999999977</v>
      </c>
      <c r="R39">
        <v>0.51999999999999602</v>
      </c>
      <c r="S39">
        <f t="shared" si="26"/>
        <v>7.0961538461538964</v>
      </c>
      <c r="T39">
        <f t="shared" si="27"/>
        <v>0.87648456057007207</v>
      </c>
    </row>
    <row r="40" spans="1:20">
      <c r="A40">
        <v>2</v>
      </c>
      <c r="B40" t="s">
        <v>35</v>
      </c>
      <c r="C40" s="1" t="s">
        <v>19</v>
      </c>
      <c r="D40">
        <v>1</v>
      </c>
      <c r="E40" t="s">
        <v>8</v>
      </c>
      <c r="F40">
        <f>91.47-88.6</f>
        <v>2.8700000000000045</v>
      </c>
      <c r="G40">
        <f>77.02-76.19</f>
        <v>0.82999999999999829</v>
      </c>
      <c r="H40">
        <f t="shared" si="24"/>
        <v>3.4578313253012176</v>
      </c>
      <c r="I40">
        <f t="shared" si="25"/>
        <v>0.7756756756756763</v>
      </c>
      <c r="L40">
        <v>2</v>
      </c>
      <c r="M40" s="1" t="s">
        <v>30</v>
      </c>
      <c r="N40" t="s">
        <v>19</v>
      </c>
      <c r="O40" s="1">
        <v>1</v>
      </c>
      <c r="P40" s="1" t="s">
        <v>9</v>
      </c>
      <c r="Q40" s="1">
        <v>0.71</v>
      </c>
      <c r="R40" s="1">
        <v>0.06</v>
      </c>
      <c r="S40" s="1">
        <f t="shared" si="26"/>
        <v>11.833333333333334</v>
      </c>
      <c r="T40" s="1">
        <f t="shared" ref="T40:T45" si="28">Q40/SUM(Q40+R40)</f>
        <v>0.92207792207792205</v>
      </c>
    </row>
    <row r="41" spans="1:20">
      <c r="A41">
        <v>2</v>
      </c>
      <c r="B41" t="s">
        <v>35</v>
      </c>
      <c r="C41" s="1" t="s">
        <v>19</v>
      </c>
      <c r="D41">
        <v>3</v>
      </c>
      <c r="E41" t="s">
        <v>8</v>
      </c>
      <c r="F41">
        <f>93.9-92.51</f>
        <v>1.3900000000000006</v>
      </c>
      <c r="G41">
        <f>65.22-65.06</f>
        <v>0.15999999999999659</v>
      </c>
      <c r="H41">
        <f t="shared" si="24"/>
        <v>8.6875000000001883</v>
      </c>
      <c r="I41">
        <f t="shared" si="25"/>
        <v>0.89677419354838905</v>
      </c>
      <c r="L41">
        <v>2</v>
      </c>
      <c r="M41" s="1" t="s">
        <v>30</v>
      </c>
      <c r="N41" t="s">
        <v>19</v>
      </c>
      <c r="O41" s="1">
        <v>3</v>
      </c>
      <c r="P41" s="1" t="s">
        <v>9</v>
      </c>
      <c r="Q41" s="1">
        <v>0.89</v>
      </c>
      <c r="R41" s="1">
        <v>0.02</v>
      </c>
      <c r="S41" s="1">
        <f t="shared" si="26"/>
        <v>44.5</v>
      </c>
      <c r="T41" s="1">
        <f t="shared" si="28"/>
        <v>0.97802197802197799</v>
      </c>
    </row>
    <row r="42" spans="1:20">
      <c r="A42">
        <v>2</v>
      </c>
      <c r="B42" s="1" t="s">
        <v>30</v>
      </c>
      <c r="C42" s="1" t="s">
        <v>19</v>
      </c>
      <c r="D42" s="1">
        <v>2</v>
      </c>
      <c r="E42" s="1" t="s">
        <v>8</v>
      </c>
      <c r="F42" s="1">
        <v>0.61</v>
      </c>
      <c r="G42" s="1">
        <v>0.62</v>
      </c>
      <c r="H42" s="1">
        <f t="shared" si="24"/>
        <v>0.9838709677419355</v>
      </c>
      <c r="I42" s="1">
        <f t="shared" ref="I42:I48" si="29">F42/SUM(F42+G42)</f>
        <v>0.49593495934959347</v>
      </c>
      <c r="J42" s="1"/>
      <c r="K42" s="1"/>
      <c r="L42">
        <v>2</v>
      </c>
      <c r="M42" s="1" t="s">
        <v>31</v>
      </c>
      <c r="N42" t="s">
        <v>19</v>
      </c>
      <c r="O42" s="1">
        <v>1</v>
      </c>
      <c r="P42" s="1" t="s">
        <v>9</v>
      </c>
      <c r="Q42" s="1">
        <v>0.5</v>
      </c>
      <c r="R42" s="1">
        <v>0.85</v>
      </c>
      <c r="S42" s="1">
        <f t="shared" si="26"/>
        <v>0.58823529411764708</v>
      </c>
      <c r="T42" s="1">
        <f t="shared" si="28"/>
        <v>0.37037037037037035</v>
      </c>
    </row>
    <row r="43" spans="1:20">
      <c r="A43">
        <v>2</v>
      </c>
      <c r="B43" s="1" t="s">
        <v>30</v>
      </c>
      <c r="C43" s="1" t="s">
        <v>19</v>
      </c>
      <c r="D43" s="1">
        <v>4</v>
      </c>
      <c r="E43" s="1" t="s">
        <v>8</v>
      </c>
      <c r="F43" s="1">
        <v>0.78</v>
      </c>
      <c r="G43" s="1">
        <v>0.03</v>
      </c>
      <c r="H43" s="1">
        <f t="shared" si="24"/>
        <v>26.000000000000004</v>
      </c>
      <c r="I43" s="1">
        <f t="shared" si="29"/>
        <v>0.96296296296296291</v>
      </c>
      <c r="J43" s="1"/>
      <c r="K43" s="1"/>
      <c r="L43">
        <v>2</v>
      </c>
      <c r="M43" s="1" t="s">
        <v>31</v>
      </c>
      <c r="N43" t="s">
        <v>19</v>
      </c>
      <c r="O43" s="1">
        <v>3</v>
      </c>
      <c r="P43" s="1" t="s">
        <v>9</v>
      </c>
      <c r="Q43" s="1">
        <v>7.0000000000000007E-2</v>
      </c>
      <c r="R43" s="1">
        <v>0.93</v>
      </c>
      <c r="S43" s="1">
        <f t="shared" si="26"/>
        <v>7.5268817204301078E-2</v>
      </c>
      <c r="T43" s="1">
        <f t="shared" si="28"/>
        <v>7.0000000000000007E-2</v>
      </c>
    </row>
    <row r="44" spans="1:20">
      <c r="A44">
        <v>2</v>
      </c>
      <c r="B44" s="1" t="s">
        <v>31</v>
      </c>
      <c r="C44" s="1" t="s">
        <v>19</v>
      </c>
      <c r="D44" s="1">
        <v>2</v>
      </c>
      <c r="E44" s="1" t="s">
        <v>8</v>
      </c>
      <c r="F44" s="1">
        <v>0.76</v>
      </c>
      <c r="G44" s="1">
        <v>0.14000000000000001</v>
      </c>
      <c r="H44" s="1">
        <f t="shared" si="24"/>
        <v>5.4285714285714279</v>
      </c>
      <c r="I44" s="1">
        <f t="shared" si="29"/>
        <v>0.84444444444444444</v>
      </c>
      <c r="J44" s="1"/>
      <c r="K44" s="1"/>
      <c r="L44">
        <v>2</v>
      </c>
      <c r="M44" s="1" t="s">
        <v>25</v>
      </c>
      <c r="N44" t="s">
        <v>19</v>
      </c>
      <c r="O44" s="1">
        <v>2</v>
      </c>
      <c r="P44" s="1" t="s">
        <v>9</v>
      </c>
      <c r="Q44" s="1">
        <v>1.62</v>
      </c>
      <c r="R44" s="1">
        <v>0.15</v>
      </c>
      <c r="S44" s="1">
        <f t="shared" si="26"/>
        <v>10.8</v>
      </c>
      <c r="T44" s="1">
        <f t="shared" si="28"/>
        <v>0.9152542372881356</v>
      </c>
    </row>
    <row r="45" spans="1:20">
      <c r="A45">
        <v>2</v>
      </c>
      <c r="B45" s="1" t="s">
        <v>31</v>
      </c>
      <c r="C45" s="1" t="s">
        <v>19</v>
      </c>
      <c r="D45" s="1">
        <v>4</v>
      </c>
      <c r="E45" s="1" t="s">
        <v>8</v>
      </c>
      <c r="F45" s="1">
        <v>0.55000000000000004</v>
      </c>
      <c r="G45" s="1">
        <v>0.14000000000000001</v>
      </c>
      <c r="H45" s="1">
        <f t="shared" si="24"/>
        <v>3.9285714285714284</v>
      </c>
      <c r="I45" s="1">
        <f t="shared" si="29"/>
        <v>0.79710144927536231</v>
      </c>
      <c r="J45" s="1"/>
      <c r="K45" s="1"/>
      <c r="L45">
        <v>2</v>
      </c>
      <c r="M45" s="1" t="s">
        <v>25</v>
      </c>
      <c r="N45" t="s">
        <v>19</v>
      </c>
      <c r="O45" s="1">
        <v>4</v>
      </c>
      <c r="P45" s="1" t="s">
        <v>9</v>
      </c>
      <c r="Q45">
        <v>1.26</v>
      </c>
      <c r="R45">
        <v>0.62</v>
      </c>
      <c r="S45" s="1">
        <f t="shared" si="26"/>
        <v>2.032258064516129</v>
      </c>
      <c r="T45" s="1">
        <f t="shared" si="28"/>
        <v>0.67021276595744683</v>
      </c>
    </row>
    <row r="46" spans="1:20">
      <c r="A46">
        <v>2</v>
      </c>
      <c r="B46" s="1" t="s">
        <v>31</v>
      </c>
      <c r="C46" s="1" t="s">
        <v>19</v>
      </c>
      <c r="D46" s="1">
        <v>5</v>
      </c>
      <c r="E46" s="1" t="s">
        <v>8</v>
      </c>
      <c r="F46" s="1">
        <v>0.12</v>
      </c>
      <c r="G46" s="1">
        <v>0.63</v>
      </c>
      <c r="H46" s="1">
        <f t="shared" si="24"/>
        <v>0.19047619047619047</v>
      </c>
      <c r="I46" s="1">
        <f t="shared" si="29"/>
        <v>0.16</v>
      </c>
      <c r="J46" s="1"/>
      <c r="K46" s="1"/>
    </row>
    <row r="47" spans="1:20">
      <c r="A47">
        <v>2</v>
      </c>
      <c r="B47" s="1" t="s">
        <v>25</v>
      </c>
      <c r="C47" s="1" t="s">
        <v>19</v>
      </c>
      <c r="D47" s="1">
        <v>1</v>
      </c>
      <c r="E47" s="1" t="s">
        <v>8</v>
      </c>
      <c r="F47" s="1">
        <v>0.9</v>
      </c>
      <c r="G47" s="1">
        <v>0.5</v>
      </c>
      <c r="H47" s="1">
        <f t="shared" si="24"/>
        <v>1.8</v>
      </c>
      <c r="I47" s="1">
        <f t="shared" si="29"/>
        <v>0.6428571428571429</v>
      </c>
      <c r="J47" s="1"/>
      <c r="K47" s="1"/>
    </row>
    <row r="48" spans="1:20">
      <c r="A48">
        <v>2</v>
      </c>
      <c r="B48" s="1" t="s">
        <v>25</v>
      </c>
      <c r="C48" s="1" t="s">
        <v>19</v>
      </c>
      <c r="D48" s="1">
        <v>3</v>
      </c>
      <c r="E48" s="1" t="s">
        <v>8</v>
      </c>
      <c r="F48" s="1">
        <v>1.96</v>
      </c>
      <c r="G48" s="1">
        <v>0.39</v>
      </c>
      <c r="H48" s="1">
        <f t="shared" si="24"/>
        <v>5.0256410256410255</v>
      </c>
      <c r="I48" s="1">
        <f t="shared" si="29"/>
        <v>0.83404255319148934</v>
      </c>
      <c r="J48" s="1"/>
      <c r="K48" s="1"/>
    </row>
    <row r="49" spans="1:20">
      <c r="E49" s="1" t="s">
        <v>2</v>
      </c>
      <c r="F49">
        <f>AVERAGE(F34:F48)</f>
        <v>1.4306666666666681</v>
      </c>
      <c r="G49">
        <f t="shared" ref="G49:T49" si="30">AVERAGE(G34:G48)</f>
        <v>0.46266666666666817</v>
      </c>
      <c r="H49">
        <f t="shared" si="30"/>
        <v>5.5510875523742298</v>
      </c>
      <c r="I49">
        <f t="shared" si="30"/>
        <v>0.73714141373791109</v>
      </c>
      <c r="Q49">
        <f t="shared" si="30"/>
        <v>1.4525000000000003</v>
      </c>
      <c r="R49">
        <f t="shared" si="30"/>
        <v>0.55833333333333146</v>
      </c>
      <c r="S49">
        <f t="shared" si="30"/>
        <v>7.4722405215918135</v>
      </c>
      <c r="T49">
        <f t="shared" si="30"/>
        <v>0.67311211333053966</v>
      </c>
    </row>
    <row r="50" spans="1:20">
      <c r="E50" s="1" t="s">
        <v>3</v>
      </c>
      <c r="F50">
        <f>STDEV(F34:F48)/(SQRT(COUNT(F34:F48)))</f>
        <v>0.23627761449428764</v>
      </c>
      <c r="G50">
        <f t="shared" ref="G50:T50" si="31">STDEV(G34:G48)/(SQRT(COUNT(G34:G48)))</f>
        <v>7.4676870051140834E-2</v>
      </c>
      <c r="H50">
        <f t="shared" si="31"/>
        <v>1.6321718040044482</v>
      </c>
      <c r="I50">
        <f t="shared" si="31"/>
        <v>5.219994331521411E-2</v>
      </c>
      <c r="Q50">
        <f t="shared" si="31"/>
        <v>0.33852649732914508</v>
      </c>
      <c r="R50">
        <f t="shared" si="31"/>
        <v>9.6057379737426604E-2</v>
      </c>
      <c r="S50">
        <f t="shared" si="31"/>
        <v>3.5543866325339062</v>
      </c>
      <c r="T50">
        <f t="shared" si="31"/>
        <v>7.8335594643070175E-2</v>
      </c>
    </row>
    <row r="52" spans="1:20">
      <c r="A52">
        <v>2</v>
      </c>
      <c r="B52" s="1" t="s">
        <v>36</v>
      </c>
      <c r="C52" s="1" t="s">
        <v>50</v>
      </c>
      <c r="D52" s="1">
        <v>2</v>
      </c>
      <c r="E52" s="1" t="s">
        <v>8</v>
      </c>
      <c r="F52" s="1">
        <v>1.81</v>
      </c>
      <c r="G52" s="1">
        <v>0.36</v>
      </c>
      <c r="H52" s="1">
        <f t="shared" ref="H52:H59" si="32">F52/G52</f>
        <v>5.0277777777777777</v>
      </c>
      <c r="I52" s="1">
        <f t="shared" ref="I52:I59" si="33">F52/SUM(F52+G52)</f>
        <v>0.83410138248847931</v>
      </c>
      <c r="J52" s="1"/>
      <c r="K52" s="1"/>
      <c r="L52">
        <v>2</v>
      </c>
      <c r="M52" s="1" t="s">
        <v>36</v>
      </c>
      <c r="N52" s="1" t="s">
        <v>50</v>
      </c>
      <c r="O52" s="1">
        <v>1</v>
      </c>
      <c r="P52" s="1" t="s">
        <v>9</v>
      </c>
      <c r="Q52" s="1">
        <v>2.21</v>
      </c>
      <c r="R52" s="1">
        <v>0.83</v>
      </c>
      <c r="S52" s="1">
        <f t="shared" ref="S52:S59" si="34">Q52/R52</f>
        <v>2.6626506024096388</v>
      </c>
      <c r="T52" s="1">
        <f t="shared" ref="T52:T59" si="35">Q52/SUM(Q52+R52)</f>
        <v>0.72697368421052633</v>
      </c>
    </row>
    <row r="53" spans="1:20">
      <c r="A53">
        <v>2</v>
      </c>
      <c r="B53" s="1" t="s">
        <v>37</v>
      </c>
      <c r="C53" s="1" t="s">
        <v>50</v>
      </c>
      <c r="D53" s="1">
        <v>1</v>
      </c>
      <c r="E53" s="1" t="s">
        <v>8</v>
      </c>
      <c r="F53" s="1">
        <v>0.97</v>
      </c>
      <c r="G53" s="1">
        <v>1.17</v>
      </c>
      <c r="H53" s="1">
        <f t="shared" si="32"/>
        <v>0.82905982905982911</v>
      </c>
      <c r="I53" s="1">
        <f t="shared" si="33"/>
        <v>0.45327102803738323</v>
      </c>
      <c r="J53" s="1"/>
      <c r="K53" s="1"/>
      <c r="L53">
        <v>2</v>
      </c>
      <c r="M53" s="1" t="s">
        <v>36</v>
      </c>
      <c r="N53" s="1" t="s">
        <v>50</v>
      </c>
      <c r="O53" s="1">
        <v>3</v>
      </c>
      <c r="P53" s="1" t="s">
        <v>9</v>
      </c>
      <c r="Q53" s="1">
        <v>1.1100000000000001</v>
      </c>
      <c r="R53" s="1">
        <v>1.01</v>
      </c>
      <c r="S53" s="1">
        <f t="shared" si="34"/>
        <v>1.0990099009900991</v>
      </c>
      <c r="T53" s="1">
        <f t="shared" si="35"/>
        <v>0.52358490566037741</v>
      </c>
    </row>
    <row r="54" spans="1:20">
      <c r="A54">
        <v>2</v>
      </c>
      <c r="B54" s="1" t="s">
        <v>37</v>
      </c>
      <c r="C54" s="1" t="s">
        <v>50</v>
      </c>
      <c r="D54" s="1">
        <v>3</v>
      </c>
      <c r="E54" s="1" t="s">
        <v>8</v>
      </c>
      <c r="F54" s="1">
        <v>1.05</v>
      </c>
      <c r="G54" s="1">
        <v>0.78</v>
      </c>
      <c r="H54" s="1">
        <f t="shared" si="32"/>
        <v>1.3461538461538463</v>
      </c>
      <c r="I54" s="1">
        <f t="shared" si="33"/>
        <v>0.57377049180327866</v>
      </c>
      <c r="J54" s="1"/>
      <c r="K54" s="1"/>
      <c r="L54">
        <v>2</v>
      </c>
      <c r="M54" s="1" t="s">
        <v>37</v>
      </c>
      <c r="N54" s="1" t="s">
        <v>50</v>
      </c>
      <c r="O54" s="1">
        <v>2</v>
      </c>
      <c r="P54" s="1" t="s">
        <v>9</v>
      </c>
      <c r="Q54" s="1">
        <v>0.75</v>
      </c>
      <c r="R54" s="1">
        <v>0.1</v>
      </c>
      <c r="S54" s="1">
        <f t="shared" si="34"/>
        <v>7.5</v>
      </c>
      <c r="T54" s="1">
        <f t="shared" si="35"/>
        <v>0.88235294117647056</v>
      </c>
    </row>
    <row r="55" spans="1:20">
      <c r="A55">
        <v>2</v>
      </c>
      <c r="B55" s="1" t="s">
        <v>26</v>
      </c>
      <c r="C55" s="1" t="s">
        <v>50</v>
      </c>
      <c r="D55" s="1">
        <v>1</v>
      </c>
      <c r="E55" s="1" t="s">
        <v>8</v>
      </c>
      <c r="F55" s="1">
        <v>1.1100000000000001</v>
      </c>
      <c r="G55" s="1">
        <v>0.56000000000000005</v>
      </c>
      <c r="H55" s="1">
        <f t="shared" si="32"/>
        <v>1.9821428571428572</v>
      </c>
      <c r="I55" s="1">
        <f t="shared" si="33"/>
        <v>0.66467065868263475</v>
      </c>
      <c r="J55" s="1"/>
      <c r="K55" s="1"/>
      <c r="L55">
        <v>2</v>
      </c>
      <c r="M55" s="1" t="s">
        <v>26</v>
      </c>
      <c r="N55" s="1" t="s">
        <v>50</v>
      </c>
      <c r="O55" s="1">
        <v>2</v>
      </c>
      <c r="P55" s="1" t="s">
        <v>9</v>
      </c>
      <c r="Q55" s="1">
        <v>1.92</v>
      </c>
      <c r="R55" s="1">
        <v>0.12</v>
      </c>
      <c r="S55" s="1">
        <f t="shared" si="34"/>
        <v>16</v>
      </c>
      <c r="T55" s="1">
        <f t="shared" si="35"/>
        <v>0.94117647058823528</v>
      </c>
    </row>
    <row r="56" spans="1:20">
      <c r="A56">
        <v>2</v>
      </c>
      <c r="B56" s="1" t="s">
        <v>26</v>
      </c>
      <c r="C56" s="1" t="s">
        <v>50</v>
      </c>
      <c r="D56" s="1">
        <v>3</v>
      </c>
      <c r="E56" s="1" t="s">
        <v>8</v>
      </c>
      <c r="F56" s="1">
        <v>0.92</v>
      </c>
      <c r="G56" s="1">
        <v>0.26</v>
      </c>
      <c r="H56" s="1">
        <f t="shared" si="32"/>
        <v>3.5384615384615383</v>
      </c>
      <c r="I56" s="1">
        <f t="shared" si="33"/>
        <v>0.77966101694915246</v>
      </c>
      <c r="J56" s="1"/>
      <c r="K56" s="1"/>
      <c r="L56">
        <v>2</v>
      </c>
      <c r="M56" s="1" t="s">
        <v>26</v>
      </c>
      <c r="N56" s="1" t="s">
        <v>50</v>
      </c>
      <c r="O56" s="1">
        <v>4</v>
      </c>
      <c r="P56" s="1" t="s">
        <v>9</v>
      </c>
      <c r="Q56" s="1">
        <v>0.93</v>
      </c>
      <c r="R56" s="1">
        <v>0.36</v>
      </c>
      <c r="S56" s="1">
        <f t="shared" si="34"/>
        <v>2.5833333333333335</v>
      </c>
      <c r="T56" s="1">
        <f t="shared" si="35"/>
        <v>0.72093023255813959</v>
      </c>
    </row>
    <row r="57" spans="1:20">
      <c r="A57">
        <v>2</v>
      </c>
      <c r="B57" s="1" t="s">
        <v>27</v>
      </c>
      <c r="C57" s="1" t="s">
        <v>50</v>
      </c>
      <c r="D57" s="1">
        <v>1</v>
      </c>
      <c r="E57" s="1" t="s">
        <v>8</v>
      </c>
      <c r="F57" s="1">
        <v>0.88</v>
      </c>
      <c r="G57" s="1">
        <v>0.62</v>
      </c>
      <c r="H57" s="1">
        <f t="shared" si="32"/>
        <v>1.4193548387096775</v>
      </c>
      <c r="I57" s="1">
        <f t="shared" si="33"/>
        <v>0.58666666666666667</v>
      </c>
      <c r="J57" s="1"/>
      <c r="K57" s="1"/>
      <c r="L57">
        <v>2</v>
      </c>
      <c r="M57" s="1" t="s">
        <v>27</v>
      </c>
      <c r="N57" s="1" t="s">
        <v>50</v>
      </c>
      <c r="O57" s="1">
        <v>2</v>
      </c>
      <c r="P57" s="1" t="s">
        <v>9</v>
      </c>
      <c r="Q57" s="1">
        <v>1.28</v>
      </c>
      <c r="R57" s="1">
        <v>0.08</v>
      </c>
      <c r="S57" s="1">
        <f t="shared" si="34"/>
        <v>16</v>
      </c>
      <c r="T57" s="1">
        <f t="shared" si="35"/>
        <v>0.94117647058823528</v>
      </c>
    </row>
    <row r="58" spans="1:20">
      <c r="A58">
        <v>2</v>
      </c>
      <c r="B58" s="1" t="s">
        <v>27</v>
      </c>
      <c r="C58" s="1" t="s">
        <v>50</v>
      </c>
      <c r="D58" s="1">
        <v>3</v>
      </c>
      <c r="E58" s="1" t="s">
        <v>8</v>
      </c>
      <c r="F58" s="1">
        <v>2.37</v>
      </c>
      <c r="G58" s="1">
        <v>0.53</v>
      </c>
      <c r="H58" s="1">
        <f t="shared" si="32"/>
        <v>4.4716981132075473</v>
      </c>
      <c r="I58" s="1">
        <f t="shared" si="33"/>
        <v>0.8172413793103448</v>
      </c>
      <c r="J58" s="1"/>
      <c r="K58" s="1"/>
      <c r="L58">
        <v>2</v>
      </c>
      <c r="M58" s="1" t="s">
        <v>27</v>
      </c>
      <c r="N58" s="1" t="s">
        <v>50</v>
      </c>
      <c r="O58" s="1">
        <v>4</v>
      </c>
      <c r="P58" s="1" t="s">
        <v>9</v>
      </c>
      <c r="Q58" s="1">
        <v>1.75</v>
      </c>
      <c r="R58" s="1">
        <v>0.75</v>
      </c>
      <c r="S58" s="1">
        <f t="shared" si="34"/>
        <v>2.3333333333333335</v>
      </c>
      <c r="T58" s="1">
        <f t="shared" si="35"/>
        <v>0.7</v>
      </c>
    </row>
    <row r="59" spans="1:20">
      <c r="A59">
        <v>2</v>
      </c>
      <c r="B59" s="1" t="s">
        <v>28</v>
      </c>
      <c r="C59" s="1" t="s">
        <v>50</v>
      </c>
      <c r="D59" s="1">
        <v>1</v>
      </c>
      <c r="E59" s="1" t="s">
        <v>8</v>
      </c>
      <c r="F59" s="1">
        <v>1.17</v>
      </c>
      <c r="G59" s="1">
        <v>0.53</v>
      </c>
      <c r="H59" s="1">
        <f t="shared" si="32"/>
        <v>2.2075471698113205</v>
      </c>
      <c r="I59" s="1">
        <f t="shared" si="33"/>
        <v>0.68823529411764706</v>
      </c>
      <c r="J59" s="1"/>
      <c r="K59" s="1"/>
      <c r="L59">
        <v>2</v>
      </c>
      <c r="M59" s="1" t="s">
        <v>28</v>
      </c>
      <c r="N59" s="1" t="s">
        <v>50</v>
      </c>
      <c r="O59" s="1">
        <v>2</v>
      </c>
      <c r="P59" s="1" t="s">
        <v>9</v>
      </c>
      <c r="Q59" s="1">
        <v>1.62</v>
      </c>
      <c r="R59" s="1">
        <v>0.17</v>
      </c>
      <c r="S59" s="1">
        <f t="shared" si="34"/>
        <v>9.5294117647058822</v>
      </c>
      <c r="T59" s="1">
        <f t="shared" si="35"/>
        <v>0.9050279329608939</v>
      </c>
    </row>
    <row r="60" spans="1:20">
      <c r="E60" s="1" t="s">
        <v>2</v>
      </c>
      <c r="F60">
        <f>AVERAGE(F52:F59)</f>
        <v>1.2849999999999999</v>
      </c>
      <c r="G60">
        <f t="shared" ref="G60:T60" si="36">AVERAGE(G52:G59)</f>
        <v>0.60125000000000006</v>
      </c>
      <c r="H60">
        <f t="shared" si="36"/>
        <v>2.6027744962905492</v>
      </c>
      <c r="I60">
        <f t="shared" si="36"/>
        <v>0.67470223975694843</v>
      </c>
      <c r="Q60">
        <f t="shared" si="36"/>
        <v>1.44625</v>
      </c>
      <c r="R60">
        <f t="shared" si="36"/>
        <v>0.42749999999999999</v>
      </c>
      <c r="S60">
        <f t="shared" si="36"/>
        <v>7.2134673668465359</v>
      </c>
      <c r="T60">
        <f t="shared" si="36"/>
        <v>0.79265282971785977</v>
      </c>
    </row>
    <row r="61" spans="1:20">
      <c r="E61" s="1" t="s">
        <v>3</v>
      </c>
      <c r="F61">
        <f>STDEV(F52:F59)/(SQRT(COUNT(F52:F59)))</f>
        <v>0.18652843521258947</v>
      </c>
      <c r="G61">
        <f t="shared" ref="G61:T61" si="37">STDEV(G52:G59)/(SQRT(COUNT(G52:G59)))</f>
        <v>9.840581973208104E-2</v>
      </c>
      <c r="H61">
        <f t="shared" si="37"/>
        <v>0.5496111641446404</v>
      </c>
      <c r="I61">
        <f t="shared" si="37"/>
        <v>4.7055225058083204E-2</v>
      </c>
      <c r="Q61">
        <f t="shared" si="37"/>
        <v>0.18038587112077273</v>
      </c>
      <c r="R61">
        <f t="shared" si="37"/>
        <v>0.13354707570205879</v>
      </c>
      <c r="S61">
        <f t="shared" si="37"/>
        <v>2.1679581551929137</v>
      </c>
      <c r="T61">
        <f t="shared" si="37"/>
        <v>5.2649920860168585E-2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E20" sqref="E20"/>
    </sheetView>
  </sheetViews>
  <sheetFormatPr baseColWidth="10" defaultRowHeight="15" x14ac:dyDescent="0"/>
  <sheetData>
    <row r="1" spans="1:19">
      <c r="A1">
        <v>1</v>
      </c>
      <c r="B1" t="s">
        <v>42</v>
      </c>
      <c r="C1" t="s">
        <v>13</v>
      </c>
      <c r="D1" t="s">
        <v>0</v>
      </c>
      <c r="E1" t="s">
        <v>1</v>
      </c>
      <c r="F1" t="s">
        <v>17</v>
      </c>
      <c r="G1" t="s">
        <v>24</v>
      </c>
    </row>
    <row r="2" spans="1:19">
      <c r="A2">
        <v>1</v>
      </c>
      <c r="B2" s="1" t="s">
        <v>43</v>
      </c>
      <c r="C2" s="1" t="s">
        <v>8</v>
      </c>
      <c r="D2" s="1">
        <v>1.77</v>
      </c>
      <c r="E2" s="1">
        <v>0.65</v>
      </c>
      <c r="F2" s="1">
        <f t="shared" ref="F2:F36" si="0">D2/E2</f>
        <v>2.7230769230769232</v>
      </c>
      <c r="G2" s="1">
        <f>D2/SUM(D2+E2)</f>
        <v>0.73140495867768596</v>
      </c>
      <c r="H2" s="1"/>
      <c r="Q2" s="1"/>
      <c r="R2" s="1"/>
      <c r="S2" s="1"/>
    </row>
    <row r="3" spans="1:19">
      <c r="A3">
        <v>1</v>
      </c>
      <c r="B3" s="1" t="s">
        <v>43</v>
      </c>
      <c r="C3" s="1" t="s">
        <v>8</v>
      </c>
      <c r="D3" s="1">
        <v>0.61</v>
      </c>
      <c r="E3" s="1">
        <v>0.44</v>
      </c>
      <c r="F3" s="1">
        <f t="shared" si="0"/>
        <v>1.3863636363636362</v>
      </c>
      <c r="G3" s="1">
        <f>D3/SUM(D3+E3)</f>
        <v>0.58095238095238089</v>
      </c>
      <c r="H3" s="1"/>
      <c r="Q3" s="1"/>
      <c r="R3" s="1"/>
      <c r="S3" s="1"/>
    </row>
    <row r="4" spans="1:19">
      <c r="A4">
        <v>1</v>
      </c>
      <c r="B4" s="1" t="s">
        <v>43</v>
      </c>
      <c r="C4" s="1" t="s">
        <v>8</v>
      </c>
      <c r="D4" s="1">
        <v>1.52</v>
      </c>
      <c r="E4" s="1">
        <v>0.68</v>
      </c>
      <c r="F4" s="1">
        <f t="shared" si="0"/>
        <v>2.2352941176470589</v>
      </c>
      <c r="G4" s="1">
        <f>D4/SUM(D4:E4)</f>
        <v>0.69090909090909081</v>
      </c>
      <c r="H4" s="1"/>
      <c r="Q4" s="1"/>
      <c r="R4" s="1"/>
      <c r="S4" s="1"/>
    </row>
    <row r="5" spans="1:19">
      <c r="A5">
        <v>1</v>
      </c>
      <c r="B5" s="1" t="s">
        <v>43</v>
      </c>
      <c r="C5" s="1" t="s">
        <v>8</v>
      </c>
      <c r="D5" s="1">
        <v>1.86</v>
      </c>
      <c r="E5" s="1">
        <v>0.43</v>
      </c>
      <c r="F5" s="1">
        <f t="shared" si="0"/>
        <v>4.3255813953488378</v>
      </c>
      <c r="G5" s="1">
        <f>D5/SUM(D5:E5)</f>
        <v>0.81222707423580787</v>
      </c>
      <c r="H5" s="1"/>
      <c r="Q5" s="1"/>
      <c r="R5" s="1"/>
      <c r="S5" s="1"/>
    </row>
    <row r="6" spans="1:19">
      <c r="A6">
        <v>1</v>
      </c>
      <c r="B6" s="1" t="s">
        <v>43</v>
      </c>
      <c r="C6" s="1" t="s">
        <v>8</v>
      </c>
      <c r="D6" s="1">
        <v>1.25</v>
      </c>
      <c r="E6" s="1">
        <v>0.17</v>
      </c>
      <c r="F6" s="1">
        <f t="shared" si="0"/>
        <v>7.3529411764705879</v>
      </c>
      <c r="G6" s="1">
        <f>D6/SUM(D6:E6)</f>
        <v>0.88028169014084512</v>
      </c>
      <c r="H6" s="1"/>
      <c r="Q6" s="1"/>
      <c r="R6" s="1"/>
      <c r="S6" s="1"/>
    </row>
    <row r="7" spans="1:19">
      <c r="A7">
        <v>1</v>
      </c>
      <c r="B7" s="1" t="s">
        <v>43</v>
      </c>
      <c r="C7" s="1" t="s">
        <v>8</v>
      </c>
      <c r="D7" s="1">
        <v>1.41</v>
      </c>
      <c r="E7" s="1">
        <v>0.19</v>
      </c>
      <c r="F7" s="1">
        <f t="shared" si="0"/>
        <v>7.4210526315789469</v>
      </c>
      <c r="G7" s="1">
        <f>D7/SUM(D7:E7)</f>
        <v>0.88124999999999998</v>
      </c>
      <c r="H7" s="1"/>
      <c r="Q7" s="1"/>
      <c r="R7" s="1"/>
      <c r="S7" s="1"/>
    </row>
    <row r="8" spans="1:19">
      <c r="A8">
        <v>1</v>
      </c>
      <c r="B8" s="1" t="s">
        <v>43</v>
      </c>
      <c r="C8" s="1" t="s">
        <v>8</v>
      </c>
      <c r="D8" s="1">
        <v>0.69</v>
      </c>
      <c r="E8" s="1">
        <v>0.38</v>
      </c>
      <c r="F8" s="1">
        <f t="shared" si="0"/>
        <v>1.8157894736842104</v>
      </c>
      <c r="G8" s="1">
        <f>D8/SUM(D8:E8)</f>
        <v>0.64485981308411222</v>
      </c>
      <c r="H8" s="1"/>
      <c r="Q8" s="1"/>
      <c r="R8" s="1"/>
      <c r="S8" s="1"/>
    </row>
    <row r="9" spans="1:19">
      <c r="A9">
        <v>1</v>
      </c>
      <c r="B9" s="1" t="s">
        <v>43</v>
      </c>
      <c r="C9" s="1" t="s">
        <v>8</v>
      </c>
      <c r="D9" s="1">
        <v>0.48</v>
      </c>
      <c r="E9" s="1">
        <v>0.38</v>
      </c>
      <c r="F9" s="1">
        <f t="shared" si="0"/>
        <v>1.263157894736842</v>
      </c>
      <c r="G9" s="1">
        <f t="shared" ref="G9:G18" si="1">D9/SUM(D9+E9)</f>
        <v>0.55813953488372092</v>
      </c>
      <c r="H9" s="1"/>
      <c r="Q9" s="1"/>
      <c r="R9" s="1"/>
      <c r="S9" s="1"/>
    </row>
    <row r="10" spans="1:19">
      <c r="A10">
        <v>1</v>
      </c>
      <c r="B10" s="1" t="s">
        <v>43</v>
      </c>
      <c r="C10" s="1" t="s">
        <v>9</v>
      </c>
      <c r="D10" s="1">
        <v>0.49</v>
      </c>
      <c r="E10" s="1">
        <v>0.26</v>
      </c>
      <c r="F10" s="1">
        <f t="shared" si="0"/>
        <v>1.8846153846153846</v>
      </c>
      <c r="G10" s="1">
        <f t="shared" si="1"/>
        <v>0.65333333333333332</v>
      </c>
    </row>
    <row r="11" spans="1:19">
      <c r="A11">
        <v>1</v>
      </c>
      <c r="B11" s="1" t="s">
        <v>43</v>
      </c>
      <c r="C11" s="1" t="s">
        <v>9</v>
      </c>
      <c r="D11" s="1">
        <v>1.7</v>
      </c>
      <c r="E11" s="1">
        <v>0.37</v>
      </c>
      <c r="F11" s="1">
        <f t="shared" si="0"/>
        <v>4.5945945945945947</v>
      </c>
      <c r="G11" s="1">
        <f t="shared" si="1"/>
        <v>0.82125603864734309</v>
      </c>
    </row>
    <row r="12" spans="1:19">
      <c r="A12">
        <v>1</v>
      </c>
      <c r="B12" s="1" t="s">
        <v>43</v>
      </c>
      <c r="C12" s="1" t="s">
        <v>9</v>
      </c>
      <c r="D12" s="1">
        <v>0.98</v>
      </c>
      <c r="E12" s="1">
        <v>0.36</v>
      </c>
      <c r="F12" s="1">
        <f t="shared" si="0"/>
        <v>2.7222222222222223</v>
      </c>
      <c r="G12" s="1">
        <f t="shared" si="1"/>
        <v>0.73134328358208966</v>
      </c>
    </row>
    <row r="13" spans="1:19">
      <c r="A13">
        <v>1</v>
      </c>
      <c r="B13" s="1" t="s">
        <v>43</v>
      </c>
      <c r="C13" s="1" t="s">
        <v>9</v>
      </c>
      <c r="D13" s="1">
        <v>0.51</v>
      </c>
      <c r="E13" s="1">
        <v>1.1299999999999999</v>
      </c>
      <c r="F13" s="1">
        <f t="shared" si="0"/>
        <v>0.45132743362831862</v>
      </c>
      <c r="G13" s="1">
        <f t="shared" si="1"/>
        <v>0.31097560975609756</v>
      </c>
    </row>
    <row r="14" spans="1:19">
      <c r="A14">
        <v>1</v>
      </c>
      <c r="B14" s="1" t="s">
        <v>43</v>
      </c>
      <c r="C14" s="1" t="s">
        <v>9</v>
      </c>
      <c r="D14" s="1">
        <v>1.1499999999999999</v>
      </c>
      <c r="E14" s="1">
        <v>0.03</v>
      </c>
      <c r="F14" s="1">
        <f t="shared" si="0"/>
        <v>38.333333333333329</v>
      </c>
      <c r="G14" s="1">
        <f t="shared" si="1"/>
        <v>0.97457627118644063</v>
      </c>
    </row>
    <row r="15" spans="1:19">
      <c r="A15">
        <v>1</v>
      </c>
      <c r="B15" s="1" t="s">
        <v>43</v>
      </c>
      <c r="C15" s="1" t="s">
        <v>9</v>
      </c>
      <c r="D15" s="1">
        <v>1.44</v>
      </c>
      <c r="E15" s="1">
        <v>0.69</v>
      </c>
      <c r="F15" s="1">
        <f t="shared" si="0"/>
        <v>2.0869565217391304</v>
      </c>
      <c r="G15" s="1">
        <f t="shared" si="1"/>
        <v>0.676056338028169</v>
      </c>
    </row>
    <row r="16" spans="1:19">
      <c r="A16">
        <v>1</v>
      </c>
      <c r="B16" s="1" t="s">
        <v>43</v>
      </c>
      <c r="C16" s="1" t="s">
        <v>9</v>
      </c>
      <c r="D16" s="1">
        <v>0.48</v>
      </c>
      <c r="E16" s="1">
        <v>0.33</v>
      </c>
      <c r="F16" s="1">
        <f t="shared" si="0"/>
        <v>1.4545454545454544</v>
      </c>
      <c r="G16" s="1">
        <f t="shared" si="1"/>
        <v>0.59259259259259256</v>
      </c>
      <c r="Q16" s="1"/>
      <c r="R16" s="1"/>
      <c r="S16" s="1"/>
    </row>
    <row r="17" spans="1:19">
      <c r="A17">
        <v>1</v>
      </c>
      <c r="B17" s="1" t="s">
        <v>43</v>
      </c>
      <c r="C17" s="1" t="s">
        <v>9</v>
      </c>
      <c r="D17" s="1">
        <v>1.06</v>
      </c>
      <c r="E17" s="1">
        <v>0.41</v>
      </c>
      <c r="F17" s="1">
        <f t="shared" si="0"/>
        <v>2.5853658536585367</v>
      </c>
      <c r="G17" s="1">
        <f t="shared" si="1"/>
        <v>0.72108843537414968</v>
      </c>
      <c r="Q17" s="1"/>
      <c r="R17" s="1"/>
      <c r="S17" s="1"/>
    </row>
    <row r="18" spans="1:19">
      <c r="A18">
        <v>1</v>
      </c>
      <c r="B18" s="1" t="s">
        <v>41</v>
      </c>
      <c r="C18" s="1" t="s">
        <v>8</v>
      </c>
      <c r="D18" s="1">
        <v>0.33</v>
      </c>
      <c r="E18" s="1">
        <v>0.03</v>
      </c>
      <c r="F18" s="1">
        <f t="shared" si="0"/>
        <v>11.000000000000002</v>
      </c>
      <c r="G18" s="1">
        <f t="shared" si="1"/>
        <v>0.91666666666666674</v>
      </c>
      <c r="Q18" s="1"/>
      <c r="R18" s="1"/>
      <c r="S18" s="1"/>
    </row>
    <row r="19" spans="1:19">
      <c r="A19">
        <v>1</v>
      </c>
      <c r="B19" t="s">
        <v>41</v>
      </c>
      <c r="C19" t="s">
        <v>8</v>
      </c>
      <c r="D19">
        <f>84.19-82.2</f>
        <v>1.9899999999999949</v>
      </c>
      <c r="E19">
        <f>74.23-72.73</f>
        <v>1.5</v>
      </c>
      <c r="F19">
        <f t="shared" si="0"/>
        <v>1.3266666666666633</v>
      </c>
      <c r="G19">
        <f t="shared" ref="G19:G30" si="2">D19/SUM(D19:E19)</f>
        <v>0.57020057306590199</v>
      </c>
      <c r="Q19" s="1"/>
      <c r="R19" s="1"/>
      <c r="S19" s="1"/>
    </row>
    <row r="20" spans="1:19">
      <c r="A20">
        <v>1</v>
      </c>
      <c r="B20" t="s">
        <v>41</v>
      </c>
      <c r="C20" t="s">
        <v>8</v>
      </c>
      <c r="D20">
        <f>78.76-77.23</f>
        <v>1.5300000000000011</v>
      </c>
      <c r="E20">
        <f>83.97-83.52</f>
        <v>0.45000000000000284</v>
      </c>
      <c r="F20">
        <f t="shared" si="0"/>
        <v>3.3999999999999813</v>
      </c>
      <c r="G20">
        <f t="shared" si="2"/>
        <v>0.77272727272727171</v>
      </c>
      <c r="Q20" s="1"/>
      <c r="R20" s="1"/>
      <c r="S20" s="1"/>
    </row>
    <row r="21" spans="1:19">
      <c r="A21">
        <v>1</v>
      </c>
      <c r="B21" t="s">
        <v>41</v>
      </c>
      <c r="C21" t="s">
        <v>8</v>
      </c>
      <c r="D21">
        <f>87.9-85.27</f>
        <v>2.6300000000000097</v>
      </c>
      <c r="E21">
        <f>81.68-81.49</f>
        <v>0.19000000000001194</v>
      </c>
      <c r="F21">
        <f t="shared" si="0"/>
        <v>13.842105263157077</v>
      </c>
      <c r="G21">
        <f t="shared" si="2"/>
        <v>0.9326241134751736</v>
      </c>
      <c r="Q21" s="1"/>
      <c r="R21" s="1"/>
      <c r="S21" s="1"/>
    </row>
    <row r="22" spans="1:19">
      <c r="A22">
        <v>1</v>
      </c>
      <c r="B22" t="s">
        <v>41</v>
      </c>
      <c r="C22" t="s">
        <v>8</v>
      </c>
      <c r="D22">
        <f>77.67-77.17</f>
        <v>0.5</v>
      </c>
      <c r="E22">
        <f>71.48-70.76</f>
        <v>0.71999999999999886</v>
      </c>
      <c r="F22">
        <f t="shared" si="0"/>
        <v>0.69444444444444553</v>
      </c>
      <c r="G22">
        <f t="shared" si="2"/>
        <v>0.40983606557377089</v>
      </c>
    </row>
    <row r="23" spans="1:19">
      <c r="A23">
        <v>1</v>
      </c>
      <c r="B23" t="s">
        <v>41</v>
      </c>
      <c r="C23" t="s">
        <v>8</v>
      </c>
      <c r="D23">
        <f>79.24-77.07</f>
        <v>2.1700000000000017</v>
      </c>
      <c r="E23">
        <f>77.05-75.37</f>
        <v>1.6799999999999926</v>
      </c>
      <c r="F23">
        <f t="shared" si="0"/>
        <v>1.2916666666666734</v>
      </c>
      <c r="G23">
        <f t="shared" si="2"/>
        <v>0.56363636363636493</v>
      </c>
    </row>
    <row r="24" spans="1:19">
      <c r="A24">
        <v>1</v>
      </c>
      <c r="B24" t="s">
        <v>41</v>
      </c>
      <c r="C24" t="s">
        <v>8</v>
      </c>
      <c r="D24">
        <f>86.71-85.47</f>
        <v>1.2399999999999949</v>
      </c>
      <c r="E24">
        <f>79.55-79.41</f>
        <v>0.14000000000000057</v>
      </c>
      <c r="F24">
        <f t="shared" si="0"/>
        <v>8.8571428571427848</v>
      </c>
      <c r="G24">
        <f t="shared" si="2"/>
        <v>0.89855072463768038</v>
      </c>
    </row>
    <row r="25" spans="1:19">
      <c r="A25">
        <v>1</v>
      </c>
      <c r="B25" t="s">
        <v>41</v>
      </c>
      <c r="C25" t="s">
        <v>9</v>
      </c>
      <c r="D25">
        <v>1.3900000000000006</v>
      </c>
      <c r="E25">
        <v>0.15000000000000568</v>
      </c>
      <c r="F25">
        <f t="shared" si="0"/>
        <v>9.2666666666663193</v>
      </c>
      <c r="G25">
        <f t="shared" si="2"/>
        <v>0.90259740259739929</v>
      </c>
      <c r="Q25" s="1"/>
      <c r="R25" s="1"/>
      <c r="S25" s="1"/>
    </row>
    <row r="26" spans="1:19">
      <c r="A26">
        <v>1</v>
      </c>
      <c r="B26" t="s">
        <v>41</v>
      </c>
      <c r="C26" t="s">
        <v>9</v>
      </c>
      <c r="D26">
        <v>0.29999999999999716</v>
      </c>
      <c r="E26">
        <v>0.90000000000000568</v>
      </c>
      <c r="F26">
        <f t="shared" si="0"/>
        <v>0.3333333333333281</v>
      </c>
      <c r="G26">
        <f t="shared" si="2"/>
        <v>0.24999999999999703</v>
      </c>
      <c r="Q26" s="1"/>
      <c r="R26" s="1"/>
      <c r="S26" s="1"/>
    </row>
    <row r="27" spans="1:19">
      <c r="A27">
        <v>1</v>
      </c>
      <c r="B27" t="s">
        <v>41</v>
      </c>
      <c r="C27" t="s">
        <v>9</v>
      </c>
      <c r="D27">
        <v>1.1799999999999926</v>
      </c>
      <c r="E27">
        <v>0.37000000000000455</v>
      </c>
      <c r="F27">
        <f t="shared" si="0"/>
        <v>3.18918918918913</v>
      </c>
      <c r="G27">
        <f t="shared" si="2"/>
        <v>0.76129032258064178</v>
      </c>
      <c r="Q27" s="1"/>
      <c r="R27" s="1"/>
      <c r="S27" s="1"/>
    </row>
    <row r="28" spans="1:19">
      <c r="A28">
        <v>1</v>
      </c>
      <c r="B28" t="s">
        <v>41</v>
      </c>
      <c r="C28" t="s">
        <v>9</v>
      </c>
      <c r="D28">
        <v>0.43000000000000682</v>
      </c>
      <c r="E28">
        <v>0.60000000000000853</v>
      </c>
      <c r="F28">
        <f t="shared" si="0"/>
        <v>0.7166666666666679</v>
      </c>
      <c r="G28">
        <f t="shared" si="2"/>
        <v>0.41747572815534023</v>
      </c>
      <c r="Q28" s="1"/>
      <c r="R28" s="1"/>
      <c r="S28" s="1"/>
    </row>
    <row r="29" spans="1:19">
      <c r="A29">
        <v>1</v>
      </c>
      <c r="B29" t="s">
        <v>41</v>
      </c>
      <c r="C29" t="s">
        <v>9</v>
      </c>
      <c r="D29">
        <v>0.54000000000000625</v>
      </c>
      <c r="E29">
        <v>0.15000000000000568</v>
      </c>
      <c r="F29">
        <f t="shared" si="0"/>
        <v>3.5999999999999051</v>
      </c>
      <c r="G29">
        <f t="shared" si="2"/>
        <v>0.78260869565216939</v>
      </c>
      <c r="Q29" s="1"/>
      <c r="R29" s="1"/>
      <c r="S29" s="1"/>
    </row>
    <row r="30" spans="1:19">
      <c r="A30">
        <v>1</v>
      </c>
      <c r="B30" t="s">
        <v>41</v>
      </c>
      <c r="C30" t="s">
        <v>9</v>
      </c>
      <c r="D30">
        <v>0.59000000000000341</v>
      </c>
      <c r="E30">
        <v>1.3799999999999955</v>
      </c>
      <c r="F30">
        <f t="shared" si="0"/>
        <v>0.42753623188406187</v>
      </c>
      <c r="G30">
        <f t="shared" si="2"/>
        <v>0.29949238578680393</v>
      </c>
      <c r="Q30" s="1"/>
      <c r="R30" s="1"/>
      <c r="S30" s="1"/>
    </row>
    <row r="31" spans="1:19">
      <c r="A31" s="1">
        <v>1</v>
      </c>
      <c r="B31" s="1" t="s">
        <v>41</v>
      </c>
      <c r="C31" s="1" t="s">
        <v>9</v>
      </c>
      <c r="D31" s="1">
        <v>0.79</v>
      </c>
      <c r="E31" s="1">
        <v>0.37</v>
      </c>
      <c r="F31" s="1">
        <f t="shared" si="0"/>
        <v>2.1351351351351351</v>
      </c>
      <c r="G31" s="1">
        <f t="shared" ref="G31:G36" si="3">D31/SUM(D31+E31)</f>
        <v>0.68103448275862066</v>
      </c>
      <c r="Q31" s="1"/>
      <c r="R31" s="1"/>
      <c r="S31" s="1"/>
    </row>
    <row r="32" spans="1:19">
      <c r="A32" s="1">
        <v>1</v>
      </c>
      <c r="B32" s="1" t="s">
        <v>41</v>
      </c>
      <c r="C32" s="1" t="s">
        <v>9</v>
      </c>
      <c r="D32" s="1">
        <v>0.27</v>
      </c>
      <c r="E32" s="1">
        <v>0.91</v>
      </c>
      <c r="F32" s="1">
        <f t="shared" si="0"/>
        <v>0.2967032967032967</v>
      </c>
      <c r="G32" s="1">
        <f t="shared" si="3"/>
        <v>0.22881355932203387</v>
      </c>
      <c r="Q32" s="1"/>
      <c r="R32" s="1"/>
      <c r="S32" s="1"/>
    </row>
    <row r="33" spans="1:19">
      <c r="A33" s="1">
        <v>1</v>
      </c>
      <c r="B33" s="1" t="s">
        <v>41</v>
      </c>
      <c r="C33" s="1" t="s">
        <v>9</v>
      </c>
      <c r="D33" s="1">
        <v>1.39</v>
      </c>
      <c r="E33" s="1">
        <v>0.5</v>
      </c>
      <c r="F33" s="1">
        <f t="shared" si="0"/>
        <v>2.78</v>
      </c>
      <c r="G33" s="1">
        <f t="shared" si="3"/>
        <v>0.73544973544973546</v>
      </c>
      <c r="H33" s="1"/>
      <c r="Q33" s="1"/>
      <c r="R33" s="1"/>
      <c r="S33" s="1"/>
    </row>
    <row r="34" spans="1:19">
      <c r="A34" s="1">
        <v>1</v>
      </c>
      <c r="B34" s="1" t="s">
        <v>41</v>
      </c>
      <c r="C34" s="1" t="s">
        <v>9</v>
      </c>
      <c r="D34" s="1">
        <v>0.2</v>
      </c>
      <c r="E34" s="1">
        <v>0.72</v>
      </c>
      <c r="F34" s="1">
        <f t="shared" si="0"/>
        <v>0.27777777777777779</v>
      </c>
      <c r="G34" s="1">
        <f t="shared" si="3"/>
        <v>0.21739130434782611</v>
      </c>
    </row>
    <row r="35" spans="1:19">
      <c r="A35" s="1">
        <v>1</v>
      </c>
      <c r="B35" s="1" t="s">
        <v>41</v>
      </c>
      <c r="C35" s="1" t="s">
        <v>9</v>
      </c>
      <c r="D35" s="1">
        <v>1.92</v>
      </c>
      <c r="E35" s="1">
        <v>0.53</v>
      </c>
      <c r="F35" s="1">
        <f t="shared" si="0"/>
        <v>3.6226415094339619</v>
      </c>
      <c r="G35" s="1">
        <f t="shared" si="3"/>
        <v>0.78367346938775506</v>
      </c>
    </row>
    <row r="36" spans="1:19">
      <c r="A36" s="1">
        <v>1</v>
      </c>
      <c r="B36" s="1" t="s">
        <v>41</v>
      </c>
      <c r="C36" s="1" t="s">
        <v>9</v>
      </c>
      <c r="D36" s="1">
        <v>0.43</v>
      </c>
      <c r="E36" s="1">
        <v>0.49</v>
      </c>
      <c r="F36" s="1">
        <f t="shared" si="0"/>
        <v>0.87755102040816324</v>
      </c>
      <c r="G36" s="1">
        <f t="shared" si="3"/>
        <v>0.46739130434782611</v>
      </c>
    </row>
    <row r="37" spans="1:19">
      <c r="A37">
        <v>2</v>
      </c>
      <c r="B37" s="1" t="s">
        <v>43</v>
      </c>
      <c r="C37" s="1" t="s">
        <v>8</v>
      </c>
      <c r="D37" s="1">
        <v>0.97</v>
      </c>
      <c r="E37" s="1">
        <v>1.17</v>
      </c>
      <c r="F37" s="1">
        <f t="shared" ref="F37:F68" si="4">D37/E37</f>
        <v>0.82905982905982911</v>
      </c>
      <c r="G37" s="1">
        <f t="shared" ref="G37:G53" si="5">D37/SUM(D37+E37)</f>
        <v>0.45327102803738323</v>
      </c>
    </row>
    <row r="38" spans="1:19">
      <c r="A38">
        <v>2</v>
      </c>
      <c r="B38" s="1" t="s">
        <v>43</v>
      </c>
      <c r="C38" s="1" t="s">
        <v>8</v>
      </c>
      <c r="D38" s="1">
        <v>1.81</v>
      </c>
      <c r="E38" s="1">
        <v>0.36</v>
      </c>
      <c r="F38" s="1">
        <f t="shared" si="4"/>
        <v>5.0277777777777777</v>
      </c>
      <c r="G38" s="1">
        <f t="shared" si="5"/>
        <v>0.83410138248847931</v>
      </c>
    </row>
    <row r="39" spans="1:19">
      <c r="A39">
        <v>2</v>
      </c>
      <c r="B39" s="1" t="s">
        <v>43</v>
      </c>
      <c r="C39" s="1" t="s">
        <v>8</v>
      </c>
      <c r="D39" s="1">
        <v>1.1100000000000001</v>
      </c>
      <c r="E39" s="1">
        <v>0.56000000000000005</v>
      </c>
      <c r="F39" s="1">
        <f t="shared" si="4"/>
        <v>1.9821428571428572</v>
      </c>
      <c r="G39" s="1">
        <f t="shared" si="5"/>
        <v>0.66467065868263475</v>
      </c>
    </row>
    <row r="40" spans="1:19">
      <c r="A40">
        <v>2</v>
      </c>
      <c r="B40" s="1" t="s">
        <v>43</v>
      </c>
      <c r="C40" s="1" t="s">
        <v>8</v>
      </c>
      <c r="D40" s="1">
        <v>0.92</v>
      </c>
      <c r="E40" s="1">
        <v>0.26</v>
      </c>
      <c r="F40" s="1">
        <f t="shared" si="4"/>
        <v>3.5384615384615383</v>
      </c>
      <c r="G40" s="1">
        <f t="shared" si="5"/>
        <v>0.77966101694915246</v>
      </c>
    </row>
    <row r="41" spans="1:19">
      <c r="A41">
        <v>2</v>
      </c>
      <c r="B41" s="1" t="s">
        <v>43</v>
      </c>
      <c r="C41" s="1" t="s">
        <v>8</v>
      </c>
      <c r="D41" s="1">
        <v>0.88</v>
      </c>
      <c r="E41" s="1">
        <v>0.62</v>
      </c>
      <c r="F41" s="1">
        <f t="shared" si="4"/>
        <v>1.4193548387096775</v>
      </c>
      <c r="G41" s="1">
        <f t="shared" si="5"/>
        <v>0.58666666666666667</v>
      </c>
    </row>
    <row r="42" spans="1:19">
      <c r="A42">
        <v>2</v>
      </c>
      <c r="B42" s="1" t="s">
        <v>43</v>
      </c>
      <c r="C42" s="1" t="s">
        <v>8</v>
      </c>
      <c r="D42" s="1">
        <v>2.37</v>
      </c>
      <c r="E42" s="1">
        <v>0.53</v>
      </c>
      <c r="F42" s="1">
        <f t="shared" si="4"/>
        <v>4.4716981132075473</v>
      </c>
      <c r="G42" s="1">
        <f t="shared" si="5"/>
        <v>0.8172413793103448</v>
      </c>
    </row>
    <row r="43" spans="1:19">
      <c r="A43">
        <v>2</v>
      </c>
      <c r="B43" s="1" t="s">
        <v>43</v>
      </c>
      <c r="C43" s="1" t="s">
        <v>8</v>
      </c>
      <c r="D43" s="1">
        <v>1.17</v>
      </c>
      <c r="E43" s="1">
        <v>0.53</v>
      </c>
      <c r="F43" s="1">
        <f t="shared" si="4"/>
        <v>2.2075471698113205</v>
      </c>
      <c r="G43" s="1">
        <f t="shared" si="5"/>
        <v>0.68823529411764706</v>
      </c>
    </row>
    <row r="44" spans="1:19">
      <c r="A44">
        <v>2</v>
      </c>
      <c r="B44" s="1" t="s">
        <v>43</v>
      </c>
      <c r="C44" s="1" t="s">
        <v>8</v>
      </c>
      <c r="D44" s="1">
        <v>1.05</v>
      </c>
      <c r="E44" s="1">
        <v>0.78</v>
      </c>
      <c r="F44" s="1">
        <f t="shared" si="4"/>
        <v>1.3461538461538463</v>
      </c>
      <c r="G44" s="1">
        <f t="shared" si="5"/>
        <v>0.57377049180327866</v>
      </c>
    </row>
    <row r="45" spans="1:19">
      <c r="A45" s="1">
        <v>2</v>
      </c>
      <c r="B45" s="1" t="s">
        <v>43</v>
      </c>
      <c r="C45" s="1" t="s">
        <v>9</v>
      </c>
      <c r="D45" s="1">
        <v>0.75</v>
      </c>
      <c r="E45" s="1">
        <v>0.1</v>
      </c>
      <c r="F45" s="1">
        <f t="shared" si="4"/>
        <v>7.5</v>
      </c>
      <c r="G45" s="1">
        <f t="shared" si="5"/>
        <v>0.88235294117647056</v>
      </c>
    </row>
    <row r="46" spans="1:19">
      <c r="A46" s="1">
        <v>2</v>
      </c>
      <c r="B46" s="1" t="s">
        <v>43</v>
      </c>
      <c r="C46" s="1" t="s">
        <v>9</v>
      </c>
      <c r="D46" s="1">
        <v>1.1100000000000001</v>
      </c>
      <c r="E46" s="1">
        <v>1.01</v>
      </c>
      <c r="F46" s="1">
        <f t="shared" si="4"/>
        <v>1.0990099009900991</v>
      </c>
      <c r="G46" s="1">
        <f t="shared" si="5"/>
        <v>0.52358490566037741</v>
      </c>
    </row>
    <row r="47" spans="1:19">
      <c r="A47" s="1">
        <v>2</v>
      </c>
      <c r="B47" s="1" t="s">
        <v>43</v>
      </c>
      <c r="C47" s="1" t="s">
        <v>9</v>
      </c>
      <c r="D47" s="1">
        <v>1.92</v>
      </c>
      <c r="E47" s="1">
        <v>0.12</v>
      </c>
      <c r="F47" s="1">
        <f t="shared" si="4"/>
        <v>16</v>
      </c>
      <c r="G47" s="1">
        <f t="shared" si="5"/>
        <v>0.94117647058823528</v>
      </c>
    </row>
    <row r="48" spans="1:19">
      <c r="A48" s="1">
        <v>2</v>
      </c>
      <c r="B48" s="1" t="s">
        <v>43</v>
      </c>
      <c r="C48" s="1" t="s">
        <v>9</v>
      </c>
      <c r="D48" s="1">
        <v>0.93</v>
      </c>
      <c r="E48" s="1">
        <v>0.36</v>
      </c>
      <c r="F48" s="1">
        <f t="shared" si="4"/>
        <v>2.5833333333333335</v>
      </c>
      <c r="G48" s="1">
        <f t="shared" si="5"/>
        <v>0.72093023255813959</v>
      </c>
    </row>
    <row r="49" spans="1:7">
      <c r="A49" s="1">
        <v>2</v>
      </c>
      <c r="B49" s="1" t="s">
        <v>43</v>
      </c>
      <c r="C49" s="1" t="s">
        <v>9</v>
      </c>
      <c r="D49" s="1">
        <v>1.28</v>
      </c>
      <c r="E49" s="1">
        <v>0.08</v>
      </c>
      <c r="F49" s="1">
        <f t="shared" si="4"/>
        <v>16</v>
      </c>
      <c r="G49" s="1">
        <f t="shared" si="5"/>
        <v>0.94117647058823528</v>
      </c>
    </row>
    <row r="50" spans="1:7">
      <c r="A50" s="1">
        <v>2</v>
      </c>
      <c r="B50" s="1" t="s">
        <v>43</v>
      </c>
      <c r="C50" s="1" t="s">
        <v>9</v>
      </c>
      <c r="D50" s="1">
        <v>1.75</v>
      </c>
      <c r="E50" s="1">
        <v>0.75</v>
      </c>
      <c r="F50" s="1">
        <f t="shared" si="4"/>
        <v>2.3333333333333335</v>
      </c>
      <c r="G50" s="1">
        <f t="shared" si="5"/>
        <v>0.7</v>
      </c>
    </row>
    <row r="51" spans="1:7">
      <c r="A51" s="1">
        <v>2</v>
      </c>
      <c r="B51" s="1" t="s">
        <v>43</v>
      </c>
      <c r="C51" s="1" t="s">
        <v>9</v>
      </c>
      <c r="D51" s="1">
        <v>1.62</v>
      </c>
      <c r="E51" s="1">
        <v>0.17</v>
      </c>
      <c r="F51" s="1">
        <f t="shared" si="4"/>
        <v>9.5294117647058822</v>
      </c>
      <c r="G51" s="1">
        <f t="shared" si="5"/>
        <v>0.9050279329608939</v>
      </c>
    </row>
    <row r="52" spans="1:7">
      <c r="A52" s="1">
        <v>2</v>
      </c>
      <c r="B52" s="1" t="s">
        <v>43</v>
      </c>
      <c r="C52" s="1" t="s">
        <v>9</v>
      </c>
      <c r="D52" s="1">
        <v>2.21</v>
      </c>
      <c r="E52" s="1">
        <v>0.83</v>
      </c>
      <c r="F52" s="1">
        <f t="shared" si="4"/>
        <v>2.6626506024096388</v>
      </c>
      <c r="G52" s="1">
        <f t="shared" si="5"/>
        <v>0.72697368421052633</v>
      </c>
    </row>
    <row r="53" spans="1:7">
      <c r="A53">
        <v>2</v>
      </c>
      <c r="B53" s="1" t="s">
        <v>41</v>
      </c>
      <c r="C53" s="1" t="s">
        <v>8</v>
      </c>
      <c r="D53" s="1">
        <v>0.12</v>
      </c>
      <c r="E53" s="1">
        <v>0.63</v>
      </c>
      <c r="F53" s="1">
        <f t="shared" si="4"/>
        <v>0.19047619047619047</v>
      </c>
      <c r="G53" s="1">
        <f t="shared" si="5"/>
        <v>0.16</v>
      </c>
    </row>
    <row r="54" spans="1:7">
      <c r="A54">
        <v>2</v>
      </c>
      <c r="B54" t="s">
        <v>41</v>
      </c>
      <c r="C54" t="s">
        <v>8</v>
      </c>
      <c r="D54">
        <v>1.3</v>
      </c>
      <c r="E54">
        <f>88.51-87.64</f>
        <v>0.87000000000000455</v>
      </c>
      <c r="F54">
        <f t="shared" si="4"/>
        <v>1.4942528735632106</v>
      </c>
      <c r="G54">
        <f t="shared" ref="G54:G59" si="6">D54/SUM(D54:E54)</f>
        <v>0.59907834101382373</v>
      </c>
    </row>
    <row r="55" spans="1:7">
      <c r="A55">
        <v>2</v>
      </c>
      <c r="B55" t="s">
        <v>41</v>
      </c>
      <c r="C55" t="s">
        <v>8</v>
      </c>
      <c r="D55">
        <f>94.9-92.52</f>
        <v>2.3800000000000097</v>
      </c>
      <c r="E55">
        <f>82.87-82.3</f>
        <v>0.57000000000000739</v>
      </c>
      <c r="F55">
        <f t="shared" si="4"/>
        <v>4.1754385964911913</v>
      </c>
      <c r="G55">
        <f t="shared" si="6"/>
        <v>0.80677966101694776</v>
      </c>
    </row>
    <row r="56" spans="1:7">
      <c r="A56">
        <v>2</v>
      </c>
      <c r="B56" t="s">
        <v>41</v>
      </c>
      <c r="C56" t="s">
        <v>8</v>
      </c>
      <c r="D56">
        <f>97.12-94.06</f>
        <v>3.0600000000000023</v>
      </c>
      <c r="E56">
        <f>83.62-83.05</f>
        <v>0.57000000000000739</v>
      </c>
      <c r="F56">
        <f t="shared" si="4"/>
        <v>5.368421052631513</v>
      </c>
      <c r="G56">
        <f t="shared" si="6"/>
        <v>0.84297520661156866</v>
      </c>
    </row>
    <row r="57" spans="1:7">
      <c r="A57">
        <v>2</v>
      </c>
      <c r="B57" t="s">
        <v>41</v>
      </c>
      <c r="C57" t="s">
        <v>8</v>
      </c>
      <c r="D57">
        <f>94.95-93.06</f>
        <v>1.8900000000000006</v>
      </c>
      <c r="E57">
        <f>74.28-73.49</f>
        <v>0.79000000000000625</v>
      </c>
      <c r="F57">
        <f t="shared" si="4"/>
        <v>2.3924050632911209</v>
      </c>
      <c r="G57">
        <f t="shared" si="6"/>
        <v>0.70522388059701335</v>
      </c>
    </row>
    <row r="58" spans="1:7">
      <c r="A58">
        <v>2</v>
      </c>
      <c r="B58" t="s">
        <v>41</v>
      </c>
      <c r="C58" t="s">
        <v>8</v>
      </c>
      <c r="D58">
        <f>92.76-92.11</f>
        <v>0.65000000000000568</v>
      </c>
      <c r="E58">
        <f>77.86-77.8</f>
        <v>6.0000000000002274E-2</v>
      </c>
      <c r="F58">
        <f t="shared" si="4"/>
        <v>10.833333333333018</v>
      </c>
      <c r="G58">
        <f t="shared" si="6"/>
        <v>0.91549295774647665</v>
      </c>
    </row>
    <row r="59" spans="1:7">
      <c r="A59">
        <v>2</v>
      </c>
      <c r="B59" t="s">
        <v>41</v>
      </c>
      <c r="C59" t="s">
        <v>8</v>
      </c>
      <c r="D59">
        <f>93.91-91.67</f>
        <v>2.2399999999999949</v>
      </c>
      <c r="E59">
        <f>74.97-74.33</f>
        <v>0.64000000000000057</v>
      </c>
      <c r="F59">
        <f t="shared" si="4"/>
        <v>3.4999999999999889</v>
      </c>
      <c r="G59">
        <f t="shared" si="6"/>
        <v>0.77777777777777724</v>
      </c>
    </row>
    <row r="60" spans="1:7">
      <c r="A60">
        <v>2</v>
      </c>
      <c r="B60" s="1" t="s">
        <v>41</v>
      </c>
      <c r="C60" t="s">
        <v>8</v>
      </c>
      <c r="D60" s="1">
        <v>0.61</v>
      </c>
      <c r="E60" s="1">
        <v>0.62</v>
      </c>
      <c r="F60" s="1">
        <f t="shared" si="4"/>
        <v>0.9838709677419355</v>
      </c>
      <c r="G60" s="1">
        <f t="shared" ref="G60:G65" si="7">D60/SUM(D60+E60)</f>
        <v>0.49593495934959347</v>
      </c>
    </row>
    <row r="61" spans="1:7">
      <c r="A61">
        <v>2</v>
      </c>
      <c r="B61" s="1" t="s">
        <v>41</v>
      </c>
      <c r="C61" t="s">
        <v>8</v>
      </c>
      <c r="D61" s="1">
        <v>0.78</v>
      </c>
      <c r="E61" s="1">
        <v>0.03</v>
      </c>
      <c r="F61" s="1">
        <f t="shared" si="4"/>
        <v>26.000000000000004</v>
      </c>
      <c r="G61" s="1">
        <f t="shared" si="7"/>
        <v>0.96296296296296291</v>
      </c>
    </row>
    <row r="62" spans="1:7">
      <c r="A62">
        <v>2</v>
      </c>
      <c r="B62" s="1" t="s">
        <v>41</v>
      </c>
      <c r="C62" t="s">
        <v>8</v>
      </c>
      <c r="D62" s="1">
        <v>0.76</v>
      </c>
      <c r="E62" s="1">
        <v>0.14000000000000001</v>
      </c>
      <c r="F62" s="1">
        <f t="shared" si="4"/>
        <v>5.4285714285714279</v>
      </c>
      <c r="G62" s="1">
        <f t="shared" si="7"/>
        <v>0.84444444444444444</v>
      </c>
    </row>
    <row r="63" spans="1:7">
      <c r="A63">
        <v>2</v>
      </c>
      <c r="B63" s="1" t="s">
        <v>41</v>
      </c>
      <c r="C63" t="s">
        <v>8</v>
      </c>
      <c r="D63" s="1">
        <v>0.55000000000000004</v>
      </c>
      <c r="E63" s="1">
        <v>0.14000000000000001</v>
      </c>
      <c r="F63" s="1">
        <f t="shared" si="4"/>
        <v>3.9285714285714284</v>
      </c>
      <c r="G63" s="1">
        <f t="shared" si="7"/>
        <v>0.79710144927536231</v>
      </c>
    </row>
    <row r="64" spans="1:7">
      <c r="A64">
        <v>2</v>
      </c>
      <c r="B64" s="1" t="s">
        <v>41</v>
      </c>
      <c r="C64" t="s">
        <v>8</v>
      </c>
      <c r="D64" s="1">
        <v>0.9</v>
      </c>
      <c r="E64" s="1">
        <v>0.5</v>
      </c>
      <c r="F64" s="1">
        <f t="shared" si="4"/>
        <v>1.8</v>
      </c>
      <c r="G64" s="1">
        <f t="shared" si="7"/>
        <v>0.6428571428571429</v>
      </c>
    </row>
    <row r="65" spans="1:7">
      <c r="A65">
        <v>2</v>
      </c>
      <c r="B65" s="1" t="s">
        <v>41</v>
      </c>
      <c r="C65" t="s">
        <v>8</v>
      </c>
      <c r="D65" s="1">
        <v>1.96</v>
      </c>
      <c r="E65" s="1">
        <v>0.39</v>
      </c>
      <c r="F65" s="1">
        <f t="shared" si="4"/>
        <v>5.0256410256410255</v>
      </c>
      <c r="G65" s="1">
        <f t="shared" si="7"/>
        <v>0.83404255319148934</v>
      </c>
    </row>
    <row r="66" spans="1:7">
      <c r="A66">
        <v>2</v>
      </c>
      <c r="B66" t="s">
        <v>41</v>
      </c>
      <c r="C66" t="s">
        <v>8</v>
      </c>
      <c r="D66">
        <f>91.47-88.6</f>
        <v>2.8700000000000045</v>
      </c>
      <c r="E66">
        <f>77.02-76.19</f>
        <v>0.82999999999999829</v>
      </c>
      <c r="F66">
        <f t="shared" si="4"/>
        <v>3.4578313253012176</v>
      </c>
      <c r="G66">
        <f>D66/SUM(D66:E66)</f>
        <v>0.7756756756756763</v>
      </c>
    </row>
    <row r="67" spans="1:7">
      <c r="A67">
        <v>2</v>
      </c>
      <c r="B67" t="s">
        <v>41</v>
      </c>
      <c r="C67" t="s">
        <v>8</v>
      </c>
      <c r="D67">
        <f>93.9-92.51</f>
        <v>1.3900000000000006</v>
      </c>
      <c r="E67">
        <f>65.22-65.06</f>
        <v>0.15999999999999659</v>
      </c>
      <c r="F67">
        <f t="shared" si="4"/>
        <v>8.6875000000001883</v>
      </c>
      <c r="G67">
        <f>D67/SUM(D67:E67)</f>
        <v>0.89677419354838905</v>
      </c>
    </row>
    <row r="68" spans="1:7">
      <c r="A68">
        <v>2</v>
      </c>
      <c r="B68" s="1" t="s">
        <v>41</v>
      </c>
      <c r="C68" t="s">
        <v>8</v>
      </c>
      <c r="D68" s="1">
        <v>0.06</v>
      </c>
      <c r="E68" s="1">
        <v>0.56000000000000005</v>
      </c>
      <c r="F68" s="1">
        <f t="shared" si="4"/>
        <v>0.10714285714285712</v>
      </c>
      <c r="G68" s="1">
        <f>D68/SUM(D68+E68)</f>
        <v>9.677419354838708E-2</v>
      </c>
    </row>
    <row r="69" spans="1:7">
      <c r="A69">
        <v>2</v>
      </c>
      <c r="B69" s="1" t="s">
        <v>41</v>
      </c>
      <c r="C69" t="s">
        <v>8</v>
      </c>
      <c r="D69" s="1">
        <v>0.36</v>
      </c>
      <c r="E69" s="1">
        <v>0.44</v>
      </c>
      <c r="F69" s="1">
        <f t="shared" ref="F69:F87" si="8">D69/E69</f>
        <v>0.81818181818181812</v>
      </c>
      <c r="G69" s="1">
        <f>D69/SUM(D69+E69)</f>
        <v>0.44999999999999996</v>
      </c>
    </row>
    <row r="70" spans="1:7">
      <c r="A70">
        <v>2</v>
      </c>
      <c r="B70" s="1" t="s">
        <v>41</v>
      </c>
      <c r="C70" t="s">
        <v>8</v>
      </c>
      <c r="D70" s="1">
        <v>0.38</v>
      </c>
      <c r="E70" s="1">
        <v>0.61</v>
      </c>
      <c r="F70" s="1">
        <f t="shared" si="8"/>
        <v>0.62295081967213117</v>
      </c>
      <c r="G70" s="1">
        <f>D70/SUM(D70+E70)</f>
        <v>0.38383838383838387</v>
      </c>
    </row>
    <row r="71" spans="1:7">
      <c r="A71">
        <v>2</v>
      </c>
      <c r="B71" s="1" t="s">
        <v>41</v>
      </c>
      <c r="C71" t="s">
        <v>8</v>
      </c>
      <c r="D71" s="1">
        <v>1.05</v>
      </c>
      <c r="E71" s="1">
        <v>0.08</v>
      </c>
      <c r="F71" s="1">
        <f t="shared" si="8"/>
        <v>13.125</v>
      </c>
      <c r="G71" s="1">
        <f>D71/SUM(D71+E71)</f>
        <v>0.92920353982300874</v>
      </c>
    </row>
    <row r="72" spans="1:7">
      <c r="A72">
        <v>2</v>
      </c>
      <c r="B72" s="1" t="s">
        <v>41</v>
      </c>
      <c r="C72" t="s">
        <v>8</v>
      </c>
      <c r="D72" s="1">
        <v>1.0900000000000001</v>
      </c>
      <c r="E72" s="1">
        <v>0.19</v>
      </c>
      <c r="F72" s="1">
        <f t="shared" si="8"/>
        <v>5.7368421052631584</v>
      </c>
      <c r="G72" s="1">
        <f t="shared" ref="G72:G81" si="9">D72/SUM(D72:E72)</f>
        <v>0.8515625</v>
      </c>
    </row>
    <row r="73" spans="1:7">
      <c r="A73">
        <v>2</v>
      </c>
      <c r="B73" s="1" t="s">
        <v>41</v>
      </c>
      <c r="C73" t="s">
        <v>8</v>
      </c>
      <c r="D73" s="1">
        <v>2.1800000000000002</v>
      </c>
      <c r="E73" s="1">
        <v>0.34</v>
      </c>
      <c r="F73" s="1">
        <f t="shared" si="8"/>
        <v>6.4117647058823533</v>
      </c>
      <c r="G73" s="1">
        <f t="shared" si="9"/>
        <v>0.86507936507936511</v>
      </c>
    </row>
    <row r="74" spans="1:7">
      <c r="A74">
        <v>2</v>
      </c>
      <c r="B74" t="s">
        <v>41</v>
      </c>
      <c r="C74" t="s">
        <v>8</v>
      </c>
      <c r="D74">
        <f>80.71-80.07</f>
        <v>0.64000000000000057</v>
      </c>
      <c r="E74">
        <f>82.16-81.64</f>
        <v>0.51999999999999602</v>
      </c>
      <c r="F74">
        <f t="shared" si="8"/>
        <v>1.2307692307692413</v>
      </c>
      <c r="G74">
        <f t="shared" si="9"/>
        <v>0.55172413793103658</v>
      </c>
    </row>
    <row r="75" spans="1:7">
      <c r="A75">
        <v>2</v>
      </c>
      <c r="B75" t="s">
        <v>41</v>
      </c>
      <c r="C75" t="s">
        <v>8</v>
      </c>
      <c r="D75">
        <f>81.63-81.33</f>
        <v>0.29999999999999716</v>
      </c>
      <c r="E75">
        <f>80.47-80.01</f>
        <v>0.45999999999999375</v>
      </c>
      <c r="F75">
        <f t="shared" si="8"/>
        <v>0.65217391304348094</v>
      </c>
      <c r="G75">
        <f t="shared" si="9"/>
        <v>0.39473684210526416</v>
      </c>
    </row>
    <row r="76" spans="1:7">
      <c r="A76" s="1">
        <v>2</v>
      </c>
      <c r="B76" t="s">
        <v>41</v>
      </c>
      <c r="C76" t="s">
        <v>9</v>
      </c>
      <c r="D76">
        <v>2.99</v>
      </c>
      <c r="E76">
        <v>0.59999999999999432</v>
      </c>
      <c r="F76">
        <f t="shared" si="8"/>
        <v>4.9833333333333805</v>
      </c>
      <c r="G76">
        <f t="shared" si="9"/>
        <v>0.83286908077994559</v>
      </c>
    </row>
    <row r="77" spans="1:7">
      <c r="A77" s="1">
        <v>2</v>
      </c>
      <c r="B77" t="s">
        <v>41</v>
      </c>
      <c r="C77" t="s">
        <v>9</v>
      </c>
      <c r="D77">
        <v>0.65999999999999659</v>
      </c>
      <c r="E77">
        <v>0.70000000000000284</v>
      </c>
      <c r="F77">
        <f t="shared" si="8"/>
        <v>0.94285714285713418</v>
      </c>
      <c r="G77">
        <f t="shared" si="9"/>
        <v>0.48529411764705654</v>
      </c>
    </row>
    <row r="78" spans="1:7">
      <c r="A78" s="1">
        <v>2</v>
      </c>
      <c r="B78" t="s">
        <v>41</v>
      </c>
      <c r="C78" t="s">
        <v>9</v>
      </c>
      <c r="D78">
        <v>0.76999999999999602</v>
      </c>
      <c r="E78">
        <v>0.45999999999999375</v>
      </c>
      <c r="F78">
        <f t="shared" si="8"/>
        <v>1.673913043478275</v>
      </c>
      <c r="G78">
        <f t="shared" si="9"/>
        <v>0.62601626016260359</v>
      </c>
    </row>
    <row r="79" spans="1:7">
      <c r="A79" s="1">
        <v>2</v>
      </c>
      <c r="B79" t="s">
        <v>41</v>
      </c>
      <c r="C79" t="s">
        <v>9</v>
      </c>
      <c r="D79">
        <v>3.1300000000000097</v>
      </c>
      <c r="E79">
        <v>0.78000000000000114</v>
      </c>
      <c r="F79">
        <f t="shared" si="8"/>
        <v>4.012820512820519</v>
      </c>
      <c r="G79">
        <f t="shared" si="9"/>
        <v>0.80051150895140688</v>
      </c>
    </row>
    <row r="80" spans="1:7">
      <c r="A80" s="1">
        <v>2</v>
      </c>
      <c r="B80" t="s">
        <v>41</v>
      </c>
      <c r="C80" t="s">
        <v>9</v>
      </c>
      <c r="D80">
        <v>1.1400000000000006</v>
      </c>
      <c r="E80">
        <v>1.0099999999999909</v>
      </c>
      <c r="F80">
        <f t="shared" si="8"/>
        <v>1.1287128712871395</v>
      </c>
      <c r="G80">
        <f t="shared" si="9"/>
        <v>0.53023255813953729</v>
      </c>
    </row>
    <row r="81" spans="1:7">
      <c r="A81" s="1">
        <v>2</v>
      </c>
      <c r="B81" t="s">
        <v>41</v>
      </c>
      <c r="C81" t="s">
        <v>9</v>
      </c>
      <c r="D81">
        <v>3.6899999999999977</v>
      </c>
      <c r="E81">
        <v>0.51999999999999602</v>
      </c>
      <c r="F81">
        <f t="shared" si="8"/>
        <v>7.0961538461538964</v>
      </c>
      <c r="G81">
        <f t="shared" si="9"/>
        <v>0.87648456057007207</v>
      </c>
    </row>
    <row r="82" spans="1:7">
      <c r="A82" s="1">
        <v>2</v>
      </c>
      <c r="B82" s="1" t="s">
        <v>41</v>
      </c>
      <c r="C82" t="s">
        <v>9</v>
      </c>
      <c r="D82" s="1">
        <v>0.71</v>
      </c>
      <c r="E82" s="1">
        <v>0.06</v>
      </c>
      <c r="F82" s="1">
        <f t="shared" si="8"/>
        <v>11.833333333333334</v>
      </c>
      <c r="G82" s="1">
        <f t="shared" ref="G82:G87" si="10">D82/SUM(D82+E82)</f>
        <v>0.92207792207792205</v>
      </c>
    </row>
    <row r="83" spans="1:7">
      <c r="A83" s="1">
        <v>2</v>
      </c>
      <c r="B83" s="1" t="s">
        <v>41</v>
      </c>
      <c r="C83" s="1" t="s">
        <v>9</v>
      </c>
      <c r="D83" s="1">
        <v>0.89</v>
      </c>
      <c r="E83" s="1">
        <v>0.02</v>
      </c>
      <c r="F83" s="1">
        <f t="shared" si="8"/>
        <v>44.5</v>
      </c>
      <c r="G83" s="1">
        <f t="shared" si="10"/>
        <v>0.97802197802197799</v>
      </c>
    </row>
    <row r="84" spans="1:7">
      <c r="A84" s="1">
        <v>2</v>
      </c>
      <c r="B84" s="1" t="s">
        <v>41</v>
      </c>
      <c r="C84" s="1" t="s">
        <v>9</v>
      </c>
      <c r="D84" s="1">
        <v>0.5</v>
      </c>
      <c r="E84" s="1">
        <v>0.85</v>
      </c>
      <c r="F84" s="1">
        <f t="shared" si="8"/>
        <v>0.58823529411764708</v>
      </c>
      <c r="G84" s="1">
        <f t="shared" si="10"/>
        <v>0.37037037037037035</v>
      </c>
    </row>
    <row r="85" spans="1:7">
      <c r="A85" s="1">
        <v>2</v>
      </c>
      <c r="B85" s="1" t="s">
        <v>41</v>
      </c>
      <c r="C85" s="1" t="s">
        <v>9</v>
      </c>
      <c r="D85" s="1">
        <v>7.0000000000000007E-2</v>
      </c>
      <c r="E85" s="1">
        <v>0.93</v>
      </c>
      <c r="F85" s="1">
        <f t="shared" si="8"/>
        <v>7.5268817204301078E-2</v>
      </c>
      <c r="G85" s="1">
        <f t="shared" si="10"/>
        <v>7.0000000000000007E-2</v>
      </c>
    </row>
    <row r="86" spans="1:7">
      <c r="A86" s="1">
        <v>2</v>
      </c>
      <c r="B86" s="1" t="s">
        <v>41</v>
      </c>
      <c r="C86" s="1" t="s">
        <v>9</v>
      </c>
      <c r="D86" s="1">
        <v>1.62</v>
      </c>
      <c r="E86" s="1">
        <v>0.15</v>
      </c>
      <c r="F86" s="1">
        <f t="shared" si="8"/>
        <v>10.8</v>
      </c>
      <c r="G86" s="1">
        <f t="shared" si="10"/>
        <v>0.9152542372881356</v>
      </c>
    </row>
    <row r="87" spans="1:7">
      <c r="A87" s="1">
        <v>2</v>
      </c>
      <c r="B87" s="1" t="s">
        <v>41</v>
      </c>
      <c r="C87" s="1" t="s">
        <v>9</v>
      </c>
      <c r="D87">
        <v>1.26</v>
      </c>
      <c r="E87">
        <v>0.62</v>
      </c>
      <c r="F87" s="1">
        <f t="shared" si="8"/>
        <v>2.032258064516129</v>
      </c>
      <c r="G87" s="1">
        <f t="shared" si="10"/>
        <v>0.67021276595744683</v>
      </c>
    </row>
  </sheetData>
  <sortState ref="A1:U88">
    <sortCondition ref="A1:A88"/>
    <sortCondition ref="B1:B88"/>
    <sortCondition ref="J1:J88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by genotype</vt:lpstr>
      <vt:lpstr>Sheet6</vt:lpstr>
    </vt:vector>
  </TitlesOfParts>
  <Company>Vassar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Vassar College</dc:creator>
  <cp:lastModifiedBy>Sophie Dewil</cp:lastModifiedBy>
  <dcterms:created xsi:type="dcterms:W3CDTF">2015-10-05T21:33:19Z</dcterms:created>
  <dcterms:modified xsi:type="dcterms:W3CDTF">2016-04-26T02:57:09Z</dcterms:modified>
</cp:coreProperties>
</file>