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becker14\Documents\CRNS_USGS_Analysis\Data\"/>
    </mc:Choice>
  </mc:AlternateContent>
  <xr:revisionPtr revIDLastSave="0" documentId="13_ncr:1_{4A357BDD-AE16-4D5D-BFD2-04C91A4E5D97}" xr6:coauthVersionLast="47" xr6:coauthVersionMax="47" xr10:uidLastSave="{00000000-0000-0000-0000-000000000000}"/>
  <bookViews>
    <workbookView xWindow="29085" yWindow="300" windowWidth="9045" windowHeight="14970" xr2:uid="{44E672C3-83F7-404E-9932-61C747C3616A}"/>
  </bookViews>
  <sheets>
    <sheet name="Summary" sheetId="1" r:id="rId1"/>
    <sheet name="Sheet3" sheetId="4" r:id="rId2"/>
    <sheet name="Sheet2" sheetId="2" r:id="rId3"/>
    <sheet name="Sheet1" sheetId="3" r:id="rId4"/>
  </sheets>
  <definedNames>
    <definedName name="solver_adj" localSheetId="2" hidden="1">Sheet2!$O$6</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Sheet2!$O$8</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4" i="1" l="1"/>
  <c r="T44" i="1"/>
  <c r="S44" i="1"/>
  <c r="R44" i="1"/>
  <c r="Q44" i="1"/>
  <c r="U31" i="1"/>
  <c r="T31" i="1"/>
  <c r="S31" i="1"/>
  <c r="R31" i="1"/>
  <c r="Q31" i="1"/>
  <c r="U28" i="1"/>
  <c r="T28" i="1"/>
  <c r="S28" i="1"/>
  <c r="R28" i="1"/>
  <c r="Q28" i="1"/>
  <c r="U14" i="1"/>
  <c r="T14" i="1"/>
  <c r="S14" i="1"/>
  <c r="R14" i="1"/>
  <c r="Q14" i="1"/>
  <c r="U8" i="1"/>
  <c r="T8" i="1"/>
  <c r="S8" i="1"/>
  <c r="R8" i="1"/>
  <c r="Q8" i="1"/>
  <c r="Q7" i="1"/>
  <c r="R7" i="1"/>
  <c r="S7" i="1"/>
  <c r="T7" i="1"/>
  <c r="U7" i="1"/>
  <c r="B7" i="1" l="1"/>
  <c r="C7" i="1"/>
  <c r="D7" i="1"/>
  <c r="E7" i="1"/>
  <c r="F7" i="1"/>
  <c r="G7" i="1"/>
  <c r="H7" i="1"/>
  <c r="I7" i="1"/>
  <c r="J7" i="1"/>
  <c r="K7" i="1"/>
  <c r="L7" i="1"/>
  <c r="M7" i="1"/>
  <c r="N7" i="1"/>
  <c r="O7" i="1"/>
  <c r="P7" i="1"/>
  <c r="G88" i="3"/>
  <c r="G87" i="3"/>
  <c r="G71" i="3"/>
  <c r="G72" i="3"/>
  <c r="G73" i="3"/>
  <c r="G74" i="3"/>
  <c r="G75" i="3"/>
  <c r="G76" i="3"/>
  <c r="G77" i="3"/>
  <c r="G78" i="3"/>
  <c r="G79" i="3"/>
  <c r="G80" i="3"/>
  <c r="G81" i="3"/>
  <c r="G82" i="3"/>
  <c r="G83" i="3"/>
  <c r="G84" i="3"/>
  <c r="G85" i="3"/>
  <c r="G86" i="3"/>
  <c r="G70" i="3"/>
  <c r="C6" i="4"/>
  <c r="H32" i="3"/>
  <c r="H33" i="3"/>
  <c r="H34" i="3"/>
  <c r="H35" i="3"/>
  <c r="H36" i="3"/>
  <c r="H37" i="3"/>
  <c r="H38" i="3"/>
  <c r="H40" i="3"/>
  <c r="H41" i="3"/>
  <c r="H42" i="3"/>
  <c r="H43" i="3"/>
  <c r="H44" i="3"/>
  <c r="H31" i="3"/>
  <c r="D44" i="1"/>
  <c r="E44" i="1" l="1"/>
  <c r="F44" i="1"/>
  <c r="G44" i="1"/>
  <c r="H44" i="1"/>
  <c r="I44" i="1"/>
  <c r="K44" i="1"/>
  <c r="L44" i="1"/>
  <c r="M44" i="1"/>
  <c r="N44" i="1"/>
  <c r="O44" i="1"/>
  <c r="P44" i="1"/>
  <c r="C44" i="1" l="1"/>
  <c r="B44" i="1" l="1"/>
  <c r="P8" i="1" l="1"/>
  <c r="O8" i="1"/>
  <c r="N8" i="1"/>
  <c r="M8" i="1"/>
  <c r="K8" i="1"/>
  <c r="J8" i="1"/>
  <c r="H8" i="1"/>
  <c r="G8" i="1"/>
  <c r="F8" i="1"/>
  <c r="E8" i="1"/>
  <c r="D8" i="1"/>
  <c r="B8" i="1"/>
  <c r="C8" i="1"/>
  <c r="P6" i="2" l="1"/>
  <c r="O6" i="2"/>
  <c r="N6" i="2"/>
  <c r="M6" i="2"/>
  <c r="L6" i="2"/>
  <c r="K6" i="2"/>
  <c r="C6" i="2"/>
  <c r="D6" i="2"/>
  <c r="E6" i="2"/>
  <c r="F6" i="2"/>
  <c r="G6" i="2"/>
  <c r="H6" i="2"/>
  <c r="I6" i="2"/>
  <c r="B6" i="2"/>
  <c r="L8" i="1" l="1"/>
  <c r="I8" i="1" l="1"/>
  <c r="O31" i="1" l="1"/>
  <c r="N31" i="1"/>
  <c r="M31" i="1"/>
  <c r="L31" i="1"/>
  <c r="K31" i="1"/>
  <c r="I31" i="1"/>
  <c r="H31" i="1"/>
  <c r="G31" i="1"/>
  <c r="F31" i="1"/>
  <c r="E31" i="1"/>
  <c r="D31" i="1"/>
  <c r="C31" i="1"/>
  <c r="B31" i="1"/>
  <c r="C28" i="1"/>
  <c r="D28" i="1"/>
  <c r="E28" i="1"/>
  <c r="F28" i="1"/>
  <c r="G28" i="1"/>
  <c r="H28" i="1"/>
  <c r="I28" i="1"/>
  <c r="K28" i="1"/>
  <c r="L28" i="1"/>
  <c r="M28" i="1"/>
  <c r="N28" i="1"/>
  <c r="O28" i="1"/>
  <c r="P28" i="1"/>
  <c r="B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tc={F41BE558-C781-4CE7-BC03-90523981CA5D}</author>
  </authors>
  <commentList>
    <comment ref="A1" authorId="0" shapeId="0" xr:uid="{F41BE558-C781-4CE7-BC03-90523981CA5D}">
      <text>
        <t xml:space="preserve">[Threaded comment]
Your version of Excel allows you to read this threaded comment; however, any edits to it will get removed if the file is opened in a newer version of Excel. Learn more: https://go.microsoft.com/fwlink/?linkid=870924
Comment:
    Updating values for total raw neutron counts to the sum of column F in the spreadsheet instead of the sum of column I, which has been already scaled to cph. </t>
      </text>
    </comment>
  </commentList>
</comments>
</file>

<file path=xl/sharedStrings.xml><?xml version="1.0" encoding="utf-8"?>
<sst xmlns="http://schemas.openxmlformats.org/spreadsheetml/2006/main" count="224" uniqueCount="159">
  <si>
    <t>Short Name</t>
  </si>
  <si>
    <t>Crys 1</t>
  </si>
  <si>
    <t>Crys 2</t>
  </si>
  <si>
    <t>Crys 3</t>
  </si>
  <si>
    <t>Crys 6</t>
  </si>
  <si>
    <t>Fry 4</t>
  </si>
  <si>
    <t>Fry 5</t>
  </si>
  <si>
    <t>Fry 6</t>
  </si>
  <si>
    <t>RF 1</t>
  </si>
  <si>
    <t>RF 2</t>
  </si>
  <si>
    <t>RF 3</t>
  </si>
  <si>
    <t>RF5</t>
  </si>
  <si>
    <t>RF 6</t>
  </si>
  <si>
    <t>RF 7</t>
  </si>
  <si>
    <t>RF 8</t>
  </si>
  <si>
    <t>RF 9</t>
  </si>
  <si>
    <t>STAID</t>
  </si>
  <si>
    <t>391059107144601</t>
  </si>
  <si>
    <t>391020107144201</t>
  </si>
  <si>
    <t>391257107133001</t>
  </si>
  <si>
    <t>391845107123201</t>
  </si>
  <si>
    <t>391851106365401</t>
  </si>
  <si>
    <t>392116106443101</t>
  </si>
  <si>
    <t>392248106580101</t>
  </si>
  <si>
    <t>391600106453901</t>
  </si>
  <si>
    <t>391336106455801</t>
  </si>
  <si>
    <t>391014106480001</t>
  </si>
  <si>
    <t>391958106584401</t>
  </si>
  <si>
    <t>392126107023401</t>
  </si>
  <si>
    <t>391926107015001</t>
  </si>
  <si>
    <t>392823107131701</t>
  </si>
  <si>
    <t>392649107091301</t>
  </si>
  <si>
    <t>Name</t>
  </si>
  <si>
    <t>COKE OVENS METEOROLOGICAL STATION AT REDSTONE, CO</t>
  </si>
  <si>
    <t>REDSTONE CASTLE MET STATION AT REDSTONE, CO</t>
  </si>
  <si>
    <t>CRYSTAL RIVER MET STA AT DORIAS WAY NR REDSTONE CO</t>
  </si>
  <si>
    <t>EAST MESA DITCH MET STATION NEAR CARBONDALE, CO</t>
  </si>
  <si>
    <t>SELLAR CREEK METEOROLOGICAL STATION NEAR NAST, CO</t>
  </si>
  <si>
    <t>RUEDI RES SOUTH SHORE MET STATION NR MEREDITH, CO</t>
  </si>
  <si>
    <t>SEVEN CASTLES CREEK MET STATION NEAR BASALT, CO</t>
  </si>
  <si>
    <t>LARKSPUR MOUNTAIN MET STATION NEAR LENADO, CO</t>
  </si>
  <si>
    <t>VAN HORN PARK MET STATION NEAR ASPEN, CO</t>
  </si>
  <si>
    <t>NORTH STAR METEOROLOGICAL STATION NEAR ASPEN, CO</t>
  </si>
  <si>
    <t>WHEATLEY GULCH MET STATION AT SNOWMASS, CO</t>
  </si>
  <si>
    <t>ARBANEY DITCH METEOROLOGICAL STATION AT BASALT, CO</t>
  </si>
  <si>
    <t>EAST SOPRIS CREEK MET STATION NEAR SNOWMASS, CO</t>
  </si>
  <si>
    <t>SPRING VALLEY MET STATION NEAR CARBONDALE, CO</t>
  </si>
  <si>
    <t> MISSOURI HEIGHTS MET STATION NEAR CARBONDALE, CO</t>
  </si>
  <si>
    <t>Quaesta ID</t>
  </si>
  <si>
    <t>NWIS Lat =</t>
  </si>
  <si>
    <t xml:space="preserve">NWIS Long = </t>
  </si>
  <si>
    <t>NWS Long (0-360 scale +360 to W or negative values) =</t>
  </si>
  <si>
    <t>NWIS elev =</t>
  </si>
  <si>
    <t>Atmospheric Constants</t>
  </si>
  <si>
    <r>
      <t>Reference air temperature, tref (</t>
    </r>
    <r>
      <rPr>
        <vertAlign val="superscript"/>
        <sz val="12"/>
        <rFont val="Calibri"/>
        <family val="2"/>
        <scheme val="minor"/>
      </rPr>
      <t>o</t>
    </r>
    <r>
      <rPr>
        <sz val="12"/>
        <rFont val="Calibri"/>
        <family val="2"/>
        <scheme val="minor"/>
      </rPr>
      <t>C) =</t>
    </r>
  </si>
  <si>
    <t>Reference air pressure, pref (hPa) =</t>
  </si>
  <si>
    <t xml:space="preserve">Temperature lapse-rate, gama = </t>
  </si>
  <si>
    <r>
      <t>High energy neutron attenuation length, lambda (g/cm</t>
    </r>
    <r>
      <rPr>
        <vertAlign val="superscript"/>
        <sz val="12"/>
        <rFont val="Calibri"/>
        <family val="2"/>
        <scheme val="minor"/>
      </rPr>
      <t>2</t>
    </r>
    <r>
      <rPr>
        <sz val="12"/>
        <rFont val="Calibri"/>
        <family val="2"/>
        <scheme val="minor"/>
      </rPr>
      <t>) =</t>
    </r>
  </si>
  <si>
    <t xml:space="preserve">CSF = </t>
  </si>
  <si>
    <t>Cutoff Rigidity (GV) =</t>
  </si>
  <si>
    <t>Calibration Sampling</t>
  </si>
  <si>
    <t>End date/time (UTC)</t>
  </si>
  <si>
    <t>Start date/time (UTC)</t>
  </si>
  <si>
    <t>Gravimetric water content, theta_p (g/g) =</t>
  </si>
  <si>
    <t>theta_p, STD</t>
  </si>
  <si>
    <r>
      <t>Soil bulk density, rho_bd (g/cm</t>
    </r>
    <r>
      <rPr>
        <vertAlign val="superscript"/>
        <sz val="12"/>
        <rFont val="Calibri"/>
        <family val="2"/>
        <scheme val="minor"/>
      </rPr>
      <t>3</t>
    </r>
    <r>
      <rPr>
        <sz val="12"/>
        <rFont val="Calibri"/>
        <family val="2"/>
        <scheme val="minor"/>
      </rPr>
      <t>) =</t>
    </r>
  </si>
  <si>
    <t>rho_bd, STD</t>
  </si>
  <si>
    <t>Clay lattice water, lw (g/g) =</t>
  </si>
  <si>
    <t>lw, 0-15 cm</t>
  </si>
  <si>
    <t>lw, 15-30 cm</t>
  </si>
  <si>
    <t>Soil organic carbon, soc (g/g) =</t>
  </si>
  <si>
    <t>soc, 0-15 cm</t>
  </si>
  <si>
    <t>soc, 15-30 cm</t>
  </si>
  <si>
    <r>
      <t>Standing wet biomass, SWB (kg/m</t>
    </r>
    <r>
      <rPr>
        <vertAlign val="superscript"/>
        <sz val="12"/>
        <rFont val="Calibri"/>
        <family val="2"/>
        <scheme val="minor"/>
      </rPr>
      <t>2</t>
    </r>
    <r>
      <rPr>
        <sz val="12"/>
        <rFont val="Calibri"/>
        <family val="2"/>
        <scheme val="minor"/>
      </rPr>
      <t>) =</t>
    </r>
  </si>
  <si>
    <r>
      <t>Standing dry biomass, SWB (kg/m</t>
    </r>
    <r>
      <rPr>
        <vertAlign val="superscript"/>
        <sz val="12"/>
        <rFont val="Calibri"/>
        <family val="2"/>
        <scheme val="minor"/>
      </rPr>
      <t>2</t>
    </r>
    <r>
      <rPr>
        <sz val="12"/>
        <rFont val="Calibri"/>
        <family val="2"/>
        <scheme val="minor"/>
      </rPr>
      <t>) =</t>
    </r>
  </si>
  <si>
    <t>Total Raw Neutron Counts (stationary)</t>
  </si>
  <si>
    <t>Sampling Time (hours)</t>
  </si>
  <si>
    <t>Average Corrected Neutron Counts (cph) (stationary)</t>
  </si>
  <si>
    <t>Total Raw Neutron Counts (portable)</t>
  </si>
  <si>
    <t>Average Corrected Neutron Counts (cph) (portable)</t>
  </si>
  <si>
    <t>Stationary N0 (cph)</t>
  </si>
  <si>
    <t>Portable N0 (cph)</t>
  </si>
  <si>
    <t>Portable N0/Stationary N0</t>
  </si>
  <si>
    <t>HSII data</t>
  </si>
  <si>
    <t>N</t>
  </si>
  <si>
    <t>SWC ave</t>
  </si>
  <si>
    <t>SWC std</t>
  </si>
  <si>
    <t>KA ave</t>
  </si>
  <si>
    <t>KA std</t>
  </si>
  <si>
    <t>SSURGO data</t>
  </si>
  <si>
    <t>Soil Series</t>
  </si>
  <si>
    <t>SUBWELL SERIES</t>
  </si>
  <si>
    <t>SCOUT SERIES</t>
  </si>
  <si>
    <t>GOSLIN SERIES</t>
  </si>
  <si>
    <t>SAWPIT SERIES</t>
  </si>
  <si>
    <t>WETOPA SERIES</t>
  </si>
  <si>
    <t>MINE SERIES</t>
  </si>
  <si>
    <t>SOUTHACE SERIES</t>
  </si>
  <si>
    <t>EVANSTON SERIES</t>
  </si>
  <si>
    <t>GOTHIC SERIES</t>
  </si>
  <si>
    <t>EMPEDRADO SERIES</t>
  </si>
  <si>
    <t>Soil Description</t>
  </si>
  <si>
    <t>The Subwell series consists of deep, well drained soils that formed in gravelly alluvium. These soils are on fans and terraces. Slopes are 0 to 8 percent. Mean annual precipitation is about 14 inches, and mean annual temperature is about 42 degrees F.</t>
  </si>
  <si>
    <t>The Scout series consists of very deep, somewhat excessively drained soils that formed in till, colluvium, slope alluvium, and residuum from sandstone, conglomerate, basalt, quartzite, rhyolite, andesite, and tuff. Scout soils are on mountain slopes, mesa summits, broad ridge tops, and spur ridges and have slopes of 0 to 70 percent. Permeability is moderately rapid. The mean annual precipitation is about 34 inches and the mean annual temperature is about 38 F.</t>
  </si>
  <si>
    <t>The Goslin series consists of deep, well drained soils that formed in coarse textured alluvium derived from red sandstone. The Goslin soils are on fan aprons, fan pediments, and alluvial terraces. Slopes are 3 to 25 percent. The mean annual precipitation is about 12 inches, and the mean annual temperature is about 43 degrees F.</t>
  </si>
  <si>
    <t>The Sawpit series consist of very deep, moderately well drained soils formed in slope alluvium and alluvium over till derived from andesite, rhyolite, breccia, or tuff. These soils are on mesa summits, alluvial fans, and along drainageways. Slopes range from 0 to 25 percent. Mean annual precipitation is about 32 inches and the mean annual temperature is about 33 degrees F.</t>
  </si>
  <si>
    <t>The Wetopa series consists of deep, well drained soils that formed in residuum derived from interbedded sandstone and shale with surface basalt in some areas. Wetopa soils are on valley side slopes. Slopes range from 0 to 65 percent. Mean annual precipitation is about 32 inches and mean annual temperature is about 41 degrees F.</t>
  </si>
  <si>
    <t>The Mine series consists of very deep, well drained soils that formed in slope alluvium and/or colluvium weathered from gneiss, schist, and quartizite. Mine soils are on outwash plains, alluvial fans, and valley side slopes and have slopes of 2 to 20 percent. The mean annual precipitation is about 810 mm, and the mean annual air temperature is about -1 degrees C.</t>
  </si>
  <si>
    <t>The Southace series consists of deep, well drained soils on upper fan aprons, terrace slopes, and mountain or hill slopes. They formed in calcareous gravelly slope alluvium derived from red sedimentary rocks. Slopes are 1 to 65 percent. The mean annual precipitation is about 14 inches, and the mean annual temperature is about 43 degrees F.</t>
  </si>
  <si>
    <t>The Evanston series consists of very deep, well drained soils that formed in alluvium weathered from quartzite, sandstone and shale. Evanston soils are on alluvial fans, hills, hillslopes, ridges, and terraces of sedimentary plains and uplands. Slopes are 0 to 65 percent. The mean annual precipitation is about 13 inches and the mean annual air temperature is about 43 degrees.</t>
  </si>
  <si>
    <t>The Gothic series consist of very deep, well drained soils formed in slope alluvium, colluvium or slide deposits. These soils are on mountain slopes, fan remnants, dip slopes and landslides. Slopes are 2 to 60 percent. Mean annual precipitation is about 585 mm, and mean annual air temperature is about 3.3 degrees C.</t>
  </si>
  <si>
    <t>The Empedrado series consists of deep, well drained soils that formed in material weathered mainly from rhyolite, andesite, and trachite, and in places, in alluvium and eolian material. Empedrado soils are on upland hills, toe slopes, benches, and alluvial fans. Slopes range from 2 to 55 percent. Mean annual precipitation is about 15 inches and mean annual temperature is about 41 degrees F.</t>
  </si>
  <si>
    <t>Taxonomic Class</t>
  </si>
  <si>
    <t>Loamy-skeletal, mixed, superactive, frigid Typic Haplustolls</t>
  </si>
  <si>
    <t>Loamy-skeletal, mixed, superactive Ustic Haplocryepts</t>
  </si>
  <si>
    <t>Coarse-loamy, mixed, superactive, calcareous, frigid Ustic Torriorthents</t>
  </si>
  <si>
    <t>Loamy-skeletal, mixed, superactive Typic Haplocryolls</t>
  </si>
  <si>
    <t>Fine, smectitic Vertic Argicryolls</t>
  </si>
  <si>
    <t>Coarse-loamy, mixed, superactive Typic Haplocryepts</t>
  </si>
  <si>
    <t>Loamy-skeletal, mixed, superactive, calcareous, frigid Ustic Torriorthents</t>
  </si>
  <si>
    <t>Fine-loamy, mixed, superactive, frigid Aridic Argiustolls</t>
  </si>
  <si>
    <t>Fine, smectitic Ustic Argicryolls</t>
  </si>
  <si>
    <t>Fine-loamy, mixed, superactive, frigid Typic Argiustolls</t>
  </si>
  <si>
    <r>
      <t>Organic carbon stock, 0-30 cm (kg/m</t>
    </r>
    <r>
      <rPr>
        <vertAlign val="superscript"/>
        <sz val="12"/>
        <rFont val="Calibri"/>
        <family val="2"/>
        <scheme val="minor"/>
      </rPr>
      <t>2</t>
    </r>
    <r>
      <rPr>
        <sz val="12"/>
        <rFont val="Calibri"/>
        <family val="2"/>
        <scheme val="minor"/>
      </rPr>
      <t>) =</t>
    </r>
  </si>
  <si>
    <t>Crys2</t>
  </si>
  <si>
    <t>Crys3</t>
  </si>
  <si>
    <t>Crys6</t>
  </si>
  <si>
    <t>Gravimetric water content, (g/g)</t>
  </si>
  <si>
    <r>
      <t>EST bulk density(g/cm</t>
    </r>
    <r>
      <rPr>
        <vertAlign val="superscript"/>
        <sz val="12"/>
        <color theme="1"/>
        <rFont val="Calibri"/>
        <family val="2"/>
        <scheme val="minor"/>
      </rPr>
      <t>3</t>
    </r>
    <r>
      <rPr>
        <sz val="12"/>
        <color theme="1"/>
        <rFont val="Calibri"/>
        <family val="2"/>
        <scheme val="minor"/>
      </rPr>
      <t>) =</t>
    </r>
  </si>
  <si>
    <t>Soil bulk density, rho_bd (g/cm3) =</t>
  </si>
  <si>
    <t>TW (g/g)</t>
  </si>
  <si>
    <t>Fscal</t>
  </si>
  <si>
    <t>KAN Mod BF3</t>
  </si>
  <si>
    <t>PEP Mod BF3</t>
  </si>
  <si>
    <t>PEP Mod Li6</t>
  </si>
  <si>
    <t>DE723 Mod BF3</t>
  </si>
  <si>
    <t>DE723 Mod Li6</t>
  </si>
  <si>
    <t>CRNS Atmospheric Station near Hanna IN</t>
  </si>
  <si>
    <t>009N008W36 CRNS SOIL</t>
  </si>
  <si>
    <t>DE 723 Delaware County Observation Well</t>
  </si>
  <si>
    <t>Moderated BF3</t>
  </si>
  <si>
    <t>Moderated Li-6</t>
  </si>
  <si>
    <t>GILFORD</t>
  </si>
  <si>
    <t xml:space="preserve">YORKVILLE </t>
  </si>
  <si>
    <t>GAILA</t>
  </si>
  <si>
    <t>The Gilford series consists of very deep, poorly drained or very poorly drained soils formed in loamy over sandy sediments on outwash plains, glacial drainage channels, near-shore zones (relict), and flood-plain steps. Slope ranges from 0 to 2 percent. Mean annual precipitation is about 988 mm (39 inches), and mean annual temperature is about 9.7 degrees C (50 degrees F).</t>
  </si>
  <si>
    <t>The Yorkville series consists of very deep, well drained soils that formed in material weathered from chloritic schist and other sedimentary and metamorphic rocks. Yorkville soils are on hills and mountains and have slopes of 5 to 75 percent. The mean annual precipitation is about 37 inches and the mean annual temperature is about 58 degrees F.</t>
  </si>
  <si>
    <t>Soils of the Gaila series are very deep and well drained. They formed in residuum that weathered from quartz muscovite schist of the northern portion of the Piedmont Plateau. Saturated hydraulic conductivity is moderately high. Slopes range from 0 to 55 percent. Mean annual precipitation is about 40 inches and mean annual temperature is about 55 degrees F.</t>
  </si>
  <si>
    <t>Coarse-loamy, mixed, superactive, mesic Typic Endoaquolls</t>
  </si>
  <si>
    <t>Fine, mixed, superactive, thermic Typic Argixerolls</t>
  </si>
  <si>
    <t>Fine-loamy, mixed, active, mesic Inceptic Hapludults</t>
  </si>
  <si>
    <t>Lake Tahoe</t>
  </si>
  <si>
    <t>theta_p, STD of weighted profiles</t>
  </si>
  <si>
    <t>theta_p, SE of weighted profiles</t>
  </si>
  <si>
    <t>Weighted Gravimetric water content, theta_p (g/g) =</t>
  </si>
  <si>
    <t>Arithmetic Gravimetric water content, theta_p (g/g) =</t>
  </si>
  <si>
    <t xml:space="preserve">theta_p, STD </t>
  </si>
  <si>
    <t>theta_p, SE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</si>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</sst>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hh:mm:ss"/>
    <numFmt numFmtId="165" formatCode="0.000"/>
    <numFmt numFmtId="166" formatCode="0.0"/>
    <numFmt numFmtId="167" formatCode="0.0000"/>
    <numFmt numFmtId="168" formatCode="0.000000000000000000"/>
    <numFmt numFmtId="169" formatCode="m/d/yy\ h:mm;@"/>
  </numFmts>
  <fonts count="13" x14ac:knownFonts="1">
    <font>
      <sz val="12"/>
      <color theme="1"/>
      <name val="Calibri"/>
      <family val="2"/>
      <scheme val="minor"/>
    </font>
    <font>
      <sz val="11"/>
      <color theme="1"/>
      <name val="Calibri"/>
      <family val="2"/>
      <scheme val="minor"/>
    </font>
    <font>
      <vertAlign val="superscript"/>
      <sz val="12"/>
      <color theme="1"/>
      <name val="Calibri"/>
      <family val="2"/>
      <scheme val="minor"/>
    </font>
    <font>
      <sz val="11"/>
      <color rgb="FF006100"/>
      <name val="Calibri"/>
      <family val="2"/>
      <scheme val="minor"/>
    </font>
    <font>
      <sz val="11"/>
      <color rgb="FF9C0006"/>
      <name val="Calibri"/>
      <family val="2"/>
      <scheme val="minor"/>
    </font>
    <font>
      <u/>
      <sz val="12"/>
      <color theme="10"/>
      <name val="Calibri"/>
      <family val="2"/>
      <scheme val="minor"/>
    </font>
    <font>
      <sz val="12"/>
      <name val="Calibri"/>
      <family val="2"/>
      <scheme val="minor"/>
    </font>
    <font>
      <vertAlign val="superscript"/>
      <sz val="12"/>
      <name val="Calibri"/>
      <family val="2"/>
      <scheme val="minor"/>
    </font>
    <font>
      <u/>
      <sz val="12"/>
      <name val="Calibri"/>
      <family val="2"/>
      <scheme val="minor"/>
    </font>
    <font>
      <b/>
      <sz val="12"/>
      <name val="Calibri"/>
      <family val="2"/>
      <scheme val="minor"/>
    </font>
    <font>
      <sz val="10"/>
      <name val="Arial"/>
      <family val="2"/>
    </font>
    <font>
      <sz val="12"/>
      <color rgb="FF000000"/>
      <name val="Calibri"/>
      <family val="2"/>
      <scheme val="minor"/>
    </font>
    <font>
      <sz val="12"/>
      <color theme="1"/>
      <name val="Calibri"/>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0" tint="-0.14999847407452621"/>
        <bgColor indexed="64"/>
      </patternFill>
    </fill>
    <fill>
      <patternFill patternType="solid">
        <fgColor rgb="FFFFC000"/>
        <bgColor rgb="FF000000"/>
      </patternFill>
    </fill>
    <fill>
      <patternFill patternType="solid">
        <fgColor rgb="FFFFC000"/>
        <bgColor rgb="FFFFC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0" borderId="0" applyNumberFormat="0" applyFill="0" applyBorder="0" applyAlignment="0" applyProtection="0"/>
    <xf numFmtId="0" fontId="10" fillId="0" borderId="0"/>
  </cellStyleXfs>
  <cellXfs count="118">
    <xf numFmtId="0" fontId="0" fillId="0" borderId="0" xfId="0"/>
    <xf numFmtId="2" fontId="0" fillId="0" borderId="0" xfId="0" applyNumberFormat="1" applyAlignment="1">
      <alignment horizont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4" borderId="0" xfId="0" applyFill="1" applyAlignment="1">
      <alignment horizontal="center" vertical="center" wrapText="1"/>
    </xf>
    <xf numFmtId="2" fontId="0" fillId="0" borderId="0" xfId="0" applyNumberFormat="1" applyAlignment="1">
      <alignment horizontal="center" vertical="center" wrapText="1"/>
    </xf>
    <xf numFmtId="167" fontId="0" fillId="0" borderId="0" xfId="0" applyNumberFormat="1" applyAlignment="1">
      <alignment horizontal="center" vertical="center" wrapText="1"/>
    </xf>
    <xf numFmtId="165" fontId="3" fillId="0" borderId="0" xfId="1" applyNumberFormat="1" applyFill="1" applyAlignment="1">
      <alignment horizontal="center" vertical="center" wrapText="1"/>
    </xf>
    <xf numFmtId="0" fontId="0" fillId="4" borderId="0" xfId="0" applyFill="1" applyAlignment="1">
      <alignment horizontal="center" wrapText="1"/>
    </xf>
    <xf numFmtId="164" fontId="0" fillId="4" borderId="0" xfId="0" applyNumberFormat="1" applyFill="1" applyAlignment="1">
      <alignment horizontal="center" vertical="center" wrapText="1"/>
    </xf>
    <xf numFmtId="4" fontId="0" fillId="4" borderId="0" xfId="0" applyNumberFormat="1" applyFill="1" applyAlignment="1">
      <alignment horizontal="center" vertical="center" wrapText="1"/>
    </xf>
    <xf numFmtId="4" fontId="0" fillId="4" borderId="0" xfId="0" applyNumberFormat="1" applyFill="1" applyAlignment="1">
      <alignment horizontal="center"/>
    </xf>
    <xf numFmtId="2" fontId="0" fillId="4" borderId="0" xfId="0" applyNumberFormat="1" applyFill="1" applyAlignment="1">
      <alignment horizontal="center"/>
    </xf>
    <xf numFmtId="0" fontId="0" fillId="4" borderId="0" xfId="0" applyFill="1"/>
    <xf numFmtId="0" fontId="0" fillId="0" borderId="0" xfId="0" applyAlignment="1">
      <alignment horizontal="center" wrapText="1"/>
    </xf>
    <xf numFmtId="165" fontId="0" fillId="0" borderId="0" xfId="0" applyNumberFormat="1" applyAlignment="1">
      <alignment horizontal="center"/>
    </xf>
    <xf numFmtId="165" fontId="4" fillId="0" borderId="0" xfId="2" applyNumberFormat="1" applyFill="1" applyAlignment="1">
      <alignment horizontal="center" vertical="center" wrapText="1"/>
    </xf>
    <xf numFmtId="165" fontId="0" fillId="0" borderId="0" xfId="0" applyNumberFormat="1" applyAlignment="1">
      <alignment horizontal="center" wrapText="1"/>
    </xf>
    <xf numFmtId="0" fontId="0" fillId="0" borderId="0" xfId="0" applyAlignment="1">
      <alignment horizontal="right"/>
    </xf>
    <xf numFmtId="166" fontId="0" fillId="0" borderId="0" xfId="0" applyNumberFormat="1" applyAlignment="1">
      <alignment horizontal="center"/>
    </xf>
    <xf numFmtId="0" fontId="0" fillId="0" borderId="0" xfId="0" applyAlignment="1">
      <alignment horizontal="center"/>
    </xf>
    <xf numFmtId="168" fontId="0" fillId="0" borderId="0" xfId="0" applyNumberFormat="1" applyAlignment="1">
      <alignment horizontal="center" vertical="center" wrapText="1"/>
    </xf>
    <xf numFmtId="0" fontId="6" fillId="4" borderId="0" xfId="0" applyFont="1" applyFill="1" applyAlignment="1">
      <alignment horizontal="center" wrapText="1"/>
    </xf>
    <xf numFmtId="0" fontId="6" fillId="4" borderId="0" xfId="0" applyFont="1" applyFill="1" applyAlignment="1">
      <alignment horizontal="center" vertical="center" wrapText="1"/>
    </xf>
    <xf numFmtId="164" fontId="6" fillId="4" borderId="0" xfId="0" applyNumberFormat="1" applyFont="1" applyFill="1" applyAlignment="1">
      <alignment horizontal="center" vertical="center" wrapText="1"/>
    </xf>
    <xf numFmtId="4" fontId="6" fillId="4" borderId="0" xfId="0" applyNumberFormat="1" applyFont="1" applyFill="1" applyAlignment="1">
      <alignment horizontal="center" vertical="center" wrapText="1"/>
    </xf>
    <xf numFmtId="2" fontId="6" fillId="4" borderId="0" xfId="0" applyNumberFormat="1" applyFont="1" applyFill="1" applyAlignment="1">
      <alignment horizontal="center"/>
    </xf>
    <xf numFmtId="0" fontId="6" fillId="4" borderId="0" xfId="0" applyFont="1" applyFill="1"/>
    <xf numFmtId="49" fontId="6" fillId="4" borderId="0" xfId="0" quotePrefix="1" applyNumberFormat="1" applyFont="1" applyFill="1" applyAlignment="1">
      <alignment horizontal="center" wrapText="1"/>
    </xf>
    <xf numFmtId="49" fontId="6" fillId="4" borderId="0" xfId="0" applyNumberFormat="1" applyFont="1" applyFill="1" applyAlignment="1">
      <alignment horizontal="center" vertical="center" wrapText="1"/>
    </xf>
    <xf numFmtId="49" fontId="6" fillId="4" borderId="0" xfId="0" quotePrefix="1" applyNumberFormat="1" applyFont="1" applyFill="1" applyAlignment="1">
      <alignment horizontal="center" vertical="center" wrapText="1"/>
    </xf>
    <xf numFmtId="49" fontId="6" fillId="4" borderId="0" xfId="0" applyNumberFormat="1" applyFont="1" applyFill="1"/>
    <xf numFmtId="167" fontId="6" fillId="4" borderId="0" xfId="0" applyNumberFormat="1" applyFont="1" applyFill="1" applyAlignment="1">
      <alignment horizontal="center" wrapText="1"/>
    </xf>
    <xf numFmtId="167" fontId="6" fillId="4" borderId="0" xfId="0" applyNumberFormat="1" applyFont="1" applyFill="1" applyAlignment="1">
      <alignment horizontal="center" vertical="center" wrapText="1"/>
    </xf>
    <xf numFmtId="167" fontId="6" fillId="4" borderId="0" xfId="0" applyNumberFormat="1" applyFont="1" applyFill="1" applyAlignment="1">
      <alignment horizontal="center"/>
    </xf>
    <xf numFmtId="167" fontId="6" fillId="4" borderId="0" xfId="0" applyNumberFormat="1" applyFont="1" applyFill="1"/>
    <xf numFmtId="0" fontId="6" fillId="0" borderId="0" xfId="0" applyFont="1" applyAlignment="1">
      <alignment horizontal="center" wrapText="1"/>
    </xf>
    <xf numFmtId="0" fontId="6" fillId="0" borderId="0" xfId="0" applyFont="1" applyAlignment="1">
      <alignment horizontal="center" vertical="center" wrapText="1"/>
    </xf>
    <xf numFmtId="0" fontId="6" fillId="0" borderId="0" xfId="0" applyFont="1"/>
    <xf numFmtId="1" fontId="6" fillId="0" borderId="0" xfId="0" applyNumberFormat="1" applyFont="1" applyAlignment="1">
      <alignment horizontal="center" vertical="center" wrapText="1"/>
    </xf>
    <xf numFmtId="1" fontId="6" fillId="0" borderId="0" xfId="0" applyNumberFormat="1" applyFont="1" applyAlignment="1">
      <alignment horizontal="center" wrapText="1"/>
    </xf>
    <xf numFmtId="1" fontId="6" fillId="0" borderId="0" xfId="0" applyNumberFormat="1" applyFont="1"/>
    <xf numFmtId="0" fontId="6" fillId="0" borderId="0" xfId="0" quotePrefix="1" applyFont="1" applyAlignment="1">
      <alignment horizontal="center" vertical="center" wrapText="1"/>
    </xf>
    <xf numFmtId="1" fontId="8" fillId="5" borderId="0" xfId="3" applyNumberFormat="1" applyFont="1" applyFill="1" applyBorder="1" applyAlignment="1">
      <alignment horizontal="center" vertical="center" wrapText="1"/>
    </xf>
    <xf numFmtId="1" fontId="6" fillId="5" borderId="0" xfId="0" applyNumberFormat="1" applyFont="1" applyFill="1" applyAlignment="1">
      <alignment horizontal="center" vertical="center" wrapText="1"/>
    </xf>
    <xf numFmtId="1" fontId="6" fillId="5" borderId="0" xfId="0" applyNumberFormat="1" applyFont="1" applyFill="1" applyAlignment="1">
      <alignment horizontal="center" wrapText="1"/>
    </xf>
    <xf numFmtId="1" fontId="6" fillId="5" borderId="0" xfId="0" applyNumberFormat="1" applyFont="1" applyFill="1"/>
    <xf numFmtId="166" fontId="6" fillId="0" borderId="0" xfId="0" applyNumberFormat="1" applyFont="1" applyAlignment="1">
      <alignment horizontal="center" vertical="center" wrapText="1"/>
    </xf>
    <xf numFmtId="166" fontId="6" fillId="0" borderId="0" xfId="0" applyNumberFormat="1" applyFont="1" applyAlignment="1">
      <alignment horizontal="center" wrapText="1"/>
    </xf>
    <xf numFmtId="166" fontId="6" fillId="0" borderId="0" xfId="0" applyNumberFormat="1" applyFont="1"/>
    <xf numFmtId="2" fontId="8" fillId="5" borderId="0" xfId="3" applyNumberFormat="1" applyFont="1" applyFill="1" applyBorder="1" applyAlignment="1">
      <alignment horizontal="center" vertical="center" wrapText="1"/>
    </xf>
    <xf numFmtId="2" fontId="6" fillId="5" borderId="0" xfId="0" applyNumberFormat="1" applyFont="1" applyFill="1" applyAlignment="1">
      <alignment horizontal="center" vertical="center" wrapText="1"/>
    </xf>
    <xf numFmtId="2" fontId="6" fillId="5" borderId="0" xfId="0" applyNumberFormat="1" applyFont="1" applyFill="1" applyAlignment="1">
      <alignment horizontal="center" wrapText="1"/>
    </xf>
    <xf numFmtId="2" fontId="6" fillId="5" borderId="0" xfId="0" applyNumberFormat="1" applyFont="1" applyFill="1"/>
    <xf numFmtId="0" fontId="6" fillId="5" borderId="0" xfId="0" applyFont="1" applyFill="1" applyAlignment="1">
      <alignment horizontal="center" vertical="center" wrapText="1"/>
    </xf>
    <xf numFmtId="0" fontId="6" fillId="5" borderId="0" xfId="0" applyFont="1" applyFill="1" applyAlignment="1">
      <alignment horizontal="center" wrapText="1"/>
    </xf>
    <xf numFmtId="0" fontId="6" fillId="5" borderId="0" xfId="0" applyFont="1" applyFill="1"/>
    <xf numFmtId="165" fontId="6" fillId="0" borderId="0" xfId="0" applyNumberFormat="1" applyFont="1" applyAlignment="1">
      <alignment horizontal="center" vertical="center" wrapText="1"/>
    </xf>
    <xf numFmtId="165" fontId="6" fillId="0" borderId="0" xfId="0" applyNumberFormat="1" applyFont="1" applyAlignment="1">
      <alignment horizontal="center"/>
    </xf>
    <xf numFmtId="165" fontId="6" fillId="0" borderId="0" xfId="0" applyNumberFormat="1" applyFont="1" applyAlignment="1">
      <alignment horizontal="center" vertical="center"/>
    </xf>
    <xf numFmtId="165" fontId="6" fillId="0" borderId="0" xfId="0" applyNumberFormat="1" applyFont="1" applyAlignment="1">
      <alignment horizontal="center" vertical="top" wrapText="1"/>
    </xf>
    <xf numFmtId="165" fontId="6" fillId="0" borderId="0" xfId="0" applyNumberFormat="1" applyFont="1" applyAlignment="1">
      <alignment horizontal="center" vertical="top"/>
    </xf>
    <xf numFmtId="0" fontId="6" fillId="6" borderId="0" xfId="0" applyFont="1" applyFill="1" applyAlignment="1">
      <alignment horizontal="center" vertical="center" wrapText="1"/>
    </xf>
    <xf numFmtId="0" fontId="6" fillId="6" borderId="0" xfId="0" applyFont="1" applyFill="1" applyAlignment="1">
      <alignment horizontal="center" wrapText="1"/>
    </xf>
    <xf numFmtId="0" fontId="6" fillId="6" borderId="0" xfId="0" applyFont="1" applyFill="1"/>
    <xf numFmtId="165" fontId="6" fillId="6" borderId="0" xfId="0" applyNumberFormat="1" applyFont="1" applyFill="1" applyAlignment="1">
      <alignment horizontal="center" vertical="center" wrapText="1"/>
    </xf>
    <xf numFmtId="165" fontId="6" fillId="6" borderId="0" xfId="0" applyNumberFormat="1" applyFont="1" applyFill="1" applyAlignment="1">
      <alignment horizontal="center" wrapText="1"/>
    </xf>
    <xf numFmtId="165" fontId="6" fillId="6" borderId="0" xfId="0" applyNumberFormat="1" applyFont="1" applyFill="1"/>
    <xf numFmtId="165" fontId="6" fillId="0" borderId="0" xfId="1" applyNumberFormat="1" applyFont="1" applyFill="1" applyAlignment="1">
      <alignment horizontal="center" vertical="center" wrapText="1"/>
    </xf>
    <xf numFmtId="165" fontId="6" fillId="0" borderId="0" xfId="2" applyNumberFormat="1" applyFont="1" applyFill="1" applyAlignment="1">
      <alignment horizontal="center" vertical="center" wrapText="1"/>
    </xf>
    <xf numFmtId="165" fontId="6" fillId="0" borderId="0" xfId="1" applyNumberFormat="1" applyFont="1" applyFill="1" applyAlignment="1">
      <alignment horizontal="center" wrapText="1"/>
    </xf>
    <xf numFmtId="0" fontId="9" fillId="0" borderId="0" xfId="0" applyFont="1" applyAlignment="1">
      <alignment horizontal="center" vertical="center"/>
    </xf>
    <xf numFmtId="0" fontId="6" fillId="0" borderId="0" xfId="0" applyFont="1" applyAlignment="1">
      <alignment horizontal="right" vertical="center"/>
    </xf>
    <xf numFmtId="1" fontId="6" fillId="0" borderId="0" xfId="1" applyNumberFormat="1" applyFont="1" applyFill="1" applyAlignment="1">
      <alignment horizontal="center" vertical="center" wrapText="1"/>
    </xf>
    <xf numFmtId="0" fontId="6" fillId="0" borderId="0" xfId="0" applyFont="1" applyAlignment="1">
      <alignment horizontal="center"/>
    </xf>
    <xf numFmtId="0" fontId="6" fillId="0" borderId="0" xfId="0" applyFont="1" applyAlignment="1">
      <alignment horizontal="right"/>
    </xf>
    <xf numFmtId="166" fontId="6" fillId="0" borderId="0" xfId="0" applyNumberFormat="1" applyFont="1" applyAlignment="1">
      <alignment horizontal="center"/>
    </xf>
    <xf numFmtId="0" fontId="6" fillId="0" borderId="0" xfId="0" applyFont="1" applyAlignment="1">
      <alignment vertical="center"/>
    </xf>
    <xf numFmtId="165" fontId="6" fillId="0" borderId="0" xfId="0" applyNumberFormat="1" applyFont="1" applyAlignment="1">
      <alignment vertical="center"/>
    </xf>
    <xf numFmtId="0" fontId="6" fillId="7" borderId="0" xfId="0" applyFont="1" applyFill="1" applyAlignment="1">
      <alignment horizontal="center" vertical="center"/>
    </xf>
    <xf numFmtId="1" fontId="6" fillId="7" borderId="0" xfId="0" applyNumberFormat="1" applyFont="1" applyFill="1" applyAlignment="1">
      <alignment horizontal="center" vertical="center" wrapText="1"/>
    </xf>
    <xf numFmtId="0" fontId="6" fillId="7" borderId="0" xfId="0" applyFont="1" applyFill="1"/>
    <xf numFmtId="0" fontId="6" fillId="8" borderId="0" xfId="0" applyFont="1" applyFill="1" applyAlignment="1">
      <alignment horizontal="center" wrapText="1"/>
    </xf>
    <xf numFmtId="1" fontId="0" fillId="8" borderId="0" xfId="0" applyNumberFormat="1" applyFill="1" applyAlignment="1">
      <alignment horizontal="center" vertical="top" wrapText="1"/>
    </xf>
    <xf numFmtId="1" fontId="10" fillId="8" borderId="0" xfId="4" applyNumberFormat="1" applyFill="1" applyAlignment="1">
      <alignment horizontal="center" vertical="top" wrapText="1"/>
    </xf>
    <xf numFmtId="0" fontId="6" fillId="8" borderId="0" xfId="0" applyFont="1" applyFill="1"/>
    <xf numFmtId="2" fontId="6" fillId="7" borderId="0" xfId="1" applyNumberFormat="1" applyFont="1" applyFill="1" applyAlignment="1">
      <alignment horizontal="center" vertical="center" wrapText="1"/>
    </xf>
    <xf numFmtId="1" fontId="6" fillId="7" borderId="0" xfId="0" applyNumberFormat="1" applyFont="1" applyFill="1" applyAlignment="1">
      <alignment horizontal="center" wrapText="1"/>
    </xf>
    <xf numFmtId="169" fontId="6" fillId="0" borderId="0" xfId="0" applyNumberFormat="1" applyFont="1" applyAlignment="1">
      <alignment horizontal="center" vertical="center" wrapText="1"/>
    </xf>
    <xf numFmtId="169" fontId="0" fillId="0" borderId="0" xfId="0" applyNumberFormat="1" applyAlignment="1">
      <alignment horizontal="center"/>
    </xf>
    <xf numFmtId="169" fontId="6" fillId="0" borderId="0" xfId="0" applyNumberFormat="1" applyFont="1" applyAlignment="1">
      <alignment horizontal="center"/>
    </xf>
    <xf numFmtId="2" fontId="6" fillId="0" borderId="0" xfId="0" applyNumberFormat="1" applyFont="1" applyAlignment="1">
      <alignment horizontal="center" vertical="center" wrapText="1"/>
    </xf>
    <xf numFmtId="0" fontId="9" fillId="0" borderId="0" xfId="0" applyFont="1" applyAlignment="1">
      <alignment horizontal="center" vertical="center" wrapText="1"/>
    </xf>
    <xf numFmtId="2" fontId="6" fillId="0" borderId="0" xfId="0" applyNumberFormat="1" applyFont="1" applyAlignment="1">
      <alignment horizontal="center" wrapText="1"/>
    </xf>
    <xf numFmtId="2" fontId="6" fillId="0" borderId="0" xfId="0" applyNumberFormat="1" applyFont="1"/>
    <xf numFmtId="1" fontId="0" fillId="0" borderId="0" xfId="0" applyNumberFormat="1" applyAlignment="1">
      <alignment horizontal="center" vertical="center"/>
    </xf>
    <xf numFmtId="1" fontId="6" fillId="4" borderId="0" xfId="0" applyNumberFormat="1" applyFont="1" applyFill="1" applyAlignment="1">
      <alignment horizontal="center" vertical="center" wrapText="1"/>
    </xf>
    <xf numFmtId="2" fontId="5" fillId="5" borderId="0" xfId="3" applyNumberFormat="1" applyFill="1" applyBorder="1" applyAlignment="1">
      <alignment horizontal="center" vertical="center" wrapText="1"/>
    </xf>
    <xf numFmtId="0" fontId="11" fillId="9" borderId="1" xfId="0" applyFont="1" applyFill="1" applyBorder="1" applyAlignment="1">
      <alignment horizontal="center" vertical="center"/>
    </xf>
    <xf numFmtId="1" fontId="6" fillId="4" borderId="0" xfId="0" applyNumberFormat="1" applyFont="1" applyFill="1" applyAlignment="1">
      <alignment horizontal="center"/>
    </xf>
    <xf numFmtId="4" fontId="6" fillId="4" borderId="0" xfId="0" applyNumberFormat="1" applyFont="1" applyFill="1" applyAlignment="1">
      <alignment horizontal="center" vertical="top" wrapText="1"/>
    </xf>
    <xf numFmtId="2" fontId="6" fillId="4" borderId="0" xfId="0" applyNumberFormat="1" applyFont="1" applyFill="1" applyAlignment="1">
      <alignment horizontal="center" vertical="top" wrapText="1"/>
    </xf>
    <xf numFmtId="1" fontId="6" fillId="8" borderId="0" xfId="0" applyNumberFormat="1" applyFont="1" applyFill="1" applyAlignment="1">
      <alignment horizontal="center"/>
    </xf>
    <xf numFmtId="1" fontId="6" fillId="5" borderId="0" xfId="0" applyNumberFormat="1" applyFont="1" applyFill="1" applyAlignment="1">
      <alignment horizontal="center" vertical="center"/>
    </xf>
    <xf numFmtId="2" fontId="6" fillId="5" borderId="0" xfId="0" applyNumberFormat="1" applyFont="1" applyFill="1" applyAlignment="1">
      <alignment horizontal="center" vertical="center"/>
    </xf>
    <xf numFmtId="2" fontId="6" fillId="5" borderId="0" xfId="0" applyNumberFormat="1" applyFont="1" applyFill="1" applyAlignment="1">
      <alignment horizontal="center"/>
    </xf>
    <xf numFmtId="0" fontId="6" fillId="5" borderId="0" xfId="0" applyFont="1" applyFill="1" applyAlignment="1">
      <alignment horizontal="center" vertical="center"/>
    </xf>
    <xf numFmtId="0" fontId="6" fillId="5" borderId="0" xfId="0" applyFont="1" applyFill="1" applyAlignment="1">
      <alignment horizontal="center"/>
    </xf>
    <xf numFmtId="169" fontId="1" fillId="0" borderId="0" xfId="0" applyNumberFormat="1" applyFont="1" applyAlignment="1">
      <alignment horizontal="center"/>
    </xf>
    <xf numFmtId="165" fontId="6" fillId="5" borderId="0" xfId="0" applyNumberFormat="1" applyFont="1" applyFill="1" applyAlignment="1">
      <alignment horizontal="center"/>
    </xf>
    <xf numFmtId="165" fontId="6" fillId="5" borderId="0" xfId="0" applyNumberFormat="1" applyFont="1" applyFill="1" applyAlignment="1">
      <alignment horizontal="center" vertical="center"/>
    </xf>
    <xf numFmtId="0" fontId="6" fillId="8" borderId="0" xfId="0" applyFont="1" applyFill="1" applyAlignment="1">
      <alignment horizontal="center"/>
    </xf>
    <xf numFmtId="165" fontId="6" fillId="8" borderId="0" xfId="0" applyNumberFormat="1" applyFont="1" applyFill="1" applyAlignment="1">
      <alignment horizontal="center" vertical="center" wrapText="1"/>
    </xf>
    <xf numFmtId="1" fontId="6" fillId="7" borderId="0" xfId="0" applyNumberFormat="1" applyFont="1" applyFill="1" applyAlignment="1">
      <alignment horizontal="center"/>
    </xf>
    <xf numFmtId="0" fontId="6" fillId="0" borderId="0" xfId="0" applyFont="1" applyAlignment="1">
      <alignment horizontal="center" vertical="center"/>
    </xf>
    <xf numFmtId="165" fontId="12" fillId="10" borderId="0" xfId="0" applyNumberFormat="1" applyFont="1" applyFill="1" applyAlignment="1">
      <alignment horizontal="center" vertical="top" wrapText="1"/>
    </xf>
    <xf numFmtId="165" fontId="12" fillId="10" borderId="0" xfId="0" applyNumberFormat="1" applyFont="1" applyFill="1" applyAlignment="1">
      <alignment horizontal="center" vertical="top"/>
    </xf>
    <xf numFmtId="169" fontId="0" fillId="0" borderId="0" xfId="0" applyNumberFormat="1"/>
  </cellXfs>
  <cellStyles count="5">
    <cellStyle name="Bad" xfId="2" builtinId="27"/>
    <cellStyle name="Good" xfId="1" builtinId="26"/>
    <cellStyle name="Hyperlink" xfId="3" builtinId="8"/>
    <cellStyle name="Normal" xfId="0" builtinId="0"/>
    <cellStyle name="Normal 2" xfId="4" xr:uid="{EA59FC24-2461-4EF0-91F0-E2E1D26706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Sheet1!$H$31:$H$45</c:f>
              <c:numCache>
                <c:formatCode>General</c:formatCode>
                <c:ptCount val="15"/>
                <c:pt idx="0">
                  <c:v>0.21357601332716536</c:v>
                </c:pt>
                <c:pt idx="1">
                  <c:v>0.1084544810577481</c:v>
                </c:pt>
                <c:pt idx="2">
                  <c:v>0.20235418359993165</c:v>
                </c:pt>
                <c:pt idx="3">
                  <c:v>9.0896270501752349E-2</c:v>
                </c:pt>
                <c:pt idx="4">
                  <c:v>0.22034266109665929</c:v>
                </c:pt>
                <c:pt idx="5">
                  <c:v>0.27181348663061888</c:v>
                </c:pt>
                <c:pt idx="6">
                  <c:v>8.454411187407708E-2</c:v>
                </c:pt>
                <c:pt idx="7">
                  <c:v>0.19610394625890323</c:v>
                </c:pt>
                <c:pt idx="9">
                  <c:v>0.18290904101096764</c:v>
                </c:pt>
                <c:pt idx="10">
                  <c:v>0.21609543578753598</c:v>
                </c:pt>
                <c:pt idx="11">
                  <c:v>0.19795423774447862</c:v>
                </c:pt>
                <c:pt idx="12">
                  <c:v>0.13045818981142399</c:v>
                </c:pt>
                <c:pt idx="13">
                  <c:v>0.23264133228893707</c:v>
                </c:pt>
              </c:numCache>
            </c:numRef>
          </c:xVal>
          <c:yVal>
            <c:numRef>
              <c:f>Sheet1!$I$31:$I$45</c:f>
              <c:numCache>
                <c:formatCode>General</c:formatCode>
                <c:ptCount val="15"/>
                <c:pt idx="0">
                  <c:v>2778.590794978581</c:v>
                </c:pt>
                <c:pt idx="1">
                  <c:v>2739.9567751668806</c:v>
                </c:pt>
                <c:pt idx="2">
                  <c:v>2710.4147838131316</c:v>
                </c:pt>
                <c:pt idx="3">
                  <c:v>3053.2813114861729</c:v>
                </c:pt>
                <c:pt idx="4">
                  <c:v>2936.998089451351</c:v>
                </c:pt>
                <c:pt idx="5">
                  <c:v>2498.1323221526923</c:v>
                </c:pt>
                <c:pt idx="6">
                  <c:v>3388.8545886929255</c:v>
                </c:pt>
                <c:pt idx="7">
                  <c:v>2557.5574679537367</c:v>
                </c:pt>
                <c:pt idx="9">
                  <c:v>2662.1699785063283</c:v>
                </c:pt>
                <c:pt idx="10">
                  <c:v>2820.8913311638471</c:v>
                </c:pt>
                <c:pt idx="11">
                  <c:v>2698.8454124044119</c:v>
                </c:pt>
                <c:pt idx="12">
                  <c:v>3003.9290561545872</c:v>
                </c:pt>
                <c:pt idx="13">
                  <c:v>2686.2577795561219</c:v>
                </c:pt>
              </c:numCache>
            </c:numRef>
          </c:yVal>
          <c:smooth val="0"/>
          <c:extLst>
            <c:ext xmlns:c16="http://schemas.microsoft.com/office/drawing/2014/chart" uri="{C3380CC4-5D6E-409C-BE32-E72D297353CC}">
              <c16:uniqueId val="{00000000-5ADB-384B-8AD5-8EBD49A2CE0C}"/>
            </c:ext>
          </c:extLst>
        </c:ser>
        <c:dLbls>
          <c:showLegendKey val="0"/>
          <c:showVal val="0"/>
          <c:showCatName val="0"/>
          <c:showSerName val="0"/>
          <c:showPercent val="0"/>
          <c:showBubbleSize val="0"/>
        </c:dLbls>
        <c:axId val="84758607"/>
        <c:axId val="398842575"/>
      </c:scatterChart>
      <c:valAx>
        <c:axId val="8475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42575"/>
        <c:crosses val="autoZero"/>
        <c:crossBetween val="midCat"/>
      </c:valAx>
      <c:valAx>
        <c:axId val="39884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158750</xdr:colOff>
      <xdr:row>31</xdr:row>
      <xdr:rowOff>50800</xdr:rowOff>
    </xdr:from>
    <xdr:to>
      <xdr:col>14</xdr:col>
      <xdr:colOff>609600</xdr:colOff>
      <xdr:row>53</xdr:row>
      <xdr:rowOff>12700</xdr:rowOff>
    </xdr:to>
    <xdr:graphicFrame macro="">
      <xdr:nvGraphicFramePr>
        <xdr:cNvPr id="2" name="Chart 1">
          <a:extLst>
            <a:ext uri="{FF2B5EF4-FFF2-40B4-BE49-F238E27FC236}">
              <a16:creationId xmlns:a16="http://schemas.microsoft.com/office/drawing/2014/main" id="{0CF88634-1E1B-6467-C529-49744F5BA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Becker" id="{3B864902-F99A-48B1-948F-0C1728EC83B4}" userId="S::sbecker14@unl.edu::69c2aa67-a7c2-4554-8f05-f78843df5cd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8-27T21:30:07.03" personId="{3B864902-F99A-48B1-948F-0C1728EC83B4}" id="{F41BE558-C781-4CE7-BC03-90523981CA5D}">
    <text xml:space="preserve">Updating values for total raw neutron counts to the sum of column F in the spreadsheet instead of the sum of column I, which has been already scaled to cph.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crnslab.org/util/intensity.php" TargetMode="External"/><Relationship Id="rId7" Type="http://schemas.microsoft.com/office/2017/10/relationships/threadedComment" Target="../threadedComments/threadedComment1.xml"/><Relationship Id="rId2" Type="http://schemas.openxmlformats.org/officeDocument/2006/relationships/hyperlink" Target="http://cosmos.hwr.arizona.edu/Util/calculator.php" TargetMode="External"/><Relationship Id="rId1" Type="http://schemas.openxmlformats.org/officeDocument/2006/relationships/hyperlink" Target="http://cosmos.hwr.arizona.edu/Util/calculator.ph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1633-2812-E148-AFD3-2ABCB6A1AB2E}">
  <dimension ref="A1:V60"/>
  <sheetViews>
    <sheetView tabSelected="1" zoomScale="90" zoomScaleNormal="90" workbookViewId="0">
      <pane xSplit="1" ySplit="3" topLeftCell="P17" activePane="bottomRight" state="frozen"/>
      <selection pane="topRight" activeCell="B1" sqref="B1"/>
      <selection pane="bottomLeft" activeCell="A4" sqref="A4"/>
      <selection pane="bottomRight" activeCell="P20" sqref="P20"/>
    </sheetView>
  </sheetViews>
  <sheetFormatPr defaultColWidth="11" defaultRowHeight="15.5" x14ac:dyDescent="0.35"/>
  <cols>
    <col min="1" max="1" width="47.33203125" style="38" customWidth="1"/>
    <col min="2" max="2" width="33.08203125" style="37" customWidth="1"/>
    <col min="3" max="12" width="26.83203125" style="37" customWidth="1"/>
    <col min="13" max="13" width="26.83203125" style="36" customWidth="1"/>
    <col min="14" max="16" width="26.83203125" style="37" customWidth="1"/>
    <col min="17" max="17" width="22.75" style="38" customWidth="1"/>
    <col min="18" max="18" width="24.33203125" style="38" customWidth="1"/>
    <col min="19" max="19" width="20" style="38" customWidth="1"/>
    <col min="20" max="20" width="21.4140625" style="38" customWidth="1"/>
    <col min="21" max="21" width="20.4140625" style="38" customWidth="1"/>
    <col min="22" max="16384" width="11" style="38"/>
  </cols>
  <sheetData>
    <row r="1" spans="1:22" s="27" customFormat="1" x14ac:dyDescent="0.35">
      <c r="A1" s="22" t="s">
        <v>0</v>
      </c>
      <c r="B1" s="23" t="s">
        <v>1</v>
      </c>
      <c r="C1" s="23" t="s">
        <v>2</v>
      </c>
      <c r="D1" s="23" t="s">
        <v>3</v>
      </c>
      <c r="E1" s="23" t="s">
        <v>4</v>
      </c>
      <c r="F1" s="23" t="s">
        <v>5</v>
      </c>
      <c r="G1" s="23" t="s">
        <v>6</v>
      </c>
      <c r="H1" s="23" t="s">
        <v>7</v>
      </c>
      <c r="I1" s="23" t="s">
        <v>8</v>
      </c>
      <c r="J1" s="23" t="s">
        <v>9</v>
      </c>
      <c r="K1" s="23" t="s">
        <v>10</v>
      </c>
      <c r="L1" s="23" t="s">
        <v>11</v>
      </c>
      <c r="M1" s="22" t="s">
        <v>12</v>
      </c>
      <c r="N1" s="24" t="s">
        <v>13</v>
      </c>
      <c r="O1" s="24" t="s">
        <v>14</v>
      </c>
      <c r="P1" s="25" t="s">
        <v>15</v>
      </c>
      <c r="Q1" s="26" t="s">
        <v>132</v>
      </c>
      <c r="R1" s="26" t="s">
        <v>133</v>
      </c>
      <c r="S1" s="26" t="s">
        <v>134</v>
      </c>
      <c r="T1" s="26" t="s">
        <v>135</v>
      </c>
      <c r="U1" s="26" t="s">
        <v>136</v>
      </c>
      <c r="V1" s="27" t="s">
        <v>151</v>
      </c>
    </row>
    <row r="2" spans="1:22" s="31" customFormat="1" x14ac:dyDescent="0.35">
      <c r="A2" s="28" t="s">
        <v>16</v>
      </c>
      <c r="B2" s="29" t="s">
        <v>17</v>
      </c>
      <c r="C2" s="30" t="s">
        <v>18</v>
      </c>
      <c r="D2" s="30" t="s">
        <v>19</v>
      </c>
      <c r="E2" s="29" t="s">
        <v>20</v>
      </c>
      <c r="F2" s="29" t="s">
        <v>21</v>
      </c>
      <c r="G2" s="29" t="s">
        <v>22</v>
      </c>
      <c r="H2" s="29" t="s">
        <v>23</v>
      </c>
      <c r="I2" s="29" t="s">
        <v>24</v>
      </c>
      <c r="J2" s="29" t="s">
        <v>25</v>
      </c>
      <c r="K2" s="29" t="s">
        <v>26</v>
      </c>
      <c r="L2" s="30" t="s">
        <v>27</v>
      </c>
      <c r="M2" s="28" t="s">
        <v>28</v>
      </c>
      <c r="N2" s="29" t="s">
        <v>29</v>
      </c>
      <c r="O2" s="29" t="s">
        <v>30</v>
      </c>
      <c r="P2" s="29" t="s">
        <v>31</v>
      </c>
      <c r="Q2" s="99">
        <v>412349086423701</v>
      </c>
      <c r="R2" s="99">
        <v>383512122420801</v>
      </c>
      <c r="S2" s="99">
        <v>383512122420801</v>
      </c>
      <c r="T2" s="99">
        <v>395512075293701</v>
      </c>
      <c r="U2" s="99">
        <v>395512075293701</v>
      </c>
    </row>
    <row r="3" spans="1:22" s="27" customFormat="1" ht="46.5" x14ac:dyDescent="0.35">
      <c r="A3" s="22" t="s">
        <v>32</v>
      </c>
      <c r="B3" s="23" t="s">
        <v>33</v>
      </c>
      <c r="C3" s="23" t="s">
        <v>34</v>
      </c>
      <c r="D3" s="23" t="s">
        <v>35</v>
      </c>
      <c r="E3" s="23" t="s">
        <v>36</v>
      </c>
      <c r="F3" s="23" t="s">
        <v>37</v>
      </c>
      <c r="G3" s="23" t="s">
        <v>38</v>
      </c>
      <c r="H3" s="23" t="s">
        <v>39</v>
      </c>
      <c r="I3" s="23" t="s">
        <v>40</v>
      </c>
      <c r="J3" s="23" t="s">
        <v>41</v>
      </c>
      <c r="K3" s="23" t="s">
        <v>42</v>
      </c>
      <c r="L3" s="23" t="s">
        <v>43</v>
      </c>
      <c r="M3" s="22" t="s">
        <v>44</v>
      </c>
      <c r="N3" s="24" t="s">
        <v>45</v>
      </c>
      <c r="O3" s="24" t="s">
        <v>46</v>
      </c>
      <c r="P3" s="25" t="s">
        <v>47</v>
      </c>
      <c r="Q3" s="100" t="s">
        <v>137</v>
      </c>
      <c r="R3" s="100" t="s">
        <v>138</v>
      </c>
      <c r="S3" s="100" t="s">
        <v>138</v>
      </c>
      <c r="T3" s="101" t="s">
        <v>139</v>
      </c>
      <c r="U3" s="101" t="s">
        <v>139</v>
      </c>
    </row>
    <row r="4" spans="1:22" s="85" customFormat="1" x14ac:dyDescent="0.35">
      <c r="A4" s="82" t="s">
        <v>48</v>
      </c>
      <c r="B4" s="83">
        <v>270</v>
      </c>
      <c r="C4" s="83">
        <v>279</v>
      </c>
      <c r="D4" s="83">
        <v>280</v>
      </c>
      <c r="E4" s="83">
        <v>269</v>
      </c>
      <c r="F4" s="84">
        <v>267</v>
      </c>
      <c r="G4" s="83">
        <v>277</v>
      </c>
      <c r="H4" s="83">
        <v>283</v>
      </c>
      <c r="I4" s="83">
        <v>278</v>
      </c>
      <c r="J4" s="83">
        <v>275</v>
      </c>
      <c r="K4" s="83">
        <v>274</v>
      </c>
      <c r="L4" s="83">
        <v>271</v>
      </c>
      <c r="M4" s="83">
        <v>266</v>
      </c>
      <c r="N4" s="83">
        <v>272</v>
      </c>
      <c r="O4" s="83">
        <v>273</v>
      </c>
      <c r="P4" s="83">
        <v>294</v>
      </c>
      <c r="Q4" s="102">
        <v>261</v>
      </c>
      <c r="R4" s="102">
        <v>202</v>
      </c>
      <c r="S4" s="102">
        <v>202</v>
      </c>
      <c r="T4" s="102">
        <v>203</v>
      </c>
      <c r="U4" s="102">
        <v>203</v>
      </c>
    </row>
    <row r="5" spans="1:22" s="35" customFormat="1" x14ac:dyDescent="0.35">
      <c r="A5" s="32" t="s">
        <v>49</v>
      </c>
      <c r="B5" s="33">
        <v>39.18318</v>
      </c>
      <c r="C5" s="33">
        <v>39.172249999999998</v>
      </c>
      <c r="D5" s="33">
        <v>39.215910000000001</v>
      </c>
      <c r="E5" s="33">
        <v>39.312469999999998</v>
      </c>
      <c r="F5" s="33">
        <v>39.314149999999998</v>
      </c>
      <c r="G5" s="33">
        <v>39.354480000000002</v>
      </c>
      <c r="H5" s="33">
        <v>39.37997</v>
      </c>
      <c r="I5" s="33">
        <v>39.266680000000001</v>
      </c>
      <c r="J5" s="33">
        <v>39.226610000000001</v>
      </c>
      <c r="K5" s="33">
        <v>39.170504999999999</v>
      </c>
      <c r="L5" s="33">
        <v>39.332738999999997</v>
      </c>
      <c r="M5" s="32">
        <v>39.357199999999999</v>
      </c>
      <c r="N5" s="33">
        <v>39.323869999999999</v>
      </c>
      <c r="O5" s="33">
        <v>39.472990000000003</v>
      </c>
      <c r="P5" s="33">
        <v>39.446849999999998</v>
      </c>
      <c r="Q5" s="34">
        <v>41.396778566388903</v>
      </c>
      <c r="R5" s="34">
        <v>38.586783046464646</v>
      </c>
      <c r="S5" s="34">
        <v>38.586783046464646</v>
      </c>
      <c r="T5" s="34">
        <v>39.920129705061726</v>
      </c>
      <c r="U5" s="34">
        <v>39.920129705061726</v>
      </c>
      <c r="V5" s="35">
        <v>39.446800000000003</v>
      </c>
    </row>
    <row r="6" spans="1:22" s="35" customFormat="1" x14ac:dyDescent="0.35">
      <c r="A6" s="32" t="s">
        <v>50</v>
      </c>
      <c r="B6" s="33">
        <v>-107.24607</v>
      </c>
      <c r="C6" s="33">
        <v>-107.24512</v>
      </c>
      <c r="D6" s="33">
        <v>-107.22501</v>
      </c>
      <c r="E6" s="33">
        <v>-107.20899</v>
      </c>
      <c r="F6" s="33">
        <v>-106.61498</v>
      </c>
      <c r="G6" s="33">
        <v>-106.74206</v>
      </c>
      <c r="H6" s="33">
        <v>-106.96697</v>
      </c>
      <c r="I6" s="33">
        <v>-106.76085</v>
      </c>
      <c r="J6" s="33">
        <v>-106.76609000000001</v>
      </c>
      <c r="K6" s="33">
        <v>-106.799888</v>
      </c>
      <c r="L6" s="33">
        <v>-106.97878900000001</v>
      </c>
      <c r="M6" s="32">
        <v>-107.04268999999999</v>
      </c>
      <c r="N6" s="33">
        <v>-107.03048</v>
      </c>
      <c r="O6" s="33">
        <v>-107.22139</v>
      </c>
      <c r="P6" s="33">
        <v>-107.15361</v>
      </c>
      <c r="Q6" s="34">
        <v>-86.710299889583354</v>
      </c>
      <c r="R6" s="34">
        <v>-122.70224146051693</v>
      </c>
      <c r="S6" s="34">
        <v>-122.70224146051693</v>
      </c>
      <c r="T6" s="34">
        <v>-75.493041003580259</v>
      </c>
      <c r="U6" s="34">
        <v>-75.493041003580259</v>
      </c>
    </row>
    <row r="7" spans="1:22" s="35" customFormat="1" x14ac:dyDescent="0.35">
      <c r="A7" s="32" t="s">
        <v>51</v>
      </c>
      <c r="B7" s="33">
        <f>IF(B6&gt;0,B6,360+B6)</f>
        <v>252.75393</v>
      </c>
      <c r="C7" s="33">
        <f t="shared" ref="C7:U7" si="0">IF(C6&gt;0,C6,360+C6)</f>
        <v>252.75488000000001</v>
      </c>
      <c r="D7" s="33">
        <f t="shared" si="0"/>
        <v>252.77499</v>
      </c>
      <c r="E7" s="33">
        <f t="shared" si="0"/>
        <v>252.79101</v>
      </c>
      <c r="F7" s="33">
        <f t="shared" si="0"/>
        <v>253.38502</v>
      </c>
      <c r="G7" s="33">
        <f t="shared" si="0"/>
        <v>253.25794000000002</v>
      </c>
      <c r="H7" s="33">
        <f t="shared" si="0"/>
        <v>253.03303</v>
      </c>
      <c r="I7" s="33">
        <f t="shared" si="0"/>
        <v>253.23915</v>
      </c>
      <c r="J7" s="33">
        <f t="shared" si="0"/>
        <v>253.23390999999998</v>
      </c>
      <c r="K7" s="33">
        <f t="shared" si="0"/>
        <v>253.20011199999999</v>
      </c>
      <c r="L7" s="33">
        <f t="shared" si="0"/>
        <v>253.02121099999999</v>
      </c>
      <c r="M7" s="33">
        <f t="shared" si="0"/>
        <v>252.95731000000001</v>
      </c>
      <c r="N7" s="33">
        <f t="shared" si="0"/>
        <v>252.96951999999999</v>
      </c>
      <c r="O7" s="33">
        <f t="shared" si="0"/>
        <v>252.77861000000001</v>
      </c>
      <c r="P7" s="33">
        <f t="shared" si="0"/>
        <v>252.84638999999999</v>
      </c>
      <c r="Q7" s="33">
        <f t="shared" si="0"/>
        <v>273.28970011041667</v>
      </c>
      <c r="R7" s="33">
        <f t="shared" si="0"/>
        <v>237.29775853948308</v>
      </c>
      <c r="S7" s="33">
        <f t="shared" si="0"/>
        <v>237.29775853948308</v>
      </c>
      <c r="T7" s="33">
        <f t="shared" si="0"/>
        <v>284.50695899641971</v>
      </c>
      <c r="U7" s="33">
        <f t="shared" si="0"/>
        <v>284.50695899641971</v>
      </c>
      <c r="V7" s="35">
        <v>239.97730000000001</v>
      </c>
    </row>
    <row r="8" spans="1:22" s="27" customFormat="1" x14ac:dyDescent="0.35">
      <c r="A8" s="22" t="s">
        <v>52</v>
      </c>
      <c r="B8" s="96">
        <f>CONVERT(7261, "ft","m")</f>
        <v>2213.1527999999998</v>
      </c>
      <c r="C8" s="96">
        <f>CONVERT(7246, "ft","m")</f>
        <v>2208.5808000000002</v>
      </c>
      <c r="D8" s="96">
        <f>CONVERT(6993, "ft","m")</f>
        <v>2131.4663999999998</v>
      </c>
      <c r="E8" s="96">
        <f>CONVERT(6483, "ft","m")</f>
        <v>1976.0183999999999</v>
      </c>
      <c r="F8" s="96">
        <f>CONVERT(9539, "ft","m")</f>
        <v>2907.4872</v>
      </c>
      <c r="G8" s="96">
        <f>CONVERT(7879, "ft","m")</f>
        <v>2401.5192000000002</v>
      </c>
      <c r="H8" s="96">
        <f>CONVERT(6962, "ft","m")</f>
        <v>2122.0176000000001</v>
      </c>
      <c r="I8" s="96">
        <f>CONVERT(10499,"ft","m")</f>
        <v>3200.0952000000002</v>
      </c>
      <c r="J8" s="96">
        <f>CONVERT(9818,"ft","m")</f>
        <v>2992.5264000000002</v>
      </c>
      <c r="K8" s="96">
        <f>CONVERT(8055,"ft","m")</f>
        <v>2455.1640000000002</v>
      </c>
      <c r="L8" s="96">
        <f>CONVERT(6966,"ft","m")</f>
        <v>2123.2368000000001</v>
      </c>
      <c r="M8" s="96">
        <f>CONVERT(6683,"ft","m")</f>
        <v>2036.9784</v>
      </c>
      <c r="N8" s="96">
        <f>CONVERT(7314,"ft","m")</f>
        <v>2229.3072000000002</v>
      </c>
      <c r="O8" s="96">
        <f>CONVERT(7162,"ft","m")</f>
        <v>2182.9776000000002</v>
      </c>
      <c r="P8" s="96">
        <f>CONVERT(7057,"ft","m")</f>
        <v>2150.9735999999998</v>
      </c>
      <c r="Q8" s="96">
        <f>CONVERT(674, "ft","m")</f>
        <v>205.43520000000001</v>
      </c>
      <c r="R8" s="96">
        <f>CONVERT(1253, "ft","m")</f>
        <v>381.9144</v>
      </c>
      <c r="S8" s="96">
        <f>CONVERT(1253, "ft","m")</f>
        <v>381.9144</v>
      </c>
      <c r="T8" s="96">
        <f>CONVERT(282, "ft","m")</f>
        <v>85.953599999999994</v>
      </c>
      <c r="U8" s="96">
        <f>CONVERT(282, "ft","m")</f>
        <v>85.953599999999994</v>
      </c>
      <c r="V8" s="27">
        <v>1892</v>
      </c>
    </row>
    <row r="9" spans="1:22" x14ac:dyDescent="0.35">
      <c r="A9" s="92" t="s">
        <v>53</v>
      </c>
      <c r="I9" s="42"/>
    </row>
    <row r="10" spans="1:22" s="41" customFormat="1" ht="17.5" x14ac:dyDescent="0.35">
      <c r="A10" s="39" t="s">
        <v>54</v>
      </c>
      <c r="B10" s="39">
        <v>25</v>
      </c>
      <c r="C10" s="39">
        <v>25</v>
      </c>
      <c r="D10" s="39">
        <v>25</v>
      </c>
      <c r="E10" s="39">
        <v>25</v>
      </c>
      <c r="F10" s="39">
        <v>25</v>
      </c>
      <c r="G10" s="39">
        <v>25</v>
      </c>
      <c r="H10" s="39">
        <v>25</v>
      </c>
      <c r="I10" s="39">
        <v>25</v>
      </c>
      <c r="J10" s="39">
        <v>25</v>
      </c>
      <c r="K10" s="39">
        <v>25</v>
      </c>
      <c r="L10" s="39">
        <v>25</v>
      </c>
      <c r="M10" s="40">
        <v>25</v>
      </c>
      <c r="N10" s="39">
        <v>25</v>
      </c>
      <c r="O10" s="39">
        <v>25</v>
      </c>
      <c r="P10" s="39">
        <v>25</v>
      </c>
      <c r="Q10" s="39">
        <v>25</v>
      </c>
      <c r="R10" s="39">
        <v>25</v>
      </c>
      <c r="S10" s="39">
        <v>25</v>
      </c>
      <c r="T10" s="39">
        <v>25</v>
      </c>
      <c r="U10" s="39">
        <v>25</v>
      </c>
      <c r="V10" s="41">
        <v>25</v>
      </c>
    </row>
    <row r="11" spans="1:22" s="46" customFormat="1" x14ac:dyDescent="0.35">
      <c r="A11" s="43" t="s">
        <v>55</v>
      </c>
      <c r="B11" s="44">
        <v>774</v>
      </c>
      <c r="C11" s="44">
        <v>775</v>
      </c>
      <c r="D11" s="44">
        <v>782</v>
      </c>
      <c r="E11" s="44">
        <v>797</v>
      </c>
      <c r="F11" s="44">
        <v>710</v>
      </c>
      <c r="G11" s="44">
        <v>756</v>
      </c>
      <c r="H11" s="44">
        <v>783</v>
      </c>
      <c r="I11" s="44">
        <v>684</v>
      </c>
      <c r="J11" s="44">
        <v>702</v>
      </c>
      <c r="K11" s="44">
        <v>751</v>
      </c>
      <c r="L11" s="44">
        <v>783</v>
      </c>
      <c r="M11" s="45">
        <v>791</v>
      </c>
      <c r="N11" s="44">
        <v>773</v>
      </c>
      <c r="O11" s="44">
        <v>777</v>
      </c>
      <c r="P11" s="44">
        <v>780</v>
      </c>
      <c r="Q11" s="103">
        <v>989</v>
      </c>
      <c r="R11" s="103">
        <v>968</v>
      </c>
      <c r="S11" s="103">
        <v>968</v>
      </c>
      <c r="T11" s="103">
        <v>1003</v>
      </c>
      <c r="U11" s="103">
        <v>1002</v>
      </c>
      <c r="V11" s="46">
        <v>806</v>
      </c>
    </row>
    <row r="12" spans="1:22" s="49" customFormat="1" x14ac:dyDescent="0.35">
      <c r="A12" s="47" t="s">
        <v>56</v>
      </c>
      <c r="B12" s="47">
        <v>6.7</v>
      </c>
      <c r="C12" s="47">
        <v>6.7</v>
      </c>
      <c r="D12" s="47">
        <v>6.7</v>
      </c>
      <c r="E12" s="47">
        <v>6.7</v>
      </c>
      <c r="F12" s="47">
        <v>6.7</v>
      </c>
      <c r="G12" s="47">
        <v>6.7</v>
      </c>
      <c r="H12" s="47">
        <v>6.7</v>
      </c>
      <c r="I12" s="47">
        <v>6.7</v>
      </c>
      <c r="J12" s="47">
        <v>6.7</v>
      </c>
      <c r="K12" s="47">
        <v>6.7</v>
      </c>
      <c r="L12" s="47">
        <v>6.7</v>
      </c>
      <c r="M12" s="48">
        <v>6.7</v>
      </c>
      <c r="N12" s="47">
        <v>6.7</v>
      </c>
      <c r="O12" s="47">
        <v>6.7</v>
      </c>
      <c r="P12" s="47">
        <v>6.7</v>
      </c>
      <c r="Q12" s="47">
        <v>6.7</v>
      </c>
      <c r="R12" s="47">
        <v>6.7</v>
      </c>
      <c r="S12" s="47">
        <v>6.7</v>
      </c>
      <c r="T12" s="47">
        <v>6.7</v>
      </c>
      <c r="U12" s="47">
        <v>6.7</v>
      </c>
      <c r="V12" s="49">
        <v>6.7</v>
      </c>
    </row>
    <row r="13" spans="1:22" s="41" customFormat="1" ht="33" x14ac:dyDescent="0.35">
      <c r="A13" s="39" t="s">
        <v>57</v>
      </c>
      <c r="B13" s="39">
        <v>133</v>
      </c>
      <c r="C13" s="39">
        <v>133</v>
      </c>
      <c r="D13" s="39">
        <v>133</v>
      </c>
      <c r="E13" s="39">
        <v>133</v>
      </c>
      <c r="F13" s="39">
        <v>133</v>
      </c>
      <c r="G13" s="39">
        <v>130</v>
      </c>
      <c r="H13" s="39">
        <v>133</v>
      </c>
      <c r="I13" s="39">
        <v>133.1</v>
      </c>
      <c r="J13" s="39">
        <v>133.1</v>
      </c>
      <c r="K13" s="39">
        <v>133</v>
      </c>
      <c r="L13" s="39">
        <v>133</v>
      </c>
      <c r="M13" s="40">
        <v>133.1</v>
      </c>
      <c r="N13" s="39">
        <v>133</v>
      </c>
      <c r="O13" s="39">
        <v>133</v>
      </c>
      <c r="P13" s="39">
        <v>133</v>
      </c>
      <c r="Q13" s="39">
        <v>136.5</v>
      </c>
      <c r="R13" s="39">
        <v>136.4</v>
      </c>
      <c r="S13" s="39">
        <v>130</v>
      </c>
      <c r="T13" s="39">
        <v>137</v>
      </c>
      <c r="U13" s="39">
        <v>137</v>
      </c>
      <c r="V13" s="41">
        <v>133.80000000000001</v>
      </c>
    </row>
    <row r="14" spans="1:22" s="53" customFormat="1" x14ac:dyDescent="0.35">
      <c r="A14" s="50" t="s">
        <v>58</v>
      </c>
      <c r="B14" s="51">
        <v>6.15</v>
      </c>
      <c r="C14" s="51">
        <v>6.15</v>
      </c>
      <c r="D14" s="51">
        <v>5.8</v>
      </c>
      <c r="E14" s="51">
        <v>5.15</v>
      </c>
      <c r="F14" s="51">
        <v>10.199999999999999</v>
      </c>
      <c r="G14" s="51">
        <v>7.17</v>
      </c>
      <c r="H14" s="51">
        <v>5.8</v>
      </c>
      <c r="I14" s="51">
        <v>12.49</v>
      </c>
      <c r="J14" s="51">
        <v>10.9</v>
      </c>
      <c r="K14" s="51">
        <v>7.42</v>
      </c>
      <c r="L14" s="51">
        <v>5.77</v>
      </c>
      <c r="M14" s="52">
        <v>5.44</v>
      </c>
      <c r="N14" s="51">
        <v>6.3</v>
      </c>
      <c r="O14" s="51">
        <v>6.08</v>
      </c>
      <c r="P14" s="51">
        <v>5.92</v>
      </c>
      <c r="Q14" s="104">
        <f>1/0.848</f>
        <v>1.179245283018868</v>
      </c>
      <c r="R14" s="105">
        <f>1/0.793</f>
        <v>1.2610340479192939</v>
      </c>
      <c r="S14" s="105">
        <f>1/0.793</f>
        <v>1.2610340479192939</v>
      </c>
      <c r="T14" s="105">
        <f>1/0.957</f>
        <v>1.044932079414838</v>
      </c>
      <c r="U14" s="105">
        <f>1/0.957</f>
        <v>1.044932079414838</v>
      </c>
      <c r="V14" s="53">
        <v>4.4052863436123344</v>
      </c>
    </row>
    <row r="15" spans="1:22" s="53" customFormat="1" x14ac:dyDescent="0.35">
      <c r="A15" s="97" t="s">
        <v>131</v>
      </c>
      <c r="B15" s="51">
        <v>0.17100000000000001</v>
      </c>
      <c r="C15" s="51">
        <v>0.17199999999999999</v>
      </c>
      <c r="D15" s="51">
        <v>0.182</v>
      </c>
      <c r="E15" s="51">
        <v>0.182</v>
      </c>
      <c r="F15" s="51">
        <v>0.10100000000000001</v>
      </c>
      <c r="G15" s="51">
        <v>0.14799999999999999</v>
      </c>
      <c r="H15" s="51">
        <v>0.182</v>
      </c>
      <c r="I15" s="51">
        <v>8.5000000000000006E-2</v>
      </c>
      <c r="J15" s="51">
        <v>9.8000000000000004E-2</v>
      </c>
      <c r="K15" s="51">
        <v>0.14299999999999999</v>
      </c>
      <c r="L15" s="51">
        <v>0.183</v>
      </c>
      <c r="M15" s="52"/>
      <c r="N15" s="51">
        <v>0.16900000000000001</v>
      </c>
      <c r="O15" s="51">
        <v>0.17399999999999999</v>
      </c>
      <c r="P15" s="51">
        <v>0.17899999999999999</v>
      </c>
      <c r="V15" s="53">
        <v>0.22700000000000001</v>
      </c>
    </row>
    <row r="16" spans="1:22" s="56" customFormat="1" x14ac:dyDescent="0.35">
      <c r="A16" s="54" t="s">
        <v>59</v>
      </c>
      <c r="B16" s="54">
        <v>2.98</v>
      </c>
      <c r="C16" s="54">
        <v>2.96</v>
      </c>
      <c r="D16" s="54">
        <v>2.98</v>
      </c>
      <c r="E16" s="54">
        <v>2.98</v>
      </c>
      <c r="F16" s="54">
        <v>2.94</v>
      </c>
      <c r="G16" s="54">
        <v>2.94</v>
      </c>
      <c r="H16" s="54">
        <v>2.91</v>
      </c>
      <c r="I16" s="54">
        <v>2.93</v>
      </c>
      <c r="J16" s="54">
        <v>2.96</v>
      </c>
      <c r="K16" s="54">
        <v>2.99</v>
      </c>
      <c r="L16" s="54">
        <v>2.94</v>
      </c>
      <c r="M16" s="55">
        <v>2.95</v>
      </c>
      <c r="N16" s="54">
        <v>2.97</v>
      </c>
      <c r="O16" s="54">
        <v>2.92</v>
      </c>
      <c r="P16" s="54">
        <v>2.95</v>
      </c>
      <c r="Q16" s="106">
        <v>2.14</v>
      </c>
      <c r="R16" s="107">
        <v>4.12</v>
      </c>
      <c r="S16" s="107">
        <v>4.12</v>
      </c>
      <c r="T16" s="107">
        <v>2.68</v>
      </c>
      <c r="U16" s="107">
        <v>2.68</v>
      </c>
      <c r="V16" s="56">
        <v>3.66</v>
      </c>
    </row>
    <row r="17" spans="1:22" x14ac:dyDescent="0.35">
      <c r="A17" s="92" t="s">
        <v>60</v>
      </c>
    </row>
    <row r="18" spans="1:22" s="90" customFormat="1" x14ac:dyDescent="0.35">
      <c r="A18" s="88" t="s">
        <v>62</v>
      </c>
      <c r="B18" s="89">
        <v>45138.604166666664</v>
      </c>
      <c r="C18" s="89">
        <v>45138.729166666664</v>
      </c>
      <c r="D18" s="89">
        <v>45138.833333333336</v>
      </c>
      <c r="E18" s="89">
        <v>45138.9375</v>
      </c>
      <c r="F18" s="89">
        <v>45140.604166666664</v>
      </c>
      <c r="G18" s="89">
        <v>45140.729166666664</v>
      </c>
      <c r="H18" s="89">
        <v>45140.833333333336</v>
      </c>
      <c r="I18" s="117">
        <v>45139.8125</v>
      </c>
      <c r="J18" s="89">
        <v>45483.645833333336</v>
      </c>
      <c r="K18" s="117">
        <v>45139.666666666664</v>
      </c>
      <c r="L18" s="89">
        <v>45141.666666666664</v>
      </c>
      <c r="M18" s="89">
        <v>45141.5625</v>
      </c>
      <c r="N18" s="89">
        <v>45139.9375</v>
      </c>
      <c r="O18" s="89">
        <v>45141.791666666664</v>
      </c>
      <c r="P18" s="89">
        <v>45217.583333333336</v>
      </c>
      <c r="Q18" s="89">
        <v>45265.75</v>
      </c>
      <c r="R18" s="108">
        <v>45329.8125</v>
      </c>
      <c r="S18" s="108">
        <v>45329.8125</v>
      </c>
      <c r="T18" s="89">
        <v>45155.541666666664</v>
      </c>
      <c r="U18" s="89">
        <v>45155.541666666664</v>
      </c>
    </row>
    <row r="19" spans="1:22" s="90" customFormat="1" x14ac:dyDescent="0.35">
      <c r="A19" s="88" t="s">
        <v>61</v>
      </c>
      <c r="B19" s="89">
        <v>45138.6875</v>
      </c>
      <c r="C19" s="89">
        <v>45138.791666666664</v>
      </c>
      <c r="D19" s="89">
        <v>45138.895833333336</v>
      </c>
      <c r="E19" s="89">
        <v>45139.020833333336</v>
      </c>
      <c r="F19" s="89">
        <v>45140.6875</v>
      </c>
      <c r="G19" s="89">
        <v>45140.8125</v>
      </c>
      <c r="H19" s="89">
        <v>45140.9375</v>
      </c>
      <c r="I19" s="89">
        <v>45139.895833333336</v>
      </c>
      <c r="J19" s="89">
        <v>45483.791666666664</v>
      </c>
      <c r="K19" s="89">
        <v>45139.729166666664</v>
      </c>
      <c r="L19" s="89">
        <v>45141.75</v>
      </c>
      <c r="M19" s="89">
        <v>45141.645833333336</v>
      </c>
      <c r="N19" s="89">
        <v>45139.979166666664</v>
      </c>
      <c r="O19" s="89">
        <v>45141.875</v>
      </c>
      <c r="P19" s="89">
        <v>45217.666666666664</v>
      </c>
      <c r="Q19" s="89">
        <v>45265.833333333336</v>
      </c>
      <c r="R19" s="89">
        <v>45329.958333333336</v>
      </c>
      <c r="S19" s="89">
        <v>45329.958333333336</v>
      </c>
      <c r="T19" s="89">
        <v>45155.75</v>
      </c>
      <c r="U19" s="89">
        <v>45155.75</v>
      </c>
    </row>
    <row r="20" spans="1:22" x14ac:dyDescent="0.35">
      <c r="A20" s="37" t="s">
        <v>154</v>
      </c>
      <c r="B20" s="57">
        <v>0.1192845792300979</v>
      </c>
      <c r="C20" s="57">
        <v>7.5040567391736895E-2</v>
      </c>
      <c r="D20" s="57">
        <v>0.143913962348304</v>
      </c>
      <c r="E20">
        <v>5.0030120392679997E-2</v>
      </c>
      <c r="F20" s="57">
        <v>0.22724227034309399</v>
      </c>
      <c r="G20">
        <v>0.208454709415589</v>
      </c>
      <c r="H20">
        <v>2.9717446248266801E-2</v>
      </c>
      <c r="I20">
        <v>0.12672412646874501</v>
      </c>
      <c r="J20">
        <v>0.1992465797552283</v>
      </c>
      <c r="K20">
        <v>0.118319670378308</v>
      </c>
      <c r="L20">
        <v>0.188396186363365</v>
      </c>
      <c r="M20">
        <v>0.165654481386217</v>
      </c>
      <c r="N20">
        <v>7.2880665872948405E-2</v>
      </c>
      <c r="O20">
        <v>0.19485780039867001</v>
      </c>
      <c r="P20">
        <v>0.13155637138600301</v>
      </c>
      <c r="Q20">
        <v>0.4277254861600841</v>
      </c>
      <c r="R20">
        <v>0.3894726822392176</v>
      </c>
      <c r="S20">
        <v>0.3894726822392176</v>
      </c>
      <c r="T20">
        <v>0.37793840894687458</v>
      </c>
      <c r="U20">
        <v>0.37793840894687458</v>
      </c>
      <c r="V20" s="38">
        <v>1</v>
      </c>
    </row>
    <row r="21" spans="1:22" x14ac:dyDescent="0.35">
      <c r="A21" s="37" t="s">
        <v>152</v>
      </c>
      <c r="B21" s="57">
        <v>5.4949874786780614E-3</v>
      </c>
      <c r="C21" s="57">
        <v>1.6145950678477881E-3</v>
      </c>
      <c r="D21" s="57">
        <v>4.0231989327754354E-3</v>
      </c>
      <c r="E21">
        <v>7.2983843857452524E-4</v>
      </c>
      <c r="F21" s="57">
        <v>3.2559604160302918E-3</v>
      </c>
      <c r="G21">
        <v>2.0826364451867808E-3</v>
      </c>
      <c r="H21">
        <v>2.8778089144183079E-4</v>
      </c>
      <c r="I21">
        <v>3.2588581245311019E-3</v>
      </c>
      <c r="J21">
        <v>2.7708727744520951E-3</v>
      </c>
      <c r="K21">
        <v>3.1689999088484848E-3</v>
      </c>
      <c r="L21">
        <v>2.040082034904747E-3</v>
      </c>
      <c r="M21">
        <v>1.742016520562404E-3</v>
      </c>
      <c r="N21">
        <v>8.4383616432901669E-4</v>
      </c>
      <c r="O21">
        <v>2.1096337897740769E-3</v>
      </c>
      <c r="P21">
        <v>1.0192105464826801E-3</v>
      </c>
      <c r="Q21">
        <v>8.3141812789462111E-4</v>
      </c>
      <c r="R21">
        <v>2.2818448684801202E-3</v>
      </c>
      <c r="S21">
        <v>2.2818448684801202E-3</v>
      </c>
      <c r="T21">
        <v>8.3141812789462111E-4</v>
      </c>
      <c r="U21">
        <v>8.3141812789462111E-4</v>
      </c>
      <c r="V21" s="38">
        <v>0</v>
      </c>
    </row>
    <row r="22" spans="1:22" x14ac:dyDescent="0.35">
      <c r="A22" s="37" t="s">
        <v>153</v>
      </c>
      <c r="B22" s="57">
        <v>1.2951809695694761E-3</v>
      </c>
      <c r="C22" s="57">
        <v>3.8056370711517479E-4</v>
      </c>
      <c r="D22" s="57">
        <v>1.422415623713995E-3</v>
      </c>
      <c r="E22" s="57">
        <v>1.7202456969554939E-4</v>
      </c>
      <c r="F22" s="57">
        <v>7.6743722981666412E-4</v>
      </c>
      <c r="G22">
        <v>4.9088211771260615E-4</v>
      </c>
      <c r="H22">
        <v>6.783060661147609E-5</v>
      </c>
      <c r="I22">
        <v>7.681202262602723E-4</v>
      </c>
      <c r="J22">
        <v>6.5310097620675312E-4</v>
      </c>
      <c r="K22">
        <v>7.4694044170877153E-4</v>
      </c>
      <c r="L22">
        <v>4.808519470193325E-4</v>
      </c>
      <c r="M22">
        <v>4.1059723154289018E-4</v>
      </c>
      <c r="N22">
        <v>1.988940913358312E-4</v>
      </c>
      <c r="O22">
        <v>4.9724545285650859E-4</v>
      </c>
      <c r="P22">
        <v>2.4023022962491671E-4</v>
      </c>
      <c r="Q22">
        <v>1.9596713207857029E-4</v>
      </c>
      <c r="R22">
        <v>5.3783599337267293E-4</v>
      </c>
      <c r="S22">
        <v>5.3783599337267293E-4</v>
      </c>
      <c r="T22">
        <v>1.9596713207857029E-4</v>
      </c>
      <c r="U22">
        <v>1.9596713207857029E-4</v>
      </c>
    </row>
    <row r="23" spans="1:22" x14ac:dyDescent="0.35">
      <c r="A23" s="37" t="s">
        <v>155</v>
      </c>
      <c r="B23">
        <v>0.16357601332716529</v>
      </c>
      <c r="C23">
        <v>6.6954481057748094E-2</v>
      </c>
      <c r="D23">
        <v>0.1318541835999317</v>
      </c>
      <c r="E23">
        <v>4.839627050175236E-2</v>
      </c>
      <c r="F23">
        <v>0.16484266109665929</v>
      </c>
      <c r="G23">
        <v>0.17681348663061891</v>
      </c>
      <c r="H23">
        <v>3.054411187407707E-2</v>
      </c>
      <c r="I23">
        <v>0.11910394625890321</v>
      </c>
      <c r="J23">
        <v>0.21153232334951769</v>
      </c>
      <c r="K23">
        <v>0.1124090410109676</v>
      </c>
      <c r="L23">
        <v>0.16409543578753599</v>
      </c>
      <c r="M23">
        <v>0.14995423774447861</v>
      </c>
      <c r="N23">
        <v>7.5458189811423951E-2</v>
      </c>
      <c r="O23">
        <v>0.176141332288937</v>
      </c>
      <c r="P23">
        <v>0.1095434349244086</v>
      </c>
      <c r="Q23">
        <v>0.36770960279023229</v>
      </c>
      <c r="R23">
        <v>0.38818690803222761</v>
      </c>
      <c r="S23">
        <v>0.38818690803222761</v>
      </c>
      <c r="T23">
        <v>0.39394593076717371</v>
      </c>
      <c r="U23">
        <v>0.39394593076717371</v>
      </c>
    </row>
    <row r="24" spans="1:22" x14ac:dyDescent="0.35">
      <c r="A24" s="37" t="s">
        <v>156</v>
      </c>
      <c r="B24" s="57">
        <v>0.1793561351154476</v>
      </c>
      <c r="C24" s="57">
        <v>3.2260015684889821E-2</v>
      </c>
      <c r="D24" s="57">
        <v>4.5566978119664578E-2</v>
      </c>
      <c r="E24" s="57">
        <v>1.5547164497329239E-2</v>
      </c>
      <c r="F24" s="57">
        <v>0.13334866662292377</v>
      </c>
      <c r="G24">
        <v>6.5965233411642524E-2</v>
      </c>
      <c r="H24">
        <v>7.633437899929923E-3</v>
      </c>
      <c r="I24">
        <v>8.9365284179418303E-2</v>
      </c>
      <c r="J24">
        <v>7.520381985993152E-2</v>
      </c>
      <c r="K24">
        <v>8.6510043450331295E-2</v>
      </c>
      <c r="L24">
        <v>7.3019594869748392E-2</v>
      </c>
      <c r="M24">
        <v>5.5416334218509257E-2</v>
      </c>
      <c r="N24">
        <v>2.1923934409752897E-2</v>
      </c>
      <c r="O24">
        <v>6.3310523626332202E-2</v>
      </c>
      <c r="P24">
        <v>3.9637962983409575E-2</v>
      </c>
      <c r="Q24">
        <v>0.15488627795580923</v>
      </c>
      <c r="R24">
        <v>0.12288015458392566</v>
      </c>
      <c r="S24">
        <v>0.12288015458392566</v>
      </c>
      <c r="T24">
        <v>0.22268167195787589</v>
      </c>
      <c r="U24">
        <v>0.22268167195787589</v>
      </c>
    </row>
    <row r="25" spans="1:22" x14ac:dyDescent="0.35">
      <c r="A25" s="37" t="s">
        <v>157</v>
      </c>
      <c r="B25">
        <v>1.733901203503075E-2</v>
      </c>
      <c r="C25">
        <v>3.1042214566221189E-3</v>
      </c>
      <c r="D25">
        <v>6.5770267708865236E-3</v>
      </c>
      <c r="E25">
        <v>1.503001122076347E-3</v>
      </c>
      <c r="F25">
        <v>1.2831481428470451E-2</v>
      </c>
      <c r="G25">
        <v>6.3475075445613592E-3</v>
      </c>
      <c r="H25">
        <v>7.3452790439447132E-4</v>
      </c>
      <c r="I25">
        <v>8.5991784795324232E-3</v>
      </c>
      <c r="J25">
        <v>7.2702276774212742E-3</v>
      </c>
      <c r="K25">
        <v>8.3244328122758313E-3</v>
      </c>
      <c r="L25">
        <v>7.0263137923611161E-3</v>
      </c>
      <c r="M25">
        <v>5.3572992378182714E-3</v>
      </c>
      <c r="N25">
        <v>2.109631572194428E-3</v>
      </c>
      <c r="O25">
        <v>6.0920579763665134E-3</v>
      </c>
      <c r="P25">
        <v>3.814164766433334E-3</v>
      </c>
      <c r="Q25">
        <v>1.490393904526096E-2</v>
      </c>
      <c r="R25">
        <v>1.1824148387848749E-2</v>
      </c>
      <c r="S25">
        <v>1.1824148387848749E-2</v>
      </c>
      <c r="T25">
        <v>2.142755387474593E-2</v>
      </c>
      <c r="U25">
        <v>2.142755387474593E-2</v>
      </c>
    </row>
    <row r="26" spans="1:22" s="59" customFormat="1" ht="17.5" x14ac:dyDescent="0.35">
      <c r="A26" s="57" t="s">
        <v>65</v>
      </c>
      <c r="B26" s="115">
        <v>1.3615181083440071</v>
      </c>
      <c r="C26" s="116">
        <v>0.9801954581421034</v>
      </c>
      <c r="D26" s="116">
        <v>0.87431205466983852</v>
      </c>
      <c r="E26" s="116">
        <v>1.2049744279695369</v>
      </c>
      <c r="F26" s="116">
        <v>1.1516752129295567</v>
      </c>
      <c r="G26" s="116">
        <v>0.95452668951742758</v>
      </c>
      <c r="H26" s="59">
        <v>1.3463751240571322</v>
      </c>
      <c r="I26" s="115">
        <v>1.0346831511562131</v>
      </c>
      <c r="J26" s="115">
        <v>0.87568819221079608</v>
      </c>
      <c r="K26" s="115">
        <v>0.8915580294162293</v>
      </c>
      <c r="L26" s="116">
        <v>1.0133969612665028</v>
      </c>
      <c r="M26" s="116">
        <v>1.2486791811637519</v>
      </c>
      <c r="N26" s="116">
        <v>1.0053672445347184</v>
      </c>
      <c r="O26" s="116">
        <v>1.1540670781482973</v>
      </c>
      <c r="P26" s="115">
        <v>1.279805272452847</v>
      </c>
      <c r="Q26" s="58">
        <v>1.2332682209544679</v>
      </c>
      <c r="R26" s="109">
        <v>1.0297819602069034</v>
      </c>
      <c r="S26" s="109">
        <v>1.0297819602069034</v>
      </c>
      <c r="T26" s="109">
        <v>1.0062179220872154</v>
      </c>
      <c r="U26" s="109">
        <v>1.0062179220872154</v>
      </c>
      <c r="V26" s="59">
        <v>0</v>
      </c>
    </row>
    <row r="27" spans="1:22" s="61" customFormat="1" x14ac:dyDescent="0.35">
      <c r="A27" s="60" t="s">
        <v>66</v>
      </c>
      <c r="B27" s="115">
        <v>9.9464559804917793E-2</v>
      </c>
      <c r="C27" s="116">
        <v>0.17593801721883692</v>
      </c>
      <c r="D27" s="116">
        <v>0.2905911449329408</v>
      </c>
      <c r="E27" s="116">
        <v>0.13687277072947451</v>
      </c>
      <c r="F27" s="116">
        <v>0.34199124529573877</v>
      </c>
      <c r="G27" s="116">
        <v>0.10603641044621438</v>
      </c>
      <c r="H27" s="60">
        <v>4.8119883053791182E-2</v>
      </c>
      <c r="I27" s="115">
        <v>0.21092513095896737</v>
      </c>
      <c r="J27" s="115">
        <v>0.13708644517379134</v>
      </c>
      <c r="K27" s="115">
        <v>0.17024461668540011</v>
      </c>
      <c r="L27" s="116">
        <v>0.11427169230309456</v>
      </c>
      <c r="M27" s="116">
        <v>5.4896962736683617E-2</v>
      </c>
      <c r="N27" s="116">
        <v>0.11431643890176445</v>
      </c>
      <c r="O27" s="116">
        <v>3.6664065049870728E-2</v>
      </c>
      <c r="P27" s="115">
        <v>0.11554232678804985</v>
      </c>
      <c r="Q27" s="59">
        <v>0.58895451543658051</v>
      </c>
      <c r="R27" s="110">
        <v>0.13725485801231305</v>
      </c>
      <c r="S27" s="110">
        <v>0.13725485801231305</v>
      </c>
      <c r="T27" s="110">
        <v>0.22448729768147199</v>
      </c>
      <c r="U27" s="110">
        <v>0.22448729768147199</v>
      </c>
      <c r="V27" s="61">
        <v>0</v>
      </c>
    </row>
    <row r="28" spans="1:22" s="64" customFormat="1" x14ac:dyDescent="0.35">
      <c r="A28" s="62" t="s">
        <v>67</v>
      </c>
      <c r="B28" s="62">
        <f>AVERAGE(B29:B30)</f>
        <v>3.15E-2</v>
      </c>
      <c r="C28" s="62">
        <f>AVERAGE(C29:C30)</f>
        <v>2.8499999999999998E-2</v>
      </c>
      <c r="D28" s="62">
        <f t="shared" ref="D28:U28" si="1">AVERAGE(D29:D30)</f>
        <v>4.0499999999999994E-2</v>
      </c>
      <c r="E28" s="62">
        <f t="shared" si="1"/>
        <v>2.9499999999999998E-2</v>
      </c>
      <c r="F28" s="62">
        <f t="shared" si="1"/>
        <v>3.2000000000000001E-2</v>
      </c>
      <c r="G28" s="62">
        <f t="shared" si="1"/>
        <v>6.2E-2</v>
      </c>
      <c r="H28" s="62">
        <f t="shared" si="1"/>
        <v>3.6500000000000005E-2</v>
      </c>
      <c r="I28" s="62">
        <f t="shared" si="1"/>
        <v>5.4500000000000007E-2</v>
      </c>
      <c r="J28" s="62">
        <v>6.1499999999999999E-2</v>
      </c>
      <c r="K28" s="62">
        <f t="shared" si="1"/>
        <v>3.5000000000000003E-2</v>
      </c>
      <c r="L28" s="62">
        <f t="shared" si="1"/>
        <v>3.5500000000000004E-2</v>
      </c>
      <c r="M28" s="63">
        <f t="shared" si="1"/>
        <v>3.5000000000000003E-2</v>
      </c>
      <c r="N28" s="62">
        <f t="shared" si="1"/>
        <v>4.1000000000000002E-2</v>
      </c>
      <c r="O28" s="62">
        <f t="shared" si="1"/>
        <v>4.8500000000000001E-2</v>
      </c>
      <c r="P28" s="62">
        <f t="shared" si="1"/>
        <v>3.95E-2</v>
      </c>
      <c r="Q28" s="111">
        <f t="shared" si="1"/>
        <v>6.7000000000000004E-2</v>
      </c>
      <c r="R28" s="111">
        <f t="shared" si="1"/>
        <v>9.7500000000000003E-2</v>
      </c>
      <c r="S28" s="111">
        <f t="shared" si="1"/>
        <v>9.7500000000000003E-2</v>
      </c>
      <c r="T28" s="112">
        <f t="shared" si="1"/>
        <v>6.1499999999999999E-2</v>
      </c>
      <c r="U28" s="112">
        <f t="shared" si="1"/>
        <v>6.1499999999999999E-2</v>
      </c>
      <c r="V28" s="64">
        <v>0</v>
      </c>
    </row>
    <row r="29" spans="1:22" x14ac:dyDescent="0.35">
      <c r="A29" s="37" t="s">
        <v>68</v>
      </c>
      <c r="B29" s="37">
        <v>3.5000000000000003E-2</v>
      </c>
      <c r="C29" s="37">
        <v>2.7999999999999997E-2</v>
      </c>
      <c r="D29" s="37">
        <v>3.7999999999999999E-2</v>
      </c>
      <c r="E29" s="37">
        <v>3.1E-2</v>
      </c>
      <c r="F29" s="37">
        <v>3.7999999999999999E-2</v>
      </c>
      <c r="G29" s="37">
        <v>6.4000000000000001E-2</v>
      </c>
      <c r="H29" s="37">
        <v>3.7000000000000005E-2</v>
      </c>
      <c r="I29" s="37">
        <v>5.7000000000000002E-2</v>
      </c>
      <c r="J29" s="37">
        <v>6.9000000000000006E-2</v>
      </c>
      <c r="K29" s="37">
        <v>3.9E-2</v>
      </c>
      <c r="L29" s="37">
        <v>3.6000000000000004E-2</v>
      </c>
      <c r="M29" s="36">
        <v>3.5000000000000003E-2</v>
      </c>
      <c r="N29" s="37">
        <v>4.2000000000000003E-2</v>
      </c>
      <c r="O29" s="37">
        <v>4.8000000000000001E-2</v>
      </c>
      <c r="P29" s="37">
        <v>3.9E-2</v>
      </c>
      <c r="Q29" s="74">
        <v>6.7000000000000004E-2</v>
      </c>
      <c r="R29" s="74">
        <v>9.7000000000000003E-2</v>
      </c>
      <c r="S29" s="74">
        <v>9.7000000000000003E-2</v>
      </c>
      <c r="T29" s="58">
        <v>6.6000000000000003E-2</v>
      </c>
      <c r="U29" s="58">
        <v>6.6000000000000003E-2</v>
      </c>
      <c r="V29" s="38">
        <v>0</v>
      </c>
    </row>
    <row r="30" spans="1:22" x14ac:dyDescent="0.35">
      <c r="A30" s="37" t="s">
        <v>69</v>
      </c>
      <c r="B30" s="37">
        <v>2.8000000000000001E-2</v>
      </c>
      <c r="C30" s="37">
        <v>2.8999999999999998E-2</v>
      </c>
      <c r="D30" s="37">
        <v>4.2999999999999997E-2</v>
      </c>
      <c r="E30" s="37">
        <v>2.7999999999999997E-2</v>
      </c>
      <c r="F30" s="37">
        <v>2.6000000000000002E-2</v>
      </c>
      <c r="G30" s="37">
        <v>0.06</v>
      </c>
      <c r="H30" s="37">
        <v>3.6000000000000004E-2</v>
      </c>
      <c r="I30" s="37">
        <v>5.2000000000000005E-2</v>
      </c>
      <c r="J30" s="37">
        <v>5.3999999999999999E-2</v>
      </c>
      <c r="K30" s="37">
        <v>3.1E-2</v>
      </c>
      <c r="L30" s="37">
        <v>3.5000000000000003E-2</v>
      </c>
      <c r="M30" s="36">
        <v>3.5000000000000003E-2</v>
      </c>
      <c r="N30" s="37">
        <v>0.04</v>
      </c>
      <c r="O30" s="37">
        <v>4.9000000000000002E-2</v>
      </c>
      <c r="P30" s="37">
        <v>0.04</v>
      </c>
      <c r="Q30" s="74">
        <v>6.7000000000000004E-2</v>
      </c>
      <c r="R30" s="38">
        <v>9.8000000000000004E-2</v>
      </c>
      <c r="S30" s="38">
        <v>9.8000000000000004E-2</v>
      </c>
      <c r="T30" s="58">
        <v>5.7000000000000002E-2</v>
      </c>
      <c r="U30" s="58">
        <v>5.7000000000000002E-2</v>
      </c>
      <c r="V30" s="38">
        <v>0</v>
      </c>
    </row>
    <row r="31" spans="1:22" s="67" customFormat="1" x14ac:dyDescent="0.35">
      <c r="A31" s="65" t="s">
        <v>70</v>
      </c>
      <c r="B31" s="65">
        <f>AVERAGE(B32:B33)</f>
        <v>1.8499999999999999E-2</v>
      </c>
      <c r="C31" s="65">
        <f t="shared" ref="C31" si="2">AVERAGE(C32:C33)</f>
        <v>1.3000000000000001E-2</v>
      </c>
      <c r="D31" s="65">
        <f t="shared" ref="D31" si="3">AVERAGE(D32:D33)</f>
        <v>0.03</v>
      </c>
      <c r="E31" s="65">
        <f t="shared" ref="E31" si="4">AVERAGE(E32:E33)</f>
        <v>1.3000000000000001E-2</v>
      </c>
      <c r="F31" s="65">
        <f t="shared" ref="F31" si="5">AVERAGE(F32:F33)</f>
        <v>2.35E-2</v>
      </c>
      <c r="G31" s="65">
        <f t="shared" ref="G31" si="6">AVERAGE(G32:G33)</f>
        <v>3.3000000000000002E-2</v>
      </c>
      <c r="H31" s="65">
        <f t="shared" ref="H31" si="7">AVERAGE(H32:H33)</f>
        <v>1.7500000000000002E-2</v>
      </c>
      <c r="I31" s="65">
        <f t="shared" ref="I31" si="8">AVERAGE(I32:I33)</f>
        <v>2.2499999999999999E-2</v>
      </c>
      <c r="J31" s="65">
        <v>3.7499999999999999E-2</v>
      </c>
      <c r="K31" s="65">
        <f t="shared" ref="K31" si="9">AVERAGE(K32:K33)</f>
        <v>3.5500000000000004E-2</v>
      </c>
      <c r="L31" s="65">
        <f t="shared" ref="L31" si="10">AVERAGE(L32:L33)</f>
        <v>1.6500000000000001E-2</v>
      </c>
      <c r="M31" s="66">
        <f t="shared" ref="M31" si="11">AVERAGE(M32:M33)</f>
        <v>1.3000000000000001E-2</v>
      </c>
      <c r="N31" s="65">
        <f t="shared" ref="N31" si="12">AVERAGE(N32:N33)</f>
        <v>1.4E-2</v>
      </c>
      <c r="O31" s="65">
        <f t="shared" ref="O31" si="13">AVERAGE(O32:O33)</f>
        <v>8.0000000000000002E-3</v>
      </c>
      <c r="P31" s="65">
        <v>1.0999999999999999E-2</v>
      </c>
      <c r="Q31" s="111">
        <f t="shared" ref="Q31:U31" si="14">AVERAGE(Q32:Q33)</f>
        <v>1.6055E-2</v>
      </c>
      <c r="R31" s="111">
        <f t="shared" si="14"/>
        <v>7.4099999999999999E-3</v>
      </c>
      <c r="S31" s="111">
        <f t="shared" si="14"/>
        <v>7.4099999999999999E-3</v>
      </c>
      <c r="T31" s="112">
        <f t="shared" si="14"/>
        <v>1.9000000000000003E-2</v>
      </c>
      <c r="U31" s="112">
        <f t="shared" si="14"/>
        <v>1.9000000000000003E-2</v>
      </c>
      <c r="V31" s="67">
        <v>0</v>
      </c>
    </row>
    <row r="32" spans="1:22" x14ac:dyDescent="0.35">
      <c r="A32" s="37" t="s">
        <v>71</v>
      </c>
      <c r="B32" s="37">
        <v>2.3E-2</v>
      </c>
      <c r="C32" s="37">
        <v>1.1000000000000001E-2</v>
      </c>
      <c r="D32" s="37">
        <v>2.8999999999999998E-2</v>
      </c>
      <c r="E32" s="37">
        <v>1.4999999999999999E-2</v>
      </c>
      <c r="F32" s="37">
        <v>3.3000000000000002E-2</v>
      </c>
      <c r="G32" s="37">
        <v>3.7000000000000005E-2</v>
      </c>
      <c r="H32" s="37">
        <v>0.02</v>
      </c>
      <c r="I32" s="37">
        <v>2.8999999999999998E-2</v>
      </c>
      <c r="J32" s="37">
        <v>2.1999999999999999E-2</v>
      </c>
      <c r="K32" s="37">
        <v>0.04</v>
      </c>
      <c r="L32" s="37">
        <v>1.9E-2</v>
      </c>
      <c r="M32" s="36">
        <v>1.7000000000000001E-2</v>
      </c>
      <c r="N32" s="37">
        <v>1.6E-2</v>
      </c>
      <c r="O32" s="37">
        <v>9.0000000000000011E-3</v>
      </c>
      <c r="P32" s="37">
        <v>6.4219999999999998E-3</v>
      </c>
      <c r="Q32" s="38">
        <v>1.976E-2</v>
      </c>
      <c r="R32" s="74">
        <v>1.0374E-2</v>
      </c>
      <c r="S32" s="74">
        <v>1.0374E-2</v>
      </c>
      <c r="T32" s="74">
        <v>2.6000000000000002E-2</v>
      </c>
      <c r="U32" s="74">
        <v>2.6000000000000002E-2</v>
      </c>
      <c r="V32" s="38">
        <v>0</v>
      </c>
    </row>
    <row r="33" spans="1:22" x14ac:dyDescent="0.35">
      <c r="A33" s="37" t="s">
        <v>72</v>
      </c>
      <c r="B33" s="37">
        <v>1.4E-2</v>
      </c>
      <c r="C33" s="37">
        <v>1.4999999999999999E-2</v>
      </c>
      <c r="D33" s="37">
        <v>3.1E-2</v>
      </c>
      <c r="E33" s="37">
        <v>1.1000000000000001E-2</v>
      </c>
      <c r="F33" s="37">
        <v>1.3999999999999999E-2</v>
      </c>
      <c r="G33" s="37">
        <v>2.8999999999999998E-2</v>
      </c>
      <c r="H33" s="37">
        <v>1.4999999999999999E-2</v>
      </c>
      <c r="I33" s="37">
        <v>1.6E-2</v>
      </c>
      <c r="J33" s="37">
        <v>1.4999999999999999E-2</v>
      </c>
      <c r="K33" s="37">
        <v>3.1E-2</v>
      </c>
      <c r="L33" s="37">
        <v>1.3999999999999999E-2</v>
      </c>
      <c r="M33" s="36">
        <v>9.0000000000000011E-3</v>
      </c>
      <c r="N33" s="37">
        <v>1.2E-2</v>
      </c>
      <c r="O33" s="37">
        <v>6.9999999999999993E-3</v>
      </c>
      <c r="P33" s="37">
        <v>4.4460000000000003E-3</v>
      </c>
      <c r="Q33" s="38">
        <v>1.235E-2</v>
      </c>
      <c r="R33" s="38">
        <v>4.4460000000000003E-3</v>
      </c>
      <c r="S33" s="38">
        <v>4.4460000000000003E-3</v>
      </c>
      <c r="T33" s="74">
        <v>1.2E-2</v>
      </c>
      <c r="U33" s="74">
        <v>1.2E-2</v>
      </c>
      <c r="V33" s="38">
        <v>0</v>
      </c>
    </row>
    <row r="34" spans="1:22" s="56" customFormat="1" ht="17.5" x14ac:dyDescent="0.35">
      <c r="A34" s="54" t="s">
        <v>73</v>
      </c>
      <c r="B34" s="54">
        <v>0</v>
      </c>
      <c r="C34" s="54">
        <v>0</v>
      </c>
      <c r="D34" s="54">
        <v>0</v>
      </c>
      <c r="E34" s="54">
        <v>0</v>
      </c>
      <c r="F34" s="54">
        <v>0</v>
      </c>
      <c r="G34" s="54">
        <v>0</v>
      </c>
      <c r="H34" s="54">
        <v>0</v>
      </c>
      <c r="I34" s="54">
        <v>0</v>
      </c>
      <c r="J34" s="54">
        <v>0</v>
      </c>
      <c r="K34" s="54">
        <v>0</v>
      </c>
      <c r="L34" s="54">
        <v>0</v>
      </c>
      <c r="M34" s="54">
        <v>0</v>
      </c>
      <c r="N34" s="54">
        <v>0</v>
      </c>
      <c r="O34" s="54">
        <v>0</v>
      </c>
      <c r="P34" s="54">
        <v>0</v>
      </c>
      <c r="R34" s="54">
        <v>0</v>
      </c>
      <c r="S34" s="54">
        <v>0</v>
      </c>
      <c r="T34" s="54">
        <v>0</v>
      </c>
      <c r="U34" s="54">
        <v>0</v>
      </c>
      <c r="V34" s="56">
        <v>0</v>
      </c>
    </row>
    <row r="35" spans="1:22" s="56" customFormat="1" ht="17.5" x14ac:dyDescent="0.35">
      <c r="A35" s="54" t="s">
        <v>74</v>
      </c>
      <c r="B35" s="54">
        <v>0</v>
      </c>
      <c r="C35" s="54">
        <v>0</v>
      </c>
      <c r="D35" s="54">
        <v>0</v>
      </c>
      <c r="E35" s="54">
        <v>0</v>
      </c>
      <c r="F35" s="54">
        <v>0</v>
      </c>
      <c r="G35" s="54">
        <v>0</v>
      </c>
      <c r="H35" s="54">
        <v>0</v>
      </c>
      <c r="I35" s="54">
        <v>0</v>
      </c>
      <c r="J35" s="54">
        <v>0</v>
      </c>
      <c r="K35" s="54">
        <v>0</v>
      </c>
      <c r="L35" s="54">
        <v>0</v>
      </c>
      <c r="M35" s="54">
        <v>0</v>
      </c>
      <c r="N35" s="54">
        <v>0</v>
      </c>
      <c r="O35" s="54">
        <v>0</v>
      </c>
      <c r="P35" s="54">
        <v>0</v>
      </c>
      <c r="R35" s="54">
        <v>0</v>
      </c>
      <c r="S35" s="54">
        <v>0</v>
      </c>
      <c r="T35" s="54">
        <v>0</v>
      </c>
      <c r="U35" s="54">
        <v>0</v>
      </c>
      <c r="V35" s="56">
        <v>0</v>
      </c>
    </row>
    <row r="36" spans="1:22" s="41" customFormat="1" x14ac:dyDescent="0.35">
      <c r="A36" s="39" t="s">
        <v>75</v>
      </c>
      <c r="B36" s="39">
        <v>2567</v>
      </c>
      <c r="C36" s="39">
        <v>20861</v>
      </c>
      <c r="D36" s="39">
        <v>24337</v>
      </c>
      <c r="E36" s="39">
        <v>26133</v>
      </c>
      <c r="F36" s="39">
        <v>36995</v>
      </c>
      <c r="G36" s="39">
        <v>29931</v>
      </c>
      <c r="H36" s="39">
        <v>31055</v>
      </c>
      <c r="I36" s="39">
        <v>37291</v>
      </c>
      <c r="J36" s="39" t="s">
        <v>158</v>
      </c>
      <c r="K36" s="39">
        <v>29002</v>
      </c>
      <c r="L36" s="39">
        <v>26019</v>
      </c>
      <c r="M36" s="40">
        <v>20097</v>
      </c>
      <c r="N36" s="39">
        <v>24634</v>
      </c>
      <c r="O36" s="39">
        <v>22617</v>
      </c>
      <c r="P36" s="39">
        <v>29468</v>
      </c>
      <c r="Q36" s="38">
        <v>5259</v>
      </c>
      <c r="R36" s="37">
        <v>14395</v>
      </c>
      <c r="S36" s="37">
        <v>10746</v>
      </c>
      <c r="T36" s="37">
        <v>15487</v>
      </c>
      <c r="U36" s="37">
        <v>24580</v>
      </c>
    </row>
    <row r="37" spans="1:22" s="94" customFormat="1" x14ac:dyDescent="0.35">
      <c r="A37" s="91" t="s">
        <v>76</v>
      </c>
      <c r="B37" s="91">
        <v>2.5005555555555556</v>
      </c>
      <c r="C37" s="91">
        <v>2.0005555555555556</v>
      </c>
      <c r="D37" s="91">
        <v>2.4427777777777777</v>
      </c>
      <c r="E37" s="91">
        <v>2.5002777777777778</v>
      </c>
      <c r="F37" s="91">
        <v>2.160277777777778</v>
      </c>
      <c r="G37" s="91">
        <v>2.7630555555555598</v>
      </c>
      <c r="H37" s="91">
        <v>2.5708333333333333</v>
      </c>
      <c r="I37" s="91">
        <v>2.0005555555555556</v>
      </c>
      <c r="J37" s="39" t="s">
        <v>158</v>
      </c>
      <c r="K37" s="91">
        <v>2.4136111111111109</v>
      </c>
      <c r="L37" s="91">
        <v>2.7158333333333333</v>
      </c>
      <c r="M37" s="93">
        <v>2.3011111111111111</v>
      </c>
      <c r="N37" s="91">
        <v>1.6177777777777778</v>
      </c>
      <c r="O37" s="91">
        <v>2.2991666666666668</v>
      </c>
      <c r="P37" s="91">
        <v>2.5005555555555556</v>
      </c>
      <c r="Q37" s="38">
        <v>2.5005555555555556</v>
      </c>
      <c r="R37" s="37">
        <v>4</v>
      </c>
      <c r="S37" s="37">
        <v>4</v>
      </c>
      <c r="T37" s="37">
        <v>5.5</v>
      </c>
      <c r="U37" s="37">
        <v>5.5</v>
      </c>
    </row>
    <row r="38" spans="1:22" s="41" customFormat="1" x14ac:dyDescent="0.35">
      <c r="A38" s="95" t="s">
        <v>77</v>
      </c>
      <c r="B38" s="39">
        <v>2121.3325059723202</v>
      </c>
      <c r="C38" s="39">
        <v>2152.0987503019223</v>
      </c>
      <c r="D38" s="39">
        <v>2145.8000000000002</v>
      </c>
      <c r="E38" s="39">
        <v>2516.2624922600203</v>
      </c>
      <c r="F38" s="39">
        <v>2215.5</v>
      </c>
      <c r="G38" s="39">
        <v>2001.6</v>
      </c>
      <c r="H38" s="39">
        <v>2592.3959922093727</v>
      </c>
      <c r="I38" s="39">
        <v>1998.7</v>
      </c>
      <c r="J38" s="39" t="s">
        <v>158</v>
      </c>
      <c r="K38" s="39">
        <v>2116.3000000000002</v>
      </c>
      <c r="L38" s="39">
        <v>2172.1</v>
      </c>
      <c r="M38" s="39">
        <v>2102.5</v>
      </c>
      <c r="N38" s="39">
        <v>2453.1</v>
      </c>
      <c r="O38" s="39">
        <v>2094</v>
      </c>
      <c r="P38" s="39">
        <v>2457.9</v>
      </c>
      <c r="Q38" s="38">
        <v>1955.6</v>
      </c>
      <c r="R38" s="37">
        <v>2974.4</v>
      </c>
      <c r="S38" s="37">
        <v>2220.6</v>
      </c>
      <c r="T38" s="37">
        <v>3076.8</v>
      </c>
      <c r="U38" s="37">
        <v>4884.2</v>
      </c>
    </row>
    <row r="39" spans="1:22" s="41" customFormat="1" x14ac:dyDescent="0.35">
      <c r="A39" s="39" t="s">
        <v>78</v>
      </c>
      <c r="B39" s="39">
        <v>32201</v>
      </c>
      <c r="C39" s="39">
        <v>27035</v>
      </c>
      <c r="D39" s="39">
        <v>23919</v>
      </c>
      <c r="E39" s="39">
        <v>23919</v>
      </c>
      <c r="F39" s="39">
        <v>48039</v>
      </c>
      <c r="G39" s="39">
        <v>28355</v>
      </c>
      <c r="H39" s="39">
        <v>32978</v>
      </c>
      <c r="I39" s="39">
        <v>46823</v>
      </c>
      <c r="J39" s="39" t="s">
        <v>158</v>
      </c>
      <c r="K39" s="39">
        <v>30300</v>
      </c>
      <c r="L39" s="39">
        <v>27698</v>
      </c>
      <c r="M39" s="39">
        <v>23469</v>
      </c>
      <c r="N39" s="39">
        <v>12876</v>
      </c>
      <c r="O39" s="39">
        <v>27604</v>
      </c>
      <c r="P39" s="39">
        <v>37635</v>
      </c>
      <c r="Q39" s="38">
        <v>6308</v>
      </c>
      <c r="R39" s="37">
        <v>11510</v>
      </c>
      <c r="S39" s="37">
        <v>11510</v>
      </c>
      <c r="T39" s="37">
        <v>9687</v>
      </c>
      <c r="U39" s="37">
        <v>9687</v>
      </c>
      <c r="V39" s="41">
        <v>9861</v>
      </c>
    </row>
    <row r="40" spans="1:22" s="94" customFormat="1" x14ac:dyDescent="0.35">
      <c r="A40" s="91" t="s">
        <v>76</v>
      </c>
      <c r="B40" s="91">
        <v>2.375</v>
      </c>
      <c r="C40" s="91">
        <v>2</v>
      </c>
      <c r="D40" s="91">
        <v>1.8611111111111112</v>
      </c>
      <c r="E40" s="91">
        <v>1.8611111111111112</v>
      </c>
      <c r="F40" s="91">
        <v>2.1319444444444446</v>
      </c>
      <c r="G40" s="91">
        <v>2.06</v>
      </c>
      <c r="H40" s="91">
        <v>2.1041666666666665</v>
      </c>
      <c r="I40" s="91">
        <v>1.9027777777777777</v>
      </c>
      <c r="J40" s="39" t="s">
        <v>158</v>
      </c>
      <c r="K40" s="91">
        <v>1.9694444444444446</v>
      </c>
      <c r="L40" s="91">
        <v>2.1788888888888889</v>
      </c>
      <c r="M40" s="91">
        <v>2.0572222222222223</v>
      </c>
      <c r="N40" s="91">
        <v>0.85416666666666663</v>
      </c>
      <c r="O40" s="91">
        <v>2.1569444444444446</v>
      </c>
      <c r="P40" s="91">
        <v>2.5</v>
      </c>
      <c r="Q40" s="38">
        <v>2.4083333333333332</v>
      </c>
      <c r="R40" s="37">
        <v>4</v>
      </c>
      <c r="S40" s="37">
        <v>4</v>
      </c>
      <c r="T40" s="37">
        <v>4.5</v>
      </c>
      <c r="U40" s="37">
        <v>4.5</v>
      </c>
      <c r="V40" s="94">
        <v>1.4079999999999999</v>
      </c>
    </row>
    <row r="41" spans="1:22" s="41" customFormat="1" x14ac:dyDescent="0.35">
      <c r="A41" s="95" t="s">
        <v>79</v>
      </c>
      <c r="B41" s="39">
        <v>2826.2871371237006</v>
      </c>
      <c r="C41" s="39">
        <v>2795.0015424832695</v>
      </c>
      <c r="D41" s="39">
        <v>2778.3</v>
      </c>
      <c r="E41" s="39">
        <v>3099.4607822463768</v>
      </c>
      <c r="F41" s="39">
        <v>2921.5</v>
      </c>
      <c r="G41" s="39">
        <v>2557.6999999999998</v>
      </c>
      <c r="H41" s="39">
        <v>3467.6</v>
      </c>
      <c r="I41" s="39">
        <v>2630.8</v>
      </c>
      <c r="J41" s="39" t="s">
        <v>158</v>
      </c>
      <c r="K41" s="39">
        <v>2731.1</v>
      </c>
      <c r="L41" s="39">
        <v>2884.1</v>
      </c>
      <c r="M41" s="39">
        <v>2739.1</v>
      </c>
      <c r="N41" s="39">
        <v>3132.2</v>
      </c>
      <c r="O41" s="39">
        <v>2734.6</v>
      </c>
      <c r="P41" s="39">
        <v>3139.6</v>
      </c>
      <c r="Q41" s="38">
        <v>2430.5</v>
      </c>
      <c r="R41" s="37">
        <v>2378.3000000000002</v>
      </c>
      <c r="S41" s="37">
        <v>2378.3000000000002</v>
      </c>
      <c r="T41" s="37">
        <v>2350.5</v>
      </c>
      <c r="U41" s="37">
        <v>2350.5</v>
      </c>
      <c r="V41" s="41">
        <v>1783.2</v>
      </c>
    </row>
    <row r="42" spans="1:22" s="81" customFormat="1" x14ac:dyDescent="0.35">
      <c r="A42" s="79" t="s">
        <v>80</v>
      </c>
      <c r="B42" s="80">
        <v>3438.9847070685091</v>
      </c>
      <c r="C42" s="80">
        <v>2933.9282837374171</v>
      </c>
      <c r="D42" s="80">
        <v>3427.33</v>
      </c>
      <c r="E42" s="80">
        <v>3288.4266827737065</v>
      </c>
      <c r="F42" s="80">
        <v>3615.22</v>
      </c>
      <c r="G42" s="80">
        <v>3446.33</v>
      </c>
      <c r="H42" s="80">
        <v>3336.747655952066</v>
      </c>
      <c r="I42" s="80">
        <v>3163.53</v>
      </c>
      <c r="J42" s="39" t="s">
        <v>158</v>
      </c>
      <c r="K42" s="80">
        <v>3290.62</v>
      </c>
      <c r="L42" s="80">
        <v>3525.57</v>
      </c>
      <c r="M42" s="87">
        <v>3336.59</v>
      </c>
      <c r="N42" s="80">
        <v>3495.43</v>
      </c>
      <c r="O42" s="80">
        <v>3463.83</v>
      </c>
      <c r="P42" s="80">
        <v>3784.3249206030337</v>
      </c>
      <c r="Q42" s="113">
        <v>3902.4488132101174</v>
      </c>
      <c r="R42" s="113">
        <v>6051.4396902709705</v>
      </c>
      <c r="S42" s="113">
        <v>4517.790994429799</v>
      </c>
      <c r="T42" s="113">
        <v>6000.2674711539921</v>
      </c>
      <c r="U42" s="113">
        <v>9524.8187103378859</v>
      </c>
    </row>
    <row r="43" spans="1:22" s="81" customFormat="1" x14ac:dyDescent="0.35">
      <c r="A43" s="79" t="s">
        <v>81</v>
      </c>
      <c r="B43" s="80">
        <v>4581.8174260700598</v>
      </c>
      <c r="C43" s="80">
        <v>3810.3893129583071</v>
      </c>
      <c r="D43" s="80">
        <v>4437.49</v>
      </c>
      <c r="E43" s="80">
        <v>4050.5907352277991</v>
      </c>
      <c r="F43" s="80">
        <v>4767.12</v>
      </c>
      <c r="G43" s="80">
        <v>4403.82</v>
      </c>
      <c r="H43" s="80">
        <v>4480.1000000000004</v>
      </c>
      <c r="I43" s="80">
        <v>4163.96</v>
      </c>
      <c r="J43" s="39" t="s">
        <v>158</v>
      </c>
      <c r="K43" s="98">
        <v>4246.4799999999996</v>
      </c>
      <c r="L43" s="80">
        <v>4681.1899999999996</v>
      </c>
      <c r="M43" s="87">
        <v>4346.78</v>
      </c>
      <c r="N43" s="80">
        <v>4463.18</v>
      </c>
      <c r="O43" s="80">
        <v>4523.67</v>
      </c>
      <c r="P43" s="80">
        <v>4833.8639624544339</v>
      </c>
      <c r="Q43" s="113">
        <v>4849.991140112259</v>
      </c>
      <c r="R43" s="113">
        <v>4838.792203676041</v>
      </c>
      <c r="S43" s="113">
        <v>4838.792203676041</v>
      </c>
      <c r="T43" s="113">
        <v>4583.8166031626279</v>
      </c>
      <c r="U43" s="113">
        <v>4583.8166031626279</v>
      </c>
      <c r="V43" s="81">
        <v>1659.36</v>
      </c>
    </row>
    <row r="44" spans="1:22" s="81" customFormat="1" x14ac:dyDescent="0.35">
      <c r="A44" s="79" t="s">
        <v>82</v>
      </c>
      <c r="B44" s="86">
        <f>B43/B42</f>
        <v>1.3323168947662272</v>
      </c>
      <c r="C44" s="86">
        <f>C43/C42</f>
        <v>1.2987329424781986</v>
      </c>
      <c r="D44" s="86">
        <f>D43/D42</f>
        <v>1.2947367192537631</v>
      </c>
      <c r="E44" s="86">
        <f t="shared" ref="E44:P44" si="15">E43/E42</f>
        <v>1.2317716421797265</v>
      </c>
      <c r="F44" s="86">
        <f t="shared" si="15"/>
        <v>1.3186251459108989</v>
      </c>
      <c r="G44" s="86">
        <f t="shared" si="15"/>
        <v>1.2778288788363272</v>
      </c>
      <c r="H44" s="86">
        <f t="shared" si="15"/>
        <v>1.3426547230829491</v>
      </c>
      <c r="I44" s="86">
        <f t="shared" si="15"/>
        <v>1.3162385057198762</v>
      </c>
      <c r="J44" s="39" t="s">
        <v>158</v>
      </c>
      <c r="K44" s="86">
        <f t="shared" si="15"/>
        <v>1.2904802134552151</v>
      </c>
      <c r="L44" s="86">
        <f t="shared" si="15"/>
        <v>1.3277824578720603</v>
      </c>
      <c r="M44" s="86">
        <f t="shared" si="15"/>
        <v>1.3027612023053476</v>
      </c>
      <c r="N44" s="86">
        <f>N43/N42</f>
        <v>1.2768615020183498</v>
      </c>
      <c r="O44" s="86">
        <f t="shared" si="15"/>
        <v>1.3059734455790268</v>
      </c>
      <c r="P44" s="86">
        <f t="shared" si="15"/>
        <v>1.2773385118538279</v>
      </c>
      <c r="Q44" s="86">
        <f>Q43/Q42</f>
        <v>1.2428071122149331</v>
      </c>
      <c r="R44" s="86">
        <f>R43/R42</f>
        <v>0.79961008476304762</v>
      </c>
      <c r="S44" s="86">
        <f>S43/S42</f>
        <v>1.0710526913799288</v>
      </c>
      <c r="T44" s="86">
        <f>T43/T42</f>
        <v>0.7639353787475498</v>
      </c>
      <c r="U44" s="86">
        <f>U43/U42</f>
        <v>0.48124974790202807</v>
      </c>
    </row>
    <row r="45" spans="1:22" x14ac:dyDescent="0.35">
      <c r="A45" s="71" t="s">
        <v>83</v>
      </c>
      <c r="B45" s="68"/>
      <c r="C45" s="68"/>
      <c r="D45" s="69"/>
      <c r="E45" s="68"/>
      <c r="F45" s="69"/>
      <c r="G45" s="68"/>
      <c r="H45" s="68"/>
      <c r="I45" s="68"/>
      <c r="J45" s="69"/>
      <c r="K45" s="68"/>
      <c r="L45" s="68"/>
      <c r="M45" s="70"/>
      <c r="N45" s="68"/>
      <c r="O45" s="68"/>
      <c r="P45" s="68"/>
      <c r="Q45" s="114" t="s">
        <v>140</v>
      </c>
      <c r="R45" s="114" t="s">
        <v>140</v>
      </c>
      <c r="S45" s="114" t="s">
        <v>141</v>
      </c>
      <c r="T45" s="114" t="s">
        <v>140</v>
      </c>
      <c r="U45" s="114" t="s">
        <v>141</v>
      </c>
    </row>
    <row r="46" spans="1:22" x14ac:dyDescent="0.35">
      <c r="A46" s="72" t="s">
        <v>84</v>
      </c>
      <c r="B46" s="73">
        <v>65</v>
      </c>
      <c r="C46" s="74">
        <v>134</v>
      </c>
      <c r="D46" s="74">
        <v>89</v>
      </c>
      <c r="E46" s="74">
        <v>86</v>
      </c>
      <c r="F46" s="74">
        <v>104</v>
      </c>
      <c r="G46" s="74">
        <v>115</v>
      </c>
      <c r="H46" s="74">
        <v>102</v>
      </c>
      <c r="I46" s="74">
        <v>55</v>
      </c>
      <c r="J46" s="20">
        <v>97</v>
      </c>
      <c r="K46" s="74">
        <v>57</v>
      </c>
      <c r="L46" s="74">
        <v>110</v>
      </c>
      <c r="M46" s="74">
        <v>40</v>
      </c>
      <c r="N46" s="74">
        <v>69</v>
      </c>
      <c r="O46" s="74">
        <v>113</v>
      </c>
      <c r="P46" s="68"/>
    </row>
    <row r="47" spans="1:22" x14ac:dyDescent="0.35">
      <c r="A47" s="75" t="s">
        <v>85</v>
      </c>
      <c r="B47" s="58">
        <v>0.18841384492307697</v>
      </c>
      <c r="C47" s="58">
        <v>5.5505223656716403E-2</v>
      </c>
      <c r="D47" s="58">
        <v>7.767752853932583E-2</v>
      </c>
      <c r="E47" s="58">
        <v>4.2119767325581405E-2</v>
      </c>
      <c r="F47" s="58">
        <v>0.12350288490384616</v>
      </c>
      <c r="G47" s="58">
        <v>0.11033304382608693</v>
      </c>
      <c r="H47" s="58">
        <v>4.7328431372549017E-2</v>
      </c>
      <c r="I47" s="58">
        <v>5.4801818545454545E-2</v>
      </c>
      <c r="J47" s="15">
        <v>0.19740315789473684</v>
      </c>
      <c r="K47" s="58">
        <v>6.4435087543859654E-2</v>
      </c>
      <c r="L47" s="58">
        <v>0.18213090909090912</v>
      </c>
      <c r="M47" s="58">
        <v>0.24224500000000007</v>
      </c>
      <c r="N47" s="58">
        <v>5.6052173913043478E-2</v>
      </c>
      <c r="O47" s="58">
        <v>0.29674159292035396</v>
      </c>
      <c r="P47" s="68"/>
    </row>
    <row r="48" spans="1:22" x14ac:dyDescent="0.35">
      <c r="A48" s="75" t="s">
        <v>86</v>
      </c>
      <c r="B48" s="58">
        <v>0.1865188196051995</v>
      </c>
      <c r="C48" s="58">
        <v>1.2150171050993747E-2</v>
      </c>
      <c r="D48" s="58">
        <v>1.9704832304186765E-2</v>
      </c>
      <c r="E48" s="58">
        <v>1.1253734711716631E-2</v>
      </c>
      <c r="F48" s="58">
        <v>5.140391809331378E-2</v>
      </c>
      <c r="G48" s="58">
        <v>3.0413935746301916E-2</v>
      </c>
      <c r="H48" s="58">
        <v>3.3460023178402111E-2</v>
      </c>
      <c r="I48" s="58">
        <v>2.4956900149579894E-2</v>
      </c>
      <c r="J48" s="15">
        <v>7.5691509196142467E-2</v>
      </c>
      <c r="K48" s="58">
        <v>8.3456826969447326E-2</v>
      </c>
      <c r="L48" s="58">
        <v>5.9568989755160145E-2</v>
      </c>
      <c r="M48" s="58">
        <v>6.1524008030219769E-2</v>
      </c>
      <c r="N48" s="58">
        <v>2.0175163886612224E-2</v>
      </c>
      <c r="O48" s="58">
        <v>6.3838870444133139E-2</v>
      </c>
      <c r="P48" s="68"/>
    </row>
    <row r="49" spans="1:21" x14ac:dyDescent="0.35">
      <c r="A49" s="75" t="s">
        <v>87</v>
      </c>
      <c r="B49" s="76">
        <v>13.374532353846147</v>
      </c>
      <c r="C49" s="76">
        <v>4.0139074552238814</v>
      </c>
      <c r="D49" s="76">
        <v>4.9257291910112357</v>
      </c>
      <c r="E49" s="76">
        <v>3.4832441744186058</v>
      </c>
      <c r="F49" s="76">
        <v>7.0082462596153823</v>
      </c>
      <c r="G49" s="76">
        <v>6.3433382956521758</v>
      </c>
      <c r="H49" s="76">
        <v>3.7291931372549016</v>
      </c>
      <c r="I49" s="76">
        <v>3.9966000181818164</v>
      </c>
      <c r="J49" s="1">
        <v>10.852817915789474</v>
      </c>
      <c r="K49" s="76">
        <v>4.7325631929824565</v>
      </c>
      <c r="L49" s="76">
        <v>9.9852464181818199</v>
      </c>
      <c r="M49" s="76">
        <v>13.221075099999998</v>
      </c>
      <c r="N49" s="76">
        <v>4.0443507391304347</v>
      </c>
      <c r="O49" s="76">
        <v>16.828090256637175</v>
      </c>
      <c r="P49" s="68"/>
    </row>
    <row r="50" spans="1:21" x14ac:dyDescent="0.35">
      <c r="A50" s="75" t="s">
        <v>88</v>
      </c>
      <c r="B50" s="76">
        <v>15.076068040711791</v>
      </c>
      <c r="C50" s="76">
        <v>0.48490340713775376</v>
      </c>
      <c r="D50" s="76">
        <v>0.82035163109238918</v>
      </c>
      <c r="E50" s="76">
        <v>0.44390174708826713</v>
      </c>
      <c r="F50" s="76">
        <v>2.4182721422959159</v>
      </c>
      <c r="G50" s="76">
        <v>1.3722328530292995</v>
      </c>
      <c r="H50" s="76">
        <v>1.5796424482799534</v>
      </c>
      <c r="I50" s="76">
        <v>1.0209869554105708</v>
      </c>
      <c r="J50" s="1">
        <v>4.2990319345813415</v>
      </c>
      <c r="K50" s="76">
        <v>4.6457351082578588</v>
      </c>
      <c r="L50" s="76">
        <v>4.1676974418859531</v>
      </c>
      <c r="M50" s="76">
        <v>3.507867989269061</v>
      </c>
      <c r="N50" s="76">
        <v>0.83652731042724759</v>
      </c>
      <c r="O50" s="76">
        <v>4.4142070355507395</v>
      </c>
      <c r="P50" s="68"/>
    </row>
    <row r="51" spans="1:21" x14ac:dyDescent="0.35">
      <c r="A51" s="71" t="s">
        <v>89</v>
      </c>
      <c r="B51" s="68"/>
      <c r="C51" s="68"/>
      <c r="D51" s="69"/>
      <c r="E51" s="68"/>
      <c r="F51" s="69"/>
      <c r="G51" s="68"/>
      <c r="H51" s="68"/>
      <c r="I51" s="68"/>
      <c r="J51" s="69"/>
      <c r="K51" s="68"/>
      <c r="L51" s="68"/>
      <c r="M51" s="70"/>
      <c r="N51" s="68"/>
      <c r="O51" s="68"/>
      <c r="P51" s="68"/>
    </row>
    <row r="52" spans="1:21" x14ac:dyDescent="0.35">
      <c r="A52" s="77" t="s">
        <v>90</v>
      </c>
      <c r="B52" s="77" t="s">
        <v>91</v>
      </c>
      <c r="C52" s="77" t="s">
        <v>92</v>
      </c>
      <c r="D52" s="77" t="s">
        <v>91</v>
      </c>
      <c r="E52" s="77" t="s">
        <v>93</v>
      </c>
      <c r="F52" s="77" t="s">
        <v>94</v>
      </c>
      <c r="G52" s="77" t="s">
        <v>95</v>
      </c>
      <c r="H52" s="77" t="s">
        <v>91</v>
      </c>
      <c r="I52" s="77" t="s">
        <v>92</v>
      </c>
      <c r="J52" s="77" t="s">
        <v>95</v>
      </c>
      <c r="K52" s="77" t="s">
        <v>96</v>
      </c>
      <c r="L52" s="77" t="s">
        <v>97</v>
      </c>
      <c r="M52" s="38" t="s">
        <v>98</v>
      </c>
      <c r="N52" s="77" t="s">
        <v>99</v>
      </c>
      <c r="O52" s="77" t="s">
        <v>100</v>
      </c>
      <c r="P52" s="77" t="s">
        <v>100</v>
      </c>
    </row>
    <row r="53" spans="1:21" x14ac:dyDescent="0.35">
      <c r="A53" s="38" t="s">
        <v>101</v>
      </c>
      <c r="B53" s="78" t="s">
        <v>102</v>
      </c>
      <c r="C53" s="77" t="s">
        <v>103</v>
      </c>
      <c r="D53" s="78" t="s">
        <v>102</v>
      </c>
      <c r="E53" s="77" t="s">
        <v>104</v>
      </c>
      <c r="F53" s="77" t="s">
        <v>105</v>
      </c>
      <c r="G53" s="77" t="s">
        <v>106</v>
      </c>
      <c r="H53" s="77" t="s">
        <v>102</v>
      </c>
      <c r="I53" s="77" t="s">
        <v>103</v>
      </c>
      <c r="J53" s="77" t="s">
        <v>106</v>
      </c>
      <c r="K53" s="77" t="s">
        <v>107</v>
      </c>
      <c r="L53" s="77" t="s">
        <v>108</v>
      </c>
      <c r="M53" s="38" t="s">
        <v>109</v>
      </c>
      <c r="N53" s="77" t="s">
        <v>110</v>
      </c>
      <c r="O53" s="77" t="s">
        <v>111</v>
      </c>
      <c r="P53" s="77" t="s">
        <v>111</v>
      </c>
    </row>
    <row r="54" spans="1:21" x14ac:dyDescent="0.35">
      <c r="A54" s="38" t="s">
        <v>112</v>
      </c>
      <c r="B54" s="77" t="s">
        <v>113</v>
      </c>
      <c r="C54" s="77" t="s">
        <v>114</v>
      </c>
      <c r="D54" s="77" t="s">
        <v>113</v>
      </c>
      <c r="E54" s="77" t="s">
        <v>115</v>
      </c>
      <c r="F54" s="77" t="s">
        <v>116</v>
      </c>
      <c r="G54" s="77" t="s">
        <v>117</v>
      </c>
      <c r="H54" s="77" t="s">
        <v>113</v>
      </c>
      <c r="I54" s="77" t="s">
        <v>114</v>
      </c>
      <c r="J54" s="77" t="s">
        <v>117</v>
      </c>
      <c r="K54" s="77" t="s">
        <v>118</v>
      </c>
      <c r="L54" s="77" t="s">
        <v>119</v>
      </c>
      <c r="M54" s="38" t="s">
        <v>120</v>
      </c>
      <c r="N54" s="77" t="s">
        <v>121</v>
      </c>
      <c r="O54" s="77" t="s">
        <v>122</v>
      </c>
      <c r="P54" s="77" t="s">
        <v>122</v>
      </c>
      <c r="Q54" s="38" t="s">
        <v>142</v>
      </c>
      <c r="R54" s="38" t="s">
        <v>143</v>
      </c>
      <c r="S54" s="38" t="s">
        <v>143</v>
      </c>
      <c r="T54" s="38" t="s">
        <v>144</v>
      </c>
      <c r="U54" s="38" t="s">
        <v>144</v>
      </c>
    </row>
    <row r="55" spans="1:21" ht="17.5" x14ac:dyDescent="0.35">
      <c r="A55" s="38" t="s">
        <v>123</v>
      </c>
      <c r="B55" s="77">
        <v>10</v>
      </c>
      <c r="C55" s="77">
        <v>4</v>
      </c>
      <c r="D55" s="77">
        <v>10</v>
      </c>
      <c r="E55" s="77">
        <v>2</v>
      </c>
      <c r="F55" s="77">
        <v>9</v>
      </c>
      <c r="G55" s="77">
        <v>9</v>
      </c>
      <c r="H55" s="77">
        <v>10</v>
      </c>
      <c r="I55" s="77">
        <v>4</v>
      </c>
      <c r="J55" s="77">
        <v>9</v>
      </c>
      <c r="K55" s="77">
        <v>1</v>
      </c>
      <c r="L55" s="77">
        <v>2</v>
      </c>
      <c r="M55" s="38">
        <v>7</v>
      </c>
      <c r="N55" s="77">
        <v>6</v>
      </c>
      <c r="O55" s="77">
        <v>7</v>
      </c>
      <c r="P55" s="77">
        <v>7</v>
      </c>
      <c r="Q55" s="38" t="s">
        <v>145</v>
      </c>
      <c r="R55" s="38" t="s">
        <v>146</v>
      </c>
      <c r="S55" s="38" t="s">
        <v>146</v>
      </c>
      <c r="T55" s="38" t="s">
        <v>147</v>
      </c>
      <c r="U55" s="38" t="s">
        <v>147</v>
      </c>
    </row>
    <row r="56" spans="1:21" x14ac:dyDescent="0.35">
      <c r="M56" s="38"/>
      <c r="Q56" s="38" t="s">
        <v>148</v>
      </c>
      <c r="R56" s="38" t="s">
        <v>149</v>
      </c>
      <c r="S56" s="38" t="s">
        <v>149</v>
      </c>
      <c r="T56" s="38" t="s">
        <v>150</v>
      </c>
      <c r="U56" s="38" t="s">
        <v>150</v>
      </c>
    </row>
    <row r="57" spans="1:21" x14ac:dyDescent="0.35">
      <c r="P57" s="38"/>
      <c r="Q57" s="38">
        <v>10</v>
      </c>
      <c r="R57" s="38">
        <v>4</v>
      </c>
      <c r="S57" s="38">
        <v>4</v>
      </c>
      <c r="T57" s="38">
        <v>2</v>
      </c>
      <c r="U57" s="38">
        <v>2</v>
      </c>
    </row>
    <row r="60" spans="1:21" x14ac:dyDescent="0.35">
      <c r="P60" s="38"/>
    </row>
  </sheetData>
  <conditionalFormatting sqref="I18">
    <cfRule type="cellIs" priority="4" operator="notEqual">
      <formula>$P$2</formula>
    </cfRule>
  </conditionalFormatting>
  <conditionalFormatting sqref="K18">
    <cfRule type="cellIs" priority="1" operator="notEqual">
      <formula>$P$2</formula>
    </cfRule>
  </conditionalFormatting>
  <hyperlinks>
    <hyperlink ref="A11" r:id="rId1" xr:uid="{884E5DF7-AE51-4876-8103-F90AD66F241C}"/>
    <hyperlink ref="A14" r:id="rId2" xr:uid="{7CAC56B1-9D5A-40C6-976A-B8840992FEFE}"/>
    <hyperlink ref="A15" r:id="rId3" xr:uid="{2BB4C739-19FA-4F11-8809-1ABE2F9F8E3E}"/>
  </hyperlinks>
  <pageMargins left="0.7" right="0.7" top="0.75" bottom="0.75" header="0.3" footer="0.3"/>
  <pageSetup orientation="portrait" verticalDpi="597" r:id="rId4"/>
  <ignoredErrors>
    <ignoredError sqref="B2" numberStoredAsText="1"/>
  </ignoredErrors>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0B8-14E1-C444-92B1-2F494E837D76}">
  <dimension ref="C6"/>
  <sheetViews>
    <sheetView workbookViewId="0">
      <selection activeCell="C7" sqref="C7"/>
    </sheetView>
  </sheetViews>
  <sheetFormatPr defaultColWidth="11" defaultRowHeight="15.5" x14ac:dyDescent="0.35"/>
  <sheetData>
    <row r="6" spans="3:3" x14ac:dyDescent="0.35">
      <c r="C6">
        <f>-107+360</f>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E349-D0E0-43FA-901E-EA342F52E012}">
  <dimension ref="A2:T8"/>
  <sheetViews>
    <sheetView workbookViewId="0">
      <selection activeCell="E8" sqref="E8"/>
    </sheetView>
  </sheetViews>
  <sheetFormatPr defaultColWidth="8.83203125" defaultRowHeight="15.5" x14ac:dyDescent="0.35"/>
  <cols>
    <col min="1" max="1" width="27.08203125" customWidth="1"/>
    <col min="2" max="16" width="9.83203125" customWidth="1"/>
  </cols>
  <sheetData>
    <row r="2" spans="1:20" s="13" customFormat="1" x14ac:dyDescent="0.35">
      <c r="A2" s="8" t="s">
        <v>0</v>
      </c>
      <c r="B2" s="4" t="s">
        <v>1</v>
      </c>
      <c r="C2" s="4" t="s">
        <v>124</v>
      </c>
      <c r="D2" s="4" t="s">
        <v>125</v>
      </c>
      <c r="E2" s="4" t="s">
        <v>126</v>
      </c>
      <c r="F2" s="4" t="s">
        <v>5</v>
      </c>
      <c r="G2" s="4" t="s">
        <v>6</v>
      </c>
      <c r="H2" s="4" t="s">
        <v>7</v>
      </c>
      <c r="I2" s="4" t="s">
        <v>8</v>
      </c>
      <c r="J2" s="4" t="s">
        <v>9</v>
      </c>
      <c r="K2" s="4" t="s">
        <v>10</v>
      </c>
      <c r="L2" s="4" t="s">
        <v>11</v>
      </c>
      <c r="M2" s="8" t="s">
        <v>12</v>
      </c>
      <c r="N2" s="9" t="s">
        <v>13</v>
      </c>
      <c r="O2" s="9" t="s">
        <v>14</v>
      </c>
      <c r="P2" s="10" t="s">
        <v>15</v>
      </c>
      <c r="Q2" s="11"/>
      <c r="R2" s="11"/>
      <c r="S2" s="11"/>
      <c r="T2" s="12"/>
    </row>
    <row r="3" spans="1:20" s="20" customFormat="1" ht="25" customHeight="1" x14ac:dyDescent="0.35">
      <c r="A3" s="14" t="s">
        <v>127</v>
      </c>
      <c r="B3" s="17">
        <v>0.16357601332716537</v>
      </c>
      <c r="C3" s="17">
        <v>6.6954481057748108E-2</v>
      </c>
      <c r="D3" s="17">
        <v>0.13185418359993165</v>
      </c>
      <c r="E3" s="17">
        <v>4.839627050175236E-2</v>
      </c>
      <c r="F3" s="17">
        <v>0.16484266109665929</v>
      </c>
      <c r="G3" s="15">
        <v>0.17681348663061888</v>
      </c>
      <c r="H3" s="17">
        <v>3.0544111874077066E-2</v>
      </c>
      <c r="I3" s="17">
        <v>0.11910394625890325</v>
      </c>
      <c r="J3" s="17">
        <v>0.34534130053913892</v>
      </c>
      <c r="K3" s="17">
        <v>0.11240904101096762</v>
      </c>
      <c r="L3" s="17">
        <v>0.16409543578753599</v>
      </c>
      <c r="M3" s="17">
        <v>0.14995423774447861</v>
      </c>
      <c r="N3" s="17">
        <v>7.5458189811423965E-2</v>
      </c>
      <c r="O3" s="17">
        <v>0.17614133228893708</v>
      </c>
      <c r="P3" s="17">
        <v>0.10954343492440868</v>
      </c>
    </row>
    <row r="4" spans="1:20" x14ac:dyDescent="0.35">
      <c r="A4" s="18" t="s">
        <v>85</v>
      </c>
      <c r="B4" s="15">
        <v>0.18841384492307697</v>
      </c>
      <c r="C4" s="15">
        <v>5.5505223656716403E-2</v>
      </c>
      <c r="D4" s="15">
        <v>7.767752853932583E-2</v>
      </c>
      <c r="E4" s="15">
        <v>4.2119767325581405E-2</v>
      </c>
      <c r="F4" s="15">
        <v>0.12350288490384616</v>
      </c>
      <c r="G4" s="15">
        <v>0.11033304382608693</v>
      </c>
      <c r="H4" s="15">
        <v>4.7328431372549017E-2</v>
      </c>
      <c r="I4" s="15">
        <v>5.4801818545454545E-2</v>
      </c>
      <c r="J4" s="16"/>
      <c r="K4" s="15">
        <v>6.4435087543859654E-2</v>
      </c>
      <c r="L4" s="15">
        <v>0.18213090909090912</v>
      </c>
      <c r="M4" s="15">
        <v>0.24224500000000007</v>
      </c>
      <c r="N4" s="15">
        <v>5.6052173913043478E-2</v>
      </c>
      <c r="O4" s="15">
        <v>0.29674159292035396</v>
      </c>
      <c r="P4" s="7"/>
    </row>
    <row r="5" spans="1:20" x14ac:dyDescent="0.35">
      <c r="A5" s="18" t="s">
        <v>87</v>
      </c>
      <c r="B5" s="19">
        <v>13.374532353846147</v>
      </c>
      <c r="C5" s="19">
        <v>4.0139074552238814</v>
      </c>
      <c r="D5" s="19">
        <v>4.9257291910112357</v>
      </c>
      <c r="E5" s="19">
        <v>3.4832441744186058</v>
      </c>
      <c r="F5" s="19">
        <v>7.0082462596153823</v>
      </c>
      <c r="G5" s="19">
        <v>6.3433382956521758</v>
      </c>
      <c r="H5" s="19">
        <v>3.7291931372549016</v>
      </c>
      <c r="I5" s="19">
        <v>3.9966000181818164</v>
      </c>
      <c r="J5" s="16"/>
      <c r="K5" s="19">
        <v>4.7325631929824565</v>
      </c>
      <c r="L5" s="19">
        <v>9.9852464181818199</v>
      </c>
      <c r="M5" s="19">
        <v>13.221075099999998</v>
      </c>
      <c r="N5" s="19">
        <v>4.0443507391304347</v>
      </c>
      <c r="O5" s="19">
        <v>16.828090256637175</v>
      </c>
      <c r="P5" s="7"/>
    </row>
    <row r="6" spans="1:20" ht="25" customHeight="1" x14ac:dyDescent="0.35">
      <c r="A6" s="2" t="s">
        <v>128</v>
      </c>
      <c r="B6" s="1">
        <f>B4/B3</f>
        <v>1.1518427493781371</v>
      </c>
      <c r="C6" s="1">
        <f t="shared" ref="C6:P6" si="0">C4/C3</f>
        <v>0.82899938555036001</v>
      </c>
      <c r="D6" s="1">
        <f t="shared" si="0"/>
        <v>0.58911690489103374</v>
      </c>
      <c r="E6" s="1">
        <f t="shared" si="0"/>
        <v>0.87031018896500112</v>
      </c>
      <c r="F6" s="1">
        <f t="shared" si="0"/>
        <v>0.74921676271306614</v>
      </c>
      <c r="G6" s="1">
        <f t="shared" si="0"/>
        <v>0.62400807726043961</v>
      </c>
      <c r="H6" s="1">
        <f t="shared" si="0"/>
        <v>1.5495108048211701</v>
      </c>
      <c r="I6" s="1">
        <f t="shared" si="0"/>
        <v>0.4601175718084824</v>
      </c>
      <c r="J6" s="5"/>
      <c r="K6" s="1">
        <f t="shared" si="0"/>
        <v>0.5732197958843257</v>
      </c>
      <c r="L6" s="1">
        <f t="shared" si="0"/>
        <v>1.1099084396638839</v>
      </c>
      <c r="M6" s="1">
        <f t="shared" si="0"/>
        <v>1.6154595138070358</v>
      </c>
      <c r="N6" s="1">
        <f t="shared" si="0"/>
        <v>0.74282425874676206</v>
      </c>
      <c r="O6" s="1">
        <f t="shared" si="0"/>
        <v>1.6846789397140913</v>
      </c>
      <c r="P6" s="1">
        <f t="shared" si="0"/>
        <v>0</v>
      </c>
    </row>
    <row r="7" spans="1:20" x14ac:dyDescent="0.35">
      <c r="A7" s="2"/>
      <c r="B7" s="6"/>
      <c r="C7" s="6"/>
      <c r="D7" s="6"/>
      <c r="E7" s="6"/>
      <c r="F7" s="6"/>
      <c r="G7" s="6"/>
      <c r="H7" s="6"/>
      <c r="I7" s="6"/>
      <c r="J7" s="3"/>
      <c r="K7" s="6"/>
      <c r="L7" s="6"/>
      <c r="M7" s="6"/>
      <c r="N7" s="6"/>
      <c r="O7" s="6"/>
      <c r="P7" s="6"/>
    </row>
    <row r="8" spans="1:20" x14ac:dyDescent="0.35">
      <c r="A8" s="2"/>
      <c r="B8" s="3"/>
      <c r="C8" s="21"/>
      <c r="D8" s="3"/>
      <c r="E8" s="3"/>
      <c r="F8" s="3"/>
      <c r="G8" s="3"/>
      <c r="H8" s="3"/>
      <c r="I8" s="3"/>
      <c r="J8" s="3"/>
      <c r="K8" s="3"/>
      <c r="L8" s="3"/>
      <c r="M8" s="3"/>
      <c r="N8" s="3"/>
      <c r="O8" s="3"/>
      <c r="P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B2B5-ED78-9B46-8FFB-0BD99BD44D02}">
  <dimension ref="C8:R103"/>
  <sheetViews>
    <sheetView topLeftCell="D1" workbookViewId="0">
      <selection activeCell="G70" sqref="G70"/>
    </sheetView>
  </sheetViews>
  <sheetFormatPr defaultColWidth="11" defaultRowHeight="15.5" x14ac:dyDescent="0.35"/>
  <cols>
    <col min="3" max="3" width="43" customWidth="1"/>
    <col min="5" max="16" width="18.58203125" customWidth="1"/>
  </cols>
  <sheetData>
    <row r="8" spans="3:18" x14ac:dyDescent="0.35">
      <c r="C8" t="s">
        <v>63</v>
      </c>
      <c r="D8">
        <v>0.16357601332716537</v>
      </c>
      <c r="E8">
        <v>6.6954481057748108E-2</v>
      </c>
      <c r="F8">
        <v>0.13185418359993165</v>
      </c>
      <c r="G8">
        <v>4.839627050175236E-2</v>
      </c>
      <c r="H8">
        <v>0.16484266109665929</v>
      </c>
      <c r="I8">
        <v>0.17681348663061888</v>
      </c>
      <c r="J8">
        <v>3.0544111874077066E-2</v>
      </c>
      <c r="K8">
        <v>0.11910394625890325</v>
      </c>
      <c r="L8">
        <v>0.34534130053913892</v>
      </c>
      <c r="M8">
        <v>0.11240904101096762</v>
      </c>
      <c r="N8">
        <v>0.16409543578753599</v>
      </c>
      <c r="O8">
        <v>0.14995423774447861</v>
      </c>
      <c r="P8">
        <v>7.5458189811423965E-2</v>
      </c>
      <c r="Q8">
        <v>0.17614133228893708</v>
      </c>
      <c r="R8">
        <v>0.10954343492440868</v>
      </c>
    </row>
    <row r="9" spans="3:18" x14ac:dyDescent="0.35">
      <c r="C9" t="s">
        <v>64</v>
      </c>
      <c r="D9">
        <v>0.1793561351154476</v>
      </c>
      <c r="E9">
        <v>3.2260015684889821E-2</v>
      </c>
      <c r="F9">
        <v>4.5566978119664578E-2</v>
      </c>
      <c r="G9">
        <v>1.5547164497329239E-2</v>
      </c>
      <c r="H9">
        <v>0.13334866662292377</v>
      </c>
      <c r="I9">
        <v>6.5965233411642524E-2</v>
      </c>
      <c r="J9">
        <v>7.633437899929923E-3</v>
      </c>
      <c r="K9">
        <v>8.9365284179418303E-2</v>
      </c>
      <c r="L9">
        <v>0.24749120436163449</v>
      </c>
      <c r="M9">
        <v>8.6510043450331295E-2</v>
      </c>
      <c r="N9">
        <v>7.3019594869748392E-2</v>
      </c>
      <c r="O9">
        <v>5.5416334218509257E-2</v>
      </c>
      <c r="P9">
        <v>2.1923934409752897E-2</v>
      </c>
      <c r="Q9">
        <v>6.3310523626332202E-2</v>
      </c>
      <c r="R9">
        <v>3.9637962983409575E-2</v>
      </c>
    </row>
    <row r="10" spans="3:18" x14ac:dyDescent="0.35">
      <c r="C10" t="s">
        <v>129</v>
      </c>
      <c r="D10">
        <v>1.33716900090376</v>
      </c>
      <c r="E10">
        <v>1.2856346146265625</v>
      </c>
      <c r="F10">
        <v>1.3615901317199022</v>
      </c>
      <c r="G10">
        <v>1.3634677233298589</v>
      </c>
      <c r="H10">
        <v>1.3286125199993399</v>
      </c>
      <c r="I10">
        <v>1.3425494277477239</v>
      </c>
      <c r="J10">
        <v>1.3463751240571322</v>
      </c>
      <c r="K10">
        <v>1.3107644248008692</v>
      </c>
      <c r="L10">
        <v>0.93349719964953548</v>
      </c>
      <c r="M10">
        <v>1.3376879233121839</v>
      </c>
      <c r="N10">
        <v>1.3550776092211376</v>
      </c>
      <c r="O10">
        <v>1.3591055788596447</v>
      </c>
      <c r="P10">
        <v>1.3425470972061118</v>
      </c>
      <c r="Q10">
        <v>1.3838837244113247</v>
      </c>
      <c r="R10">
        <v>1.2839721384108098</v>
      </c>
    </row>
    <row r="11" spans="3:18" x14ac:dyDescent="0.35">
      <c r="C11" t="s">
        <v>66</v>
      </c>
      <c r="D11">
        <v>9.6600130409523435E-2</v>
      </c>
      <c r="E11">
        <v>0.17375788102859907</v>
      </c>
      <c r="F11">
        <v>5.8933621960610166E-2</v>
      </c>
      <c r="G11">
        <v>4.258139671476497E-2</v>
      </c>
      <c r="H11">
        <v>8.5755106875802192E-2</v>
      </c>
      <c r="I11">
        <v>3.0935342973222799E-2</v>
      </c>
      <c r="J11">
        <v>4.8119883053791182E-2</v>
      </c>
      <c r="K11">
        <v>0.12633838285375892</v>
      </c>
      <c r="L11">
        <v>6.801360452557334E-2</v>
      </c>
      <c r="M11">
        <v>9.6850763432523801E-2</v>
      </c>
      <c r="N11">
        <v>6.2065231912376166E-2</v>
      </c>
      <c r="O11">
        <v>6.0918359460774937E-2</v>
      </c>
      <c r="P11">
        <v>8.1947813986478518E-2</v>
      </c>
      <c r="Q11">
        <v>6.5018695451295863E-2</v>
      </c>
      <c r="R11">
        <v>0.15551191606027942</v>
      </c>
    </row>
    <row r="12" spans="3:18" x14ac:dyDescent="0.35">
      <c r="C12" t="s">
        <v>67</v>
      </c>
      <c r="D12">
        <v>3.15E-2</v>
      </c>
      <c r="E12">
        <v>2.8499999999999998E-2</v>
      </c>
      <c r="F12">
        <v>4.0499999999999994E-2</v>
      </c>
      <c r="G12">
        <v>2.9499999999999998E-2</v>
      </c>
      <c r="H12">
        <v>3.2000000000000001E-2</v>
      </c>
      <c r="I12">
        <v>6.2E-2</v>
      </c>
      <c r="J12">
        <v>3.6500000000000005E-2</v>
      </c>
      <c r="K12">
        <v>5.4500000000000007E-2</v>
      </c>
      <c r="L12" t="e">
        <v>#DIV/0!</v>
      </c>
      <c r="M12">
        <v>3.5000000000000003E-2</v>
      </c>
      <c r="N12">
        <v>3.5500000000000004E-2</v>
      </c>
      <c r="O12">
        <v>3.5000000000000003E-2</v>
      </c>
      <c r="P12">
        <v>4.1000000000000002E-2</v>
      </c>
      <c r="Q12">
        <v>4.8500000000000001E-2</v>
      </c>
      <c r="R12" t="e">
        <v>#DIV/0!</v>
      </c>
    </row>
    <row r="13" spans="3:18" x14ac:dyDescent="0.35">
      <c r="C13" t="s">
        <v>68</v>
      </c>
      <c r="D13">
        <v>3.5000000000000003E-2</v>
      </c>
      <c r="E13">
        <v>2.7999999999999997E-2</v>
      </c>
      <c r="F13">
        <v>3.7999999999999999E-2</v>
      </c>
      <c r="G13">
        <v>3.1E-2</v>
      </c>
      <c r="H13">
        <v>3.7999999999999999E-2</v>
      </c>
      <c r="I13">
        <v>6.4000000000000001E-2</v>
      </c>
      <c r="J13">
        <v>3.7000000000000005E-2</v>
      </c>
      <c r="K13">
        <v>5.7000000000000002E-2</v>
      </c>
      <c r="M13">
        <v>3.9E-2</v>
      </c>
      <c r="N13">
        <v>3.6000000000000004E-2</v>
      </c>
      <c r="O13">
        <v>3.5000000000000003E-2</v>
      </c>
      <c r="P13">
        <v>4.2000000000000003E-2</v>
      </c>
      <c r="Q13">
        <v>4.8000000000000001E-2</v>
      </c>
    </row>
    <row r="14" spans="3:18" x14ac:dyDescent="0.35">
      <c r="C14" t="s">
        <v>69</v>
      </c>
      <c r="D14">
        <v>2.8000000000000001E-2</v>
      </c>
      <c r="E14">
        <v>2.8999999999999998E-2</v>
      </c>
      <c r="F14">
        <v>4.2999999999999997E-2</v>
      </c>
      <c r="G14">
        <v>2.7999999999999997E-2</v>
      </c>
      <c r="H14">
        <v>2.6000000000000002E-2</v>
      </c>
      <c r="I14">
        <v>0.06</v>
      </c>
      <c r="J14">
        <v>3.6000000000000004E-2</v>
      </c>
      <c r="K14">
        <v>5.2000000000000005E-2</v>
      </c>
      <c r="M14">
        <v>3.1E-2</v>
      </c>
      <c r="N14">
        <v>3.5000000000000003E-2</v>
      </c>
      <c r="O14">
        <v>3.5000000000000003E-2</v>
      </c>
      <c r="P14">
        <v>0.04</v>
      </c>
      <c r="Q14">
        <v>4.9000000000000002E-2</v>
      </c>
    </row>
    <row r="15" spans="3:18" x14ac:dyDescent="0.35">
      <c r="C15" t="s">
        <v>70</v>
      </c>
      <c r="D15">
        <v>1.8499999999999999E-2</v>
      </c>
      <c r="E15">
        <v>1.3000000000000001E-2</v>
      </c>
      <c r="F15">
        <v>0.03</v>
      </c>
      <c r="G15">
        <v>1.3000000000000001E-2</v>
      </c>
      <c r="H15">
        <v>2.35E-2</v>
      </c>
      <c r="I15">
        <v>3.3000000000000002E-2</v>
      </c>
      <c r="J15">
        <v>1.7500000000000002E-2</v>
      </c>
      <c r="K15">
        <v>2.2499999999999999E-2</v>
      </c>
      <c r="L15" t="e">
        <v>#DIV/0!</v>
      </c>
      <c r="M15">
        <v>3.5500000000000004E-2</v>
      </c>
      <c r="N15">
        <v>1.6500000000000001E-2</v>
      </c>
      <c r="O15">
        <v>1.3000000000000001E-2</v>
      </c>
      <c r="P15">
        <v>1.4E-2</v>
      </c>
      <c r="Q15">
        <v>8.0000000000000002E-3</v>
      </c>
      <c r="R15" t="e">
        <v>#DIV/0!</v>
      </c>
    </row>
    <row r="16" spans="3:18" x14ac:dyDescent="0.35">
      <c r="C16" t="s">
        <v>71</v>
      </c>
      <c r="D16">
        <v>2.3E-2</v>
      </c>
      <c r="E16">
        <v>1.1000000000000001E-2</v>
      </c>
      <c r="F16">
        <v>2.8999999999999998E-2</v>
      </c>
      <c r="G16">
        <v>1.4999999999999999E-2</v>
      </c>
      <c r="H16">
        <v>3.3000000000000002E-2</v>
      </c>
      <c r="I16">
        <v>3.7000000000000005E-2</v>
      </c>
      <c r="J16">
        <v>0.02</v>
      </c>
      <c r="K16">
        <v>2.8999999999999998E-2</v>
      </c>
      <c r="M16">
        <v>0.04</v>
      </c>
      <c r="N16">
        <v>1.9E-2</v>
      </c>
      <c r="O16">
        <v>1.7000000000000001E-2</v>
      </c>
      <c r="P16">
        <v>1.6E-2</v>
      </c>
      <c r="Q16">
        <v>9.0000000000000011E-3</v>
      </c>
    </row>
    <row r="17" spans="3:18" x14ac:dyDescent="0.35">
      <c r="C17" t="s">
        <v>72</v>
      </c>
      <c r="D17">
        <v>1.4E-2</v>
      </c>
      <c r="E17">
        <v>1.4999999999999999E-2</v>
      </c>
      <c r="F17">
        <v>3.1E-2</v>
      </c>
      <c r="G17">
        <v>1.1000000000000001E-2</v>
      </c>
      <c r="H17">
        <v>1.3999999999999999E-2</v>
      </c>
      <c r="I17">
        <v>2.8999999999999998E-2</v>
      </c>
      <c r="J17">
        <v>1.4999999999999999E-2</v>
      </c>
      <c r="K17">
        <v>1.6E-2</v>
      </c>
      <c r="M17">
        <v>3.1E-2</v>
      </c>
      <c r="N17">
        <v>1.3999999999999999E-2</v>
      </c>
      <c r="O17">
        <v>9.0000000000000011E-3</v>
      </c>
      <c r="P17">
        <v>1.2E-2</v>
      </c>
      <c r="Q17">
        <v>6.9999999999999993E-3</v>
      </c>
    </row>
    <row r="18" spans="3:18" x14ac:dyDescent="0.35">
      <c r="C18" t="s">
        <v>78</v>
      </c>
      <c r="D18">
        <v>67822.666666666672</v>
      </c>
      <c r="E18">
        <v>54070</v>
      </c>
      <c r="F18">
        <v>51408.769230769234</v>
      </c>
      <c r="G18">
        <v>51408.769230769234</v>
      </c>
      <c r="H18">
        <v>112547.9687804878</v>
      </c>
      <c r="I18">
        <v>69174.725361233141</v>
      </c>
      <c r="J18">
        <v>78328.800000000003</v>
      </c>
      <c r="K18">
        <v>98463.448275862072</v>
      </c>
      <c r="L18">
        <v>96676</v>
      </c>
      <c r="M18">
        <v>61560.840236686388</v>
      </c>
      <c r="N18">
        <v>63331.129785853336</v>
      </c>
      <c r="O18">
        <v>56932.445369753499</v>
      </c>
      <c r="P18">
        <v>45071.534368070948</v>
      </c>
      <c r="Q18">
        <v>64034.285921625546</v>
      </c>
      <c r="R18">
        <v>75270</v>
      </c>
    </row>
    <row r="19" spans="3:18" x14ac:dyDescent="0.35">
      <c r="C19" t="s">
        <v>79</v>
      </c>
      <c r="D19">
        <v>2778.590794978581</v>
      </c>
      <c r="E19">
        <v>2739.9567751668806</v>
      </c>
      <c r="F19">
        <v>2710.4147838131316</v>
      </c>
      <c r="G19">
        <v>3053.2813114861729</v>
      </c>
      <c r="H19">
        <v>2936.998089451351</v>
      </c>
      <c r="I19">
        <v>2498.1323221526923</v>
      </c>
      <c r="J19">
        <v>3388.8545886929255</v>
      </c>
      <c r="K19">
        <v>2557.5574679537367</v>
      </c>
      <c r="L19">
        <v>2181.3528245610828</v>
      </c>
      <c r="M19">
        <v>2662.1699785063283</v>
      </c>
      <c r="N19">
        <v>2820.8913311638471</v>
      </c>
      <c r="O19">
        <v>2698.8454124044119</v>
      </c>
      <c r="P19">
        <v>3003.9290561545872</v>
      </c>
      <c r="Q19">
        <v>2686.2577795561219</v>
      </c>
      <c r="R19">
        <v>3070.7717351124288</v>
      </c>
    </row>
    <row r="30" spans="3:18" x14ac:dyDescent="0.35">
      <c r="E30" t="s">
        <v>63</v>
      </c>
      <c r="F30" t="s">
        <v>67</v>
      </c>
      <c r="G30" t="s">
        <v>70</v>
      </c>
      <c r="H30" t="s">
        <v>130</v>
      </c>
      <c r="I30" t="s">
        <v>79</v>
      </c>
    </row>
    <row r="31" spans="3:18" x14ac:dyDescent="0.35">
      <c r="E31">
        <v>0.16357601332716537</v>
      </c>
      <c r="F31">
        <v>3.15E-2</v>
      </c>
      <c r="G31">
        <v>1.8499999999999999E-2</v>
      </c>
      <c r="H31">
        <f>E31+F31+G31</f>
        <v>0.21357601332716536</v>
      </c>
      <c r="I31">
        <v>2778.590794978581</v>
      </c>
    </row>
    <row r="32" spans="3:18" x14ac:dyDescent="0.35">
      <c r="E32">
        <v>6.6954481057748108E-2</v>
      </c>
      <c r="F32">
        <v>2.8499999999999998E-2</v>
      </c>
      <c r="G32">
        <v>1.3000000000000001E-2</v>
      </c>
      <c r="H32">
        <f t="shared" ref="H32:H44" si="0">E32+F32+G32</f>
        <v>0.1084544810577481</v>
      </c>
      <c r="I32">
        <v>2739.9567751668806</v>
      </c>
    </row>
    <row r="33" spans="5:9" x14ac:dyDescent="0.35">
      <c r="E33">
        <v>0.13185418359993165</v>
      </c>
      <c r="F33">
        <v>4.0499999999999994E-2</v>
      </c>
      <c r="G33">
        <v>0.03</v>
      </c>
      <c r="H33">
        <f t="shared" si="0"/>
        <v>0.20235418359993165</v>
      </c>
      <c r="I33">
        <v>2710.4147838131316</v>
      </c>
    </row>
    <row r="34" spans="5:9" x14ac:dyDescent="0.35">
      <c r="E34">
        <v>4.839627050175236E-2</v>
      </c>
      <c r="F34">
        <v>2.9499999999999998E-2</v>
      </c>
      <c r="G34">
        <v>1.3000000000000001E-2</v>
      </c>
      <c r="H34">
        <f t="shared" si="0"/>
        <v>9.0896270501752349E-2</v>
      </c>
      <c r="I34">
        <v>3053.2813114861729</v>
      </c>
    </row>
    <row r="35" spans="5:9" x14ac:dyDescent="0.35">
      <c r="E35">
        <v>0.16484266109665929</v>
      </c>
      <c r="F35">
        <v>3.2000000000000001E-2</v>
      </c>
      <c r="G35">
        <v>2.35E-2</v>
      </c>
      <c r="H35">
        <f t="shared" si="0"/>
        <v>0.22034266109665929</v>
      </c>
      <c r="I35">
        <v>2936.998089451351</v>
      </c>
    </row>
    <row r="36" spans="5:9" x14ac:dyDescent="0.35">
      <c r="E36">
        <v>0.17681348663061888</v>
      </c>
      <c r="F36">
        <v>6.2E-2</v>
      </c>
      <c r="G36">
        <v>3.3000000000000002E-2</v>
      </c>
      <c r="H36">
        <f t="shared" si="0"/>
        <v>0.27181348663061888</v>
      </c>
      <c r="I36">
        <v>2498.1323221526923</v>
      </c>
    </row>
    <row r="37" spans="5:9" x14ac:dyDescent="0.35">
      <c r="E37">
        <v>3.0544111874077066E-2</v>
      </c>
      <c r="F37">
        <v>3.6500000000000005E-2</v>
      </c>
      <c r="G37">
        <v>1.7500000000000002E-2</v>
      </c>
      <c r="H37">
        <f t="shared" si="0"/>
        <v>8.454411187407708E-2</v>
      </c>
      <c r="I37">
        <v>3388.8545886929255</v>
      </c>
    </row>
    <row r="38" spans="5:9" x14ac:dyDescent="0.35">
      <c r="E38">
        <v>0.11910394625890325</v>
      </c>
      <c r="F38">
        <v>5.4500000000000007E-2</v>
      </c>
      <c r="G38">
        <v>2.2499999999999999E-2</v>
      </c>
      <c r="H38">
        <f t="shared" si="0"/>
        <v>0.19610394625890323</v>
      </c>
      <c r="I38">
        <v>2557.5574679537367</v>
      </c>
    </row>
    <row r="39" spans="5:9" x14ac:dyDescent="0.35">
      <c r="E39">
        <v>0.34534130053913892</v>
      </c>
      <c r="F39">
        <v>-9999</v>
      </c>
      <c r="G39">
        <v>-9999</v>
      </c>
    </row>
    <row r="40" spans="5:9" x14ac:dyDescent="0.35">
      <c r="E40">
        <v>0.11240904101096762</v>
      </c>
      <c r="F40">
        <v>3.5000000000000003E-2</v>
      </c>
      <c r="G40">
        <v>3.5500000000000004E-2</v>
      </c>
      <c r="H40">
        <f t="shared" si="0"/>
        <v>0.18290904101096764</v>
      </c>
      <c r="I40">
        <v>2662.1699785063283</v>
      </c>
    </row>
    <row r="41" spans="5:9" x14ac:dyDescent="0.35">
      <c r="E41">
        <v>0.16409543578753599</v>
      </c>
      <c r="F41">
        <v>3.5500000000000004E-2</v>
      </c>
      <c r="G41">
        <v>1.6500000000000001E-2</v>
      </c>
      <c r="H41">
        <f t="shared" si="0"/>
        <v>0.21609543578753598</v>
      </c>
      <c r="I41">
        <v>2820.8913311638471</v>
      </c>
    </row>
    <row r="42" spans="5:9" x14ac:dyDescent="0.35">
      <c r="E42">
        <v>0.14995423774447861</v>
      </c>
      <c r="F42">
        <v>3.5000000000000003E-2</v>
      </c>
      <c r="G42">
        <v>1.3000000000000001E-2</v>
      </c>
      <c r="H42">
        <f t="shared" si="0"/>
        <v>0.19795423774447862</v>
      </c>
      <c r="I42">
        <v>2698.8454124044119</v>
      </c>
    </row>
    <row r="43" spans="5:9" x14ac:dyDescent="0.35">
      <c r="E43">
        <v>7.5458189811423965E-2</v>
      </c>
      <c r="F43">
        <v>4.1000000000000002E-2</v>
      </c>
      <c r="G43">
        <v>1.4E-2</v>
      </c>
      <c r="H43">
        <f t="shared" si="0"/>
        <v>0.13045818981142399</v>
      </c>
      <c r="I43">
        <v>3003.9290561545872</v>
      </c>
    </row>
    <row r="44" spans="5:9" x14ac:dyDescent="0.35">
      <c r="E44">
        <v>0.17614133228893708</v>
      </c>
      <c r="F44">
        <v>4.8500000000000001E-2</v>
      </c>
      <c r="G44">
        <v>8.0000000000000002E-3</v>
      </c>
      <c r="H44">
        <f t="shared" si="0"/>
        <v>0.23264133228893707</v>
      </c>
      <c r="I44">
        <v>2686.2577795561219</v>
      </c>
    </row>
    <row r="45" spans="5:9" x14ac:dyDescent="0.35">
      <c r="E45">
        <v>0.10954343492440868</v>
      </c>
      <c r="F45">
        <v>-9999</v>
      </c>
      <c r="G45">
        <v>-9999</v>
      </c>
    </row>
    <row r="49" spans="7:8" x14ac:dyDescent="0.35">
      <c r="G49" t="s">
        <v>130</v>
      </c>
      <c r="H49" t="s">
        <v>79</v>
      </c>
    </row>
    <row r="50" spans="7:8" x14ac:dyDescent="0.35">
      <c r="G50">
        <v>0.21357601332716536</v>
      </c>
      <c r="H50">
        <v>2778.590794978581</v>
      </c>
    </row>
    <row r="51" spans="7:8" x14ac:dyDescent="0.35">
      <c r="G51">
        <v>0.1084544810577481</v>
      </c>
      <c r="H51">
        <v>2739.9567751668806</v>
      </c>
    </row>
    <row r="52" spans="7:8" x14ac:dyDescent="0.35">
      <c r="G52">
        <v>0.20235418359993165</v>
      </c>
      <c r="H52">
        <v>2710.4147838131316</v>
      </c>
    </row>
    <row r="53" spans="7:8" x14ac:dyDescent="0.35">
      <c r="G53">
        <v>9.0896270501752349E-2</v>
      </c>
      <c r="H53">
        <v>3053.2813114861729</v>
      </c>
    </row>
    <row r="54" spans="7:8" x14ac:dyDescent="0.35">
      <c r="G54">
        <v>0.22034266109665929</v>
      </c>
      <c r="H54">
        <v>2936.998089451351</v>
      </c>
    </row>
    <row r="55" spans="7:8" x14ac:dyDescent="0.35">
      <c r="G55">
        <v>0.27181348663061888</v>
      </c>
      <c r="H55">
        <v>2498.1323221526923</v>
      </c>
    </row>
    <row r="56" spans="7:8" x14ac:dyDescent="0.35">
      <c r="G56">
        <v>8.454411187407708E-2</v>
      </c>
      <c r="H56">
        <v>3388.8545886929255</v>
      </c>
    </row>
    <row r="57" spans="7:8" x14ac:dyDescent="0.35">
      <c r="G57">
        <v>0.19610394625890323</v>
      </c>
      <c r="H57">
        <v>2557.5574679537367</v>
      </c>
    </row>
    <row r="58" spans="7:8" x14ac:dyDescent="0.35">
      <c r="G58">
        <v>0.18290904101096764</v>
      </c>
      <c r="H58">
        <v>2662.1699785063283</v>
      </c>
    </row>
    <row r="59" spans="7:8" x14ac:dyDescent="0.35">
      <c r="G59">
        <v>0.21609543578753598</v>
      </c>
      <c r="H59">
        <v>2820.8913311638471</v>
      </c>
    </row>
    <row r="60" spans="7:8" x14ac:dyDescent="0.35">
      <c r="G60">
        <v>0.19795423774447862</v>
      </c>
      <c r="H60">
        <v>2698.8454124044119</v>
      </c>
    </row>
    <row r="61" spans="7:8" x14ac:dyDescent="0.35">
      <c r="G61">
        <v>0.13045818981142399</v>
      </c>
      <c r="H61">
        <v>3003.9290561545872</v>
      </c>
    </row>
    <row r="62" spans="7:8" x14ac:dyDescent="0.35">
      <c r="G62">
        <v>0.23264133228893707</v>
      </c>
      <c r="H62">
        <v>2686.2577795561219</v>
      </c>
    </row>
    <row r="70" spans="6:7" x14ac:dyDescent="0.35">
      <c r="F70">
        <v>10</v>
      </c>
      <c r="G70">
        <f>IF(F70&gt;0,F70,F70+360)</f>
        <v>10</v>
      </c>
    </row>
    <row r="71" spans="6:7" x14ac:dyDescent="0.35">
      <c r="F71">
        <v>20</v>
      </c>
      <c r="G71">
        <f t="shared" ref="G71:G86" si="1">IF(F71&gt;0,F71,F71+360)</f>
        <v>20</v>
      </c>
    </row>
    <row r="72" spans="6:7" x14ac:dyDescent="0.35">
      <c r="F72">
        <v>30</v>
      </c>
      <c r="G72">
        <f t="shared" si="1"/>
        <v>30</v>
      </c>
    </row>
    <row r="73" spans="6:7" x14ac:dyDescent="0.35">
      <c r="F73">
        <v>40</v>
      </c>
      <c r="G73">
        <f t="shared" si="1"/>
        <v>40</v>
      </c>
    </row>
    <row r="74" spans="6:7" x14ac:dyDescent="0.35">
      <c r="F74">
        <v>50</v>
      </c>
      <c r="G74">
        <f t="shared" si="1"/>
        <v>50</v>
      </c>
    </row>
    <row r="75" spans="6:7" x14ac:dyDescent="0.35">
      <c r="F75">
        <v>60</v>
      </c>
      <c r="G75">
        <f t="shared" si="1"/>
        <v>60</v>
      </c>
    </row>
    <row r="76" spans="6:7" x14ac:dyDescent="0.35">
      <c r="F76">
        <v>70</v>
      </c>
      <c r="G76">
        <f t="shared" si="1"/>
        <v>70</v>
      </c>
    </row>
    <row r="77" spans="6:7" x14ac:dyDescent="0.35">
      <c r="F77">
        <v>80</v>
      </c>
      <c r="G77">
        <f t="shared" si="1"/>
        <v>80</v>
      </c>
    </row>
    <row r="78" spans="6:7" x14ac:dyDescent="0.35">
      <c r="F78">
        <v>90</v>
      </c>
      <c r="G78">
        <f t="shared" si="1"/>
        <v>90</v>
      </c>
    </row>
    <row r="79" spans="6:7" x14ac:dyDescent="0.35">
      <c r="F79">
        <v>100</v>
      </c>
      <c r="G79">
        <f t="shared" si="1"/>
        <v>100</v>
      </c>
    </row>
    <row r="80" spans="6:7" x14ac:dyDescent="0.35">
      <c r="F80">
        <v>110</v>
      </c>
      <c r="G80">
        <f t="shared" si="1"/>
        <v>110</v>
      </c>
    </row>
    <row r="81" spans="6:7" x14ac:dyDescent="0.35">
      <c r="F81">
        <v>120</v>
      </c>
      <c r="G81">
        <f t="shared" si="1"/>
        <v>120</v>
      </c>
    </row>
    <row r="82" spans="6:7" x14ac:dyDescent="0.35">
      <c r="F82">
        <v>130</v>
      </c>
      <c r="G82">
        <f t="shared" si="1"/>
        <v>130</v>
      </c>
    </row>
    <row r="83" spans="6:7" x14ac:dyDescent="0.35">
      <c r="F83">
        <v>140</v>
      </c>
      <c r="G83">
        <f t="shared" si="1"/>
        <v>140</v>
      </c>
    </row>
    <row r="84" spans="6:7" x14ac:dyDescent="0.35">
      <c r="F84">
        <v>150</v>
      </c>
      <c r="G84">
        <f t="shared" si="1"/>
        <v>150</v>
      </c>
    </row>
    <row r="85" spans="6:7" x14ac:dyDescent="0.35">
      <c r="F85">
        <v>160</v>
      </c>
      <c r="G85">
        <f t="shared" si="1"/>
        <v>160</v>
      </c>
    </row>
    <row r="86" spans="6:7" x14ac:dyDescent="0.35">
      <c r="F86">
        <v>170</v>
      </c>
      <c r="G86">
        <f t="shared" si="1"/>
        <v>170</v>
      </c>
    </row>
    <row r="87" spans="6:7" x14ac:dyDescent="0.35">
      <c r="F87">
        <v>-170</v>
      </c>
      <c r="G87">
        <f>IF(F87&gt;0,F87,F87+360)</f>
        <v>190</v>
      </c>
    </row>
    <row r="88" spans="6:7" x14ac:dyDescent="0.35">
      <c r="F88">
        <v>-160</v>
      </c>
      <c r="G88">
        <f>IF(F88&gt;0,F88,F88+360)</f>
        <v>200</v>
      </c>
    </row>
    <row r="89" spans="6:7" x14ac:dyDescent="0.35">
      <c r="F89">
        <v>-150</v>
      </c>
    </row>
    <row r="90" spans="6:7" x14ac:dyDescent="0.35">
      <c r="F90">
        <v>-140</v>
      </c>
    </row>
    <row r="91" spans="6:7" x14ac:dyDescent="0.35">
      <c r="F91">
        <v>-130</v>
      </c>
    </row>
    <row r="92" spans="6:7" x14ac:dyDescent="0.35">
      <c r="F92">
        <v>-120</v>
      </c>
    </row>
    <row r="93" spans="6:7" x14ac:dyDescent="0.35">
      <c r="F93">
        <v>-110</v>
      </c>
    </row>
    <row r="94" spans="6:7" x14ac:dyDescent="0.35">
      <c r="F94">
        <v>-100</v>
      </c>
    </row>
    <row r="95" spans="6:7" x14ac:dyDescent="0.35">
      <c r="F95">
        <v>-90</v>
      </c>
    </row>
    <row r="96" spans="6:7" x14ac:dyDescent="0.35">
      <c r="F96">
        <v>-80</v>
      </c>
    </row>
    <row r="97" spans="6:6" x14ac:dyDescent="0.35">
      <c r="F97">
        <v>-70</v>
      </c>
    </row>
    <row r="98" spans="6:6" x14ac:dyDescent="0.35">
      <c r="F98">
        <v>-60</v>
      </c>
    </row>
    <row r="99" spans="6:6" x14ac:dyDescent="0.35">
      <c r="F99">
        <v>-50</v>
      </c>
    </row>
    <row r="100" spans="6:6" x14ac:dyDescent="0.35">
      <c r="F100">
        <v>-40</v>
      </c>
    </row>
    <row r="101" spans="6:6" x14ac:dyDescent="0.35">
      <c r="F101">
        <v>-30</v>
      </c>
    </row>
    <row r="102" spans="6:6" x14ac:dyDescent="0.35">
      <c r="F102">
        <v>-20</v>
      </c>
    </row>
    <row r="103" spans="6:6" x14ac:dyDescent="0.35">
      <c r="F103">
        <v>-10</v>
      </c>
    </row>
  </sheetData>
  <pageMargins left="0.7" right="0.7" top="0.75" bottom="0.75" header="0.3" footer="0.3"/>
  <pageSetup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86E4C7FBA6ED47A702B5548480856D" ma:contentTypeVersion="17" ma:contentTypeDescription="Create a new document." ma:contentTypeScope="" ma:versionID="182906383d4e318b87481d9026cbb21a">
  <xsd:schema xmlns:xsd="http://www.w3.org/2001/XMLSchema" xmlns:xs="http://www.w3.org/2001/XMLSchema" xmlns:p="http://schemas.microsoft.com/office/2006/metadata/properties" xmlns:ns3="8d03afb9-4e71-496d-beef-7df043a46916" xmlns:ns4="537d2706-9fff-4ea8-9ba0-24fa0934a298" targetNamespace="http://schemas.microsoft.com/office/2006/metadata/properties" ma:root="true" ma:fieldsID="2e5f7711806cf75052ba7b1fecd57f3c" ns3:_="" ns4:_="">
    <xsd:import namespace="8d03afb9-4e71-496d-beef-7df043a46916"/>
    <xsd:import namespace="537d2706-9fff-4ea8-9ba0-24fa0934a29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_activity" minOccurs="0"/>
                <xsd:element ref="ns3:MediaServiceObjectDetectorVersions" minOccurs="0"/>
                <xsd:element ref="ns3:MediaServiceSystemTag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3afb9-4e71-496d-beef-7df043a469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7d2706-9fff-4ea8-9ba0-24fa0934a29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d03afb9-4e71-496d-beef-7df043a46916" xsi:nil="true"/>
  </documentManagement>
</p:properties>
</file>

<file path=customXml/itemProps1.xml><?xml version="1.0" encoding="utf-8"?>
<ds:datastoreItem xmlns:ds="http://schemas.openxmlformats.org/officeDocument/2006/customXml" ds:itemID="{1F53A53C-28AC-42B7-A92B-8B66CA172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03afb9-4e71-496d-beef-7df043a46916"/>
    <ds:schemaRef ds:uri="537d2706-9fff-4ea8-9ba0-24fa0934a2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060B08-2C1A-4666-A60D-4291EC72F171}">
  <ds:schemaRefs>
    <ds:schemaRef ds:uri="http://schemas.microsoft.com/sharepoint/v3/contenttype/forms"/>
  </ds:schemaRefs>
</ds:datastoreItem>
</file>

<file path=customXml/itemProps3.xml><?xml version="1.0" encoding="utf-8"?>
<ds:datastoreItem xmlns:ds="http://schemas.openxmlformats.org/officeDocument/2006/customXml" ds:itemID="{E7D36E5B-93FA-4863-AA89-7D22FF727F72}">
  <ds:schemaRefs>
    <ds:schemaRef ds:uri="http://purl.org/dc/elements/1.1/"/>
    <ds:schemaRef ds:uri="8d03afb9-4e71-496d-beef-7df043a46916"/>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www.w3.org/XML/1998/namespace"/>
    <ds:schemaRef ds:uri="http://purl.org/dc/dcmitype/"/>
    <ds:schemaRef ds:uri="http://schemas.microsoft.com/office/infopath/2007/PartnerControls"/>
    <ds:schemaRef ds:uri="537d2706-9fff-4ea8-9ba0-24fa0934a2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Sheet3</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Sophia Becker</cp:lastModifiedBy>
  <cp:revision/>
  <dcterms:created xsi:type="dcterms:W3CDTF">2023-08-04T12:05:26Z</dcterms:created>
  <dcterms:modified xsi:type="dcterms:W3CDTF">2025-07-28T16:26:06Z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0x010100BC86E4C7FBA6ED47A702B5548480856D</vt:lpwstr>
  </property>
</Properties>
</file>