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15" sheetId="1" r:id="rId3"/>
    <sheet state="visible" name="FEBRUARY 2015" sheetId="2" r:id="rId4"/>
    <sheet state="visible" name="MARCH 2015" sheetId="3" r:id="rId5"/>
    <sheet state="visible" name="APRIL 2015" sheetId="4" r:id="rId6"/>
    <sheet state="visible" name="MAY 2015" sheetId="5" r:id="rId7"/>
    <sheet state="visible" name="JUNE 2015" sheetId="6" r:id="rId8"/>
    <sheet state="visible" name="JULY 2015" sheetId="7" r:id="rId9"/>
    <sheet state="visible" name="AUGUST 2015" sheetId="8" r:id="rId10"/>
    <sheet state="visible" name="SEPTEMBER 2015" sheetId="9" r:id="rId11"/>
  </sheets>
  <definedNames/>
  <calcPr/>
</workbook>
</file>

<file path=xl/sharedStrings.xml><?xml version="1.0" encoding="utf-8"?>
<sst xmlns="http://schemas.openxmlformats.org/spreadsheetml/2006/main" count="250" uniqueCount="41">
  <si>
    <t>DIESEL</t>
  </si>
  <si>
    <t>FUEL STOCK MOVEMENT SCHEDULE</t>
  </si>
  <si>
    <t xml:space="preserve">VARIANCE </t>
  </si>
  <si>
    <t>DATE</t>
  </si>
  <si>
    <t>OPENING</t>
  </si>
  <si>
    <t>DIPPINGS</t>
  </si>
  <si>
    <t>CUMULATIVE</t>
  </si>
  <si>
    <t>DAILY</t>
  </si>
  <si>
    <t>ADDED</t>
  </si>
  <si>
    <t>ACC-PURCHASE</t>
  </si>
  <si>
    <t>SALES</t>
  </si>
  <si>
    <t>ACC-SALES</t>
  </si>
  <si>
    <t>AVERAGE DIESEL SALES</t>
  </si>
  <si>
    <t xml:space="preserve">JANUARY </t>
  </si>
  <si>
    <t>FEBRUARY</t>
  </si>
  <si>
    <t>VARIANCE %</t>
  </si>
  <si>
    <t>MARCH</t>
  </si>
  <si>
    <t>AVERAGE SALE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</si>
  <si>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</si>
  <si>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</si>
  <si>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</si>
  <si>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</si>
  <si>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</si>
  <si>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</si>
  <si>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</si>
  <si>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</si>
  <si>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</si>
  <si>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CUMULATIVE VAR</t>
  </si>
  <si>
    <t>DAILY VAR.</t>
  </si>
  <si>
    <t>FOR THE MONTH OF JUNE</t>
  </si>
  <si>
    <t>OPENINGS</t>
  </si>
  <si>
    <t>CUM.VAR</t>
  </si>
  <si>
    <t>VARIANCE</t>
  </si>
  <si>
    <t>ACC. PUR</t>
  </si>
  <si>
    <t>ACC.SALES</t>
  </si>
  <si>
    <t>TOTALS</t>
  </si>
  <si>
    <t>AVERAGE</t>
  </si>
  <si>
    <t>FOR THE MONTH OF JULY</t>
  </si>
  <si>
    <t>DECEMBER</t>
  </si>
  <si>
    <t>FOR THE MONTH OF AUGUST</t>
  </si>
  <si>
    <t>FOR THE MONTH OF SEPTEMBER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</si>
</sst>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F243E"/>
      <name val="Calibri"/>
    </font>
    <font>
      <b/>
      <u/>
      <sz val="11.0"/>
      <color rgb="FF0F243E"/>
      <name val="Calibri"/>
    </font>
    <font>
      <sz val="11.0"/>
      <color rgb="FF0F243E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17" xfId="0" applyFont="1" applyNumberFormat="1"/>
    <xf borderId="1" fillId="2" fontId="1" numFmtId="17" xfId="0" applyBorder="1" applyFill="1" applyFont="1" applyNumberFormat="1"/>
    <xf borderId="1" fillId="2" fontId="2" numFmtId="0" xfId="0" applyBorder="1" applyFont="1"/>
    <xf borderId="2" fillId="0" fontId="0" numFmtId="0" xfId="0" applyBorder="1" applyFont="1"/>
    <xf borderId="1" fillId="0" fontId="0" numFmtId="0" xfId="0" applyBorder="1" applyFont="1"/>
    <xf borderId="1" fillId="0" fontId="0" numFmtId="14" xfId="0" applyBorder="1" applyFont="1" applyNumberFormat="1"/>
    <xf borderId="3" fillId="0" fontId="0" numFmtId="0" xfId="0" applyBorder="1" applyFont="1"/>
    <xf borderId="0" fillId="0" fontId="3" numFmtId="0" xfId="0" applyAlignment="1" applyFont="1">
      <alignment horizontal="center"/>
    </xf>
    <xf borderId="0" fillId="0" fontId="4" numFmtId="17" xfId="0" applyAlignment="1" applyFont="1" applyNumberFormat="1">
      <alignment horizontal="center"/>
    </xf>
    <xf borderId="0" fillId="0" fontId="5" numFmtId="17" xfId="0" applyFont="1" applyNumberFormat="1"/>
    <xf borderId="0" fillId="0" fontId="6" numFmtId="0" xfId="0" applyFont="1"/>
    <xf borderId="4" fillId="2" fontId="7" numFmtId="0" xfId="0" applyBorder="1" applyFont="1"/>
    <xf borderId="5" fillId="2" fontId="8" numFmtId="0" xfId="0" applyBorder="1" applyFont="1"/>
    <xf borderId="6" fillId="0" fontId="9" numFmtId="0" xfId="0" applyBorder="1" applyFont="1"/>
    <xf borderId="2" fillId="0" fontId="0" numFmtId="0" xfId="0" applyBorder="1" applyFont="1"/>
    <xf borderId="1" fillId="0" fontId="0" numFmtId="0" xfId="0" applyBorder="1" applyFont="1"/>
    <xf borderId="0" fillId="0" fontId="0" numFmtId="0" xfId="0" applyFont="1"/>
    <xf borderId="2" fillId="0" fontId="0" numFmtId="14" xfId="0" applyBorder="1" applyFont="1" applyNumberFormat="1"/>
    <xf borderId="7" fillId="0" fontId="0" numFmtId="14" xfId="0" applyBorder="1" applyFont="1" applyNumberFormat="1"/>
    <xf borderId="1" fillId="0" fontId="10" numFmtId="0" xfId="0" applyBorder="1" applyFont="1"/>
    <xf borderId="0" fillId="0" fontId="0" numFmtId="0" xfId="0" applyFont="1"/>
    <xf borderId="8" fillId="0" fontId="11" numFmtId="0" xfId="0" applyBorder="1" applyFont="1"/>
    <xf borderId="9" fillId="0" fontId="12" numFmtId="0" xfId="0" applyBorder="1" applyFont="1"/>
    <xf borderId="0" fillId="0" fontId="13" numFmtId="0" xfId="0" applyFont="1"/>
    <xf borderId="9" fillId="0" fontId="0" numFmtId="0" xfId="0" applyBorder="1" applyFont="1"/>
    <xf borderId="10" fillId="0" fontId="0" numFmtId="0" xfId="0" applyBorder="1" applyFont="1"/>
    <xf borderId="9" fillId="0" fontId="0" numFmtId="14" xfId="0" applyBorder="1" applyFont="1" applyNumberFormat="1"/>
    <xf borderId="11" fillId="0" fontId="14" numFmtId="0" xfId="0" applyAlignment="1" applyBorder="1" applyFont="1">
      <alignment horizontal="center"/>
    </xf>
    <xf borderId="3" fillId="0" fontId="0" numFmtId="0" xfId="0" applyBorder="1" applyFont="1"/>
    <xf borderId="0" fillId="0" fontId="0" numFmtId="17" xfId="0" applyFont="1" applyNumberFormat="1"/>
    <xf borderId="0" fillId="0" fontId="15" numFmtId="17" xfId="0" applyFont="1" applyNumberFormat="1"/>
    <xf borderId="0" fillId="0" fontId="16" numFmtId="17" xfId="0" applyFont="1" applyNumberFormat="1"/>
    <xf borderId="1" fillId="0" fontId="0" numFmtId="1" xfId="0" applyBorder="1" applyFont="1" applyNumberFormat="1"/>
    <xf borderId="1" fillId="0" fontId="0" numFmtId="16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4">
    <tableStyle count="3" pivot="0" name="JUNE 2015-style">
      <tableStyleElement dxfId="1" type="headerRow"/>
      <tableStyleElement dxfId="2" type="firstRowStripe"/>
      <tableStyleElement dxfId="3" type="secondRowStripe"/>
    </tableStyle>
    <tableStyle count="4" pivot="0" name="JULY 2015-style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AUGUST 2015-style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SEPTEMBER 2015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'JANUARY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'JANUARY 2015'!$J$43:$J$54</c:f>
            </c:strRef>
          </c:cat>
          <c:val>
            <c:numRef>
              <c:f>'JANUARY 2015'!$K$43:$K$54</c:f>
              <c:numCache/>
            </c:numRef>
          </c:val>
        </c:ser>
        <c:axId val="1110298479"/>
        <c:axId val="339584397"/>
      </c:barChart>
      <c:catAx>
        <c:axId val="11102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9584397"/>
      </c:catAx>
      <c:valAx>
        <c:axId val="339584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02984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UP TO JULY</a:t>
            </a:r>
          </a:p>
        </c:rich>
      </c:tx>
      <c:overlay val="0"/>
    </c:title>
    <c:plotArea>
      <c:layout>
        <c:manualLayout>
          <c:xMode val="edge"/>
          <c:yMode val="edge"/>
          <c:x val="0.07219550827174641"/>
          <c:y val="0.19480351414406533"/>
          <c:w val="0.9135948036169069"/>
          <c:h val="0.5239018806859668"/>
        </c:manualLayout>
      </c:layout>
      <c:barChart>
        <c:barDir val="col"/>
        <c:ser>
          <c:idx val="0"/>
          <c:order val="0"/>
          <c:tx>
            <c:strRef>
              <c:f>'JULY 2015'!$I$42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'JULY 2015'!$H$43:$H$54</c:f>
            </c:strRef>
          </c:cat>
          <c:val>
            <c:numRef>
              <c:f>'JULY 2015'!$I$43:$I$54</c:f>
              <c:numCache/>
            </c:numRef>
          </c:val>
        </c:ser>
        <c:axId val="2008684225"/>
        <c:axId val="665409748"/>
      </c:barChart>
      <c:catAx>
        <c:axId val="200868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5409748"/>
      </c:catAx>
      <c:valAx>
        <c:axId val="665409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8684225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2015'!$J$43:$J$54</c:f>
            </c:strRef>
          </c:cat>
          <c:val>
            <c:numRef>
              <c:f>'APRIL 2015'!$K$43:$K$54</c:f>
              <c:numCache/>
            </c:numRef>
          </c:val>
        </c:ser>
        <c:axId val="2020309641"/>
        <c:axId val="1597005272"/>
      </c:barChart>
      <c:catAx>
        <c:axId val="2020309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7005272"/>
      </c:catAx>
      <c:valAx>
        <c:axId val="1597005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030964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AUGUST</a:t>
            </a:r>
          </a:p>
        </c:rich>
      </c:tx>
      <c:overlay val="0"/>
    </c:title>
    <c:plotArea>
      <c:layout>
        <c:manualLayout>
          <c:xMode val="edge"/>
          <c:yMode val="edge"/>
          <c:x val="0.07219550827174641"/>
          <c:y val="0.19480351414406533"/>
          <c:w val="0.9135948036169069"/>
          <c:h val="0.5239018806859668"/>
        </c:manualLayout>
      </c:layout>
      <c:barChart>
        <c:barDir val="col"/>
        <c:ser>
          <c:idx val="0"/>
          <c:order val="0"/>
          <c:tx>
            <c:strRef>
              <c:f>'AUGUST 2015'!$I$43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'AUGUST 2015'!$H$44:$H$55</c:f>
            </c:strRef>
          </c:cat>
          <c:val>
            <c:numRef>
              <c:f>'AUGUST 2015'!$I$44:$I$55</c:f>
              <c:numCache/>
            </c:numRef>
          </c:val>
        </c:ser>
        <c:axId val="1337453112"/>
        <c:axId val="1338555624"/>
      </c:barChart>
      <c:catAx>
        <c:axId val="13374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8555624"/>
      </c:catAx>
      <c:valAx>
        <c:axId val="1338555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7453112"/>
      </c:valAx>
      <c:spPr>
        <a:solidFill>
          <a:srgbClr val="FFFFFF"/>
        </a:solidFill>
      </c:spPr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2015'!$J$43:$J$54</c:f>
            </c:strRef>
          </c:cat>
          <c:val>
            <c:numRef>
              <c:f>'APRIL 2015'!$K$43:$K$54</c:f>
              <c:numCache/>
            </c:numRef>
          </c:val>
        </c:ser>
        <c:axId val="802128165"/>
        <c:axId val="932383969"/>
      </c:barChart>
      <c:catAx>
        <c:axId val="80212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2383969"/>
      </c:catAx>
      <c:valAx>
        <c:axId val="932383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212816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AUGUST</a:t>
            </a:r>
          </a:p>
        </c:rich>
      </c:tx>
      <c:overlay val="0"/>
    </c:title>
    <c:plotArea>
      <c:layout>
        <c:manualLayout>
          <c:xMode val="edge"/>
          <c:yMode val="edge"/>
          <c:x val="0.07219550827174641"/>
          <c:y val="0.19480351414406533"/>
          <c:w val="0.9135948036169069"/>
          <c:h val="0.5239018806859668"/>
        </c:manualLayout>
      </c:layout>
      <c:barChart>
        <c:barDir val="col"/>
        <c:ser>
          <c:idx val="0"/>
          <c:order val="0"/>
          <c:tx>
            <c:strRef>
              <c:f>'SEPTEMBER 2015'!$I$43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'SEPTEMBER 2015'!$H$44:$H$55</c:f>
            </c:strRef>
          </c:cat>
          <c:val>
            <c:numRef>
              <c:f>'SEPTEMBER 2015'!$I$44:$I$55</c:f>
              <c:numCache/>
            </c:numRef>
          </c:val>
        </c:ser>
        <c:axId val="902443326"/>
        <c:axId val="1284507907"/>
      </c:barChart>
      <c:catAx>
        <c:axId val="902443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4507907"/>
      </c:catAx>
      <c:valAx>
        <c:axId val="1284507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2443326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'FEBRUARY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'FEBRUARY 2015'!$J$43:$J$54</c:f>
            </c:strRef>
          </c:cat>
          <c:val>
            <c:numRef>
              <c:f>'FEBRUARY 2015'!$K$43:$K$54</c:f>
              <c:numCache/>
            </c:numRef>
          </c:val>
        </c:ser>
        <c:axId val="1252357249"/>
        <c:axId val="929772857"/>
      </c:barChart>
      <c:catAx>
        <c:axId val="125235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772857"/>
      </c:catAx>
      <c:valAx>
        <c:axId val="92977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235724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'MARCH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'MARCH 2015'!$J$43:$J$54</c:f>
            </c:strRef>
          </c:cat>
          <c:val>
            <c:numRef>
              <c:f>'MARCH 2015'!$K$43:$K$54</c:f>
              <c:numCache/>
            </c:numRef>
          </c:val>
        </c:ser>
        <c:axId val="2146197726"/>
        <c:axId val="286821238"/>
      </c:barChart>
      <c:catAx>
        <c:axId val="214619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6821238"/>
      </c:catAx>
      <c:valAx>
        <c:axId val="28682123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19772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'MARCH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'MARCH 2015'!$J$43:$J$54</c:f>
            </c:strRef>
          </c:cat>
          <c:val>
            <c:numRef>
              <c:f>'MARCH 2015'!$K$43:$K$54</c:f>
              <c:numCache/>
            </c:numRef>
          </c:val>
        </c:ser>
        <c:axId val="1142720878"/>
        <c:axId val="711141538"/>
      </c:barChart>
      <c:catAx>
        <c:axId val="1142720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1141538"/>
      </c:catAx>
      <c:valAx>
        <c:axId val="71114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272087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2015'!$J$43:$J$54</c:f>
            </c:strRef>
          </c:cat>
          <c:val>
            <c:numRef>
              <c:f>'APRIL 2015'!$K$43:$K$54</c:f>
              <c:numCache/>
            </c:numRef>
          </c:val>
        </c:ser>
        <c:axId val="1528482007"/>
        <c:axId val="209762344"/>
      </c:barChart>
      <c:catAx>
        <c:axId val="1528482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62344"/>
      </c:catAx>
      <c:valAx>
        <c:axId val="209762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848200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2015'!$J$43:$J$54</c:f>
            </c:strRef>
          </c:cat>
          <c:val>
            <c:numRef>
              <c:f>'APRIL 2015'!$K$43:$K$54</c:f>
              <c:numCache/>
            </c:numRef>
          </c:val>
        </c:ser>
        <c:axId val="17181411"/>
        <c:axId val="447330297"/>
      </c:barChart>
      <c:catAx>
        <c:axId val="17181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7330297"/>
      </c:catAx>
      <c:valAx>
        <c:axId val="44733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8141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'MAY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'MAY 2015'!$J$43:$J$54</c:f>
            </c:strRef>
          </c:cat>
          <c:val>
            <c:numRef>
              <c:f>'MAY 2015'!$K$43:$K$54</c:f>
              <c:numCache/>
            </c:numRef>
          </c:val>
        </c:ser>
        <c:axId val="404460658"/>
        <c:axId val="1832123742"/>
      </c:barChart>
      <c:catAx>
        <c:axId val="40446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2123742"/>
      </c:catAx>
      <c:valAx>
        <c:axId val="183212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46065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DIESEL SALES JUNE</a:t>
            </a:r>
          </a:p>
        </c:rich>
      </c:tx>
      <c:overlay val="0"/>
    </c:title>
    <c:plotArea>
      <c:layout>
        <c:manualLayout>
          <c:xMode val="edge"/>
          <c:yMode val="edge"/>
          <c:x val="0.07219550827174641"/>
          <c:y val="0.13311887615471552"/>
          <c:w val="0.9227520149836977"/>
          <c:h val="0.6950702870326263"/>
        </c:manualLayout>
      </c:layout>
      <c:barChart>
        <c:barDir val="col"/>
        <c:ser>
          <c:idx val="0"/>
          <c:order val="0"/>
          <c:tx>
            <c:strRef>
              <c:f>'JUNE 2015'!$I$41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'JUNE 2015'!$H$42:$H$53</c:f>
            </c:strRef>
          </c:cat>
          <c:val>
            <c:numRef>
              <c:f>'JUNE 2015'!$I$42:$I$53</c:f>
              <c:numCache/>
            </c:numRef>
          </c:val>
        </c:ser>
        <c:axId val="1076090599"/>
        <c:axId val="168866910"/>
      </c:barChart>
      <c:catAx>
        <c:axId val="1076090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866910"/>
      </c:catAx>
      <c:valAx>
        <c:axId val="16886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6090599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2015'!$K$42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2015'!$J$43:$J$54</c:f>
            </c:strRef>
          </c:cat>
          <c:val>
            <c:numRef>
              <c:f>'APRIL 2015'!$K$43:$K$54</c:f>
              <c:numCache/>
            </c:numRef>
          </c:val>
        </c:ser>
        <c:axId val="1903807583"/>
        <c:axId val="266917286"/>
      </c:barChart>
      <c:catAx>
        <c:axId val="19038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6917286"/>
      </c:catAx>
      <c:valAx>
        <c:axId val="266917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380758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46</xdr:row>
      <xdr:rowOff>133350</xdr:rowOff>
    </xdr:from>
    <xdr:ext cx="54102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46</xdr:row>
      <xdr:rowOff>133350</xdr:rowOff>
    </xdr:from>
    <xdr:ext cx="564832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61</xdr:row>
      <xdr:rowOff>19050</xdr:rowOff>
    </xdr:from>
    <xdr:ext cx="38100" cy="76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46</xdr:row>
      <xdr:rowOff>104775</xdr:rowOff>
    </xdr:from>
    <xdr:ext cx="4600575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46</xdr:row>
      <xdr:rowOff>133350</xdr:rowOff>
    </xdr:from>
    <xdr:ext cx="5695950" cy="28860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46</xdr:row>
      <xdr:rowOff>133350</xdr:rowOff>
    </xdr:from>
    <xdr:ext cx="5695950" cy="28860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419100</xdr:colOff>
      <xdr:row>46</xdr:row>
      <xdr:rowOff>38100</xdr:rowOff>
    </xdr:from>
    <xdr:ext cx="5695950" cy="28765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40</xdr:row>
      <xdr:rowOff>38100</xdr:rowOff>
    </xdr:from>
    <xdr:ext cx="6762750" cy="28098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60</xdr:row>
      <xdr:rowOff>9525</xdr:rowOff>
    </xdr:from>
    <xdr:ext cx="38100" cy="38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41</xdr:row>
      <xdr:rowOff>0</xdr:rowOff>
    </xdr:from>
    <xdr:ext cx="4562475" cy="24860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61</xdr:row>
      <xdr:rowOff>9525</xdr:rowOff>
    </xdr:from>
    <xdr:ext cx="38100" cy="381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42</xdr:row>
      <xdr:rowOff>0</xdr:rowOff>
    </xdr:from>
    <xdr:ext cx="4743450" cy="24860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61</xdr:row>
      <xdr:rowOff>9525</xdr:rowOff>
    </xdr:from>
    <xdr:ext cx="38100" cy="381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42</xdr:row>
      <xdr:rowOff>0</xdr:rowOff>
    </xdr:from>
    <xdr:ext cx="4743450" cy="248602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6:I38" displayName="Table_1" id="1">
  <tableColumns count="9">
    <tableColumn name="DATE" id="1"/>
    <tableColumn name="OPENINGS" id="2"/>
    <tableColumn name="DIPPINGS" id="3"/>
    <tableColumn name="CUM.VAR" id="4"/>
    <tableColumn name="VARIANCE" id="5"/>
    <tableColumn name="ADDED" id="6"/>
    <tableColumn name="ACC. PUR" id="7"/>
    <tableColumn name="SALES" id="8"/>
    <tableColumn name="ACC.SALES" id="9"/>
  </tableColumns>
  <tableStyleInfo name="JUNE 2015-style" showColumnStripes="0" showFirstColumn="1" showLastColumn="1" showRowStripes="1"/>
</table>
</file>

<file path=xl/tables/table2.xml><?xml version="1.0" encoding="utf-8"?>
<table xmlns="http://schemas.openxmlformats.org/spreadsheetml/2006/main" ref="A5:I41" displayName="Table_2" id="2">
  <tableColumns count="9">
    <tableColumn name="DATE" id="1"/>
    <tableColumn name="OPENING" id="2"/>
    <tableColumn name="DIPPINGS" id="3"/>
    <tableColumn name="CUMULATIVE VAR" id="4"/>
    <tableColumn name="DAILY VAR." id="5"/>
    <tableColumn name="ADDED" id="6"/>
    <tableColumn name="ACC-PURCHASE" id="7"/>
    <tableColumn name="SALES" id="8"/>
    <tableColumn name="ACC-SALES" id="9"/>
  </tableColumns>
  <tableStyleInfo name="JULY 2015-style" showColumnStripes="0" showFirstColumn="1" showLastColumn="1" showRowStripes="1"/>
</table>
</file>

<file path=xl/tables/table3.xml><?xml version="1.0" encoding="utf-8"?>
<table xmlns="http://schemas.openxmlformats.org/spreadsheetml/2006/main" ref="A5:I42" displayName="Table_3" id="3">
  <tableColumns count="9">
    <tableColumn name="DATE" id="1"/>
    <tableColumn name="OPENING" id="2"/>
    <tableColumn name="DIPPINGS" id="3"/>
    <tableColumn name="CUMULATIVE VAR" id="4"/>
    <tableColumn name="DAILY VAR." id="5"/>
    <tableColumn name="ADDED" id="6"/>
    <tableColumn name="ACC-PURCHASE" id="7"/>
    <tableColumn name="SALES" id="8"/>
    <tableColumn name="ACC-SALES" id="9"/>
  </tableColumns>
  <tableStyleInfo name="AUGUST 2015-style" showColumnStripes="0" showFirstColumn="1" showLastColumn="1" showRowStripes="1"/>
</table>
</file>

<file path=xl/tables/table4.xml><?xml version="1.0" encoding="utf-8"?>
<table xmlns="http://schemas.openxmlformats.org/spreadsheetml/2006/main" ref="A5:I42" displayName="Table_4" id="4">
  <tableColumns count="9">
    <tableColumn name="DATE" id="1"/>
    <tableColumn name="OPENING" id="2"/>
    <tableColumn name="DIPPINGS" id="3"/>
    <tableColumn name="CUMULATIVE VAR" id="4"/>
    <tableColumn name="DAILY VAR." id="5"/>
    <tableColumn name="ADDED" id="6"/>
    <tableColumn name="ACC-PURCHASE" id="7"/>
    <tableColumn name="SALES" id="8"/>
    <tableColumn name="ACC-SALES" id="9"/>
  </tableColumns>
  <tableStyleInfo name="SEPTEMBER 2015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3" width="9.29"/>
    <col customWidth="1" min="4" max="4" width="10.57"/>
    <col customWidth="1" min="5" max="6" width="9.29"/>
    <col customWidth="1" min="7" max="7" width="9.86"/>
    <col customWidth="1" min="8" max="8" width="9.29"/>
    <col customWidth="1" min="9" max="9" width="9.86"/>
    <col customWidth="1" min="10" max="26" width="8.71"/>
  </cols>
  <sheetData>
    <row r="1">
      <c r="A1" t="s">
        <v>0</v>
      </c>
    </row>
    <row r="2">
      <c r="A2" t="s">
        <v>1</v>
      </c>
    </row>
    <row r="3">
      <c r="A3" s="1">
        <v>42005.0</v>
      </c>
    </row>
    <row r="4">
      <c r="A4" s="2">
        <v>42005.0</v>
      </c>
      <c r="B4" s="3"/>
      <c r="C4" s="3"/>
      <c r="D4" s="3"/>
      <c r="E4" s="3"/>
      <c r="F4" s="3"/>
      <c r="G4" s="3"/>
      <c r="H4" s="3"/>
      <c r="I4" s="3"/>
    </row>
    <row r="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6">
        <v>42005.0</v>
      </c>
      <c r="B8" s="5">
        <v>55641.14</v>
      </c>
      <c r="C8" s="5">
        <v>46751.11</v>
      </c>
      <c r="D8" s="5">
        <v>-13682.4</v>
      </c>
      <c r="E8" s="5">
        <v>174.77</v>
      </c>
      <c r="F8" s="5"/>
      <c r="G8" s="5">
        <v>0.0</v>
      </c>
      <c r="H8" s="5">
        <v>3171.43</v>
      </c>
      <c r="I8" s="5">
        <v>3171.43</v>
      </c>
    </row>
    <row r="9">
      <c r="A9" s="6">
        <v>42006.0</v>
      </c>
      <c r="B9" s="5">
        <f t="shared" ref="B9:B39" si="1">B8-H8+F8</f>
        <v>52469.71</v>
      </c>
      <c r="C9" s="5">
        <v>43413.8</v>
      </c>
      <c r="D9" s="5">
        <f t="shared" ref="D9:D39" si="2">D8+E9</f>
        <v>-13848.28</v>
      </c>
      <c r="E9" s="5">
        <f t="shared" ref="E9:E39" si="3">C9+H8-C8-F8</f>
        <v>-165.88</v>
      </c>
      <c r="F9" s="5"/>
      <c r="G9" s="5">
        <f t="shared" ref="G9:G39" si="4">G8+F9</f>
        <v>0</v>
      </c>
      <c r="H9" s="5">
        <v>3843.45</v>
      </c>
      <c r="I9" s="5">
        <f t="shared" ref="I9:I39" si="5">I8++H9</f>
        <v>7014.88</v>
      </c>
    </row>
    <row r="10">
      <c r="A10" s="6">
        <v>42007.0</v>
      </c>
      <c r="B10" s="5">
        <f t="shared" si="1"/>
        <v>48626.26</v>
      </c>
      <c r="C10" s="5">
        <v>39332.53</v>
      </c>
      <c r="D10" s="5">
        <f t="shared" si="2"/>
        <v>-14086.1</v>
      </c>
      <c r="E10" s="5">
        <f t="shared" si="3"/>
        <v>-237.82</v>
      </c>
      <c r="F10" s="5"/>
      <c r="G10" s="5">
        <f t="shared" si="4"/>
        <v>0</v>
      </c>
      <c r="H10" s="5">
        <v>3556.74</v>
      </c>
      <c r="I10" s="5">
        <f t="shared" si="5"/>
        <v>10571.62</v>
      </c>
    </row>
    <row r="11">
      <c r="A11" s="6">
        <v>42008.0</v>
      </c>
      <c r="B11" s="5">
        <f t="shared" si="1"/>
        <v>45069.52</v>
      </c>
      <c r="C11" s="5">
        <v>35588.4</v>
      </c>
      <c r="D11" s="5">
        <f t="shared" si="2"/>
        <v>-14273.49</v>
      </c>
      <c r="E11" s="5">
        <f t="shared" si="3"/>
        <v>-187.39</v>
      </c>
      <c r="F11" s="5"/>
      <c r="G11" s="5">
        <f t="shared" si="4"/>
        <v>0</v>
      </c>
      <c r="H11" s="5">
        <v>3482.36</v>
      </c>
      <c r="I11" s="5">
        <f t="shared" si="5"/>
        <v>14053.98</v>
      </c>
    </row>
    <row r="12">
      <c r="A12" s="6">
        <v>42009.0</v>
      </c>
      <c r="B12" s="5">
        <f t="shared" si="1"/>
        <v>41587.16</v>
      </c>
      <c r="C12" s="5">
        <v>31977.09</v>
      </c>
      <c r="D12" s="5">
        <f t="shared" si="2"/>
        <v>-14402.44</v>
      </c>
      <c r="E12" s="5">
        <f t="shared" si="3"/>
        <v>-128.95</v>
      </c>
      <c r="F12" s="5"/>
      <c r="G12" s="5">
        <f t="shared" si="4"/>
        <v>0</v>
      </c>
      <c r="H12" s="5">
        <v>5790.26</v>
      </c>
      <c r="I12" s="5">
        <f t="shared" si="5"/>
        <v>19844.24</v>
      </c>
    </row>
    <row r="13">
      <c r="A13" s="6">
        <v>42010.0</v>
      </c>
      <c r="B13" s="5">
        <f t="shared" si="1"/>
        <v>35796.9</v>
      </c>
      <c r="C13" s="5">
        <v>26220.83</v>
      </c>
      <c r="D13" s="5">
        <f t="shared" si="2"/>
        <v>-14368.44</v>
      </c>
      <c r="E13" s="5">
        <f t="shared" si="3"/>
        <v>34</v>
      </c>
      <c r="F13" s="5">
        <v>10000.0</v>
      </c>
      <c r="G13" s="5">
        <f t="shared" si="4"/>
        <v>10000</v>
      </c>
      <c r="H13" s="5">
        <v>5611.91</v>
      </c>
      <c r="I13" s="5">
        <f t="shared" si="5"/>
        <v>25456.15</v>
      </c>
    </row>
    <row r="14">
      <c r="A14" s="6">
        <v>42011.0</v>
      </c>
      <c r="B14" s="5">
        <f t="shared" si="1"/>
        <v>40184.99</v>
      </c>
      <c r="C14" s="5">
        <v>30651.52</v>
      </c>
      <c r="D14" s="5">
        <f t="shared" si="2"/>
        <v>-14325.84</v>
      </c>
      <c r="E14" s="5">
        <f t="shared" si="3"/>
        <v>42.6</v>
      </c>
      <c r="F14" s="5">
        <v>10000.0</v>
      </c>
      <c r="G14" s="5">
        <f t="shared" si="4"/>
        <v>20000</v>
      </c>
      <c r="H14" s="5">
        <v>5513.85</v>
      </c>
      <c r="I14" s="5">
        <f t="shared" si="5"/>
        <v>30970</v>
      </c>
    </row>
    <row r="15">
      <c r="A15" s="6">
        <v>42012.0</v>
      </c>
      <c r="B15" s="5">
        <f t="shared" si="1"/>
        <v>44671.14</v>
      </c>
      <c r="C15" s="5">
        <v>35239.2</v>
      </c>
      <c r="D15" s="5">
        <f t="shared" si="2"/>
        <v>-14224.31</v>
      </c>
      <c r="E15" s="5">
        <f t="shared" si="3"/>
        <v>101.53</v>
      </c>
      <c r="F15" s="5"/>
      <c r="G15" s="5">
        <f t="shared" si="4"/>
        <v>20000</v>
      </c>
      <c r="H15" s="5">
        <v>5422.14</v>
      </c>
      <c r="I15" s="5">
        <f t="shared" si="5"/>
        <v>36392.14</v>
      </c>
    </row>
    <row r="16">
      <c r="A16" s="6">
        <v>42013.0</v>
      </c>
      <c r="B16" s="5">
        <f t="shared" si="1"/>
        <v>39249</v>
      </c>
      <c r="C16" s="5">
        <v>29427.8</v>
      </c>
      <c r="D16" s="5">
        <f t="shared" si="2"/>
        <v>-14613.57</v>
      </c>
      <c r="E16" s="5">
        <f t="shared" si="3"/>
        <v>-389.26</v>
      </c>
      <c r="F16" s="5">
        <v>10000.0</v>
      </c>
      <c r="G16" s="5">
        <f t="shared" si="4"/>
        <v>30000</v>
      </c>
      <c r="H16" s="5">
        <v>5086.49</v>
      </c>
      <c r="I16" s="5">
        <f t="shared" si="5"/>
        <v>41478.63</v>
      </c>
    </row>
    <row r="17">
      <c r="A17" s="6">
        <v>42014.0</v>
      </c>
      <c r="B17" s="5">
        <f t="shared" si="1"/>
        <v>44162.51</v>
      </c>
      <c r="C17" s="5">
        <v>34551.74</v>
      </c>
      <c r="D17" s="5">
        <f t="shared" si="2"/>
        <v>-14403.14</v>
      </c>
      <c r="E17" s="5">
        <f t="shared" si="3"/>
        <v>210.43</v>
      </c>
      <c r="F17" s="5"/>
      <c r="G17" s="5">
        <f t="shared" si="4"/>
        <v>30000</v>
      </c>
      <c r="H17" s="5">
        <v>4131.26</v>
      </c>
      <c r="I17" s="5">
        <f t="shared" si="5"/>
        <v>45609.89</v>
      </c>
    </row>
    <row r="18">
      <c r="A18" s="6">
        <v>42015.0</v>
      </c>
      <c r="B18" s="5">
        <f t="shared" si="1"/>
        <v>40031.25</v>
      </c>
      <c r="C18" s="5">
        <v>30029.9</v>
      </c>
      <c r="D18" s="5">
        <f t="shared" si="2"/>
        <v>-14793.72</v>
      </c>
      <c r="E18" s="5">
        <f t="shared" si="3"/>
        <v>-390.58</v>
      </c>
      <c r="F18" s="5"/>
      <c r="G18" s="5">
        <f t="shared" si="4"/>
        <v>30000</v>
      </c>
      <c r="H18" s="5">
        <v>3043.0</v>
      </c>
      <c r="I18" s="5">
        <f t="shared" si="5"/>
        <v>48652.89</v>
      </c>
    </row>
    <row r="19">
      <c r="A19" s="6">
        <v>42016.0</v>
      </c>
      <c r="B19" s="5">
        <f t="shared" si="1"/>
        <v>36988.25</v>
      </c>
      <c r="C19" s="5">
        <v>27043.99</v>
      </c>
      <c r="D19" s="5">
        <f t="shared" si="2"/>
        <v>-14736.63</v>
      </c>
      <c r="E19" s="5">
        <f t="shared" si="3"/>
        <v>57.09</v>
      </c>
      <c r="F19" s="5">
        <v>10000.0</v>
      </c>
      <c r="G19" s="5">
        <f t="shared" si="4"/>
        <v>40000</v>
      </c>
      <c r="H19" s="5">
        <v>5870.96</v>
      </c>
      <c r="I19" s="5">
        <f t="shared" si="5"/>
        <v>54523.85</v>
      </c>
    </row>
    <row r="20">
      <c r="A20" s="6">
        <v>42017.0</v>
      </c>
      <c r="B20" s="5">
        <f t="shared" si="1"/>
        <v>41117.29</v>
      </c>
      <c r="C20" s="5">
        <v>31334.34</v>
      </c>
      <c r="D20" s="5">
        <f t="shared" si="2"/>
        <v>-14575.32</v>
      </c>
      <c r="E20" s="5">
        <f t="shared" si="3"/>
        <v>161.31</v>
      </c>
      <c r="F20" s="5">
        <v>10000.0</v>
      </c>
      <c r="G20" s="5">
        <f t="shared" si="4"/>
        <v>50000</v>
      </c>
      <c r="H20" s="5">
        <v>4929.03</v>
      </c>
      <c r="I20" s="5">
        <f t="shared" si="5"/>
        <v>59452.88</v>
      </c>
    </row>
    <row r="21" ht="15.75" customHeight="1">
      <c r="A21" s="6">
        <v>42018.0</v>
      </c>
      <c r="B21" s="5">
        <f t="shared" si="1"/>
        <v>46188.26</v>
      </c>
      <c r="C21" s="5">
        <v>36302.63</v>
      </c>
      <c r="D21" s="5">
        <f t="shared" si="2"/>
        <v>-14678</v>
      </c>
      <c r="E21" s="5">
        <f t="shared" si="3"/>
        <v>-102.68</v>
      </c>
      <c r="F21" s="5"/>
      <c r="G21" s="5">
        <f t="shared" si="4"/>
        <v>50000</v>
      </c>
      <c r="H21" s="5">
        <v>4849.13</v>
      </c>
      <c r="I21" s="5">
        <f t="shared" si="5"/>
        <v>64302.01</v>
      </c>
    </row>
    <row r="22" ht="15.75" customHeight="1">
      <c r="A22" s="6">
        <v>42019.0</v>
      </c>
      <c r="B22" s="5">
        <f t="shared" si="1"/>
        <v>41339.13</v>
      </c>
      <c r="C22" s="5">
        <v>31180.93</v>
      </c>
      <c r="D22" s="5">
        <f t="shared" si="2"/>
        <v>-14950.57</v>
      </c>
      <c r="E22" s="5">
        <f t="shared" si="3"/>
        <v>-272.57</v>
      </c>
      <c r="F22" s="5">
        <v>10000.0</v>
      </c>
      <c r="G22" s="5">
        <f t="shared" si="4"/>
        <v>60000</v>
      </c>
      <c r="H22" s="5">
        <v>5889.94</v>
      </c>
      <c r="I22" s="5">
        <f t="shared" si="5"/>
        <v>70191.95</v>
      </c>
    </row>
    <row r="23" ht="15.75" customHeight="1">
      <c r="A23" s="6">
        <v>42020.0</v>
      </c>
      <c r="B23" s="5">
        <f t="shared" si="1"/>
        <v>45449.19</v>
      </c>
      <c r="C23" s="5">
        <v>35451.34</v>
      </c>
      <c r="D23" s="5">
        <f t="shared" si="2"/>
        <v>-14790.22</v>
      </c>
      <c r="E23" s="5">
        <f t="shared" si="3"/>
        <v>160.35</v>
      </c>
      <c r="F23" s="5"/>
      <c r="G23" s="5">
        <f t="shared" si="4"/>
        <v>60000</v>
      </c>
      <c r="H23" s="5">
        <v>6245.04</v>
      </c>
      <c r="I23" s="5">
        <f t="shared" si="5"/>
        <v>76436.99</v>
      </c>
    </row>
    <row r="24" ht="15.75" customHeight="1">
      <c r="A24" s="6">
        <v>42021.0</v>
      </c>
      <c r="B24" s="5">
        <f t="shared" si="1"/>
        <v>39204.15</v>
      </c>
      <c r="C24" s="5">
        <v>28920.91</v>
      </c>
      <c r="D24" s="5">
        <f t="shared" si="2"/>
        <v>-15075.61</v>
      </c>
      <c r="E24" s="5">
        <f t="shared" si="3"/>
        <v>-285.39</v>
      </c>
      <c r="F24" s="5"/>
      <c r="G24" s="5">
        <f t="shared" si="4"/>
        <v>60000</v>
      </c>
      <c r="H24" s="5">
        <v>4733.86</v>
      </c>
      <c r="I24" s="5">
        <f t="shared" si="5"/>
        <v>81170.85</v>
      </c>
    </row>
    <row r="25" ht="15.75" customHeight="1">
      <c r="A25" s="6">
        <v>42022.0</v>
      </c>
      <c r="B25" s="5">
        <f t="shared" si="1"/>
        <v>34470.29</v>
      </c>
      <c r="C25" s="5">
        <v>23936.14</v>
      </c>
      <c r="D25" s="5">
        <f t="shared" si="2"/>
        <v>-15326.52</v>
      </c>
      <c r="E25" s="5">
        <f t="shared" si="3"/>
        <v>-250.91</v>
      </c>
      <c r="F25" s="5"/>
      <c r="G25" s="5">
        <f t="shared" si="4"/>
        <v>60000</v>
      </c>
      <c r="H25" s="5">
        <f>1695+1535.46+183.56</f>
        <v>3414.02</v>
      </c>
      <c r="I25" s="5">
        <f t="shared" si="5"/>
        <v>84584.87</v>
      </c>
    </row>
    <row r="26" ht="15.75" customHeight="1">
      <c r="A26" s="6">
        <v>42023.0</v>
      </c>
      <c r="B26" s="5">
        <f t="shared" si="1"/>
        <v>31056.27</v>
      </c>
      <c r="C26" s="5">
        <f>13187.5+294.12+6908.3+55.93</f>
        <v>20445.85</v>
      </c>
      <c r="D26" s="5">
        <f t="shared" si="2"/>
        <v>-15402.79</v>
      </c>
      <c r="E26" s="5">
        <f t="shared" si="3"/>
        <v>-76.27</v>
      </c>
      <c r="F26" s="5">
        <v>10000.0</v>
      </c>
      <c r="G26" s="5">
        <f t="shared" si="4"/>
        <v>70000</v>
      </c>
      <c r="H26" s="5">
        <v>5749.92</v>
      </c>
      <c r="I26" s="5">
        <f t="shared" si="5"/>
        <v>90334.79</v>
      </c>
    </row>
    <row r="27" ht="15.75" customHeight="1">
      <c r="A27" s="6">
        <v>42024.0</v>
      </c>
      <c r="B27" s="5">
        <f t="shared" si="1"/>
        <v>35306.35</v>
      </c>
      <c r="C27" s="5">
        <v>24887.9</v>
      </c>
      <c r="D27" s="5">
        <f t="shared" si="2"/>
        <v>-15210.82</v>
      </c>
      <c r="E27" s="5">
        <f t="shared" si="3"/>
        <v>191.97</v>
      </c>
      <c r="F27" s="5"/>
      <c r="G27" s="5">
        <f t="shared" si="4"/>
        <v>70000</v>
      </c>
      <c r="H27" s="5">
        <v>6147.39</v>
      </c>
      <c r="I27" s="5">
        <f t="shared" si="5"/>
        <v>96482.18</v>
      </c>
    </row>
    <row r="28" ht="15.75" customHeight="1">
      <c r="A28" s="6">
        <v>42025.0</v>
      </c>
      <c r="B28" s="5">
        <f t="shared" si="1"/>
        <v>29158.96</v>
      </c>
      <c r="C28" s="5">
        <v>18242.19</v>
      </c>
      <c r="D28" s="5">
        <f t="shared" si="2"/>
        <v>-15709.14</v>
      </c>
      <c r="E28" s="5">
        <f t="shared" si="3"/>
        <v>-498.32</v>
      </c>
      <c r="F28" s="5">
        <v>10000.0</v>
      </c>
      <c r="G28" s="5">
        <f t="shared" si="4"/>
        <v>80000</v>
      </c>
      <c r="H28" s="5">
        <v>5845.18</v>
      </c>
      <c r="I28" s="5">
        <f t="shared" si="5"/>
        <v>102327.36</v>
      </c>
    </row>
    <row r="29" ht="15.75" customHeight="1">
      <c r="A29" s="6">
        <v>42026.0</v>
      </c>
      <c r="B29" s="5">
        <f t="shared" si="1"/>
        <v>33313.78</v>
      </c>
      <c r="C29" s="5">
        <v>22760.5</v>
      </c>
      <c r="D29" s="5">
        <f t="shared" si="2"/>
        <v>-15345.65</v>
      </c>
      <c r="E29" s="5">
        <f t="shared" si="3"/>
        <v>363.49</v>
      </c>
      <c r="F29" s="5">
        <v>10000.0</v>
      </c>
      <c r="G29" s="5">
        <f t="shared" si="4"/>
        <v>90000</v>
      </c>
      <c r="H29" s="5">
        <v>6987.68</v>
      </c>
      <c r="I29" s="5">
        <f t="shared" si="5"/>
        <v>109315.04</v>
      </c>
    </row>
    <row r="30" ht="15.75" customHeight="1">
      <c r="A30" s="6">
        <v>42027.0</v>
      </c>
      <c r="B30" s="5">
        <f t="shared" si="1"/>
        <v>36326.1</v>
      </c>
      <c r="C30" s="5">
        <v>25613.35</v>
      </c>
      <c r="D30" s="5">
        <f t="shared" si="2"/>
        <v>-15505.12</v>
      </c>
      <c r="E30" s="5">
        <f t="shared" si="3"/>
        <v>-159.47</v>
      </c>
      <c r="F30" s="5">
        <v>10000.0</v>
      </c>
      <c r="G30" s="5">
        <f t="shared" si="4"/>
        <v>100000</v>
      </c>
      <c r="H30" s="5">
        <v>5248.21</v>
      </c>
      <c r="I30" s="5">
        <f t="shared" si="5"/>
        <v>114563.25</v>
      </c>
    </row>
    <row r="31" ht="15.75" customHeight="1">
      <c r="A31" s="6">
        <v>42028.0</v>
      </c>
      <c r="B31" s="5">
        <f t="shared" si="1"/>
        <v>41077.89</v>
      </c>
      <c r="C31" s="5">
        <v>30469.11</v>
      </c>
      <c r="D31" s="5">
        <f t="shared" si="2"/>
        <v>-15401.15</v>
      </c>
      <c r="E31" s="5">
        <f t="shared" si="3"/>
        <v>103.97</v>
      </c>
      <c r="F31" s="5"/>
      <c r="G31" s="5">
        <f t="shared" si="4"/>
        <v>100000</v>
      </c>
      <c r="H31" s="5">
        <v>4709.39</v>
      </c>
      <c r="I31" s="5">
        <f t="shared" si="5"/>
        <v>119272.64</v>
      </c>
    </row>
    <row r="32" ht="15.75" customHeight="1">
      <c r="A32" s="6">
        <v>42029.0</v>
      </c>
      <c r="B32" s="5">
        <f t="shared" si="1"/>
        <v>36368.5</v>
      </c>
      <c r="C32" s="5">
        <f>14366.7+5162.8+5966.67+54.24</f>
        <v>25550.41</v>
      </c>
      <c r="D32" s="5">
        <f t="shared" si="2"/>
        <v>-15610.46</v>
      </c>
      <c r="E32" s="5">
        <f t="shared" si="3"/>
        <v>-209.31</v>
      </c>
      <c r="F32" s="5"/>
      <c r="G32" s="5">
        <f t="shared" si="4"/>
        <v>100000</v>
      </c>
      <c r="H32" s="5">
        <f>1932+870.46+612.13</f>
        <v>3414.59</v>
      </c>
      <c r="I32" s="5">
        <f t="shared" si="5"/>
        <v>122687.23</v>
      </c>
    </row>
    <row r="33" ht="15.75" customHeight="1">
      <c r="A33" s="6">
        <v>42030.0</v>
      </c>
      <c r="B33" s="5">
        <f t="shared" si="1"/>
        <v>32953.91</v>
      </c>
      <c r="C33" s="5">
        <f>13466.7+3127.8+5330.4+54.24</f>
        <v>21979.14</v>
      </c>
      <c r="D33" s="5">
        <f t="shared" si="2"/>
        <v>-15767.14</v>
      </c>
      <c r="E33" s="5">
        <f t="shared" si="3"/>
        <v>-156.68</v>
      </c>
      <c r="F33" s="5">
        <v>10000.0</v>
      </c>
      <c r="G33" s="5">
        <f t="shared" si="4"/>
        <v>110000</v>
      </c>
      <c r="H33" s="5">
        <v>6022.86</v>
      </c>
      <c r="I33" s="5">
        <f t="shared" si="5"/>
        <v>128710.09</v>
      </c>
    </row>
    <row r="34" ht="15.75" customHeight="1">
      <c r="A34" s="6">
        <v>42031.0</v>
      </c>
      <c r="B34" s="5">
        <f t="shared" si="1"/>
        <v>36931.05</v>
      </c>
      <c r="C34" s="5">
        <f>15400+6200+4384.6+61.02</f>
        <v>26045.62</v>
      </c>
      <c r="D34" s="5">
        <f t="shared" si="2"/>
        <v>-15677.8</v>
      </c>
      <c r="E34" s="5">
        <f t="shared" si="3"/>
        <v>89.34</v>
      </c>
      <c r="F34" s="5">
        <v>10000.0</v>
      </c>
      <c r="G34" s="5">
        <f t="shared" si="4"/>
        <v>120000</v>
      </c>
      <c r="H34" s="5">
        <v>6870.83</v>
      </c>
      <c r="I34" s="5">
        <f t="shared" si="5"/>
        <v>135580.92</v>
      </c>
    </row>
    <row r="35" ht="15.75" customHeight="1">
      <c r="A35" s="6">
        <v>42032.0</v>
      </c>
      <c r="B35" s="5">
        <f t="shared" si="1"/>
        <v>40060.22</v>
      </c>
      <c r="C35" s="5">
        <v>29146.43</v>
      </c>
      <c r="D35" s="5">
        <f t="shared" si="2"/>
        <v>-15706.16</v>
      </c>
      <c r="E35" s="5">
        <f t="shared" si="3"/>
        <v>-28.36</v>
      </c>
      <c r="F35" s="5">
        <v>10000.0</v>
      </c>
      <c r="G35" s="5">
        <f t="shared" si="4"/>
        <v>130000</v>
      </c>
      <c r="H35" s="5">
        <v>6042.06</v>
      </c>
      <c r="I35" s="5">
        <f t="shared" si="5"/>
        <v>141622.98</v>
      </c>
    </row>
    <row r="36" ht="15.75" customHeight="1">
      <c r="A36" s="6">
        <v>42033.0</v>
      </c>
      <c r="B36" s="5">
        <f t="shared" si="1"/>
        <v>44018.16</v>
      </c>
      <c r="C36" s="5">
        <v>33132.62</v>
      </c>
      <c r="D36" s="5">
        <f t="shared" si="2"/>
        <v>-15677.91</v>
      </c>
      <c r="E36" s="5">
        <f t="shared" si="3"/>
        <v>28.25</v>
      </c>
      <c r="F36" s="5"/>
      <c r="G36" s="5">
        <f t="shared" si="4"/>
        <v>130000</v>
      </c>
      <c r="H36" s="5">
        <v>5947.24</v>
      </c>
      <c r="I36" s="5">
        <f t="shared" si="5"/>
        <v>147570.22</v>
      </c>
    </row>
    <row r="37" ht="15.75" customHeight="1">
      <c r="A37" s="6">
        <v>42034.0</v>
      </c>
      <c r="B37" s="5">
        <f t="shared" si="1"/>
        <v>38070.92</v>
      </c>
      <c r="C37" s="5">
        <v>26876.33</v>
      </c>
      <c r="D37" s="5">
        <f t="shared" si="2"/>
        <v>-15986.96</v>
      </c>
      <c r="E37" s="5">
        <f t="shared" si="3"/>
        <v>-309.05</v>
      </c>
      <c r="F37" s="5">
        <v>10000.0</v>
      </c>
      <c r="G37" s="5">
        <f t="shared" si="4"/>
        <v>140000</v>
      </c>
      <c r="H37" s="5">
        <v>6324.38</v>
      </c>
      <c r="I37" s="5">
        <f t="shared" si="5"/>
        <v>153894.6</v>
      </c>
    </row>
    <row r="38" ht="15.75" customHeight="1">
      <c r="A38" s="6">
        <v>42035.0</v>
      </c>
      <c r="B38" s="5">
        <f t="shared" si="1"/>
        <v>41746.54</v>
      </c>
      <c r="C38" s="5">
        <v>30493.0</v>
      </c>
      <c r="D38" s="5">
        <f t="shared" si="2"/>
        <v>-16045.91</v>
      </c>
      <c r="E38" s="5">
        <f t="shared" si="3"/>
        <v>-58.95</v>
      </c>
      <c r="F38" s="5"/>
      <c r="G38" s="5">
        <f t="shared" si="4"/>
        <v>140000</v>
      </c>
      <c r="H38" s="5">
        <v>4880.65</v>
      </c>
      <c r="I38" s="5">
        <f t="shared" si="5"/>
        <v>158775.25</v>
      </c>
    </row>
    <row r="39" ht="15.75" customHeight="1">
      <c r="A39" s="6">
        <v>42036.0</v>
      </c>
      <c r="B39" s="5">
        <f t="shared" si="1"/>
        <v>36865.89</v>
      </c>
      <c r="C39" s="5">
        <f>16326.3+5236.36+4040+55.93</f>
        <v>25658.59</v>
      </c>
      <c r="D39" s="5">
        <f t="shared" si="2"/>
        <v>-15999.67</v>
      </c>
      <c r="E39" s="5">
        <f t="shared" si="3"/>
        <v>46.24</v>
      </c>
      <c r="F39" s="5"/>
      <c r="G39" s="5">
        <f t="shared" si="4"/>
        <v>140000</v>
      </c>
      <c r="H39" s="5">
        <f>3271+1472.26+1380.17</f>
        <v>6123.43</v>
      </c>
      <c r="I39" s="5">
        <f t="shared" si="5"/>
        <v>164898.68</v>
      </c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ht="15.75" customHeight="1">
      <c r="A43" s="5"/>
      <c r="B43" s="5"/>
      <c r="C43" s="5"/>
      <c r="D43" s="5"/>
      <c r="E43" s="5">
        <v>-1937.28</v>
      </c>
      <c r="F43" s="5">
        <v>160000.0</v>
      </c>
      <c r="G43" s="5"/>
      <c r="H43" s="5">
        <f>SUM(H8:H38)</f>
        <v>158775.25</v>
      </c>
      <c r="I43" s="7"/>
      <c r="J43" s="5" t="s">
        <v>13</v>
      </c>
      <c r="K43" s="5">
        <f>D46</f>
        <v>5121.782258</v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/>
    </row>
    <row r="45" ht="15.75" customHeight="1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/>
    </row>
    <row r="46" ht="15.75" customHeight="1">
      <c r="A46" s="5"/>
      <c r="B46" s="5" t="s">
        <v>17</v>
      </c>
      <c r="C46" s="5"/>
      <c r="D46" s="5">
        <f>AVERAGE(H8:H38)</f>
        <v>5121.782258</v>
      </c>
      <c r="E46" s="5"/>
      <c r="F46" s="5"/>
      <c r="G46" s="5"/>
      <c r="H46" s="5"/>
      <c r="I46" s="7"/>
      <c r="J46" s="5" t="s">
        <v>18</v>
      </c>
      <c r="K46" s="5"/>
    </row>
    <row r="47" ht="15.75" customHeight="1">
      <c r="J47" s="5" t="s">
        <v>19</v>
      </c>
      <c r="K47" s="5"/>
    </row>
    <row r="48" ht="15.75" customHeight="1">
      <c r="J48" s="5" t="s">
        <v>20</v>
      </c>
      <c r="K48" s="5"/>
    </row>
    <row r="49" ht="15.75" customHeight="1">
      <c r="J49" s="5" t="s">
        <v>21</v>
      </c>
      <c r="K49" s="5"/>
    </row>
    <row r="50" ht="15.75" customHeight="1">
      <c r="J50" s="5" t="s">
        <v>22</v>
      </c>
      <c r="K50" s="5"/>
    </row>
    <row r="51" ht="15.75" customHeight="1">
      <c r="J51" s="5" t="s">
        <v>23</v>
      </c>
      <c r="K51" s="5"/>
    </row>
    <row r="52" ht="15.75" customHeight="1">
      <c r="J52" s="5" t="s">
        <v>24</v>
      </c>
      <c r="K52" s="5"/>
    </row>
    <row r="53" ht="15.75" customHeight="1">
      <c r="J53" s="5" t="s">
        <v>25</v>
      </c>
      <c r="K53" s="5"/>
    </row>
    <row r="54" ht="15.75" customHeight="1">
      <c r="J54" s="5" t="s">
        <v>26</v>
      </c>
      <c r="K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.29"/>
    <col customWidth="1" min="3" max="3" width="9.71"/>
    <col customWidth="1" min="4" max="5" width="10.57"/>
    <col customWidth="1" min="6" max="6" width="9.71"/>
    <col customWidth="1" min="7" max="7" width="9.86"/>
    <col customWidth="1" min="8" max="8" width="10.71"/>
    <col customWidth="1" min="9" max="9" width="9.86"/>
    <col customWidth="1" min="10" max="26" width="8.71"/>
  </cols>
  <sheetData>
    <row r="1">
      <c r="A1" t="s">
        <v>0</v>
      </c>
    </row>
    <row r="2">
      <c r="A2" t="s">
        <v>1</v>
      </c>
    </row>
    <row r="3">
      <c r="A3" s="1">
        <v>42036.0</v>
      </c>
    </row>
    <row r="4">
      <c r="A4" s="2">
        <v>42036.0</v>
      </c>
      <c r="B4" s="3"/>
      <c r="C4" s="3"/>
      <c r="D4" s="3"/>
      <c r="E4" s="3"/>
      <c r="F4" s="3"/>
      <c r="G4" s="3"/>
      <c r="H4" s="3"/>
      <c r="I4" s="3"/>
    </row>
    <row r="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6">
        <v>42036.0</v>
      </c>
      <c r="B8" s="5">
        <v>36865.89</v>
      </c>
      <c r="C8" s="5">
        <v>25658.59</v>
      </c>
      <c r="D8" s="5">
        <v>-15999.67</v>
      </c>
      <c r="E8" s="5">
        <v>46.24</v>
      </c>
      <c r="F8" s="5"/>
      <c r="G8" s="5">
        <v>140000.0</v>
      </c>
      <c r="H8" s="5">
        <v>3843.45</v>
      </c>
      <c r="I8" s="5">
        <v>164898.68</v>
      </c>
    </row>
    <row r="9">
      <c r="A9" s="6">
        <v>42037.0</v>
      </c>
      <c r="B9" s="5">
        <f t="shared" ref="B9:B36" si="1">B8-H8+F8</f>
        <v>33022.44</v>
      </c>
      <c r="C9" s="5">
        <v>22037.73</v>
      </c>
      <c r="D9" s="5">
        <f t="shared" ref="D9:D36" si="2">D8+E9</f>
        <v>-15777.08</v>
      </c>
      <c r="E9" s="5">
        <f t="shared" ref="E9:E36" si="3">C9+H8-C8-F8</f>
        <v>222.59</v>
      </c>
      <c r="F9" s="5">
        <v>10000.0</v>
      </c>
      <c r="G9" s="5">
        <f t="shared" ref="G9:G36" si="4">G8+F9</f>
        <v>150000</v>
      </c>
      <c r="H9" s="5">
        <v>6123.17</v>
      </c>
      <c r="I9" s="5">
        <f t="shared" ref="I9:I36" si="5">I8++H9</f>
        <v>171021.85</v>
      </c>
    </row>
    <row r="10">
      <c r="A10" s="6">
        <v>42038.0</v>
      </c>
      <c r="B10" s="5">
        <f t="shared" si="1"/>
        <v>36899.27</v>
      </c>
      <c r="C10" s="5">
        <f>13444.4+6000+6445.5+55.93</f>
        <v>25945.83</v>
      </c>
      <c r="D10" s="5">
        <f t="shared" si="2"/>
        <v>-15745.81</v>
      </c>
      <c r="E10" s="5">
        <f t="shared" si="3"/>
        <v>31.27</v>
      </c>
      <c r="F10" s="5">
        <v>10000.0</v>
      </c>
      <c r="G10" s="5">
        <f t="shared" si="4"/>
        <v>160000</v>
      </c>
      <c r="H10" s="5">
        <v>6230.18</v>
      </c>
      <c r="I10" s="5">
        <f t="shared" si="5"/>
        <v>177252.03</v>
      </c>
    </row>
    <row r="11">
      <c r="A11" s="6">
        <v>42039.0</v>
      </c>
      <c r="B11" s="5">
        <f t="shared" si="1"/>
        <v>40669.09</v>
      </c>
      <c r="C11" s="5">
        <f>14466.7+7555.6+7321.7+55.93</f>
        <v>29399.93</v>
      </c>
      <c r="D11" s="5">
        <f t="shared" si="2"/>
        <v>-16061.53</v>
      </c>
      <c r="E11" s="5">
        <f t="shared" si="3"/>
        <v>-315.72</v>
      </c>
      <c r="F11" s="5">
        <v>10000.0</v>
      </c>
      <c r="G11" s="5">
        <f t="shared" si="4"/>
        <v>170000</v>
      </c>
      <c r="H11" s="5">
        <v>6190.34</v>
      </c>
      <c r="I11" s="5">
        <f t="shared" si="5"/>
        <v>183442.37</v>
      </c>
    </row>
    <row r="12">
      <c r="A12" s="6">
        <v>42040.0</v>
      </c>
      <c r="B12" s="5">
        <f t="shared" si="1"/>
        <v>44478.75</v>
      </c>
      <c r="C12" s="5">
        <v>33298.83</v>
      </c>
      <c r="D12" s="5">
        <f t="shared" si="2"/>
        <v>-15972.29</v>
      </c>
      <c r="E12" s="5">
        <f t="shared" si="3"/>
        <v>89.24</v>
      </c>
      <c r="F12" s="5">
        <v>10000.0</v>
      </c>
      <c r="G12" s="5">
        <f t="shared" si="4"/>
        <v>180000</v>
      </c>
      <c r="H12" s="5">
        <v>6383.33</v>
      </c>
      <c r="I12" s="5">
        <f t="shared" si="5"/>
        <v>189825.7</v>
      </c>
    </row>
    <row r="13">
      <c r="A13" s="6">
        <v>42041.0</v>
      </c>
      <c r="B13" s="5">
        <f t="shared" si="1"/>
        <v>48095.42</v>
      </c>
      <c r="C13" s="5">
        <v>36821.95</v>
      </c>
      <c r="D13" s="5">
        <f t="shared" si="2"/>
        <v>-16065.84</v>
      </c>
      <c r="E13" s="5">
        <f t="shared" si="3"/>
        <v>-93.55</v>
      </c>
      <c r="F13" s="6"/>
      <c r="G13" s="6">
        <f t="shared" si="4"/>
        <v>180000</v>
      </c>
      <c r="H13" s="5">
        <v>5951.71</v>
      </c>
      <c r="I13" s="5">
        <f t="shared" si="5"/>
        <v>195777.41</v>
      </c>
    </row>
    <row r="14">
      <c r="A14" s="6">
        <v>42042.0</v>
      </c>
      <c r="B14" s="6">
        <f t="shared" si="1"/>
        <v>42143.71</v>
      </c>
      <c r="C14" s="5">
        <f>16444.4+3829.4+10372.7+54.24</f>
        <v>30700.74</v>
      </c>
      <c r="D14" s="6">
        <f t="shared" si="2"/>
        <v>-16235.34</v>
      </c>
      <c r="E14" s="6">
        <f t="shared" si="3"/>
        <v>-169.5</v>
      </c>
      <c r="F14" s="6"/>
      <c r="G14" s="5">
        <f t="shared" si="4"/>
        <v>180000</v>
      </c>
      <c r="H14" s="5">
        <f>2170+1880.1+721.12</f>
        <v>4771.22</v>
      </c>
      <c r="I14" s="5">
        <f t="shared" si="5"/>
        <v>200548.63</v>
      </c>
    </row>
    <row r="15">
      <c r="A15" s="6">
        <v>42043.0</v>
      </c>
      <c r="B15" s="5">
        <f t="shared" si="1"/>
        <v>37372.49</v>
      </c>
      <c r="C15" s="5">
        <f>14500+1586.96+9648.3</f>
        <v>25735.26</v>
      </c>
      <c r="D15" s="5">
        <f t="shared" si="2"/>
        <v>-16429.6</v>
      </c>
      <c r="E15" s="6">
        <f t="shared" si="3"/>
        <v>-194.26</v>
      </c>
      <c r="F15" s="6"/>
      <c r="G15" s="6">
        <f t="shared" si="4"/>
        <v>180000</v>
      </c>
      <c r="H15" s="5">
        <f>1215+1701.57+1277.75</f>
        <v>4194.32</v>
      </c>
      <c r="I15" s="5">
        <f t="shared" si="5"/>
        <v>204742.95</v>
      </c>
    </row>
    <row r="16">
      <c r="A16" s="6">
        <v>42044.0</v>
      </c>
      <c r="B16" s="6">
        <f t="shared" si="1"/>
        <v>33178.17</v>
      </c>
      <c r="C16" s="5">
        <f>12666.67+294.12+54.24+8350</f>
        <v>21365.03</v>
      </c>
      <c r="D16" s="6">
        <f t="shared" si="2"/>
        <v>-16605.51</v>
      </c>
      <c r="E16" s="6">
        <f t="shared" si="3"/>
        <v>-175.91</v>
      </c>
      <c r="F16" s="5">
        <v>10000.0</v>
      </c>
      <c r="G16" s="6">
        <f t="shared" si="4"/>
        <v>190000</v>
      </c>
      <c r="H16" s="5">
        <v>6398.35</v>
      </c>
      <c r="I16" s="5">
        <f t="shared" si="5"/>
        <v>211141.3</v>
      </c>
    </row>
    <row r="17">
      <c r="A17" s="6">
        <v>42045.0</v>
      </c>
      <c r="B17" s="6">
        <f t="shared" si="1"/>
        <v>36779.82</v>
      </c>
      <c r="C17" s="5">
        <v>25054.29</v>
      </c>
      <c r="D17" s="6">
        <f t="shared" si="2"/>
        <v>-16517.9</v>
      </c>
      <c r="E17" s="5">
        <f t="shared" si="3"/>
        <v>87.61</v>
      </c>
      <c r="F17" s="5">
        <v>10000.0</v>
      </c>
      <c r="G17" s="6">
        <f t="shared" si="4"/>
        <v>200000</v>
      </c>
      <c r="H17" s="5">
        <v>6330.99</v>
      </c>
      <c r="I17" s="5">
        <f t="shared" si="5"/>
        <v>217472.29</v>
      </c>
    </row>
    <row r="18">
      <c r="A18" s="6">
        <v>42046.0</v>
      </c>
      <c r="B18" s="6">
        <f t="shared" si="1"/>
        <v>40448.83</v>
      </c>
      <c r="C18" s="5">
        <f>15252.6+5929.4+7576+54.24</f>
        <v>28812.24</v>
      </c>
      <c r="D18" s="6">
        <f t="shared" si="2"/>
        <v>-16428.96</v>
      </c>
      <c r="E18" s="5">
        <f t="shared" si="3"/>
        <v>88.94</v>
      </c>
      <c r="F18" s="5"/>
      <c r="G18" s="6">
        <f t="shared" si="4"/>
        <v>200000</v>
      </c>
      <c r="H18" s="5">
        <v>5630.2</v>
      </c>
      <c r="I18" s="5">
        <f t="shared" si="5"/>
        <v>223102.49</v>
      </c>
    </row>
    <row r="19">
      <c r="A19" s="6">
        <v>42047.0</v>
      </c>
      <c r="B19" s="6">
        <f t="shared" si="1"/>
        <v>34818.63</v>
      </c>
      <c r="C19" s="5">
        <v>23010.64</v>
      </c>
      <c r="D19" s="6">
        <f t="shared" si="2"/>
        <v>-16600.36</v>
      </c>
      <c r="E19" s="5">
        <f t="shared" si="3"/>
        <v>-171.4</v>
      </c>
      <c r="F19" s="5">
        <v>10000.0</v>
      </c>
      <c r="G19" s="6">
        <f t="shared" si="4"/>
        <v>210000</v>
      </c>
      <c r="H19" s="5">
        <v>5444.49</v>
      </c>
      <c r="I19" s="5">
        <f t="shared" si="5"/>
        <v>228546.98</v>
      </c>
    </row>
    <row r="20">
      <c r="A20" s="6">
        <v>42048.0</v>
      </c>
      <c r="B20" s="6">
        <f t="shared" si="1"/>
        <v>39374.14</v>
      </c>
      <c r="C20" s="5">
        <v>27782.04</v>
      </c>
      <c r="D20" s="6">
        <f t="shared" si="2"/>
        <v>-16384.47</v>
      </c>
      <c r="E20" s="5">
        <f t="shared" si="3"/>
        <v>215.89</v>
      </c>
      <c r="F20" s="5"/>
      <c r="G20" s="6">
        <f t="shared" si="4"/>
        <v>210000</v>
      </c>
      <c r="H20" s="5">
        <v>5576.61</v>
      </c>
      <c r="I20" s="5">
        <f t="shared" si="5"/>
        <v>234123.59</v>
      </c>
    </row>
    <row r="21" ht="15.75" customHeight="1">
      <c r="A21" s="6">
        <v>42049.0</v>
      </c>
      <c r="B21" s="6">
        <f t="shared" si="1"/>
        <v>33797.53</v>
      </c>
      <c r="C21" s="5">
        <v>21927.51</v>
      </c>
      <c r="D21" s="6">
        <f t="shared" si="2"/>
        <v>-16662.39</v>
      </c>
      <c r="E21" s="5">
        <f t="shared" si="3"/>
        <v>-277.92</v>
      </c>
      <c r="F21" s="5"/>
      <c r="G21" s="6">
        <f t="shared" si="4"/>
        <v>210000</v>
      </c>
      <c r="H21" s="5">
        <v>4610.61</v>
      </c>
      <c r="I21" s="5">
        <f t="shared" si="5"/>
        <v>238734.2</v>
      </c>
    </row>
    <row r="22" ht="15.75" customHeight="1">
      <c r="A22" s="6">
        <v>42050.0</v>
      </c>
      <c r="B22" s="6">
        <f t="shared" si="1"/>
        <v>29186.92</v>
      </c>
      <c r="C22" s="5">
        <v>17198.24</v>
      </c>
      <c r="D22" s="6">
        <f t="shared" si="2"/>
        <v>-16781.05</v>
      </c>
      <c r="E22" s="5">
        <f t="shared" si="3"/>
        <v>-118.66</v>
      </c>
      <c r="F22" s="5"/>
      <c r="G22" s="6">
        <f t="shared" si="4"/>
        <v>210000</v>
      </c>
      <c r="H22" s="5">
        <v>3874.84</v>
      </c>
      <c r="I22" s="5">
        <f t="shared" si="5"/>
        <v>242609.04</v>
      </c>
    </row>
    <row r="23" ht="15.75" customHeight="1">
      <c r="A23" s="6">
        <v>42051.0</v>
      </c>
      <c r="B23" s="6">
        <f t="shared" si="1"/>
        <v>25312.08</v>
      </c>
      <c r="C23" s="5">
        <v>13230.93</v>
      </c>
      <c r="D23" s="6">
        <f t="shared" si="2"/>
        <v>-16873.52</v>
      </c>
      <c r="E23" s="5">
        <f t="shared" si="3"/>
        <v>-92.47</v>
      </c>
      <c r="F23" s="5"/>
      <c r="G23" s="6">
        <f t="shared" si="4"/>
        <v>210000</v>
      </c>
      <c r="H23" s="5">
        <v>6544.15</v>
      </c>
      <c r="I23" s="5">
        <f t="shared" si="5"/>
        <v>249153.19</v>
      </c>
    </row>
    <row r="24" ht="15.75" customHeight="1">
      <c r="A24" s="6">
        <v>42052.0</v>
      </c>
      <c r="B24" s="6">
        <f t="shared" si="1"/>
        <v>18767.93</v>
      </c>
      <c r="C24" s="5">
        <v>6732.99</v>
      </c>
      <c r="D24" s="6">
        <f t="shared" si="2"/>
        <v>-16827.31</v>
      </c>
      <c r="E24" s="5">
        <f t="shared" si="3"/>
        <v>46.21</v>
      </c>
      <c r="F24" s="5">
        <v>10000.0</v>
      </c>
      <c r="G24" s="6">
        <f t="shared" si="4"/>
        <v>220000</v>
      </c>
      <c r="H24" s="5">
        <v>5894.63</v>
      </c>
      <c r="I24" s="5">
        <f t="shared" si="5"/>
        <v>255047.82</v>
      </c>
    </row>
    <row r="25" ht="15.75" customHeight="1">
      <c r="A25" s="6">
        <v>42053.0</v>
      </c>
      <c r="B25" s="6">
        <f t="shared" si="1"/>
        <v>22873.3</v>
      </c>
      <c r="C25" s="5">
        <v>10999.24</v>
      </c>
      <c r="D25" s="6">
        <f t="shared" si="2"/>
        <v>-16666.43</v>
      </c>
      <c r="E25" s="5">
        <f t="shared" si="3"/>
        <v>160.88</v>
      </c>
      <c r="F25" s="5">
        <v>10000.0</v>
      </c>
      <c r="G25" s="6">
        <f t="shared" si="4"/>
        <v>230000</v>
      </c>
      <c r="H25" s="5">
        <v>6890.03</v>
      </c>
      <c r="I25" s="5">
        <f t="shared" si="5"/>
        <v>261937.85</v>
      </c>
    </row>
    <row r="26" ht="15.75" customHeight="1">
      <c r="A26" s="6">
        <v>42054.0</v>
      </c>
      <c r="B26" s="6">
        <f t="shared" si="1"/>
        <v>25983.27</v>
      </c>
      <c r="C26" s="5">
        <v>13834.83</v>
      </c>
      <c r="D26" s="6">
        <f t="shared" si="2"/>
        <v>-16940.81</v>
      </c>
      <c r="E26" s="5">
        <f t="shared" si="3"/>
        <v>-274.38</v>
      </c>
      <c r="F26" s="5">
        <v>10000.0</v>
      </c>
      <c r="G26" s="6">
        <f t="shared" si="4"/>
        <v>240000</v>
      </c>
      <c r="H26" s="5">
        <v>6369.3</v>
      </c>
      <c r="I26" s="5">
        <f t="shared" si="5"/>
        <v>268307.15</v>
      </c>
    </row>
    <row r="27" ht="15.75" customHeight="1">
      <c r="A27" s="6">
        <v>42055.0</v>
      </c>
      <c r="B27" s="6">
        <f t="shared" si="1"/>
        <v>29613.97</v>
      </c>
      <c r="C27" s="5">
        <v>17305.93</v>
      </c>
      <c r="D27" s="6">
        <f t="shared" si="2"/>
        <v>-17100.41</v>
      </c>
      <c r="E27" s="5">
        <f t="shared" si="3"/>
        <v>-159.6</v>
      </c>
      <c r="F27" s="5">
        <v>10000.0</v>
      </c>
      <c r="G27" s="6">
        <f t="shared" si="4"/>
        <v>250000</v>
      </c>
      <c r="H27" s="5">
        <v>5522.73</v>
      </c>
      <c r="I27" s="5">
        <f t="shared" si="5"/>
        <v>273829.88</v>
      </c>
    </row>
    <row r="28" ht="15.75" customHeight="1">
      <c r="A28" s="6">
        <v>42056.0</v>
      </c>
      <c r="B28" s="6">
        <f t="shared" si="1"/>
        <v>34091.24</v>
      </c>
      <c r="C28" s="5">
        <f>11400+7046.67+3345.45+55.93</f>
        <v>21848.05</v>
      </c>
      <c r="D28" s="6">
        <f t="shared" si="2"/>
        <v>-17035.56</v>
      </c>
      <c r="E28" s="5">
        <f t="shared" si="3"/>
        <v>64.85</v>
      </c>
      <c r="F28" s="5"/>
      <c r="G28" s="6">
        <f t="shared" si="4"/>
        <v>250000</v>
      </c>
      <c r="H28" s="5">
        <v>4850.0</v>
      </c>
      <c r="I28" s="5">
        <f t="shared" si="5"/>
        <v>278679.88</v>
      </c>
    </row>
    <row r="29" ht="15.75" customHeight="1">
      <c r="A29" s="6">
        <v>42057.0</v>
      </c>
      <c r="B29" s="6">
        <f t="shared" si="1"/>
        <v>29241.24</v>
      </c>
      <c r="C29" s="5">
        <v>16726.43</v>
      </c>
      <c r="D29" s="6">
        <f t="shared" si="2"/>
        <v>-17307.18</v>
      </c>
      <c r="E29" s="5">
        <f t="shared" si="3"/>
        <v>-271.62</v>
      </c>
      <c r="F29" s="5"/>
      <c r="G29" s="6">
        <f t="shared" si="4"/>
        <v>250000</v>
      </c>
      <c r="H29" s="5">
        <f>2421+1718+263</f>
        <v>4402</v>
      </c>
      <c r="I29" s="5">
        <f t="shared" si="5"/>
        <v>283081.88</v>
      </c>
    </row>
    <row r="30" ht="15.75" customHeight="1">
      <c r="A30" s="6">
        <v>42058.0</v>
      </c>
      <c r="B30" s="6">
        <f t="shared" si="1"/>
        <v>24839.24</v>
      </c>
      <c r="C30" s="5">
        <f>8066.7+2085+2034.48+54.24</f>
        <v>12240.42</v>
      </c>
      <c r="D30" s="6">
        <f t="shared" si="2"/>
        <v>-17391.19</v>
      </c>
      <c r="E30" s="5">
        <f t="shared" si="3"/>
        <v>-84.01</v>
      </c>
      <c r="F30" s="5">
        <v>10000.0</v>
      </c>
      <c r="G30" s="6">
        <f t="shared" si="4"/>
        <v>260000</v>
      </c>
      <c r="H30" s="5">
        <v>6265.32</v>
      </c>
      <c r="I30" s="5">
        <f t="shared" si="5"/>
        <v>289347.2</v>
      </c>
    </row>
    <row r="31" ht="15.75" customHeight="1">
      <c r="A31" s="6">
        <v>42059.0</v>
      </c>
      <c r="B31" s="6">
        <f t="shared" si="1"/>
        <v>28573.92</v>
      </c>
      <c r="C31" s="5">
        <v>15830.03</v>
      </c>
      <c r="D31" s="6">
        <f t="shared" si="2"/>
        <v>-17536.26</v>
      </c>
      <c r="E31" s="5">
        <f t="shared" si="3"/>
        <v>-145.07</v>
      </c>
      <c r="F31" s="5">
        <v>10000.0</v>
      </c>
      <c r="G31" s="6">
        <f t="shared" si="4"/>
        <v>270000</v>
      </c>
      <c r="H31" s="5">
        <v>6673.09</v>
      </c>
      <c r="I31" s="5">
        <f t="shared" si="5"/>
        <v>296020.29</v>
      </c>
    </row>
    <row r="32" ht="15.75" customHeight="1">
      <c r="A32" s="6">
        <v>42060.0</v>
      </c>
      <c r="B32" s="6">
        <f t="shared" si="1"/>
        <v>31900.83</v>
      </c>
      <c r="C32" s="5">
        <v>19237.33</v>
      </c>
      <c r="D32" s="6">
        <f t="shared" si="2"/>
        <v>-17455.87</v>
      </c>
      <c r="E32" s="5">
        <f t="shared" si="3"/>
        <v>80.39</v>
      </c>
      <c r="F32" s="5">
        <v>10000.0</v>
      </c>
      <c r="G32" s="6">
        <f t="shared" si="4"/>
        <v>280000</v>
      </c>
      <c r="H32" s="5">
        <v>6408.26</v>
      </c>
      <c r="I32" s="5">
        <f t="shared" si="5"/>
        <v>302428.55</v>
      </c>
    </row>
    <row r="33" ht="15.75" customHeight="1">
      <c r="A33" s="6">
        <v>42061.0</v>
      </c>
      <c r="B33" s="6">
        <f t="shared" si="1"/>
        <v>35492.57</v>
      </c>
      <c r="C33" s="5">
        <v>22873.29</v>
      </c>
      <c r="D33" s="6">
        <f t="shared" si="2"/>
        <v>-17411.65</v>
      </c>
      <c r="E33" s="5">
        <f t="shared" si="3"/>
        <v>44.22</v>
      </c>
      <c r="F33" s="5"/>
      <c r="G33" s="6">
        <f t="shared" si="4"/>
        <v>280000</v>
      </c>
      <c r="H33" s="5">
        <v>5865.28</v>
      </c>
      <c r="I33" s="5">
        <f t="shared" si="5"/>
        <v>308293.83</v>
      </c>
    </row>
    <row r="34" ht="15.75" customHeight="1">
      <c r="A34" s="6">
        <v>42062.0</v>
      </c>
      <c r="B34" s="6">
        <f t="shared" si="1"/>
        <v>29627.29</v>
      </c>
      <c r="C34" s="5">
        <v>16746.63</v>
      </c>
      <c r="D34" s="6">
        <f t="shared" si="2"/>
        <v>-17673.03</v>
      </c>
      <c r="E34" s="5">
        <f t="shared" si="3"/>
        <v>-261.38</v>
      </c>
      <c r="F34" s="5">
        <v>10000.0</v>
      </c>
      <c r="G34" s="6">
        <f t="shared" si="4"/>
        <v>290000</v>
      </c>
      <c r="H34" s="5">
        <v>6138.99</v>
      </c>
      <c r="I34" s="5">
        <f t="shared" si="5"/>
        <v>314432.82</v>
      </c>
    </row>
    <row r="35" ht="15.75" customHeight="1">
      <c r="A35" s="6">
        <v>42063.0</v>
      </c>
      <c r="B35" s="6">
        <f t="shared" si="1"/>
        <v>33488.3</v>
      </c>
      <c r="C35" s="5">
        <v>20702.1</v>
      </c>
      <c r="D35" s="6">
        <f t="shared" si="2"/>
        <v>-17578.57</v>
      </c>
      <c r="E35" s="5">
        <f t="shared" si="3"/>
        <v>94.46</v>
      </c>
      <c r="F35" s="6"/>
      <c r="G35" s="5">
        <f t="shared" si="4"/>
        <v>290000</v>
      </c>
      <c r="H35" s="5">
        <v>4891.28</v>
      </c>
      <c r="I35" s="5">
        <f t="shared" si="5"/>
        <v>319324.1</v>
      </c>
    </row>
    <row r="36" ht="15.75" customHeight="1">
      <c r="A36" s="6">
        <v>42064.0</v>
      </c>
      <c r="B36" s="5">
        <f t="shared" si="1"/>
        <v>28597.02</v>
      </c>
      <c r="C36" s="5">
        <v>15631.9</v>
      </c>
      <c r="D36" s="5">
        <f t="shared" si="2"/>
        <v>-17757.49</v>
      </c>
      <c r="E36" s="6">
        <f t="shared" si="3"/>
        <v>-178.92</v>
      </c>
      <c r="F36" s="6"/>
      <c r="G36" s="6">
        <f t="shared" si="4"/>
        <v>290000</v>
      </c>
      <c r="H36" s="5">
        <v>4161.81</v>
      </c>
      <c r="I36" s="5">
        <f t="shared" si="5"/>
        <v>323485.91</v>
      </c>
    </row>
    <row r="37" ht="15.75" customHeight="1">
      <c r="A37" s="6"/>
      <c r="B37" s="6"/>
      <c r="C37" s="6"/>
      <c r="D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5">
        <f>SUM(E8:E36)</f>
        <v>-1711.58</v>
      </c>
      <c r="F38" s="6"/>
      <c r="G38" s="6"/>
      <c r="H38" s="6"/>
      <c r="I38" s="6"/>
    </row>
    <row r="39" ht="15.75" customHeight="1">
      <c r="A39" s="6"/>
      <c r="B39" s="6"/>
      <c r="C39" s="6"/>
      <c r="D39" s="6"/>
      <c r="E39" s="5"/>
      <c r="F39" s="6"/>
      <c r="G39" s="6"/>
      <c r="H39" s="6"/>
      <c r="I39" s="6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ht="15.75" customHeight="1">
      <c r="A43" s="5"/>
      <c r="B43" s="5"/>
      <c r="C43" s="5"/>
      <c r="D43" s="5"/>
      <c r="E43" s="5"/>
      <c r="F43" s="5">
        <v>160000.0</v>
      </c>
      <c r="G43" s="5"/>
      <c r="H43" s="5">
        <f>SUM(H8:H38)</f>
        <v>162430.68</v>
      </c>
      <c r="I43" s="7"/>
      <c r="J43" s="5" t="s">
        <v>13</v>
      </c>
      <c r="K43" s="5">
        <f>5121.782</f>
        <v>5121.782</v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f>D46</f>
        <v>5601.057931</v>
      </c>
    </row>
    <row r="45" ht="15.75" customHeight="1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/>
    </row>
    <row r="46" ht="15.75" customHeight="1">
      <c r="A46" s="5"/>
      <c r="B46" s="5" t="s">
        <v>17</v>
      </c>
      <c r="C46" s="5"/>
      <c r="D46" s="5">
        <f>AVERAGE(H8:H38)</f>
        <v>5601.057931</v>
      </c>
      <c r="E46" s="5"/>
      <c r="F46" s="5"/>
      <c r="G46" s="5"/>
      <c r="H46" s="5"/>
      <c r="I46" s="7"/>
      <c r="J46" s="5" t="s">
        <v>18</v>
      </c>
      <c r="K46" s="5"/>
    </row>
    <row r="47" ht="15.75" customHeight="1">
      <c r="J47" s="5" t="s">
        <v>19</v>
      </c>
      <c r="K47" s="5"/>
    </row>
    <row r="48" ht="15.75" customHeight="1">
      <c r="J48" s="5" t="s">
        <v>20</v>
      </c>
      <c r="K48" s="5"/>
    </row>
    <row r="49" ht="15.75" customHeight="1">
      <c r="J49" s="5" t="s">
        <v>21</v>
      </c>
      <c r="K49" s="5"/>
    </row>
    <row r="50" ht="15.75" customHeight="1">
      <c r="J50" s="5" t="s">
        <v>22</v>
      </c>
      <c r="K50" s="5"/>
    </row>
    <row r="51" ht="15.75" customHeight="1">
      <c r="J51" s="5" t="s">
        <v>23</v>
      </c>
      <c r="K51" s="5"/>
    </row>
    <row r="52" ht="15.75" customHeight="1">
      <c r="J52" s="5" t="s">
        <v>24</v>
      </c>
      <c r="K52" s="5"/>
    </row>
    <row r="53" ht="15.75" customHeight="1">
      <c r="J53" s="5" t="s">
        <v>25</v>
      </c>
      <c r="K53" s="5"/>
    </row>
    <row r="54" ht="15.75" customHeight="1">
      <c r="J54" s="5" t="s">
        <v>26</v>
      </c>
      <c r="K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.29"/>
    <col customWidth="1" min="3" max="3" width="10.43"/>
    <col customWidth="1" min="4" max="5" width="10.57"/>
    <col customWidth="1" min="6" max="6" width="9.71"/>
    <col customWidth="1" min="7" max="7" width="9.86"/>
    <col customWidth="1" min="8" max="8" width="10.71"/>
    <col customWidth="1" min="9" max="9" width="9.86"/>
    <col customWidth="1" min="10" max="26" width="8.71"/>
  </cols>
  <sheetData>
    <row r="1">
      <c r="A1" t="s">
        <v>0</v>
      </c>
    </row>
    <row r="2">
      <c r="A2" t="s">
        <v>1</v>
      </c>
    </row>
    <row r="3">
      <c r="A3" s="1">
        <v>42064.0</v>
      </c>
    </row>
    <row r="4">
      <c r="A4" s="2">
        <v>42064.0</v>
      </c>
      <c r="B4" s="3"/>
      <c r="C4" s="3"/>
      <c r="D4" s="3"/>
      <c r="E4" s="3"/>
      <c r="F4" s="3"/>
      <c r="G4" s="3"/>
      <c r="H4" s="3"/>
      <c r="I4" s="3"/>
    </row>
    <row r="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6">
        <v>42064.0</v>
      </c>
      <c r="B8" s="5">
        <v>28597.02</v>
      </c>
      <c r="C8" s="5">
        <v>15631.9</v>
      </c>
      <c r="D8" s="5">
        <v>-17757.49</v>
      </c>
      <c r="E8" s="5">
        <v>-178.92</v>
      </c>
      <c r="F8" s="5"/>
      <c r="G8" s="5">
        <v>290000.0</v>
      </c>
      <c r="H8" s="5">
        <v>4161.81</v>
      </c>
      <c r="I8" s="5">
        <v>323485.91</v>
      </c>
    </row>
    <row r="9">
      <c r="A9" s="6">
        <v>42065.0</v>
      </c>
      <c r="B9" s="5">
        <f t="shared" ref="B9:B39" si="1">B8-H8+F8</f>
        <v>24435.21</v>
      </c>
      <c r="C9" s="5">
        <v>11392.9</v>
      </c>
      <c r="D9" s="5">
        <f t="shared" ref="D9:D39" si="2">D8+E9</f>
        <v>-17834.68</v>
      </c>
      <c r="E9" s="5">
        <f t="shared" ref="E9:E39" si="3">C9+H8-C8-F8</f>
        <v>-77.19</v>
      </c>
      <c r="F9" s="5">
        <v>10000.0</v>
      </c>
      <c r="G9" s="5">
        <f t="shared" ref="G9:G39" si="4">G8+F9</f>
        <v>300000</v>
      </c>
      <c r="H9" s="5">
        <v>5870.9</v>
      </c>
      <c r="I9" s="5">
        <f t="shared" ref="I9:I39" si="5">I8++H9</f>
        <v>329356.81</v>
      </c>
    </row>
    <row r="10">
      <c r="A10" s="6">
        <v>42066.0</v>
      </c>
      <c r="B10" s="5">
        <f t="shared" si="1"/>
        <v>28564.31</v>
      </c>
      <c r="C10" s="5">
        <v>15533.17</v>
      </c>
      <c r="D10" s="5">
        <f t="shared" si="2"/>
        <v>-17823.51</v>
      </c>
      <c r="E10" s="5">
        <f t="shared" si="3"/>
        <v>11.17</v>
      </c>
      <c r="F10" s="5">
        <v>10000.0</v>
      </c>
      <c r="G10" s="5">
        <f t="shared" si="4"/>
        <v>310000</v>
      </c>
      <c r="H10" s="5">
        <v>7548.27</v>
      </c>
      <c r="I10" s="5">
        <f t="shared" si="5"/>
        <v>336905.08</v>
      </c>
    </row>
    <row r="11">
      <c r="A11" s="6">
        <v>42067.0</v>
      </c>
      <c r="B11" s="5">
        <f t="shared" si="1"/>
        <v>31016.04</v>
      </c>
      <c r="C11" s="5">
        <v>17758.11</v>
      </c>
      <c r="D11" s="5">
        <f t="shared" si="2"/>
        <v>-18050.3</v>
      </c>
      <c r="E11" s="5">
        <f t="shared" si="3"/>
        <v>-226.79</v>
      </c>
      <c r="F11" s="5">
        <v>10000.0</v>
      </c>
      <c r="G11" s="5">
        <f t="shared" si="4"/>
        <v>320000</v>
      </c>
      <c r="H11" s="5">
        <v>6504.96</v>
      </c>
      <c r="I11" s="5">
        <f t="shared" si="5"/>
        <v>343410.04</v>
      </c>
    </row>
    <row r="12">
      <c r="A12" s="6">
        <v>42068.0</v>
      </c>
      <c r="B12" s="5">
        <f t="shared" si="1"/>
        <v>34511.08</v>
      </c>
      <c r="C12" s="5">
        <v>21303.44</v>
      </c>
      <c r="D12" s="5">
        <f t="shared" si="2"/>
        <v>-18000.01</v>
      </c>
      <c r="E12" s="5">
        <f t="shared" si="3"/>
        <v>50.29</v>
      </c>
      <c r="F12" s="5">
        <v>10000.0</v>
      </c>
      <c r="G12" s="5">
        <f t="shared" si="4"/>
        <v>330000</v>
      </c>
      <c r="H12" s="5">
        <v>5530.04</v>
      </c>
      <c r="I12" s="5">
        <f t="shared" si="5"/>
        <v>348940.08</v>
      </c>
    </row>
    <row r="13">
      <c r="A13" s="6">
        <v>42069.0</v>
      </c>
      <c r="B13" s="5">
        <f t="shared" si="1"/>
        <v>38981.04</v>
      </c>
      <c r="C13" s="5">
        <v>25754.19</v>
      </c>
      <c r="D13" s="5">
        <f t="shared" si="2"/>
        <v>-18019.22</v>
      </c>
      <c r="E13" s="5">
        <f t="shared" si="3"/>
        <v>-19.21</v>
      </c>
      <c r="F13" s="5">
        <v>10000.0</v>
      </c>
      <c r="G13" s="5">
        <f t="shared" si="4"/>
        <v>340000</v>
      </c>
      <c r="H13" s="5">
        <v>6695.37</v>
      </c>
      <c r="I13" s="5">
        <f t="shared" si="5"/>
        <v>355635.45</v>
      </c>
    </row>
    <row r="14">
      <c r="A14" s="6">
        <v>42070.0</v>
      </c>
      <c r="B14" s="5">
        <f t="shared" si="1"/>
        <v>42285.67</v>
      </c>
      <c r="C14" s="5">
        <v>29150.21</v>
      </c>
      <c r="D14" s="5">
        <f t="shared" si="2"/>
        <v>-17927.83</v>
      </c>
      <c r="E14" s="5">
        <f t="shared" si="3"/>
        <v>91.39</v>
      </c>
      <c r="F14" s="5"/>
      <c r="G14" s="5">
        <f t="shared" si="4"/>
        <v>340000</v>
      </c>
      <c r="H14" s="5">
        <v>5533.69</v>
      </c>
      <c r="I14" s="5">
        <f t="shared" si="5"/>
        <v>361169.14</v>
      </c>
    </row>
    <row r="15">
      <c r="A15" s="6">
        <v>42071.0</v>
      </c>
      <c r="B15" s="5">
        <f t="shared" si="1"/>
        <v>36751.98</v>
      </c>
      <c r="C15" s="5">
        <v>23356.74</v>
      </c>
      <c r="D15" s="5">
        <f t="shared" si="2"/>
        <v>-18187.61</v>
      </c>
      <c r="E15" s="5">
        <f t="shared" si="3"/>
        <v>-259.78</v>
      </c>
      <c r="F15" s="5"/>
      <c r="G15" s="5">
        <f t="shared" si="4"/>
        <v>340000</v>
      </c>
      <c r="H15" s="5">
        <v>4078.95</v>
      </c>
      <c r="I15" s="5">
        <f t="shared" si="5"/>
        <v>365248.09</v>
      </c>
    </row>
    <row r="16">
      <c r="A16" s="6">
        <v>42072.0</v>
      </c>
      <c r="B16" s="5">
        <f t="shared" si="1"/>
        <v>32673.03</v>
      </c>
      <c r="C16" s="5">
        <v>19125.95</v>
      </c>
      <c r="D16" s="5">
        <f t="shared" si="2"/>
        <v>-18339.45</v>
      </c>
      <c r="E16" s="5">
        <f t="shared" si="3"/>
        <v>-151.84</v>
      </c>
      <c r="F16" s="5"/>
      <c r="G16" s="5">
        <f t="shared" si="4"/>
        <v>340000</v>
      </c>
      <c r="H16" s="5">
        <v>4896.66</v>
      </c>
      <c r="I16" s="5">
        <f t="shared" si="5"/>
        <v>370144.75</v>
      </c>
    </row>
    <row r="17">
      <c r="A17" s="6">
        <v>42073.0</v>
      </c>
      <c r="B17" s="5">
        <f t="shared" si="1"/>
        <v>27776.37</v>
      </c>
      <c r="C17" s="5">
        <v>14097.5</v>
      </c>
      <c r="D17" s="5">
        <f t="shared" si="2"/>
        <v>-18471.24</v>
      </c>
      <c r="E17" s="5">
        <f t="shared" si="3"/>
        <v>-131.79</v>
      </c>
      <c r="F17" s="5">
        <v>20000.0</v>
      </c>
      <c r="G17" s="5">
        <f t="shared" si="4"/>
        <v>360000</v>
      </c>
      <c r="H17" s="5">
        <v>6540.66</v>
      </c>
      <c r="I17" s="5">
        <f t="shared" si="5"/>
        <v>376685.41</v>
      </c>
    </row>
    <row r="18">
      <c r="A18" s="6">
        <v>42074.0</v>
      </c>
      <c r="B18" s="5">
        <f t="shared" si="1"/>
        <v>41235.71</v>
      </c>
      <c r="C18" s="5">
        <v>27678.33</v>
      </c>
      <c r="D18" s="5">
        <f t="shared" si="2"/>
        <v>-18349.75</v>
      </c>
      <c r="E18" s="5">
        <f t="shared" si="3"/>
        <v>121.49</v>
      </c>
      <c r="F18" s="5">
        <v>10000.0</v>
      </c>
      <c r="G18" s="5">
        <f t="shared" si="4"/>
        <v>370000</v>
      </c>
      <c r="H18" s="5">
        <v>6386.48</v>
      </c>
      <c r="I18" s="5">
        <f t="shared" si="5"/>
        <v>383071.89</v>
      </c>
    </row>
    <row r="19">
      <c r="A19" s="6">
        <v>42075.0</v>
      </c>
      <c r="B19" s="5">
        <f t="shared" si="1"/>
        <v>44849.23</v>
      </c>
      <c r="C19" s="5">
        <v>31370.23</v>
      </c>
      <c r="D19" s="5">
        <f t="shared" si="2"/>
        <v>-18271.37</v>
      </c>
      <c r="E19" s="5">
        <f t="shared" si="3"/>
        <v>78.38</v>
      </c>
      <c r="F19" s="5">
        <v>10000.0</v>
      </c>
      <c r="G19" s="5">
        <f t="shared" si="4"/>
        <v>380000</v>
      </c>
      <c r="H19" s="5">
        <v>6214.94</v>
      </c>
      <c r="I19" s="5">
        <f t="shared" si="5"/>
        <v>389286.83</v>
      </c>
    </row>
    <row r="20">
      <c r="A20" s="6">
        <v>42076.0</v>
      </c>
      <c r="B20" s="5">
        <f t="shared" si="1"/>
        <v>48634.29</v>
      </c>
      <c r="C20" s="5">
        <v>35045.03</v>
      </c>
      <c r="D20" s="5">
        <f t="shared" si="2"/>
        <v>-18381.63</v>
      </c>
      <c r="E20" s="5">
        <f t="shared" si="3"/>
        <v>-110.26</v>
      </c>
      <c r="F20" s="5"/>
      <c r="G20" s="5">
        <f t="shared" si="4"/>
        <v>380000</v>
      </c>
      <c r="H20" s="5">
        <v>5496.51</v>
      </c>
      <c r="I20" s="5">
        <f t="shared" si="5"/>
        <v>394783.34</v>
      </c>
    </row>
    <row r="21" ht="15.75" customHeight="1">
      <c r="A21" s="6">
        <v>42077.0</v>
      </c>
      <c r="B21" s="5">
        <f t="shared" si="1"/>
        <v>43137.78</v>
      </c>
      <c r="C21" s="5">
        <v>29345.93</v>
      </c>
      <c r="D21" s="5">
        <f t="shared" si="2"/>
        <v>-18584.22</v>
      </c>
      <c r="E21" s="5">
        <f t="shared" si="3"/>
        <v>-202.59</v>
      </c>
      <c r="F21" s="5"/>
      <c r="G21" s="5">
        <f t="shared" si="4"/>
        <v>380000</v>
      </c>
      <c r="H21" s="5">
        <v>4770.85</v>
      </c>
      <c r="I21" s="5">
        <f t="shared" si="5"/>
        <v>399554.19</v>
      </c>
    </row>
    <row r="22" ht="15.75" customHeight="1">
      <c r="A22" s="6">
        <v>42078.0</v>
      </c>
      <c r="B22" s="5">
        <f t="shared" si="1"/>
        <v>38366.93</v>
      </c>
      <c r="C22" s="5">
        <f>14684.2+1580+8043.5+54.24</f>
        <v>24361.94</v>
      </c>
      <c r="D22" s="5">
        <f t="shared" si="2"/>
        <v>-18797.36</v>
      </c>
      <c r="E22" s="5">
        <f t="shared" si="3"/>
        <v>-213.14</v>
      </c>
      <c r="F22" s="5"/>
      <c r="G22" s="5">
        <f t="shared" si="4"/>
        <v>380000</v>
      </c>
      <c r="H22" s="5">
        <v>3559.09</v>
      </c>
      <c r="I22" s="5">
        <f t="shared" si="5"/>
        <v>403113.28</v>
      </c>
    </row>
    <row r="23" ht="15.75" customHeight="1">
      <c r="A23" s="6">
        <v>42079.0</v>
      </c>
      <c r="B23" s="5">
        <f t="shared" si="1"/>
        <v>34807.84</v>
      </c>
      <c r="C23" s="5">
        <v>20683.33</v>
      </c>
      <c r="D23" s="5">
        <f t="shared" si="2"/>
        <v>-18916.88</v>
      </c>
      <c r="E23" s="5">
        <f t="shared" si="3"/>
        <v>-119.52</v>
      </c>
      <c r="F23" s="5">
        <v>10000.0</v>
      </c>
      <c r="G23" s="5">
        <f t="shared" si="4"/>
        <v>390000</v>
      </c>
      <c r="H23" s="5">
        <v>5660.69</v>
      </c>
      <c r="I23" s="5">
        <f t="shared" si="5"/>
        <v>408773.97</v>
      </c>
    </row>
    <row r="24" ht="15.75" customHeight="1">
      <c r="A24" s="6">
        <v>42080.0</v>
      </c>
      <c r="B24" s="5">
        <f t="shared" si="1"/>
        <v>39147.15</v>
      </c>
      <c r="C24" s="5">
        <v>25190.9</v>
      </c>
      <c r="D24" s="5">
        <f t="shared" si="2"/>
        <v>-18748.62</v>
      </c>
      <c r="E24" s="5">
        <f t="shared" si="3"/>
        <v>168.26</v>
      </c>
      <c r="F24" s="5">
        <v>10000.0</v>
      </c>
      <c r="G24" s="5">
        <f t="shared" si="4"/>
        <v>400000</v>
      </c>
      <c r="H24" s="5">
        <f>3555+2175.23+1170.55</f>
        <v>6900.78</v>
      </c>
      <c r="I24" s="5">
        <f t="shared" si="5"/>
        <v>415674.75</v>
      </c>
    </row>
    <row r="25" ht="15.75" customHeight="1">
      <c r="A25" s="6">
        <v>42081.0</v>
      </c>
      <c r="B25" s="5">
        <f t="shared" si="1"/>
        <v>42246.37</v>
      </c>
      <c r="C25" s="5">
        <f>16157.9+7750+4400+55.93</f>
        <v>28363.83</v>
      </c>
      <c r="D25" s="5">
        <f t="shared" si="2"/>
        <v>-18674.91</v>
      </c>
      <c r="E25" s="5">
        <f t="shared" si="3"/>
        <v>73.71</v>
      </c>
      <c r="F25" s="5">
        <v>10000.0</v>
      </c>
      <c r="G25" s="5">
        <f t="shared" si="4"/>
        <v>410000</v>
      </c>
      <c r="H25" s="5">
        <v>6591.93</v>
      </c>
      <c r="I25" s="5">
        <f t="shared" si="5"/>
        <v>422266.68</v>
      </c>
    </row>
    <row r="26" ht="15.75" customHeight="1">
      <c r="A26" s="6">
        <v>42082.0</v>
      </c>
      <c r="B26" s="5">
        <f t="shared" si="1"/>
        <v>45654.44</v>
      </c>
      <c r="C26" s="5">
        <v>31663.29</v>
      </c>
      <c r="D26" s="5">
        <f t="shared" si="2"/>
        <v>-18783.52</v>
      </c>
      <c r="E26" s="5">
        <f t="shared" si="3"/>
        <v>-108.61</v>
      </c>
      <c r="F26" s="5"/>
      <c r="G26" s="5">
        <f t="shared" si="4"/>
        <v>410000</v>
      </c>
      <c r="H26" s="5">
        <v>6449.5</v>
      </c>
      <c r="I26" s="5">
        <f t="shared" si="5"/>
        <v>428716.18</v>
      </c>
    </row>
    <row r="27" ht="15.75" customHeight="1">
      <c r="A27" s="6">
        <v>42083.0</v>
      </c>
      <c r="B27" s="5">
        <f t="shared" si="1"/>
        <v>39204.94</v>
      </c>
      <c r="C27" s="5">
        <v>24909.63</v>
      </c>
      <c r="D27" s="5">
        <f t="shared" si="2"/>
        <v>-19087.68</v>
      </c>
      <c r="E27" s="5">
        <f t="shared" si="3"/>
        <v>-304.16</v>
      </c>
      <c r="F27" s="5">
        <v>10000.0</v>
      </c>
      <c r="G27" s="5">
        <f t="shared" si="4"/>
        <v>420000</v>
      </c>
      <c r="H27" s="5">
        <v>5898.4</v>
      </c>
      <c r="I27" s="5">
        <f t="shared" si="5"/>
        <v>434614.58</v>
      </c>
    </row>
    <row r="28" ht="15.75" customHeight="1">
      <c r="A28" s="6">
        <v>42084.0</v>
      </c>
      <c r="B28" s="5">
        <f t="shared" si="1"/>
        <v>43306.54</v>
      </c>
      <c r="C28" s="5">
        <v>29175.53</v>
      </c>
      <c r="D28" s="5">
        <f t="shared" si="2"/>
        <v>-18923.38</v>
      </c>
      <c r="E28" s="5">
        <f t="shared" si="3"/>
        <v>164.3</v>
      </c>
      <c r="F28" s="5"/>
      <c r="G28" s="5">
        <f t="shared" si="4"/>
        <v>420000</v>
      </c>
      <c r="H28" s="5">
        <v>4927.71</v>
      </c>
      <c r="I28" s="5">
        <f t="shared" si="5"/>
        <v>439542.29</v>
      </c>
    </row>
    <row r="29" ht="15.75" customHeight="1">
      <c r="A29" s="6">
        <v>42085.0</v>
      </c>
      <c r="B29" s="5">
        <f t="shared" si="1"/>
        <v>38378.83</v>
      </c>
      <c r="C29" s="5">
        <v>24135.04</v>
      </c>
      <c r="D29" s="5">
        <f t="shared" si="2"/>
        <v>-19036.16</v>
      </c>
      <c r="E29" s="5">
        <f t="shared" si="3"/>
        <v>-112.78</v>
      </c>
      <c r="F29" s="5"/>
      <c r="G29" s="5">
        <f t="shared" si="4"/>
        <v>420000</v>
      </c>
      <c r="H29" s="5">
        <v>3925.53</v>
      </c>
      <c r="I29" s="5">
        <f t="shared" si="5"/>
        <v>443467.82</v>
      </c>
    </row>
    <row r="30" ht="15.75" customHeight="1">
      <c r="A30" s="6">
        <v>42086.0</v>
      </c>
      <c r="B30" s="5">
        <f t="shared" si="1"/>
        <v>34453.3</v>
      </c>
      <c r="C30" s="5">
        <v>19936.5</v>
      </c>
      <c r="D30" s="5">
        <f t="shared" si="2"/>
        <v>-19309.17</v>
      </c>
      <c r="E30" s="5">
        <f t="shared" si="3"/>
        <v>-273.01</v>
      </c>
      <c r="F30" s="5">
        <v>10000.0</v>
      </c>
      <c r="G30" s="5">
        <f t="shared" si="4"/>
        <v>430000</v>
      </c>
      <c r="H30" s="5">
        <v>6289.68</v>
      </c>
      <c r="I30" s="5">
        <f t="shared" si="5"/>
        <v>449757.5</v>
      </c>
    </row>
    <row r="31" ht="15.75" customHeight="1">
      <c r="A31" s="6">
        <v>42087.0</v>
      </c>
      <c r="B31" s="5">
        <f t="shared" si="1"/>
        <v>38163.62</v>
      </c>
      <c r="C31" s="5">
        <v>23763.93</v>
      </c>
      <c r="D31" s="5">
        <f t="shared" si="2"/>
        <v>-19192.06</v>
      </c>
      <c r="E31" s="5">
        <f t="shared" si="3"/>
        <v>117.11</v>
      </c>
      <c r="F31" s="5"/>
      <c r="G31" s="5">
        <f t="shared" si="4"/>
        <v>430000</v>
      </c>
      <c r="H31" s="5">
        <v>6228.9</v>
      </c>
      <c r="I31" s="5">
        <f t="shared" si="5"/>
        <v>455986.4</v>
      </c>
    </row>
    <row r="32" ht="15.75" customHeight="1">
      <c r="A32" s="6">
        <v>42088.0</v>
      </c>
      <c r="B32" s="5">
        <f t="shared" si="1"/>
        <v>31934.72</v>
      </c>
      <c r="C32" s="5">
        <v>17314.19</v>
      </c>
      <c r="D32" s="5">
        <f t="shared" si="2"/>
        <v>-19412.9</v>
      </c>
      <c r="E32" s="5">
        <f t="shared" si="3"/>
        <v>-220.84</v>
      </c>
      <c r="F32" s="5">
        <v>10000.0</v>
      </c>
      <c r="G32" s="5">
        <f t="shared" si="4"/>
        <v>440000</v>
      </c>
      <c r="H32" s="5">
        <v>6018.83</v>
      </c>
      <c r="I32" s="5">
        <f t="shared" si="5"/>
        <v>462005.23</v>
      </c>
    </row>
    <row r="33" ht="15.75" customHeight="1">
      <c r="A33" s="6">
        <v>42089.0</v>
      </c>
      <c r="B33" s="5">
        <f t="shared" si="1"/>
        <v>35915.89</v>
      </c>
      <c r="C33" s="5">
        <v>21139.23</v>
      </c>
      <c r="D33" s="5">
        <f t="shared" si="2"/>
        <v>-19569.03</v>
      </c>
      <c r="E33" s="5">
        <f t="shared" si="3"/>
        <v>-156.13</v>
      </c>
      <c r="F33" s="5"/>
      <c r="G33" s="5">
        <f t="shared" si="4"/>
        <v>440000</v>
      </c>
      <c r="H33" s="5">
        <v>6184.94</v>
      </c>
      <c r="I33" s="5">
        <f t="shared" si="5"/>
        <v>468190.17</v>
      </c>
    </row>
    <row r="34" ht="15.75" customHeight="1">
      <c r="A34" s="6">
        <v>42090.0</v>
      </c>
      <c r="B34" s="5">
        <f t="shared" si="1"/>
        <v>29730.95</v>
      </c>
      <c r="C34" s="5">
        <f>7960+2385+4400+55.93</f>
        <v>14800.93</v>
      </c>
      <c r="D34" s="5">
        <f t="shared" si="2"/>
        <v>-19722.39</v>
      </c>
      <c r="E34" s="5">
        <f t="shared" si="3"/>
        <v>-153.36</v>
      </c>
      <c r="F34" s="5">
        <v>10000.0</v>
      </c>
      <c r="G34" s="5">
        <f t="shared" si="4"/>
        <v>450000</v>
      </c>
      <c r="H34" s="5">
        <v>6272.47</v>
      </c>
      <c r="I34" s="5">
        <f t="shared" si="5"/>
        <v>474462.64</v>
      </c>
    </row>
    <row r="35" ht="15.75" customHeight="1">
      <c r="A35" s="6">
        <v>42091.0</v>
      </c>
      <c r="B35" s="5">
        <f t="shared" si="1"/>
        <v>33458.48</v>
      </c>
      <c r="C35" s="5">
        <v>18685.736</v>
      </c>
      <c r="D35" s="5">
        <f t="shared" si="2"/>
        <v>-19565.114</v>
      </c>
      <c r="E35" s="5">
        <f t="shared" si="3"/>
        <v>157.276</v>
      </c>
      <c r="F35" s="5"/>
      <c r="G35" s="5">
        <f t="shared" si="4"/>
        <v>450000</v>
      </c>
      <c r="H35" s="5">
        <v>4892.99</v>
      </c>
      <c r="I35" s="5">
        <f t="shared" si="5"/>
        <v>479355.63</v>
      </c>
    </row>
    <row r="36" ht="15.75" customHeight="1">
      <c r="A36" s="6">
        <v>42092.0</v>
      </c>
      <c r="B36" s="5">
        <f t="shared" si="1"/>
        <v>28565.49</v>
      </c>
      <c r="C36" s="5">
        <f>6200+4747.1+2485.71+55.93</f>
        <v>13488.74</v>
      </c>
      <c r="D36" s="5">
        <f t="shared" si="2"/>
        <v>-19869.12</v>
      </c>
      <c r="E36" s="5">
        <f t="shared" si="3"/>
        <v>-304.006</v>
      </c>
      <c r="F36" s="5"/>
      <c r="G36" s="5">
        <f t="shared" si="4"/>
        <v>450000</v>
      </c>
      <c r="H36" s="5">
        <f>2002+1001.98+526.23</f>
        <v>3530.21</v>
      </c>
      <c r="I36" s="5">
        <f t="shared" si="5"/>
        <v>482885.84</v>
      </c>
    </row>
    <row r="37" ht="15.75" customHeight="1">
      <c r="A37" s="6">
        <v>42093.0</v>
      </c>
      <c r="B37" s="5">
        <f t="shared" si="1"/>
        <v>25035.28</v>
      </c>
      <c r="C37" s="5">
        <f>5258.8+2665+1979.31+55.93</f>
        <v>9959.04</v>
      </c>
      <c r="D37" s="5">
        <f t="shared" si="2"/>
        <v>-19868.61</v>
      </c>
      <c r="E37" s="5">
        <f t="shared" si="3"/>
        <v>0.51</v>
      </c>
      <c r="F37" s="5">
        <v>10000.0</v>
      </c>
      <c r="G37" s="5">
        <f t="shared" si="4"/>
        <v>460000</v>
      </c>
      <c r="H37" s="5">
        <v>6156.67</v>
      </c>
      <c r="I37" s="5">
        <f t="shared" si="5"/>
        <v>489042.51</v>
      </c>
    </row>
    <row r="38" ht="15.75" customHeight="1">
      <c r="A38" s="6">
        <v>42094.0</v>
      </c>
      <c r="B38" s="5">
        <f t="shared" si="1"/>
        <v>28878.61</v>
      </c>
      <c r="C38" s="5">
        <v>13818.97</v>
      </c>
      <c r="D38" s="5">
        <f t="shared" si="2"/>
        <v>-19852.01</v>
      </c>
      <c r="E38" s="5">
        <f t="shared" si="3"/>
        <v>16.6</v>
      </c>
      <c r="F38" s="5">
        <v>10000.0</v>
      </c>
      <c r="G38" s="5">
        <f t="shared" si="4"/>
        <v>470000</v>
      </c>
      <c r="H38" s="5">
        <v>6394.14</v>
      </c>
      <c r="I38" s="5">
        <f t="shared" si="5"/>
        <v>495436.65</v>
      </c>
    </row>
    <row r="39" ht="15.75" customHeight="1">
      <c r="A39" s="6">
        <v>42095.0</v>
      </c>
      <c r="B39" s="5">
        <f t="shared" si="1"/>
        <v>32484.47</v>
      </c>
      <c r="C39" s="5">
        <v>17426.58</v>
      </c>
      <c r="D39" s="5">
        <f t="shared" si="2"/>
        <v>-19850.26</v>
      </c>
      <c r="E39" s="5">
        <f t="shared" si="3"/>
        <v>1.75</v>
      </c>
      <c r="F39" s="6"/>
      <c r="G39" s="6">
        <f t="shared" si="4"/>
        <v>470000</v>
      </c>
      <c r="H39" s="6"/>
      <c r="I39" s="6">
        <f t="shared" si="5"/>
        <v>495436.65</v>
      </c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>
        <f>SUM(E8:E38)</f>
        <v>-2273.44</v>
      </c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ht="15.75" customHeight="1">
      <c r="A43" s="5"/>
      <c r="B43" s="5"/>
      <c r="C43" s="5"/>
      <c r="D43" s="5"/>
      <c r="E43" s="5"/>
      <c r="F43" s="5">
        <v>160000.0</v>
      </c>
      <c r="G43" s="5"/>
      <c r="H43" s="5">
        <f>SUM(H8:H38)</f>
        <v>176112.55</v>
      </c>
      <c r="I43" s="7"/>
      <c r="J43" s="5" t="s">
        <v>13</v>
      </c>
      <c r="K43" s="5">
        <f>5121.782</f>
        <v>5121.782</v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ht="15.75" customHeight="1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f>D46</f>
        <v>5681.05</v>
      </c>
    </row>
    <row r="46" ht="15.75" customHeight="1">
      <c r="A46" s="5"/>
      <c r="B46" s="5" t="s">
        <v>17</v>
      </c>
      <c r="C46" s="5"/>
      <c r="D46" s="5">
        <f>AVERAGE(H8:H38)</f>
        <v>5681.05</v>
      </c>
      <c r="E46" s="5"/>
      <c r="F46" s="5"/>
      <c r="G46" s="5"/>
      <c r="H46" s="5"/>
      <c r="I46" s="7"/>
      <c r="J46" s="5" t="s">
        <v>18</v>
      </c>
      <c r="K46" s="5"/>
    </row>
    <row r="47" ht="15.75" customHeight="1">
      <c r="J47" s="5" t="s">
        <v>19</v>
      </c>
      <c r="K47" s="5"/>
    </row>
    <row r="48" ht="15.75" customHeight="1">
      <c r="J48" s="5" t="s">
        <v>20</v>
      </c>
      <c r="K48" s="5"/>
    </row>
    <row r="49" ht="15.75" customHeight="1">
      <c r="J49" s="5" t="s">
        <v>21</v>
      </c>
      <c r="K49" s="5"/>
    </row>
    <row r="50" ht="15.75" customHeight="1">
      <c r="J50" s="5" t="s">
        <v>22</v>
      </c>
      <c r="K50" s="5"/>
    </row>
    <row r="51" ht="15.75" customHeight="1">
      <c r="J51" s="5" t="s">
        <v>23</v>
      </c>
      <c r="K51" s="5"/>
    </row>
    <row r="52" ht="15.75" customHeight="1">
      <c r="J52" s="5" t="s">
        <v>24</v>
      </c>
      <c r="K52" s="5"/>
    </row>
    <row r="53" ht="15.75" customHeight="1">
      <c r="J53" s="5" t="s">
        <v>25</v>
      </c>
      <c r="K53" s="5"/>
    </row>
    <row r="54" ht="15.75" customHeight="1">
      <c r="J54" s="5" t="s">
        <v>26</v>
      </c>
      <c r="K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68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.29"/>
    <col customWidth="1" min="3" max="3" width="10.43"/>
    <col customWidth="1" min="4" max="5" width="10.57"/>
    <col customWidth="1" min="6" max="6" width="9.71"/>
    <col customWidth="1" min="7" max="7" width="9.86"/>
    <col customWidth="1" min="8" max="8" width="10.71"/>
    <col customWidth="1" min="9" max="9" width="9.86"/>
    <col customWidth="1" min="10" max="26" width="8.71"/>
  </cols>
  <sheetData>
    <row r="1">
      <c r="A1" t="s">
        <v>0</v>
      </c>
    </row>
    <row r="2">
      <c r="A2" t="s">
        <v>1</v>
      </c>
    </row>
    <row r="3">
      <c r="A3" s="1">
        <v>42095.0</v>
      </c>
    </row>
    <row r="4">
      <c r="A4" s="2">
        <v>42095.0</v>
      </c>
      <c r="B4" s="3"/>
      <c r="C4" s="3"/>
      <c r="D4" s="3"/>
      <c r="E4" s="3"/>
      <c r="F4" s="3"/>
      <c r="G4" s="3"/>
      <c r="H4" s="3"/>
      <c r="I4" s="3"/>
    </row>
    <row r="5">
      <c r="A5" s="3"/>
      <c r="B5" s="3" t="s">
        <v>0</v>
      </c>
      <c r="C5" s="3"/>
      <c r="D5" s="3" t="s">
        <v>2</v>
      </c>
      <c r="E5" s="3" t="s">
        <v>2</v>
      </c>
      <c r="F5" s="3"/>
      <c r="G5" s="3"/>
      <c r="H5" s="3"/>
      <c r="I5" s="3"/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6">
        <v>42095.0</v>
      </c>
      <c r="B8" s="5">
        <v>32484.0</v>
      </c>
      <c r="C8" s="5">
        <v>17426.6</v>
      </c>
      <c r="D8" s="5">
        <v>-198503.0</v>
      </c>
      <c r="E8" s="5">
        <v>17.5</v>
      </c>
      <c r="F8" s="5"/>
      <c r="G8" s="5">
        <v>470000.0</v>
      </c>
      <c r="H8" s="5">
        <v>6299.96</v>
      </c>
      <c r="I8" s="5">
        <v>495437.0</v>
      </c>
    </row>
    <row r="9">
      <c r="A9" s="6">
        <v>42096.0</v>
      </c>
      <c r="B9" s="5">
        <f t="shared" ref="B9:B38" si="1">B8-H8+F8</f>
        <v>26184.04</v>
      </c>
      <c r="C9" s="5">
        <v>10841.64</v>
      </c>
      <c r="D9" s="5">
        <f t="shared" ref="D9:D38" si="2">D8+E9</f>
        <v>-198788</v>
      </c>
      <c r="E9" s="5">
        <f t="shared" ref="E9:E38" si="3">C9+H8-C8-F8</f>
        <v>-285</v>
      </c>
      <c r="F9" s="5">
        <v>20000.0</v>
      </c>
      <c r="G9" s="5">
        <f t="shared" ref="G9:G38" si="4">G8+F9</f>
        <v>490000</v>
      </c>
      <c r="H9" s="5">
        <v>6131.55</v>
      </c>
      <c r="I9" s="5">
        <f t="shared" ref="I9:I38" si="5">I8++H9</f>
        <v>501568.55</v>
      </c>
    </row>
    <row r="10">
      <c r="A10" s="6">
        <v>42097.0</v>
      </c>
      <c r="B10" s="5">
        <f t="shared" si="1"/>
        <v>40052.49</v>
      </c>
      <c r="C10" s="5">
        <v>24770.54</v>
      </c>
      <c r="D10" s="5">
        <f t="shared" si="2"/>
        <v>-198727.55</v>
      </c>
      <c r="E10" s="5">
        <f t="shared" si="3"/>
        <v>60.45</v>
      </c>
      <c r="F10" s="5"/>
      <c r="G10" s="5">
        <f t="shared" si="4"/>
        <v>490000</v>
      </c>
      <c r="H10" s="5">
        <v>4756.41</v>
      </c>
      <c r="I10" s="5">
        <f t="shared" si="5"/>
        <v>506324.96</v>
      </c>
    </row>
    <row r="11">
      <c r="A11" s="6">
        <v>42098.0</v>
      </c>
      <c r="B11" s="5">
        <f t="shared" si="1"/>
        <v>35296.08</v>
      </c>
      <c r="C11" s="5">
        <v>19695.54</v>
      </c>
      <c r="D11" s="5">
        <f t="shared" si="2"/>
        <v>-199046.14</v>
      </c>
      <c r="E11" s="5">
        <f t="shared" si="3"/>
        <v>-318.59</v>
      </c>
      <c r="F11" s="5"/>
      <c r="G11" s="5">
        <f t="shared" si="4"/>
        <v>490000</v>
      </c>
      <c r="H11" s="5">
        <v>4300.3</v>
      </c>
      <c r="I11" s="5">
        <f t="shared" si="5"/>
        <v>510625.26</v>
      </c>
    </row>
    <row r="12">
      <c r="A12" s="6">
        <v>42099.0</v>
      </c>
      <c r="B12" s="5">
        <f t="shared" si="1"/>
        <v>30995.78</v>
      </c>
      <c r="C12" s="5">
        <f>7677.7+2800+4800+55.93</f>
        <v>15333.63</v>
      </c>
      <c r="D12" s="5">
        <f t="shared" si="2"/>
        <v>-199107.75</v>
      </c>
      <c r="E12" s="5">
        <f t="shared" si="3"/>
        <v>-61.61</v>
      </c>
      <c r="F12" s="5"/>
      <c r="G12" s="5">
        <f t="shared" si="4"/>
        <v>490000</v>
      </c>
      <c r="H12" s="5">
        <f>1642+1078.31+518.22</f>
        <v>3238.53</v>
      </c>
      <c r="I12" s="5">
        <f t="shared" si="5"/>
        <v>513863.79</v>
      </c>
    </row>
    <row r="13">
      <c r="A13" s="6">
        <v>42100.0</v>
      </c>
      <c r="B13" s="5">
        <f t="shared" si="1"/>
        <v>27757.25</v>
      </c>
      <c r="C13" s="5">
        <f>6581.81+1017.4+4272+54.4</f>
        <v>11925.61</v>
      </c>
      <c r="D13" s="5">
        <f t="shared" si="2"/>
        <v>-199277.24</v>
      </c>
      <c r="E13" s="5">
        <f t="shared" si="3"/>
        <v>-169.49</v>
      </c>
      <c r="F13" s="5"/>
      <c r="G13" s="5">
        <f t="shared" si="4"/>
        <v>490000</v>
      </c>
      <c r="H13" s="5">
        <v>4342.0</v>
      </c>
      <c r="I13" s="5">
        <f t="shared" si="5"/>
        <v>518205.79</v>
      </c>
    </row>
    <row r="14">
      <c r="A14" s="6">
        <v>42101.0</v>
      </c>
      <c r="B14" s="5">
        <f t="shared" si="1"/>
        <v>23415.25</v>
      </c>
      <c r="C14" s="5">
        <f>4000+2055.6+1638.71+55.93</f>
        <v>7750.24</v>
      </c>
      <c r="D14" s="5">
        <f t="shared" si="2"/>
        <v>-199110.61</v>
      </c>
      <c r="E14" s="5">
        <f t="shared" si="3"/>
        <v>166.63</v>
      </c>
      <c r="F14" s="5">
        <v>10000.0</v>
      </c>
      <c r="G14" s="5">
        <f t="shared" si="4"/>
        <v>500000</v>
      </c>
      <c r="H14" s="5">
        <v>6273.0</v>
      </c>
      <c r="I14" s="5">
        <f t="shared" si="5"/>
        <v>524478.79</v>
      </c>
    </row>
    <row r="15">
      <c r="A15" s="6">
        <v>42102.0</v>
      </c>
      <c r="B15" s="5">
        <f t="shared" si="1"/>
        <v>27142.25</v>
      </c>
      <c r="C15" s="5">
        <v>11629.07</v>
      </c>
      <c r="D15" s="5">
        <f t="shared" si="2"/>
        <v>-198958.78</v>
      </c>
      <c r="E15" s="5">
        <f t="shared" si="3"/>
        <v>151.83</v>
      </c>
      <c r="F15" s="5"/>
      <c r="G15" s="5">
        <f t="shared" si="4"/>
        <v>500000</v>
      </c>
      <c r="H15" s="5">
        <v>6862.18</v>
      </c>
      <c r="I15" s="5">
        <f t="shared" si="5"/>
        <v>531340.97</v>
      </c>
    </row>
    <row r="16">
      <c r="A16" s="6">
        <v>42103.0</v>
      </c>
      <c r="B16" s="5">
        <f t="shared" si="1"/>
        <v>20280.07</v>
      </c>
      <c r="C16" s="5">
        <f>2860.9+1800+225.45+55.9</f>
        <v>4942.25</v>
      </c>
      <c r="D16" s="5">
        <f t="shared" si="2"/>
        <v>-198783.42</v>
      </c>
      <c r="E16" s="5">
        <f t="shared" si="3"/>
        <v>175.36</v>
      </c>
      <c r="F16" s="5">
        <v>30000.0</v>
      </c>
      <c r="G16" s="5">
        <f t="shared" si="4"/>
        <v>530000</v>
      </c>
      <c r="H16" s="5">
        <v>6667.98</v>
      </c>
      <c r="I16" s="5">
        <f t="shared" si="5"/>
        <v>538008.95</v>
      </c>
    </row>
    <row r="17">
      <c r="A17" s="6">
        <v>42104.0</v>
      </c>
      <c r="B17" s="5">
        <f t="shared" si="1"/>
        <v>43612.09</v>
      </c>
      <c r="C17" s="5">
        <v>28118.47</v>
      </c>
      <c r="D17" s="5">
        <f t="shared" si="2"/>
        <v>-198939.22</v>
      </c>
      <c r="E17" s="5">
        <f t="shared" si="3"/>
        <v>-155.8</v>
      </c>
      <c r="F17" s="5"/>
      <c r="G17" s="5">
        <f t="shared" si="4"/>
        <v>530000</v>
      </c>
      <c r="H17" s="5">
        <v>6037.22</v>
      </c>
      <c r="I17" s="5">
        <f t="shared" si="5"/>
        <v>544046.17</v>
      </c>
    </row>
    <row r="18">
      <c r="A18" s="6">
        <v>42105.0</v>
      </c>
      <c r="B18" s="5">
        <f t="shared" si="1"/>
        <v>37574.87</v>
      </c>
      <c r="C18" s="5">
        <v>21957.93</v>
      </c>
      <c r="D18" s="5">
        <f t="shared" si="2"/>
        <v>-199062.54</v>
      </c>
      <c r="E18" s="5">
        <f t="shared" si="3"/>
        <v>-123.32</v>
      </c>
      <c r="F18" s="5">
        <v>10000.0</v>
      </c>
      <c r="G18" s="5">
        <f t="shared" si="4"/>
        <v>540000</v>
      </c>
      <c r="H18" s="5">
        <f>2394+1845.85+718.74</f>
        <v>4958.59</v>
      </c>
      <c r="I18" s="5">
        <f t="shared" si="5"/>
        <v>549004.76</v>
      </c>
    </row>
    <row r="19">
      <c r="A19" s="6">
        <v>42106.0</v>
      </c>
      <c r="B19" s="5">
        <f t="shared" si="1"/>
        <v>42616.28</v>
      </c>
      <c r="C19" s="5">
        <v>27083.68</v>
      </c>
      <c r="D19" s="5">
        <f t="shared" si="2"/>
        <v>-198978.2</v>
      </c>
      <c r="E19" s="5">
        <f t="shared" si="3"/>
        <v>84.34</v>
      </c>
      <c r="F19" s="5"/>
      <c r="G19" s="5">
        <f t="shared" si="4"/>
        <v>540000</v>
      </c>
      <c r="H19" s="5">
        <v>4286.14</v>
      </c>
      <c r="I19" s="5">
        <f t="shared" si="5"/>
        <v>553290.9</v>
      </c>
    </row>
    <row r="20">
      <c r="A20" s="6">
        <v>42107.0</v>
      </c>
      <c r="B20" s="5">
        <f t="shared" si="1"/>
        <v>38330.14</v>
      </c>
      <c r="C20" s="5">
        <v>22623.82</v>
      </c>
      <c r="D20" s="5">
        <f t="shared" si="2"/>
        <v>-199151.92</v>
      </c>
      <c r="E20" s="5">
        <f t="shared" si="3"/>
        <v>-173.72</v>
      </c>
      <c r="F20" s="5">
        <v>10000.0</v>
      </c>
      <c r="G20" s="5">
        <f t="shared" si="4"/>
        <v>550000</v>
      </c>
      <c r="H20" s="5">
        <v>6137.34</v>
      </c>
      <c r="I20" s="5">
        <f t="shared" si="5"/>
        <v>559428.24</v>
      </c>
    </row>
    <row r="21" ht="15.75" customHeight="1">
      <c r="A21" s="6">
        <v>42108.0</v>
      </c>
      <c r="B21" s="5">
        <f t="shared" si="1"/>
        <v>42192.8</v>
      </c>
      <c r="C21" s="5">
        <v>26704.03</v>
      </c>
      <c r="D21" s="5">
        <f t="shared" si="2"/>
        <v>-198934.37</v>
      </c>
      <c r="E21" s="5">
        <f t="shared" si="3"/>
        <v>217.55</v>
      </c>
      <c r="F21" s="5">
        <v>10000.0</v>
      </c>
      <c r="G21" s="5">
        <f t="shared" si="4"/>
        <v>560000</v>
      </c>
      <c r="H21" s="5">
        <v>6958.27</v>
      </c>
      <c r="I21" s="5">
        <f t="shared" si="5"/>
        <v>566386.51</v>
      </c>
    </row>
    <row r="22" ht="15.75" customHeight="1">
      <c r="A22" s="6">
        <v>42109.0</v>
      </c>
      <c r="B22" s="5">
        <f t="shared" si="1"/>
        <v>45234.53</v>
      </c>
      <c r="C22" s="5">
        <v>29580.93</v>
      </c>
      <c r="D22" s="5">
        <f t="shared" si="2"/>
        <v>-199099.2</v>
      </c>
      <c r="E22" s="5">
        <f t="shared" si="3"/>
        <v>-164.83</v>
      </c>
      <c r="F22" s="5"/>
      <c r="G22" s="5">
        <f t="shared" si="4"/>
        <v>560000</v>
      </c>
      <c r="H22" s="5">
        <v>5659.06</v>
      </c>
      <c r="I22" s="5">
        <f t="shared" si="5"/>
        <v>572045.57</v>
      </c>
    </row>
    <row r="23" ht="15.75" customHeight="1">
      <c r="A23" s="6">
        <v>42110.0</v>
      </c>
      <c r="B23" s="5">
        <f t="shared" si="1"/>
        <v>39575.47</v>
      </c>
      <c r="C23" s="5">
        <v>23610.64</v>
      </c>
      <c r="D23" s="5">
        <f t="shared" si="2"/>
        <v>-199410.43</v>
      </c>
      <c r="E23" s="5">
        <f t="shared" si="3"/>
        <v>-311.23</v>
      </c>
      <c r="F23" s="5">
        <v>10000.0</v>
      </c>
      <c r="G23" s="5">
        <f t="shared" si="4"/>
        <v>570000</v>
      </c>
      <c r="H23" s="5">
        <v>6593.81</v>
      </c>
      <c r="I23" s="5">
        <f t="shared" si="5"/>
        <v>578639.38</v>
      </c>
    </row>
    <row r="24" ht="15.75" customHeight="1">
      <c r="A24" s="6">
        <v>42111.0</v>
      </c>
      <c r="B24" s="5">
        <f t="shared" si="1"/>
        <v>42981.66</v>
      </c>
      <c r="C24" s="5">
        <v>27197.93</v>
      </c>
      <c r="D24" s="5">
        <f t="shared" si="2"/>
        <v>-199229.33</v>
      </c>
      <c r="E24" s="5">
        <f t="shared" si="3"/>
        <v>181.1</v>
      </c>
      <c r="F24" s="5">
        <v>10000.0</v>
      </c>
      <c r="G24" s="5">
        <f t="shared" si="4"/>
        <v>580000</v>
      </c>
      <c r="H24" s="5">
        <v>6025.12</v>
      </c>
      <c r="I24" s="5">
        <f t="shared" si="5"/>
        <v>584664.5</v>
      </c>
    </row>
    <row r="25" ht="15.75" customHeight="1">
      <c r="A25" s="6">
        <v>42112.0</v>
      </c>
      <c r="B25" s="5">
        <f t="shared" si="1"/>
        <v>46956.54</v>
      </c>
      <c r="C25" s="5">
        <f>13000+8361.1+9688+55.93</f>
        <v>31105.03</v>
      </c>
      <c r="D25" s="5">
        <f t="shared" si="2"/>
        <v>-199297.11</v>
      </c>
      <c r="E25" s="5">
        <f t="shared" si="3"/>
        <v>-67.78</v>
      </c>
      <c r="F25" s="5"/>
      <c r="G25" s="5">
        <f t="shared" si="4"/>
        <v>580000</v>
      </c>
      <c r="H25" s="5">
        <v>4940.5</v>
      </c>
      <c r="I25" s="5">
        <f t="shared" si="5"/>
        <v>589605</v>
      </c>
    </row>
    <row r="26" ht="15.75" customHeight="1">
      <c r="A26" s="6">
        <v>42113.0</v>
      </c>
      <c r="B26" s="5">
        <f t="shared" si="1"/>
        <v>42016.04</v>
      </c>
      <c r="C26" s="5">
        <v>25969.43</v>
      </c>
      <c r="D26" s="5">
        <f t="shared" si="2"/>
        <v>-199492.21</v>
      </c>
      <c r="E26" s="5">
        <f t="shared" si="3"/>
        <v>-195.1</v>
      </c>
      <c r="F26" s="5"/>
      <c r="G26" s="5">
        <f t="shared" si="4"/>
        <v>580000</v>
      </c>
      <c r="H26" s="5">
        <v>4424.57</v>
      </c>
      <c r="I26" s="5">
        <f t="shared" si="5"/>
        <v>594029.57</v>
      </c>
    </row>
    <row r="27" ht="15.75" customHeight="1">
      <c r="A27" s="6">
        <v>42114.0</v>
      </c>
      <c r="B27" s="5">
        <f t="shared" si="1"/>
        <v>37591.47</v>
      </c>
      <c r="C27" s="5">
        <v>21337.43</v>
      </c>
      <c r="D27" s="5">
        <f t="shared" si="2"/>
        <v>-199699.64</v>
      </c>
      <c r="E27" s="5">
        <f t="shared" si="3"/>
        <v>-207.43</v>
      </c>
      <c r="F27" s="5">
        <v>10000.0</v>
      </c>
      <c r="G27" s="5">
        <f t="shared" si="4"/>
        <v>590000</v>
      </c>
      <c r="H27" s="5">
        <v>5578.47</v>
      </c>
      <c r="I27" s="5">
        <f t="shared" si="5"/>
        <v>599608.04</v>
      </c>
    </row>
    <row r="28" ht="15.75" customHeight="1">
      <c r="A28" s="6">
        <v>42115.0</v>
      </c>
      <c r="B28" s="5">
        <f t="shared" si="1"/>
        <v>42013</v>
      </c>
      <c r="C28" s="5">
        <v>25911.53</v>
      </c>
      <c r="D28" s="5">
        <f t="shared" si="2"/>
        <v>-199547.07</v>
      </c>
      <c r="E28" s="5">
        <f t="shared" si="3"/>
        <v>152.57</v>
      </c>
      <c r="F28" s="5"/>
      <c r="G28" s="5">
        <f t="shared" si="4"/>
        <v>590000</v>
      </c>
      <c r="H28" s="5">
        <v>6101.73</v>
      </c>
      <c r="I28" s="5">
        <f t="shared" si="5"/>
        <v>605709.77</v>
      </c>
    </row>
    <row r="29" ht="15.75" customHeight="1">
      <c r="A29" s="6">
        <v>42116.0</v>
      </c>
      <c r="B29" s="5">
        <f t="shared" si="1"/>
        <v>35911.27</v>
      </c>
      <c r="C29" s="5">
        <v>19467.69</v>
      </c>
      <c r="D29" s="5">
        <f t="shared" si="2"/>
        <v>-199889.18</v>
      </c>
      <c r="E29" s="5">
        <f t="shared" si="3"/>
        <v>-342.11</v>
      </c>
      <c r="F29" s="5">
        <v>10000.0</v>
      </c>
      <c r="G29" s="5">
        <f t="shared" si="4"/>
        <v>600000</v>
      </c>
      <c r="H29" s="5">
        <v>6263.28</v>
      </c>
      <c r="I29" s="5">
        <f t="shared" si="5"/>
        <v>611973.05</v>
      </c>
    </row>
    <row r="30" ht="15.75" customHeight="1">
      <c r="A30" s="6">
        <v>42117.0</v>
      </c>
      <c r="B30" s="5">
        <f t="shared" si="1"/>
        <v>39647.99</v>
      </c>
      <c r="C30" s="5">
        <v>23355.93</v>
      </c>
      <c r="D30" s="5">
        <f t="shared" si="2"/>
        <v>-199737.66</v>
      </c>
      <c r="E30" s="5">
        <f t="shared" si="3"/>
        <v>151.52</v>
      </c>
      <c r="F30" s="5">
        <v>10000.0</v>
      </c>
      <c r="G30" s="5">
        <f t="shared" si="4"/>
        <v>610000</v>
      </c>
      <c r="H30" s="5">
        <v>6707.52</v>
      </c>
      <c r="I30" s="5">
        <f t="shared" si="5"/>
        <v>618680.57</v>
      </c>
    </row>
    <row r="31" ht="15.75" customHeight="1">
      <c r="A31" s="6">
        <v>42118.0</v>
      </c>
      <c r="B31" s="5">
        <f t="shared" si="1"/>
        <v>42940.47</v>
      </c>
      <c r="C31" s="5">
        <v>26692.63</v>
      </c>
      <c r="D31" s="5">
        <f t="shared" si="2"/>
        <v>-199693.44</v>
      </c>
      <c r="E31" s="5">
        <f t="shared" si="3"/>
        <v>44.22</v>
      </c>
      <c r="F31" s="5">
        <v>10000.0</v>
      </c>
      <c r="G31" s="5">
        <f t="shared" si="4"/>
        <v>620000</v>
      </c>
      <c r="H31" s="5">
        <v>6132.21</v>
      </c>
      <c r="I31" s="5">
        <f t="shared" si="5"/>
        <v>624812.78</v>
      </c>
    </row>
    <row r="32" ht="15.75" customHeight="1">
      <c r="A32" s="6">
        <v>42119.0</v>
      </c>
      <c r="B32" s="5">
        <f t="shared" si="1"/>
        <v>46808.26</v>
      </c>
      <c r="C32" s="5">
        <v>30403.63</v>
      </c>
      <c r="D32" s="5">
        <f t="shared" si="2"/>
        <v>-199850.23</v>
      </c>
      <c r="E32" s="5">
        <f t="shared" si="3"/>
        <v>-156.79</v>
      </c>
      <c r="F32" s="5"/>
      <c r="G32" s="5">
        <f t="shared" si="4"/>
        <v>620000</v>
      </c>
      <c r="H32" s="5">
        <f>2074+1710.37+772.95</f>
        <v>4557.32</v>
      </c>
      <c r="I32" s="5">
        <f t="shared" si="5"/>
        <v>629370.1</v>
      </c>
    </row>
    <row r="33" ht="15.75" customHeight="1">
      <c r="A33" s="6">
        <v>42120.0</v>
      </c>
      <c r="B33" s="5">
        <f t="shared" si="1"/>
        <v>42250.94</v>
      </c>
      <c r="C33" s="5">
        <f>14447.1+4011.76+7085.7+55.93</f>
        <v>25600.49</v>
      </c>
      <c r="D33" s="5">
        <f t="shared" si="2"/>
        <v>-200096.05</v>
      </c>
      <c r="E33" s="5">
        <f t="shared" si="3"/>
        <v>-245.82</v>
      </c>
      <c r="F33" s="5"/>
      <c r="G33" s="5">
        <f t="shared" si="4"/>
        <v>620000</v>
      </c>
      <c r="H33" s="5">
        <f>2157+1760.1+219.99</f>
        <v>4137.09</v>
      </c>
      <c r="I33" s="5">
        <f t="shared" si="5"/>
        <v>633507.19</v>
      </c>
    </row>
    <row r="34" ht="15.75" customHeight="1">
      <c r="A34" s="6">
        <v>42121.0</v>
      </c>
      <c r="B34" s="5">
        <f t="shared" si="1"/>
        <v>38113.85</v>
      </c>
      <c r="C34" s="5">
        <v>21380.93</v>
      </c>
      <c r="D34" s="5">
        <f t="shared" si="2"/>
        <v>-200178.52</v>
      </c>
      <c r="E34" s="5">
        <f t="shared" si="3"/>
        <v>-82.47</v>
      </c>
      <c r="F34" s="5">
        <v>10000.0</v>
      </c>
      <c r="G34" s="5">
        <f t="shared" si="4"/>
        <v>630000</v>
      </c>
      <c r="H34" s="5">
        <v>5675.41</v>
      </c>
      <c r="I34" s="5">
        <f t="shared" si="5"/>
        <v>639182.6</v>
      </c>
    </row>
    <row r="35" ht="15.75" customHeight="1">
      <c r="A35" s="6">
        <v>42122.0</v>
      </c>
      <c r="B35" s="5">
        <f t="shared" si="1"/>
        <v>42438.44</v>
      </c>
      <c r="C35" s="5">
        <v>25735.96</v>
      </c>
      <c r="D35" s="5">
        <f t="shared" si="2"/>
        <v>-200148.08</v>
      </c>
      <c r="E35" s="5">
        <f t="shared" si="3"/>
        <v>30.44</v>
      </c>
      <c r="F35" s="5"/>
      <c r="G35" s="5">
        <f t="shared" si="4"/>
        <v>630000</v>
      </c>
      <c r="H35" s="5">
        <f>3621+2322.94+872.29</f>
        <v>6816.23</v>
      </c>
      <c r="I35" s="5">
        <f t="shared" si="5"/>
        <v>645998.83</v>
      </c>
    </row>
    <row r="36" ht="15.75" customHeight="1">
      <c r="A36" s="6">
        <v>42123.0</v>
      </c>
      <c r="B36" s="5">
        <f t="shared" si="1"/>
        <v>35622.21</v>
      </c>
      <c r="C36" s="5">
        <f>10000+3658.8+4891.7+55.93</f>
        <v>18606.43</v>
      </c>
      <c r="D36" s="5">
        <f t="shared" si="2"/>
        <v>-200461.38</v>
      </c>
      <c r="E36" s="5">
        <f t="shared" si="3"/>
        <v>-313.3</v>
      </c>
      <c r="F36" s="5">
        <v>10000.0</v>
      </c>
      <c r="G36" s="5">
        <f t="shared" si="4"/>
        <v>640000</v>
      </c>
      <c r="H36" s="5">
        <v>5756.65</v>
      </c>
      <c r="I36" s="5">
        <f t="shared" si="5"/>
        <v>651755.48</v>
      </c>
    </row>
    <row r="37" ht="15.75" customHeight="1">
      <c r="A37" s="6">
        <v>42124.0</v>
      </c>
      <c r="B37" s="5">
        <f t="shared" si="1"/>
        <v>39865.56</v>
      </c>
      <c r="C37" s="5">
        <v>23005.03</v>
      </c>
      <c r="D37" s="5">
        <f t="shared" si="2"/>
        <v>-200306.13</v>
      </c>
      <c r="E37" s="5">
        <f t="shared" si="3"/>
        <v>155.25</v>
      </c>
      <c r="F37" s="5">
        <v>10000.0</v>
      </c>
      <c r="G37" s="5">
        <f t="shared" si="4"/>
        <v>650000</v>
      </c>
      <c r="H37" s="5">
        <v>5639.19</v>
      </c>
      <c r="I37" s="5">
        <f t="shared" si="5"/>
        <v>657394.67</v>
      </c>
    </row>
    <row r="38" ht="15.75" customHeight="1">
      <c r="A38" s="6">
        <v>42125.0</v>
      </c>
      <c r="B38" s="5">
        <f t="shared" si="1"/>
        <v>44226.37</v>
      </c>
      <c r="C38" s="5">
        <v>27316.93</v>
      </c>
      <c r="D38" s="5">
        <f t="shared" si="2"/>
        <v>-200355.04</v>
      </c>
      <c r="E38" s="5">
        <f t="shared" si="3"/>
        <v>-48.91</v>
      </c>
      <c r="F38" s="5"/>
      <c r="G38" s="5">
        <f t="shared" si="4"/>
        <v>650000</v>
      </c>
      <c r="H38" s="5"/>
      <c r="I38" s="5">
        <f t="shared" si="5"/>
        <v>657394.67</v>
      </c>
    </row>
    <row r="39" ht="15.75" customHeight="1">
      <c r="A39" s="6"/>
      <c r="B39" s="5"/>
      <c r="C39" s="5"/>
      <c r="D39" s="5"/>
      <c r="E39" s="5"/>
      <c r="F39" s="5"/>
      <c r="G39" s="5"/>
      <c r="H39" s="5"/>
      <c r="I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>
        <f>SUM(E8:E38)</f>
        <v>-1834.54</v>
      </c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ht="15.75" customHeight="1">
      <c r="A43" s="5"/>
      <c r="B43" s="5"/>
      <c r="C43" s="5"/>
      <c r="D43" s="5"/>
      <c r="E43" s="5"/>
      <c r="F43" s="5">
        <v>160000.0</v>
      </c>
      <c r="G43" s="5"/>
      <c r="H43" s="5">
        <f>SUM(H8:H38)</f>
        <v>168257.63</v>
      </c>
      <c r="I43" s="7"/>
      <c r="J43" s="5" t="s">
        <v>13</v>
      </c>
      <c r="K43" s="5">
        <f>5121.782</f>
        <v>5121.782</v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ht="15.75" customHeight="1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v>5681.1</v>
      </c>
    </row>
    <row r="46" ht="15.75" customHeight="1">
      <c r="A46" s="5"/>
      <c r="B46" s="5" t="s">
        <v>17</v>
      </c>
      <c r="C46" s="5"/>
      <c r="D46" s="5">
        <f>AVERAGE(H8:H38)</f>
        <v>5608.587667</v>
      </c>
      <c r="E46" s="5"/>
      <c r="F46" s="5"/>
      <c r="G46" s="5"/>
      <c r="H46" s="5"/>
      <c r="I46" s="7"/>
      <c r="J46" s="5" t="s">
        <v>18</v>
      </c>
      <c r="K46" s="5">
        <f>D46</f>
        <v>5608.587667</v>
      </c>
    </row>
    <row r="47" ht="15.75" customHeight="1">
      <c r="J47" s="5" t="s">
        <v>19</v>
      </c>
      <c r="K47" s="5"/>
    </row>
    <row r="48" ht="15.75" customHeight="1">
      <c r="J48" s="5" t="s">
        <v>20</v>
      </c>
      <c r="K48" s="5"/>
    </row>
    <row r="49" ht="15.75" customHeight="1">
      <c r="J49" s="5" t="s">
        <v>21</v>
      </c>
      <c r="K49" s="5"/>
    </row>
    <row r="50" ht="15.75" customHeight="1">
      <c r="J50" s="5" t="s">
        <v>22</v>
      </c>
      <c r="K50" s="5"/>
    </row>
    <row r="51" ht="15.75" customHeight="1">
      <c r="J51" s="5" t="s">
        <v>23</v>
      </c>
      <c r="K51" s="5"/>
    </row>
    <row r="52" ht="15.75" customHeight="1">
      <c r="J52" s="5" t="s">
        <v>24</v>
      </c>
      <c r="K52" s="5"/>
    </row>
    <row r="53" ht="15.75" customHeight="1">
      <c r="J53" s="5" t="s">
        <v>25</v>
      </c>
      <c r="K53" s="5"/>
    </row>
    <row r="54" ht="15.75" customHeight="1">
      <c r="J54" s="5" t="s">
        <v>26</v>
      </c>
      <c r="K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68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.29"/>
    <col customWidth="1" min="3" max="3" width="10.43"/>
    <col customWidth="1" min="4" max="5" width="10.57"/>
    <col customWidth="1" min="6" max="6" width="9.71"/>
    <col customWidth="1" min="7" max="7" width="9.86"/>
    <col customWidth="1" min="8" max="8" width="10.71"/>
    <col customWidth="1" min="9" max="9" width="9.86"/>
    <col customWidth="1" min="10" max="26" width="8.71"/>
  </cols>
  <sheetData>
    <row r="1">
      <c r="A1" t="s">
        <v>0</v>
      </c>
    </row>
    <row r="2">
      <c r="A2" t="s">
        <v>1</v>
      </c>
    </row>
    <row r="3">
      <c r="A3" s="1">
        <v>42125.0</v>
      </c>
    </row>
    <row r="4">
      <c r="A4" s="2"/>
      <c r="B4" s="3"/>
      <c r="C4" s="3"/>
      <c r="D4" s="3"/>
      <c r="E4" s="3"/>
      <c r="F4" s="3"/>
      <c r="G4" s="3"/>
      <c r="H4" s="3"/>
      <c r="I4" s="3"/>
    </row>
    <row r="5">
      <c r="A5" s="3"/>
      <c r="B5" s="3"/>
      <c r="C5" s="3"/>
      <c r="D5" s="3"/>
      <c r="E5" s="3"/>
      <c r="F5" s="3"/>
      <c r="G5" s="3"/>
      <c r="H5" s="3"/>
      <c r="I5" s="3"/>
    </row>
    <row r="6">
      <c r="A6" s="3" t="s">
        <v>3</v>
      </c>
      <c r="B6" s="3" t="s">
        <v>4</v>
      </c>
      <c r="C6" s="3" t="s">
        <v>5</v>
      </c>
      <c r="D6" s="3" t="s">
        <v>27</v>
      </c>
      <c r="E6" s="3" t="s">
        <v>28</v>
      </c>
      <c r="F6" s="3" t="s">
        <v>8</v>
      </c>
      <c r="G6" s="3" t="s">
        <v>9</v>
      </c>
      <c r="H6" s="3" t="s">
        <v>10</v>
      </c>
      <c r="I6" s="3" t="s">
        <v>11</v>
      </c>
      <c r="J6" s="4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6">
        <v>42125.0</v>
      </c>
      <c r="B8" s="5">
        <v>44226.37</v>
      </c>
      <c r="C8" s="5">
        <v>27316.93</v>
      </c>
      <c r="D8" s="5">
        <v>-200355.0</v>
      </c>
      <c r="E8" s="5">
        <v>-48.91</v>
      </c>
      <c r="F8" s="5"/>
      <c r="G8" s="5">
        <v>650000.0</v>
      </c>
      <c r="H8" s="5">
        <v>4388.42</v>
      </c>
      <c r="I8" s="5">
        <v>657394.67</v>
      </c>
    </row>
    <row r="9">
      <c r="A9" s="6">
        <v>42126.0</v>
      </c>
      <c r="B9" s="5">
        <f t="shared" ref="B9:B39" si="1">B8-H8+F8</f>
        <v>39837.95</v>
      </c>
      <c r="C9" s="5">
        <v>22736.23</v>
      </c>
      <c r="D9" s="5">
        <f t="shared" ref="D9:D39" si="2">D8+E9</f>
        <v>-200547.28</v>
      </c>
      <c r="E9" s="5">
        <f t="shared" ref="E9:E39" si="3">C9+H8-C8-F8</f>
        <v>-192.28</v>
      </c>
      <c r="F9" s="5"/>
      <c r="G9" s="5">
        <f t="shared" ref="G9:G39" si="4">G8+F9</f>
        <v>650000</v>
      </c>
      <c r="H9" s="5">
        <v>5265.14</v>
      </c>
      <c r="I9" s="5">
        <f t="shared" ref="I9:I39" si="5">I8++H9</f>
        <v>662659.81</v>
      </c>
    </row>
    <row r="10">
      <c r="A10" s="6">
        <v>42127.0</v>
      </c>
      <c r="B10" s="5">
        <f t="shared" si="1"/>
        <v>34572.81</v>
      </c>
      <c r="C10" s="5">
        <v>17328.63</v>
      </c>
      <c r="D10" s="5">
        <f t="shared" si="2"/>
        <v>-200689.74</v>
      </c>
      <c r="E10" s="5">
        <f t="shared" si="3"/>
        <v>-142.46</v>
      </c>
      <c r="F10" s="5"/>
      <c r="G10" s="5">
        <f t="shared" si="4"/>
        <v>650000</v>
      </c>
      <c r="H10" s="5">
        <v>4013.05</v>
      </c>
      <c r="I10" s="5">
        <f t="shared" si="5"/>
        <v>666672.86</v>
      </c>
    </row>
    <row r="11">
      <c r="A11" s="6">
        <v>42128.0</v>
      </c>
      <c r="B11" s="5">
        <f t="shared" si="1"/>
        <v>30559.76</v>
      </c>
      <c r="C11" s="5">
        <v>13068.97</v>
      </c>
      <c r="D11" s="5">
        <f t="shared" si="2"/>
        <v>-200936.35</v>
      </c>
      <c r="E11" s="5">
        <f t="shared" si="3"/>
        <v>-246.61</v>
      </c>
      <c r="F11" s="5"/>
      <c r="G11" s="5">
        <f t="shared" si="4"/>
        <v>650000</v>
      </c>
      <c r="H11" s="5">
        <v>6162.8</v>
      </c>
      <c r="I11" s="5">
        <f t="shared" si="5"/>
        <v>672835.66</v>
      </c>
    </row>
    <row r="12">
      <c r="A12" s="6">
        <v>42129.0</v>
      </c>
      <c r="B12" s="5">
        <f t="shared" si="1"/>
        <v>24396.96</v>
      </c>
      <c r="C12" s="5">
        <v>7014.13</v>
      </c>
      <c r="D12" s="5">
        <f t="shared" si="2"/>
        <v>-200828.39</v>
      </c>
      <c r="E12" s="5">
        <f t="shared" si="3"/>
        <v>107.96</v>
      </c>
      <c r="F12" s="5">
        <v>20000.0</v>
      </c>
      <c r="G12" s="5">
        <f t="shared" si="4"/>
        <v>670000</v>
      </c>
      <c r="H12" s="5">
        <v>6831.12</v>
      </c>
      <c r="I12" s="5">
        <f t="shared" si="5"/>
        <v>679666.78</v>
      </c>
    </row>
    <row r="13">
      <c r="A13" s="6">
        <v>42130.0</v>
      </c>
      <c r="B13" s="5">
        <f t="shared" si="1"/>
        <v>37565.84</v>
      </c>
      <c r="C13" s="5">
        <v>20139.9</v>
      </c>
      <c r="D13" s="5">
        <f t="shared" si="2"/>
        <v>-200871.5</v>
      </c>
      <c r="E13" s="5">
        <f t="shared" si="3"/>
        <v>-43.11</v>
      </c>
      <c r="F13" s="5">
        <v>10000.0</v>
      </c>
      <c r="G13" s="5">
        <f t="shared" si="4"/>
        <v>680000</v>
      </c>
      <c r="H13" s="5">
        <f>3080+2032.28+1551.74</f>
        <v>6664.02</v>
      </c>
      <c r="I13" s="5">
        <f t="shared" si="5"/>
        <v>686330.8</v>
      </c>
    </row>
    <row r="14">
      <c r="A14" s="6">
        <v>42131.0</v>
      </c>
      <c r="B14" s="5">
        <f t="shared" si="1"/>
        <v>40901.82</v>
      </c>
      <c r="C14" s="5">
        <f>12144.4+8137.5+3170.37+55.93</f>
        <v>23508.2</v>
      </c>
      <c r="D14" s="5">
        <f t="shared" si="2"/>
        <v>-200839.18</v>
      </c>
      <c r="E14" s="5">
        <f t="shared" si="3"/>
        <v>32.32</v>
      </c>
      <c r="F14" s="5"/>
      <c r="G14" s="5">
        <f t="shared" si="4"/>
        <v>680000</v>
      </c>
      <c r="H14" s="5">
        <f>2983+1589.21+937.67</f>
        <v>5509.88</v>
      </c>
      <c r="I14" s="5">
        <f t="shared" si="5"/>
        <v>691840.68</v>
      </c>
    </row>
    <row r="15">
      <c r="A15" s="6">
        <v>42132.0</v>
      </c>
      <c r="B15" s="5">
        <f t="shared" si="1"/>
        <v>35391.94</v>
      </c>
      <c r="C15" s="5">
        <v>17740.23</v>
      </c>
      <c r="D15" s="5">
        <f t="shared" si="2"/>
        <v>-201097.27</v>
      </c>
      <c r="E15" s="5">
        <f t="shared" si="3"/>
        <v>-258.09</v>
      </c>
      <c r="F15" s="5">
        <v>10000.0</v>
      </c>
      <c r="G15" s="5">
        <f t="shared" si="4"/>
        <v>690000</v>
      </c>
      <c r="H15" s="5">
        <v>6452.99</v>
      </c>
      <c r="I15" s="5">
        <f t="shared" si="5"/>
        <v>698293.67</v>
      </c>
    </row>
    <row r="16">
      <c r="A16" s="6">
        <v>42133.0</v>
      </c>
      <c r="B16" s="5">
        <f t="shared" si="1"/>
        <v>38938.95</v>
      </c>
      <c r="C16" s="5">
        <f>12167.67+5846.7+3200+55.93</f>
        <v>21270.3</v>
      </c>
      <c r="D16" s="5">
        <f t="shared" si="2"/>
        <v>-201114.21</v>
      </c>
      <c r="E16" s="5">
        <f t="shared" si="3"/>
        <v>-16.94</v>
      </c>
      <c r="F16" s="5"/>
      <c r="G16" s="5">
        <f t="shared" si="4"/>
        <v>690000</v>
      </c>
      <c r="H16" s="5">
        <v>4877.19</v>
      </c>
      <c r="I16" s="5">
        <f t="shared" si="5"/>
        <v>703170.86</v>
      </c>
    </row>
    <row r="17">
      <c r="A17" s="6">
        <v>42134.0</v>
      </c>
      <c r="B17" s="5">
        <f t="shared" si="1"/>
        <v>34061.76</v>
      </c>
      <c r="C17" s="5">
        <v>16213.8</v>
      </c>
      <c r="D17" s="5">
        <f t="shared" si="2"/>
        <v>-201293.52</v>
      </c>
      <c r="E17" s="5">
        <f t="shared" si="3"/>
        <v>-179.31</v>
      </c>
      <c r="F17" s="5"/>
      <c r="G17" s="5">
        <f t="shared" si="4"/>
        <v>690000</v>
      </c>
      <c r="H17" s="5">
        <v>3557.5</v>
      </c>
      <c r="I17" s="5">
        <f t="shared" si="5"/>
        <v>706728.36</v>
      </c>
    </row>
    <row r="18">
      <c r="A18" s="6">
        <v>42135.0</v>
      </c>
      <c r="B18" s="5">
        <f t="shared" si="1"/>
        <v>30504.26</v>
      </c>
      <c r="C18" s="5">
        <f>9252.2+1268.18+2020+55.32</f>
        <v>12595.7</v>
      </c>
      <c r="D18" s="5">
        <f t="shared" si="2"/>
        <v>-201354.12</v>
      </c>
      <c r="E18" s="5">
        <f t="shared" si="3"/>
        <v>-60.6</v>
      </c>
      <c r="F18" s="5">
        <v>10000.0</v>
      </c>
      <c r="G18" s="5">
        <f t="shared" si="4"/>
        <v>700000</v>
      </c>
      <c r="H18" s="5">
        <v>6351.87</v>
      </c>
      <c r="I18" s="5">
        <f t="shared" si="5"/>
        <v>713080.23</v>
      </c>
    </row>
    <row r="19">
      <c r="A19" s="6">
        <v>42136.0</v>
      </c>
      <c r="B19" s="5">
        <f t="shared" si="1"/>
        <v>34152.39</v>
      </c>
      <c r="C19" s="5">
        <v>16231.43</v>
      </c>
      <c r="D19" s="5">
        <f t="shared" si="2"/>
        <v>-201366.52</v>
      </c>
      <c r="E19" s="5">
        <f t="shared" si="3"/>
        <v>-12.4</v>
      </c>
      <c r="F19" s="5">
        <v>10000.0</v>
      </c>
      <c r="G19" s="5">
        <f t="shared" si="4"/>
        <v>710000</v>
      </c>
      <c r="H19" s="5">
        <v>6919.11</v>
      </c>
      <c r="I19" s="5">
        <f t="shared" si="5"/>
        <v>719999.34</v>
      </c>
    </row>
    <row r="20">
      <c r="A20" s="6">
        <v>42137.0</v>
      </c>
      <c r="B20" s="5">
        <f t="shared" si="1"/>
        <v>37233.28</v>
      </c>
      <c r="C20" s="5">
        <f>8536.8+6435+4316.67+55.93</f>
        <v>19344.4</v>
      </c>
      <c r="D20" s="5">
        <f t="shared" si="2"/>
        <v>-201334.44</v>
      </c>
      <c r="E20" s="5">
        <f t="shared" si="3"/>
        <v>32.08</v>
      </c>
      <c r="F20" s="5">
        <v>10000.0</v>
      </c>
      <c r="G20" s="5">
        <f t="shared" si="4"/>
        <v>720000</v>
      </c>
      <c r="H20" s="5">
        <f>3300+2298.11+743.79</f>
        <v>6341.9</v>
      </c>
      <c r="I20" s="5">
        <f t="shared" si="5"/>
        <v>726341.24</v>
      </c>
    </row>
    <row r="21" ht="15.75" customHeight="1">
      <c r="A21" s="6">
        <v>42138.0</v>
      </c>
      <c r="B21" s="5">
        <f t="shared" si="1"/>
        <v>40891.38</v>
      </c>
      <c r="C21" s="5">
        <v>22675.03</v>
      </c>
      <c r="D21" s="5">
        <f t="shared" si="2"/>
        <v>-201661.91</v>
      </c>
      <c r="E21" s="5">
        <f t="shared" si="3"/>
        <v>-327.47</v>
      </c>
      <c r="F21" s="5">
        <v>10000.0</v>
      </c>
      <c r="G21" s="5">
        <f t="shared" si="4"/>
        <v>730000</v>
      </c>
      <c r="H21" s="5">
        <v>5882.37</v>
      </c>
      <c r="I21" s="5">
        <f t="shared" si="5"/>
        <v>732223.61</v>
      </c>
    </row>
    <row r="22" ht="15.75" customHeight="1">
      <c r="A22" s="6">
        <v>42139.0</v>
      </c>
      <c r="B22" s="5">
        <f t="shared" si="1"/>
        <v>45009.01</v>
      </c>
      <c r="C22" s="5">
        <v>26856.4</v>
      </c>
      <c r="D22" s="5">
        <f t="shared" si="2"/>
        <v>-201598.17</v>
      </c>
      <c r="E22" s="5">
        <f t="shared" si="3"/>
        <v>63.74</v>
      </c>
      <c r="F22" s="5">
        <v>10000.0</v>
      </c>
      <c r="G22" s="5">
        <f t="shared" si="4"/>
        <v>740000</v>
      </c>
      <c r="H22" s="5">
        <v>5597.71</v>
      </c>
      <c r="I22" s="5">
        <f t="shared" si="5"/>
        <v>737821.32</v>
      </c>
    </row>
    <row r="23" ht="15.75" customHeight="1">
      <c r="A23" s="6">
        <v>42140.0</v>
      </c>
      <c r="B23" s="5">
        <f t="shared" si="1"/>
        <v>49411.3</v>
      </c>
      <c r="C23" s="5">
        <v>31125.2</v>
      </c>
      <c r="D23" s="5">
        <f t="shared" si="2"/>
        <v>-201731.66</v>
      </c>
      <c r="E23" s="5">
        <f t="shared" si="3"/>
        <v>-133.49</v>
      </c>
      <c r="F23" s="5"/>
      <c r="G23" s="5">
        <f t="shared" si="4"/>
        <v>740000</v>
      </c>
      <c r="H23" s="5">
        <v>5865.86</v>
      </c>
      <c r="I23" s="5">
        <f t="shared" si="5"/>
        <v>743687.18</v>
      </c>
    </row>
    <row r="24" ht="15.75" customHeight="1">
      <c r="A24" s="6">
        <v>42141.0</v>
      </c>
      <c r="B24" s="5">
        <f t="shared" si="1"/>
        <v>43545.44</v>
      </c>
      <c r="C24" s="5">
        <f>14344.4+4070.6+6545.5+55.93</f>
        <v>25016.43</v>
      </c>
      <c r="D24" s="5">
        <f t="shared" si="2"/>
        <v>-201974.57</v>
      </c>
      <c r="E24" s="5">
        <f t="shared" si="3"/>
        <v>-242.91</v>
      </c>
      <c r="F24" s="5"/>
      <c r="G24" s="5">
        <f t="shared" si="4"/>
        <v>740000</v>
      </c>
      <c r="H24" s="5">
        <f>3148+1264.66+399.9</f>
        <v>4812.56</v>
      </c>
      <c r="I24" s="5">
        <f t="shared" si="5"/>
        <v>748499.74</v>
      </c>
    </row>
    <row r="25" ht="15.75" customHeight="1">
      <c r="A25" s="6">
        <v>42142.0</v>
      </c>
      <c r="B25" s="5">
        <f t="shared" si="1"/>
        <v>38732.88</v>
      </c>
      <c r="C25" s="5">
        <f>13000+735.71+6118.18+54.24</f>
        <v>19908.13</v>
      </c>
      <c r="D25" s="5">
        <f t="shared" si="2"/>
        <v>-202270.31</v>
      </c>
      <c r="E25" s="5">
        <f t="shared" si="3"/>
        <v>-295.74</v>
      </c>
      <c r="F25" s="5">
        <v>10000.0</v>
      </c>
      <c r="G25" s="5">
        <f t="shared" si="4"/>
        <v>750000</v>
      </c>
      <c r="H25" s="5">
        <f>2791+2073.62+1389.93</f>
        <v>6254.55</v>
      </c>
      <c r="I25" s="5">
        <f t="shared" si="5"/>
        <v>754754.29</v>
      </c>
    </row>
    <row r="26" ht="15.75" customHeight="1">
      <c r="A26" s="6">
        <v>42143.0</v>
      </c>
      <c r="B26" s="5">
        <f t="shared" si="1"/>
        <v>42478.33</v>
      </c>
      <c r="C26" s="5">
        <f>14966.7+4082.4+4730.8+55.93</f>
        <v>23835.83</v>
      </c>
      <c r="D26" s="5">
        <f t="shared" si="2"/>
        <v>-202088.06</v>
      </c>
      <c r="E26" s="5">
        <f t="shared" si="3"/>
        <v>182.25</v>
      </c>
      <c r="F26" s="5">
        <v>10000.0</v>
      </c>
      <c r="G26" s="5">
        <f t="shared" si="4"/>
        <v>760000</v>
      </c>
      <c r="H26" s="5">
        <v>6121.32</v>
      </c>
      <c r="I26" s="5">
        <f t="shared" si="5"/>
        <v>760875.61</v>
      </c>
    </row>
    <row r="27" ht="15.75" customHeight="1">
      <c r="A27" s="6">
        <v>42144.0</v>
      </c>
      <c r="B27" s="5">
        <f t="shared" si="1"/>
        <v>46357.01</v>
      </c>
      <c r="C27" s="5">
        <f>17033.3+6923.5+3656+55.93</f>
        <v>27668.73</v>
      </c>
      <c r="D27" s="5">
        <f t="shared" si="2"/>
        <v>-202133.84</v>
      </c>
      <c r="E27" s="5">
        <f t="shared" si="3"/>
        <v>-45.78</v>
      </c>
      <c r="F27" s="5">
        <v>10000.0</v>
      </c>
      <c r="G27" s="5">
        <f t="shared" si="4"/>
        <v>770000</v>
      </c>
      <c r="H27" s="5">
        <f>3223+1841.55+1016.5</f>
        <v>6081.05</v>
      </c>
      <c r="I27" s="5">
        <f t="shared" si="5"/>
        <v>766956.66</v>
      </c>
    </row>
    <row r="28" ht="15.75" customHeight="1">
      <c r="A28" s="6">
        <v>42145.0</v>
      </c>
      <c r="B28" s="5">
        <f t="shared" si="1"/>
        <v>50275.96</v>
      </c>
      <c r="C28" s="5">
        <f>15111.11+7722.22+8581.82+55.93</f>
        <v>31471.08</v>
      </c>
      <c r="D28" s="5">
        <f t="shared" si="2"/>
        <v>-202250.44</v>
      </c>
      <c r="E28" s="5">
        <f t="shared" si="3"/>
        <v>-116.6</v>
      </c>
      <c r="F28" s="5">
        <v>10000.0</v>
      </c>
      <c r="G28" s="5">
        <f t="shared" si="4"/>
        <v>780000</v>
      </c>
      <c r="H28" s="5">
        <v>6342.26</v>
      </c>
      <c r="I28" s="5">
        <f t="shared" si="5"/>
        <v>773298.92</v>
      </c>
    </row>
    <row r="29" ht="15.75" customHeight="1">
      <c r="A29" s="6">
        <v>42146.0</v>
      </c>
      <c r="B29" s="5">
        <f t="shared" si="1"/>
        <v>53933.7</v>
      </c>
      <c r="C29" s="5">
        <v>35117.03</v>
      </c>
      <c r="D29" s="5">
        <f t="shared" si="2"/>
        <v>-202262.23</v>
      </c>
      <c r="E29" s="5">
        <f t="shared" si="3"/>
        <v>-11.79</v>
      </c>
      <c r="F29" s="5">
        <v>10000.0</v>
      </c>
      <c r="G29" s="5">
        <f t="shared" si="4"/>
        <v>790000</v>
      </c>
      <c r="H29" s="5">
        <f>2669+1841.3+887.4</f>
        <v>5397.7</v>
      </c>
      <c r="I29" s="5">
        <f t="shared" si="5"/>
        <v>778696.62</v>
      </c>
    </row>
    <row r="30" ht="15.75" customHeight="1">
      <c r="A30" s="6">
        <v>42147.0</v>
      </c>
      <c r="B30" s="5">
        <f t="shared" si="1"/>
        <v>58536</v>
      </c>
      <c r="C30" s="5">
        <f>19200+7544.4+12957.4+93.22</f>
        <v>39795.02</v>
      </c>
      <c r="D30" s="5">
        <f t="shared" si="2"/>
        <v>-202186.54</v>
      </c>
      <c r="E30" s="5">
        <f t="shared" si="3"/>
        <v>75.69</v>
      </c>
      <c r="F30" s="5"/>
      <c r="G30" s="5">
        <f t="shared" si="4"/>
        <v>790000</v>
      </c>
      <c r="H30" s="5">
        <f>2365+1786+790.13</f>
        <v>4941.13</v>
      </c>
      <c r="I30" s="5">
        <f t="shared" si="5"/>
        <v>783637.75</v>
      </c>
    </row>
    <row r="31" ht="15.75" customHeight="1">
      <c r="A31" s="6">
        <v>42148.0</v>
      </c>
      <c r="B31" s="5">
        <f t="shared" si="1"/>
        <v>53594.87</v>
      </c>
      <c r="C31" s="5">
        <f>17436.4+5020+12153.85+55.93</f>
        <v>34666.18</v>
      </c>
      <c r="D31" s="5">
        <f t="shared" si="2"/>
        <v>-202374.25</v>
      </c>
      <c r="E31" s="5">
        <f t="shared" si="3"/>
        <v>-187.71</v>
      </c>
      <c r="F31" s="5"/>
      <c r="G31" s="5">
        <f t="shared" si="4"/>
        <v>790000</v>
      </c>
      <c r="H31" s="5">
        <f>2290+1335.32+585.55</f>
        <v>4210.87</v>
      </c>
      <c r="I31" s="5">
        <f t="shared" si="5"/>
        <v>787848.62</v>
      </c>
    </row>
    <row r="32" ht="15.75" customHeight="1">
      <c r="A32" s="6">
        <v>42149.0</v>
      </c>
      <c r="B32" s="5">
        <f t="shared" si="1"/>
        <v>49384</v>
      </c>
      <c r="C32" s="5">
        <v>30303.58</v>
      </c>
      <c r="D32" s="5">
        <f t="shared" si="2"/>
        <v>-202525.98</v>
      </c>
      <c r="E32" s="5">
        <f t="shared" si="3"/>
        <v>-151.73</v>
      </c>
      <c r="F32" s="5"/>
      <c r="G32" s="5">
        <f t="shared" si="4"/>
        <v>790000</v>
      </c>
      <c r="H32" s="5">
        <v>5562.72</v>
      </c>
      <c r="I32" s="5">
        <f t="shared" si="5"/>
        <v>793411.34</v>
      </c>
    </row>
    <row r="33" ht="15.75" customHeight="1">
      <c r="A33" s="6">
        <v>42150.0</v>
      </c>
      <c r="B33" s="5">
        <f t="shared" si="1"/>
        <v>43821.28</v>
      </c>
      <c r="C33" s="5">
        <v>24256.83</v>
      </c>
      <c r="D33" s="5">
        <f t="shared" si="2"/>
        <v>-203010.01</v>
      </c>
      <c r="E33" s="5">
        <f t="shared" si="3"/>
        <v>-484.03</v>
      </c>
      <c r="F33" s="5">
        <v>10000.0</v>
      </c>
      <c r="G33" s="5">
        <f t="shared" si="4"/>
        <v>800000</v>
      </c>
      <c r="H33" s="5">
        <v>7125.62</v>
      </c>
      <c r="I33" s="5">
        <f t="shared" si="5"/>
        <v>800536.96</v>
      </c>
    </row>
    <row r="34" ht="15.75" customHeight="1">
      <c r="A34" s="6">
        <v>42151.0</v>
      </c>
      <c r="B34" s="5">
        <f t="shared" si="1"/>
        <v>46695.66</v>
      </c>
      <c r="C34" s="5">
        <v>27231.48</v>
      </c>
      <c r="D34" s="5">
        <f t="shared" si="2"/>
        <v>-202909.74</v>
      </c>
      <c r="E34" s="5">
        <f t="shared" si="3"/>
        <v>100.27</v>
      </c>
      <c r="F34" s="5">
        <v>10000.0</v>
      </c>
      <c r="G34" s="5">
        <f t="shared" si="4"/>
        <v>810000</v>
      </c>
      <c r="H34" s="5">
        <v>5719.37</v>
      </c>
      <c r="I34" s="5">
        <f t="shared" si="5"/>
        <v>806256.33</v>
      </c>
    </row>
    <row r="35" ht="15.75" customHeight="1">
      <c r="A35" s="6">
        <v>42152.0</v>
      </c>
      <c r="B35" s="5">
        <f t="shared" si="1"/>
        <v>50976.29</v>
      </c>
      <c r="C35" s="5">
        <f>14778.9+6560+10181.8+55.93</f>
        <v>31576.63</v>
      </c>
      <c r="D35" s="5">
        <f t="shared" si="2"/>
        <v>-202845.22</v>
      </c>
      <c r="E35" s="5">
        <f t="shared" si="3"/>
        <v>64.52</v>
      </c>
      <c r="F35" s="5">
        <v>10000.0</v>
      </c>
      <c r="G35" s="5">
        <f t="shared" si="4"/>
        <v>820000</v>
      </c>
      <c r="H35" s="5">
        <v>6850.77</v>
      </c>
      <c r="I35" s="5">
        <f t="shared" si="5"/>
        <v>813107.1</v>
      </c>
    </row>
    <row r="36" ht="15.75" customHeight="1">
      <c r="A36" s="6">
        <v>42153.0</v>
      </c>
      <c r="B36" s="5">
        <f t="shared" si="1"/>
        <v>54125.52</v>
      </c>
      <c r="C36" s="5">
        <v>34769.5</v>
      </c>
      <c r="D36" s="5">
        <f t="shared" si="2"/>
        <v>-202801.58</v>
      </c>
      <c r="E36" s="5">
        <f t="shared" si="3"/>
        <v>43.64</v>
      </c>
      <c r="F36" s="5">
        <v>10000.0</v>
      </c>
      <c r="G36" s="5">
        <f t="shared" si="4"/>
        <v>830000</v>
      </c>
      <c r="H36" s="5">
        <v>5842.22</v>
      </c>
      <c r="I36" s="5">
        <f t="shared" si="5"/>
        <v>818949.32</v>
      </c>
    </row>
    <row r="37" ht="15.75" customHeight="1">
      <c r="A37" s="6">
        <v>42154.0</v>
      </c>
      <c r="B37" s="5">
        <f t="shared" si="1"/>
        <v>58283.3</v>
      </c>
      <c r="C37" s="5">
        <v>38880.13</v>
      </c>
      <c r="D37" s="5">
        <f t="shared" si="2"/>
        <v>-202848.73</v>
      </c>
      <c r="E37" s="5">
        <f t="shared" si="3"/>
        <v>-47.15</v>
      </c>
      <c r="F37" s="5"/>
      <c r="G37" s="5">
        <f t="shared" si="4"/>
        <v>830000</v>
      </c>
      <c r="H37" s="5">
        <v>4922.06</v>
      </c>
      <c r="I37" s="5">
        <f t="shared" si="5"/>
        <v>823871.38</v>
      </c>
    </row>
    <row r="38" ht="15.75" customHeight="1">
      <c r="A38" s="6">
        <v>42155.0</v>
      </c>
      <c r="B38" s="5">
        <f t="shared" si="1"/>
        <v>53361.24</v>
      </c>
      <c r="C38" s="5">
        <v>33766.11</v>
      </c>
      <c r="D38" s="5">
        <f t="shared" si="2"/>
        <v>-203040.69</v>
      </c>
      <c r="E38" s="5">
        <f t="shared" si="3"/>
        <v>-191.96</v>
      </c>
      <c r="F38" s="5"/>
      <c r="G38" s="5">
        <f t="shared" si="4"/>
        <v>830000</v>
      </c>
      <c r="H38" s="5">
        <f>2219+1048.33+438.23</f>
        <v>3705.56</v>
      </c>
      <c r="I38" s="5">
        <f t="shared" si="5"/>
        <v>827576.94</v>
      </c>
    </row>
    <row r="39" ht="15.75" customHeight="1">
      <c r="A39" s="6">
        <v>42156.0</v>
      </c>
      <c r="B39" s="5">
        <f t="shared" si="1"/>
        <v>49655.68</v>
      </c>
      <c r="C39" s="5">
        <v>29844.93</v>
      </c>
      <c r="D39" s="5">
        <f t="shared" si="2"/>
        <v>-203256.31</v>
      </c>
      <c r="E39" s="5">
        <f t="shared" si="3"/>
        <v>-215.62</v>
      </c>
      <c r="F39" s="5"/>
      <c r="G39" s="5">
        <f t="shared" si="4"/>
        <v>830000</v>
      </c>
      <c r="H39" s="5">
        <v>5406.312</v>
      </c>
      <c r="I39" s="5">
        <f t="shared" si="5"/>
        <v>832983.252</v>
      </c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</row>
    <row r="41" ht="15.75" customHeight="1">
      <c r="A41" s="5"/>
      <c r="B41" s="5"/>
      <c r="C41" s="5"/>
      <c r="D41" s="5"/>
      <c r="E41" s="5">
        <f>SUM(E8:E39)</f>
        <v>-2950.22</v>
      </c>
      <c r="F41" s="5"/>
      <c r="G41" s="5"/>
      <c r="H41" s="5"/>
      <c r="I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7"/>
      <c r="J42" s="5"/>
      <c r="K42" s="5" t="s">
        <v>12</v>
      </c>
    </row>
    <row r="43" ht="15.75" customHeight="1">
      <c r="A43" s="5"/>
      <c r="B43" s="5"/>
      <c r="C43" s="5"/>
      <c r="D43" s="5"/>
      <c r="E43" s="5"/>
      <c r="F43" s="5">
        <v>160000.0</v>
      </c>
      <c r="G43" s="5"/>
      <c r="H43" s="5">
        <f>SUM(H8:H39)</f>
        <v>179977.002</v>
      </c>
      <c r="I43" s="7"/>
      <c r="J43" s="5" t="s">
        <v>13</v>
      </c>
      <c r="K43" s="5">
        <f>5121.782</f>
        <v>5121.782</v>
      </c>
    </row>
    <row r="44" ht="15.75" customHeight="1">
      <c r="A44" s="5"/>
      <c r="B44" s="5"/>
      <c r="C44" s="5"/>
      <c r="D44" s="5"/>
      <c r="E44" s="5"/>
      <c r="F44" s="5"/>
      <c r="G44" s="5"/>
      <c r="H44" s="5"/>
      <c r="I44" s="7"/>
      <c r="J44" s="5" t="s">
        <v>14</v>
      </c>
      <c r="K44" s="5">
        <v>5601.1</v>
      </c>
    </row>
    <row r="45" ht="15.75" customHeight="1">
      <c r="A45" s="5"/>
      <c r="B45" s="5" t="s">
        <v>15</v>
      </c>
      <c r="C45" s="5"/>
      <c r="D45" s="5">
        <v>1.38</v>
      </c>
      <c r="E45" s="5"/>
      <c r="F45" s="5"/>
      <c r="G45" s="5"/>
      <c r="H45" s="5"/>
      <c r="I45" s="7"/>
      <c r="J45" s="5" t="s">
        <v>16</v>
      </c>
      <c r="K45" s="5">
        <v>5681.1</v>
      </c>
    </row>
    <row r="46" ht="15.75" customHeight="1">
      <c r="A46" s="5"/>
      <c r="B46" s="5" t="s">
        <v>17</v>
      </c>
      <c r="C46" s="5"/>
      <c r="D46" s="5">
        <f>AVERAGE(H8:H38)</f>
        <v>5631.312581</v>
      </c>
      <c r="E46" s="5"/>
      <c r="F46" s="5"/>
      <c r="G46" s="5"/>
      <c r="H46" s="5"/>
      <c r="I46" s="7"/>
      <c r="J46" s="5" t="s">
        <v>18</v>
      </c>
      <c r="K46" s="5">
        <v>5608.0</v>
      </c>
    </row>
    <row r="47" ht="15.75" customHeight="1">
      <c r="J47" s="5" t="s">
        <v>19</v>
      </c>
      <c r="K47" s="5">
        <f>D46</f>
        <v>5631.312581</v>
      </c>
    </row>
    <row r="48" ht="15.75" customHeight="1">
      <c r="J48" s="5" t="s">
        <v>20</v>
      </c>
      <c r="K48" s="5"/>
    </row>
    <row r="49" ht="15.75" customHeight="1">
      <c r="J49" s="5" t="s">
        <v>21</v>
      </c>
      <c r="K49" s="5"/>
    </row>
    <row r="50" ht="15.75" customHeight="1">
      <c r="J50" s="5" t="s">
        <v>22</v>
      </c>
      <c r="K50" s="5"/>
    </row>
    <row r="51" ht="15.75" customHeight="1">
      <c r="J51" s="5" t="s">
        <v>23</v>
      </c>
      <c r="K51" s="5"/>
    </row>
    <row r="52" ht="15.75" customHeight="1">
      <c r="J52" s="5" t="s">
        <v>24</v>
      </c>
      <c r="K52" s="5"/>
    </row>
    <row r="53" ht="15.75" customHeight="1">
      <c r="J53" s="5" t="s">
        <v>25</v>
      </c>
      <c r="K53" s="5"/>
    </row>
    <row r="54" ht="15.75" customHeight="1">
      <c r="J54" s="5" t="s">
        <v>26</v>
      </c>
      <c r="K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68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6.14"/>
    <col customWidth="1" min="3" max="3" width="14.71"/>
    <col customWidth="1" min="4" max="4" width="18.14"/>
    <col customWidth="1" min="5" max="5" width="13.0"/>
    <col customWidth="1" min="6" max="6" width="14.0"/>
    <col customWidth="1" min="7" max="7" width="14.43"/>
    <col customWidth="1" min="8" max="8" width="12.57"/>
    <col customWidth="1" min="9" max="9" width="14.43"/>
    <col customWidth="1" min="10" max="26" width="8.71"/>
  </cols>
  <sheetData>
    <row r="2">
      <c r="D2" s="8" t="s">
        <v>1</v>
      </c>
    </row>
    <row r="3">
      <c r="A3" s="1"/>
      <c r="D3" s="9" t="s">
        <v>0</v>
      </c>
    </row>
    <row r="4">
      <c r="A4" s="10"/>
      <c r="B4" s="11"/>
      <c r="C4" s="11"/>
      <c r="D4" s="8" t="s">
        <v>29</v>
      </c>
      <c r="H4" s="11"/>
      <c r="I4" s="11"/>
    </row>
    <row r="5">
      <c r="A5" s="11"/>
      <c r="B5" s="11"/>
      <c r="C5" s="11"/>
      <c r="D5" s="11"/>
      <c r="E5" s="11"/>
      <c r="F5" s="11"/>
      <c r="G5" s="11"/>
      <c r="H5" s="11"/>
      <c r="I5" s="11"/>
    </row>
    <row r="6">
      <c r="A6" s="12" t="s">
        <v>3</v>
      </c>
      <c r="B6" s="13" t="s">
        <v>30</v>
      </c>
      <c r="C6" s="13" t="s">
        <v>5</v>
      </c>
      <c r="D6" s="13" t="s">
        <v>31</v>
      </c>
      <c r="E6" s="13" t="s">
        <v>32</v>
      </c>
      <c r="F6" s="13" t="s">
        <v>8</v>
      </c>
      <c r="G6" s="13" t="s">
        <v>33</v>
      </c>
      <c r="H6" s="13" t="s">
        <v>10</v>
      </c>
      <c r="I6" s="14" t="s">
        <v>34</v>
      </c>
    </row>
    <row r="7">
      <c r="A7" s="15"/>
      <c r="B7" s="16"/>
      <c r="C7" s="16"/>
      <c r="D7" s="16"/>
      <c r="E7" s="16"/>
      <c r="F7" s="16"/>
      <c r="G7" s="16"/>
      <c r="H7" s="16"/>
      <c r="I7" s="17"/>
    </row>
    <row r="8">
      <c r="A8" s="18">
        <v>42156.0</v>
      </c>
      <c r="B8" s="16">
        <v>49655.68</v>
      </c>
      <c r="C8" s="16">
        <v>29844.93</v>
      </c>
      <c r="D8" s="16">
        <v>-203256.03</v>
      </c>
      <c r="E8" s="16">
        <v>-215.62</v>
      </c>
      <c r="F8" s="16"/>
      <c r="G8" s="16">
        <v>830000.0</v>
      </c>
      <c r="H8" s="16">
        <v>5406.31</v>
      </c>
      <c r="I8" s="16">
        <v>832983.0</v>
      </c>
    </row>
    <row r="9">
      <c r="A9" s="18">
        <v>42157.0</v>
      </c>
      <c r="B9" s="16">
        <f t="shared" ref="B9:B38" si="1">B8-H8+F8</f>
        <v>44249.37</v>
      </c>
      <c r="C9" s="16">
        <v>24103.73</v>
      </c>
      <c r="D9" s="16">
        <f t="shared" ref="D9:D38" si="2">D8+E9</f>
        <v>-203590.92</v>
      </c>
      <c r="E9" s="16">
        <f t="shared" ref="E9:E38" si="3">C9+H8-C8-F8</f>
        <v>-334.89</v>
      </c>
      <c r="F9" s="16"/>
      <c r="G9" s="16">
        <f t="shared" ref="G9:G38" si="4">G8+F9</f>
        <v>830000</v>
      </c>
      <c r="H9" s="16">
        <v>6971.26</v>
      </c>
      <c r="I9" s="16">
        <f t="shared" ref="I9:I38" si="5">I8++H9</f>
        <v>839954.26</v>
      </c>
    </row>
    <row r="10">
      <c r="A10" s="18">
        <v>42158.0</v>
      </c>
      <c r="B10" s="16">
        <f t="shared" si="1"/>
        <v>37278.11</v>
      </c>
      <c r="C10" s="16">
        <v>16727.37</v>
      </c>
      <c r="D10" s="16">
        <f t="shared" si="2"/>
        <v>-203996.02</v>
      </c>
      <c r="E10" s="16">
        <f t="shared" si="3"/>
        <v>-405.1</v>
      </c>
      <c r="F10" s="16">
        <v>10000.0</v>
      </c>
      <c r="G10" s="16">
        <f t="shared" si="4"/>
        <v>840000</v>
      </c>
      <c r="H10" s="16">
        <v>8070.08</v>
      </c>
      <c r="I10" s="16">
        <f t="shared" si="5"/>
        <v>848024.34</v>
      </c>
    </row>
    <row r="11">
      <c r="A11" s="18">
        <v>42159.0</v>
      </c>
      <c r="B11" s="16">
        <f t="shared" si="1"/>
        <v>39208.03</v>
      </c>
      <c r="C11" s="16">
        <f>8070.6+3756.25+7163.6+58.12</f>
        <v>19048.57</v>
      </c>
      <c r="D11" s="16">
        <f t="shared" si="2"/>
        <v>-203604.74</v>
      </c>
      <c r="E11" s="16">
        <f t="shared" si="3"/>
        <v>391.28</v>
      </c>
      <c r="F11" s="16">
        <v>10000.0</v>
      </c>
      <c r="G11" s="16">
        <f t="shared" si="4"/>
        <v>850000</v>
      </c>
      <c r="H11" s="16">
        <v>6634.59</v>
      </c>
      <c r="I11" s="16">
        <f t="shared" si="5"/>
        <v>854658.93</v>
      </c>
    </row>
    <row r="12">
      <c r="A12" s="18">
        <v>42160.0</v>
      </c>
      <c r="B12" s="16">
        <f t="shared" si="1"/>
        <v>42573.44</v>
      </c>
      <c r="C12" s="16">
        <v>22419.82</v>
      </c>
      <c r="D12" s="16">
        <f t="shared" si="2"/>
        <v>-203598.9</v>
      </c>
      <c r="E12" s="16">
        <f t="shared" si="3"/>
        <v>5.84</v>
      </c>
      <c r="F12" s="16">
        <v>10000.0</v>
      </c>
      <c r="G12" s="16">
        <f t="shared" si="4"/>
        <v>860000</v>
      </c>
      <c r="H12" s="16">
        <f>3301+2252.26+1121.45</f>
        <v>6674.71</v>
      </c>
      <c r="I12" s="16">
        <f t="shared" si="5"/>
        <v>861333.64</v>
      </c>
    </row>
    <row r="13">
      <c r="A13" s="18">
        <v>42161.0</v>
      </c>
      <c r="B13" s="16">
        <f t="shared" si="1"/>
        <v>45898.73</v>
      </c>
      <c r="C13" s="16">
        <f>12066.7+7152.94+6352+55.93</f>
        <v>25627.57</v>
      </c>
      <c r="D13" s="16">
        <f t="shared" si="2"/>
        <v>-203716.44</v>
      </c>
      <c r="E13" s="16">
        <f t="shared" si="3"/>
        <v>-117.54</v>
      </c>
      <c r="F13" s="16"/>
      <c r="G13" s="16">
        <f t="shared" si="4"/>
        <v>860000</v>
      </c>
      <c r="H13" s="16">
        <v>5759.11</v>
      </c>
      <c r="I13" s="16">
        <f t="shared" si="5"/>
        <v>867092.75</v>
      </c>
    </row>
    <row r="14">
      <c r="A14" s="18">
        <v>42162.0</v>
      </c>
      <c r="B14" s="16">
        <f t="shared" si="1"/>
        <v>40139.62</v>
      </c>
      <c r="C14" s="16">
        <v>19546.53</v>
      </c>
      <c r="D14" s="16">
        <f t="shared" si="2"/>
        <v>-204038.37</v>
      </c>
      <c r="E14" s="16">
        <f t="shared" si="3"/>
        <v>-321.93</v>
      </c>
      <c r="F14" s="16"/>
      <c r="G14" s="16">
        <f t="shared" si="4"/>
        <v>860000</v>
      </c>
      <c r="H14" s="16">
        <f>2393+290.92+1528.05</f>
        <v>4211.97</v>
      </c>
      <c r="I14" s="16">
        <f t="shared" si="5"/>
        <v>871304.72</v>
      </c>
    </row>
    <row r="15">
      <c r="A15" s="18">
        <v>42163.0</v>
      </c>
      <c r="B15" s="16">
        <f t="shared" si="1"/>
        <v>35927.65</v>
      </c>
      <c r="C15" s="16">
        <v>15282.23</v>
      </c>
      <c r="D15" s="16">
        <f t="shared" si="2"/>
        <v>-204090.7</v>
      </c>
      <c r="E15" s="16">
        <f t="shared" si="3"/>
        <v>-52.33</v>
      </c>
      <c r="F15" s="16">
        <v>10000.0</v>
      </c>
      <c r="G15" s="16">
        <f t="shared" si="4"/>
        <v>870000</v>
      </c>
      <c r="H15" s="16">
        <v>7212.73</v>
      </c>
      <c r="I15" s="16">
        <f t="shared" si="5"/>
        <v>878517.45</v>
      </c>
    </row>
    <row r="16">
      <c r="A16" s="18">
        <v>42164.0</v>
      </c>
      <c r="B16" s="16">
        <f t="shared" si="1"/>
        <v>38714.92</v>
      </c>
      <c r="C16" s="16">
        <v>18224.19</v>
      </c>
      <c r="D16" s="16">
        <f t="shared" si="2"/>
        <v>-203936.01</v>
      </c>
      <c r="E16" s="16">
        <f t="shared" si="3"/>
        <v>154.69</v>
      </c>
      <c r="F16" s="16"/>
      <c r="G16" s="16">
        <f t="shared" si="4"/>
        <v>870000</v>
      </c>
      <c r="H16" s="16">
        <f>3382+2177.41+1573.5</f>
        <v>7132.91</v>
      </c>
      <c r="I16" s="16">
        <f t="shared" si="5"/>
        <v>885650.36</v>
      </c>
    </row>
    <row r="17">
      <c r="A17" s="18">
        <v>42165.0</v>
      </c>
      <c r="B17" s="16">
        <f t="shared" si="1"/>
        <v>31582.01</v>
      </c>
      <c r="C17" s="16">
        <f>5350+4700+900+55.93</f>
        <v>11005.93</v>
      </c>
      <c r="D17" s="16">
        <f t="shared" si="2"/>
        <v>-204021.36</v>
      </c>
      <c r="E17" s="16">
        <f t="shared" si="3"/>
        <v>-85.35</v>
      </c>
      <c r="F17" s="16">
        <v>20000.0</v>
      </c>
      <c r="G17" s="16">
        <f t="shared" si="4"/>
        <v>890000</v>
      </c>
      <c r="H17" s="16">
        <v>6591.16</v>
      </c>
      <c r="I17" s="16">
        <f t="shared" si="5"/>
        <v>892241.52</v>
      </c>
    </row>
    <row r="18">
      <c r="A18" s="18">
        <v>42166.0</v>
      </c>
      <c r="B18" s="16">
        <f t="shared" si="1"/>
        <v>44990.85</v>
      </c>
      <c r="C18" s="16">
        <f>7470.6+7223.1+9338.5+55.96</f>
        <v>24088.16</v>
      </c>
      <c r="D18" s="16">
        <f t="shared" si="2"/>
        <v>-204347.97</v>
      </c>
      <c r="E18" s="16">
        <f t="shared" si="3"/>
        <v>-326.61</v>
      </c>
      <c r="F18" s="16"/>
      <c r="G18" s="16">
        <f t="shared" si="4"/>
        <v>890000</v>
      </c>
      <c r="H18" s="16">
        <v>6410.03</v>
      </c>
      <c r="I18" s="16">
        <f t="shared" si="5"/>
        <v>898651.55</v>
      </c>
    </row>
    <row r="19">
      <c r="A19" s="18">
        <v>42167.0</v>
      </c>
      <c r="B19" s="16">
        <f t="shared" si="1"/>
        <v>38580.82</v>
      </c>
      <c r="C19" s="16">
        <v>17384.4</v>
      </c>
      <c r="D19" s="16">
        <f t="shared" si="2"/>
        <v>-204641.7</v>
      </c>
      <c r="E19" s="16">
        <f t="shared" si="3"/>
        <v>-293.73</v>
      </c>
      <c r="F19" s="16">
        <v>20000.0</v>
      </c>
      <c r="G19" s="16">
        <f t="shared" si="4"/>
        <v>910000</v>
      </c>
      <c r="H19" s="16">
        <v>5688.12</v>
      </c>
      <c r="I19" s="16">
        <f t="shared" si="5"/>
        <v>904339.67</v>
      </c>
    </row>
    <row r="20">
      <c r="A20" s="18">
        <v>42168.0</v>
      </c>
      <c r="B20" s="16">
        <f t="shared" si="1"/>
        <v>52892.7</v>
      </c>
      <c r="C20" s="16">
        <v>31842.23</v>
      </c>
      <c r="D20" s="16">
        <f t="shared" si="2"/>
        <v>-204495.75</v>
      </c>
      <c r="E20" s="16">
        <f t="shared" si="3"/>
        <v>145.95</v>
      </c>
      <c r="F20" s="16"/>
      <c r="G20" s="16">
        <f t="shared" si="4"/>
        <v>910000</v>
      </c>
      <c r="H20" s="16">
        <v>5462.13</v>
      </c>
      <c r="I20" s="16">
        <f t="shared" si="5"/>
        <v>909801.8</v>
      </c>
    </row>
    <row r="21" ht="15.75" customHeight="1">
      <c r="A21" s="18">
        <v>42169.0</v>
      </c>
      <c r="B21" s="16">
        <f t="shared" si="1"/>
        <v>47430.57</v>
      </c>
      <c r="C21" s="16">
        <v>26146.63</v>
      </c>
      <c r="D21" s="16">
        <f t="shared" si="2"/>
        <v>-204729.22</v>
      </c>
      <c r="E21" s="16">
        <f t="shared" si="3"/>
        <v>-233.47</v>
      </c>
      <c r="F21" s="16"/>
      <c r="G21" s="16">
        <f t="shared" si="4"/>
        <v>910000</v>
      </c>
      <c r="H21" s="16">
        <v>4438.3</v>
      </c>
      <c r="I21" s="16">
        <f t="shared" si="5"/>
        <v>914240.1</v>
      </c>
    </row>
    <row r="22" ht="15.75" customHeight="1">
      <c r="A22" s="18">
        <v>42170.0</v>
      </c>
      <c r="B22" s="16">
        <f t="shared" si="1"/>
        <v>42992.27</v>
      </c>
      <c r="C22" s="16">
        <v>21491.83</v>
      </c>
      <c r="D22" s="16">
        <f t="shared" si="2"/>
        <v>-204945.72</v>
      </c>
      <c r="E22" s="16">
        <f t="shared" si="3"/>
        <v>-216.5</v>
      </c>
      <c r="F22" s="16">
        <v>10000.0</v>
      </c>
      <c r="G22" s="16">
        <f t="shared" si="4"/>
        <v>920000</v>
      </c>
      <c r="H22" s="16">
        <v>6739.55</v>
      </c>
      <c r="I22" s="16">
        <f t="shared" si="5"/>
        <v>920979.65</v>
      </c>
    </row>
    <row r="23" ht="15.75" customHeight="1">
      <c r="A23" s="18">
        <v>42171.0</v>
      </c>
      <c r="B23" s="16">
        <f t="shared" si="1"/>
        <v>46252.72</v>
      </c>
      <c r="C23" s="16">
        <v>25033.032</v>
      </c>
      <c r="D23" s="16">
        <f t="shared" si="2"/>
        <v>-204664.968</v>
      </c>
      <c r="E23" s="16">
        <f t="shared" si="3"/>
        <v>280.752</v>
      </c>
      <c r="F23" s="16"/>
      <c r="G23" s="16">
        <f t="shared" si="4"/>
        <v>920000</v>
      </c>
      <c r="H23" s="16">
        <v>7135.45</v>
      </c>
      <c r="I23" s="16">
        <f t="shared" si="5"/>
        <v>928115.1</v>
      </c>
    </row>
    <row r="24" ht="15.75" customHeight="1">
      <c r="A24" s="18">
        <v>42172.0</v>
      </c>
      <c r="B24" s="16">
        <f t="shared" si="1"/>
        <v>39117.27</v>
      </c>
      <c r="C24" s="16">
        <v>17541.23</v>
      </c>
      <c r="D24" s="16">
        <f t="shared" si="2"/>
        <v>-205021.32</v>
      </c>
      <c r="E24" s="16">
        <f t="shared" si="3"/>
        <v>-356.352</v>
      </c>
      <c r="F24" s="16">
        <v>10000.0</v>
      </c>
      <c r="G24" s="16">
        <f t="shared" si="4"/>
        <v>930000</v>
      </c>
      <c r="H24" s="16">
        <f>3516+1804.3+1273.15</f>
        <v>6593.45</v>
      </c>
      <c r="I24" s="16">
        <f t="shared" si="5"/>
        <v>934708.55</v>
      </c>
    </row>
    <row r="25" ht="15.75" customHeight="1">
      <c r="A25" s="18">
        <v>42173.0</v>
      </c>
      <c r="B25" s="16">
        <f t="shared" si="1"/>
        <v>42523.82</v>
      </c>
      <c r="C25" s="16">
        <f>9000+7926.32+4125+55.93</f>
        <v>21107.25</v>
      </c>
      <c r="D25" s="16">
        <f t="shared" si="2"/>
        <v>-204861.85</v>
      </c>
      <c r="E25" s="16">
        <f t="shared" si="3"/>
        <v>159.47</v>
      </c>
      <c r="F25" s="16">
        <v>10000.0</v>
      </c>
      <c r="G25" s="16">
        <f t="shared" si="4"/>
        <v>940000</v>
      </c>
      <c r="H25" s="16">
        <v>6321.86</v>
      </c>
      <c r="I25" s="16">
        <f t="shared" si="5"/>
        <v>941030.41</v>
      </c>
    </row>
    <row r="26" ht="15.75" customHeight="1">
      <c r="A26" s="18">
        <v>42174.0</v>
      </c>
      <c r="B26" s="16">
        <f t="shared" si="1"/>
        <v>46201.96</v>
      </c>
      <c r="C26" s="16">
        <v>24577.4</v>
      </c>
      <c r="D26" s="16">
        <f t="shared" si="2"/>
        <v>-205069.84</v>
      </c>
      <c r="E26" s="16">
        <f t="shared" si="3"/>
        <v>-207.99</v>
      </c>
      <c r="F26" s="16">
        <v>10000.0</v>
      </c>
      <c r="G26" s="16">
        <f t="shared" si="4"/>
        <v>950000</v>
      </c>
      <c r="H26" s="16">
        <v>5769.95</v>
      </c>
      <c r="I26" s="16">
        <f t="shared" si="5"/>
        <v>946800.36</v>
      </c>
    </row>
    <row r="27" ht="15.75" customHeight="1">
      <c r="A27" s="18">
        <v>42175.0</v>
      </c>
      <c r="B27" s="16">
        <f t="shared" si="1"/>
        <v>50432.01</v>
      </c>
      <c r="C27" s="16">
        <f>13050+8100+7730.43+55.93</f>
        <v>28936.36</v>
      </c>
      <c r="D27" s="16">
        <f t="shared" si="2"/>
        <v>-204940.93</v>
      </c>
      <c r="E27" s="16">
        <f t="shared" si="3"/>
        <v>128.91</v>
      </c>
      <c r="F27" s="16"/>
      <c r="G27" s="16">
        <f t="shared" si="4"/>
        <v>950000</v>
      </c>
      <c r="H27" s="16">
        <v>5036.69</v>
      </c>
      <c r="I27" s="16">
        <f t="shared" si="5"/>
        <v>951837.05</v>
      </c>
    </row>
    <row r="28" ht="15.75" customHeight="1">
      <c r="A28" s="18">
        <v>42176.0</v>
      </c>
      <c r="B28" s="16">
        <f t="shared" si="1"/>
        <v>45395.32</v>
      </c>
      <c r="C28" s="16">
        <v>23697.2</v>
      </c>
      <c r="D28" s="16">
        <f t="shared" si="2"/>
        <v>-205143.4</v>
      </c>
      <c r="E28" s="16">
        <f t="shared" si="3"/>
        <v>-202.47</v>
      </c>
      <c r="F28" s="16"/>
      <c r="G28" s="16">
        <f t="shared" si="4"/>
        <v>950000</v>
      </c>
      <c r="H28" s="16">
        <v>4055.9</v>
      </c>
      <c r="I28" s="16">
        <f t="shared" si="5"/>
        <v>955892.95</v>
      </c>
    </row>
    <row r="29" ht="15.75" customHeight="1">
      <c r="A29" s="18">
        <v>42177.0</v>
      </c>
      <c r="B29" s="16">
        <f t="shared" si="1"/>
        <v>41339.42</v>
      </c>
      <c r="C29" s="16">
        <v>19459.0</v>
      </c>
      <c r="D29" s="16">
        <f t="shared" si="2"/>
        <v>-205325.7</v>
      </c>
      <c r="E29" s="16">
        <f t="shared" si="3"/>
        <v>-182.3</v>
      </c>
      <c r="F29" s="16">
        <v>10000.0</v>
      </c>
      <c r="G29" s="16">
        <f t="shared" si="4"/>
        <v>960000</v>
      </c>
      <c r="H29" s="16">
        <v>6746.71</v>
      </c>
      <c r="I29" s="16">
        <f t="shared" si="5"/>
        <v>962639.66</v>
      </c>
    </row>
    <row r="30" ht="15.75" customHeight="1">
      <c r="A30" s="18">
        <v>42178.0</v>
      </c>
      <c r="B30" s="16">
        <f t="shared" si="1"/>
        <v>44592.71</v>
      </c>
      <c r="C30" s="16">
        <v>22851.33</v>
      </c>
      <c r="D30" s="16">
        <f t="shared" si="2"/>
        <v>-205186.66</v>
      </c>
      <c r="E30" s="16">
        <f t="shared" si="3"/>
        <v>139.04</v>
      </c>
      <c r="F30" s="16">
        <v>10000.0</v>
      </c>
      <c r="G30" s="16">
        <f t="shared" si="4"/>
        <v>970000</v>
      </c>
      <c r="H30" s="16">
        <v>6761.97</v>
      </c>
      <c r="I30" s="16">
        <f t="shared" si="5"/>
        <v>969401.63</v>
      </c>
    </row>
    <row r="31" ht="15.75" customHeight="1">
      <c r="A31" s="18">
        <v>42179.0</v>
      </c>
      <c r="B31" s="16">
        <f t="shared" si="1"/>
        <v>47830.74</v>
      </c>
      <c r="C31" s="16">
        <v>26212.43</v>
      </c>
      <c r="D31" s="16">
        <f t="shared" si="2"/>
        <v>-205063.59</v>
      </c>
      <c r="E31" s="16">
        <f t="shared" si="3"/>
        <v>123.07</v>
      </c>
      <c r="F31" s="16">
        <v>10000.0</v>
      </c>
      <c r="G31" s="16">
        <f t="shared" si="4"/>
        <v>980000</v>
      </c>
      <c r="H31" s="16">
        <v>6623.56</v>
      </c>
      <c r="I31" s="16">
        <f t="shared" si="5"/>
        <v>976025.19</v>
      </c>
    </row>
    <row r="32" ht="15.75" customHeight="1">
      <c r="A32" s="18">
        <v>42180.0</v>
      </c>
      <c r="B32" s="16">
        <f t="shared" si="1"/>
        <v>51207.18</v>
      </c>
      <c r="C32" s="16">
        <v>29511.34</v>
      </c>
      <c r="D32" s="16">
        <f t="shared" si="2"/>
        <v>-205141.12</v>
      </c>
      <c r="E32" s="16">
        <f t="shared" si="3"/>
        <v>-77.53</v>
      </c>
      <c r="F32" s="16">
        <v>10000.0</v>
      </c>
      <c r="G32" s="16">
        <f t="shared" si="4"/>
        <v>990000</v>
      </c>
      <c r="H32" s="16">
        <v>6089.86</v>
      </c>
      <c r="I32" s="16">
        <f t="shared" si="5"/>
        <v>982115.05</v>
      </c>
    </row>
    <row r="33" ht="15.75" customHeight="1">
      <c r="A33" s="18">
        <v>42181.0</v>
      </c>
      <c r="B33" s="16">
        <f t="shared" si="1"/>
        <v>55117.32</v>
      </c>
      <c r="C33" s="16">
        <f>16950+7528.24+8750+55.93</f>
        <v>33284.17</v>
      </c>
      <c r="D33" s="16">
        <f t="shared" si="2"/>
        <v>-205278.43</v>
      </c>
      <c r="E33" s="16">
        <f t="shared" si="3"/>
        <v>-137.31</v>
      </c>
      <c r="F33" s="16">
        <v>10000.0</v>
      </c>
      <c r="G33" s="16">
        <f t="shared" si="4"/>
        <v>1000000</v>
      </c>
      <c r="H33" s="16">
        <v>6221.16</v>
      </c>
      <c r="I33" s="16">
        <f t="shared" si="5"/>
        <v>988336.21</v>
      </c>
    </row>
    <row r="34" ht="15.75" customHeight="1">
      <c r="A34" s="18">
        <v>42182.0</v>
      </c>
      <c r="B34" s="16">
        <f t="shared" si="1"/>
        <v>58896.16</v>
      </c>
      <c r="C34" s="16">
        <v>37059.93</v>
      </c>
      <c r="D34" s="16">
        <f t="shared" si="2"/>
        <v>-205281.51</v>
      </c>
      <c r="E34" s="16">
        <f t="shared" si="3"/>
        <v>-3.08</v>
      </c>
      <c r="F34" s="16"/>
      <c r="G34" s="16">
        <f t="shared" si="4"/>
        <v>1000000</v>
      </c>
      <c r="H34" s="16">
        <v>5213.36</v>
      </c>
      <c r="I34" s="16">
        <f t="shared" si="5"/>
        <v>993549.57</v>
      </c>
    </row>
    <row r="35" ht="15.75" customHeight="1">
      <c r="A35" s="18">
        <v>42183.0</v>
      </c>
      <c r="B35" s="16">
        <f t="shared" si="1"/>
        <v>53682.8</v>
      </c>
      <c r="C35" s="16">
        <v>31647.23</v>
      </c>
      <c r="D35" s="16">
        <f t="shared" si="2"/>
        <v>-205480.85</v>
      </c>
      <c r="E35" s="16">
        <f t="shared" si="3"/>
        <v>-199.34</v>
      </c>
      <c r="F35" s="16"/>
      <c r="G35" s="16">
        <f t="shared" si="4"/>
        <v>1000000</v>
      </c>
      <c r="H35" s="16">
        <v>4507.2</v>
      </c>
      <c r="I35" s="16">
        <f t="shared" si="5"/>
        <v>998056.77</v>
      </c>
    </row>
    <row r="36" ht="15.75" customHeight="1">
      <c r="A36" s="18">
        <v>42184.0</v>
      </c>
      <c r="B36" s="16">
        <f t="shared" si="1"/>
        <v>49175.6</v>
      </c>
      <c r="C36" s="16">
        <v>26914.03</v>
      </c>
      <c r="D36" s="16">
        <f t="shared" si="2"/>
        <v>-205706.85</v>
      </c>
      <c r="E36" s="16">
        <f t="shared" si="3"/>
        <v>-226</v>
      </c>
      <c r="F36" s="16">
        <v>10000.0</v>
      </c>
      <c r="G36" s="16">
        <f t="shared" si="4"/>
        <v>1010000</v>
      </c>
      <c r="H36" s="16">
        <f>3395+1912.43+1280.43</f>
        <v>6587.86</v>
      </c>
      <c r="I36" s="16">
        <f t="shared" si="5"/>
        <v>1004644.63</v>
      </c>
    </row>
    <row r="37" ht="15.75" customHeight="1">
      <c r="A37" s="18">
        <v>42185.0</v>
      </c>
      <c r="B37" s="16">
        <f t="shared" si="1"/>
        <v>52587.74</v>
      </c>
      <c r="C37" s="16">
        <v>30453.18</v>
      </c>
      <c r="D37" s="16">
        <f t="shared" si="2"/>
        <v>-205579.84</v>
      </c>
      <c r="E37" s="16">
        <f t="shared" si="3"/>
        <v>127.01</v>
      </c>
      <c r="F37" s="16"/>
      <c r="G37" s="16">
        <f t="shared" si="4"/>
        <v>1010000</v>
      </c>
      <c r="H37" s="16">
        <f>4196+2087.62+1165.28</f>
        <v>7448.9</v>
      </c>
      <c r="I37" s="16">
        <f t="shared" si="5"/>
        <v>1012093.53</v>
      </c>
    </row>
    <row r="38" ht="15.75" customHeight="1">
      <c r="A38" s="18">
        <v>42186.0</v>
      </c>
      <c r="B38" s="16">
        <f t="shared" si="1"/>
        <v>45138.84</v>
      </c>
      <c r="C38" s="16">
        <f>15718+1485+5476.9+62.71</f>
        <v>22742.61</v>
      </c>
      <c r="D38" s="16">
        <f t="shared" si="2"/>
        <v>-205841.51</v>
      </c>
      <c r="E38" s="16">
        <f t="shared" si="3"/>
        <v>-261.67</v>
      </c>
      <c r="F38" s="16"/>
      <c r="G38" s="16">
        <f t="shared" si="4"/>
        <v>1010000</v>
      </c>
      <c r="H38" s="16"/>
      <c r="I38" s="16">
        <f t="shared" si="5"/>
        <v>1012093.53</v>
      </c>
    </row>
    <row r="39" ht="15.75" customHeight="1">
      <c r="A39" s="19" t="s">
        <v>35</v>
      </c>
      <c r="B39" s="5"/>
      <c r="C39" s="5"/>
      <c r="D39" s="5"/>
      <c r="E39" s="20">
        <f>SUM(E8:E38)</f>
        <v>-2801.1</v>
      </c>
      <c r="F39" s="20">
        <v>160000.0</v>
      </c>
      <c r="G39" s="20"/>
      <c r="H39" s="20">
        <f>SUM(H8:H38)</f>
        <v>184516.84</v>
      </c>
      <c r="I39" s="5"/>
    </row>
    <row r="40" ht="15.75" customHeight="1">
      <c r="A40" s="5" t="s">
        <v>36</v>
      </c>
      <c r="B40" s="5"/>
      <c r="C40" s="5"/>
      <c r="D40" s="5"/>
      <c r="E40" s="5">
        <f>AVERAGE(E8:E37)</f>
        <v>-84.64766667</v>
      </c>
      <c r="F40" s="5"/>
      <c r="G40" s="5"/>
      <c r="H40" s="5">
        <f>AVERAGE(H8:H38)</f>
        <v>6150.561333</v>
      </c>
      <c r="I40" s="7"/>
    </row>
    <row r="41" ht="15.75" customHeight="1">
      <c r="H41" s="5"/>
      <c r="I41" s="5" t="s">
        <v>12</v>
      </c>
    </row>
    <row r="42" ht="15.75" customHeight="1">
      <c r="H42" s="5" t="s">
        <v>13</v>
      </c>
      <c r="I42" s="5">
        <f>5121.782</f>
        <v>5121.782</v>
      </c>
    </row>
    <row r="43" ht="15.75" customHeight="1">
      <c r="H43" s="5" t="s">
        <v>14</v>
      </c>
      <c r="I43" s="5">
        <v>5601.1</v>
      </c>
    </row>
    <row r="44" ht="15.75" customHeight="1">
      <c r="H44" s="5" t="s">
        <v>16</v>
      </c>
      <c r="I44" s="5">
        <v>5681.1</v>
      </c>
    </row>
    <row r="45" ht="15.75" customHeight="1">
      <c r="H45" s="5" t="s">
        <v>18</v>
      </c>
      <c r="I45" s="5">
        <v>5608.0</v>
      </c>
    </row>
    <row r="46" ht="15.75" customHeight="1">
      <c r="H46" s="5" t="s">
        <v>19</v>
      </c>
      <c r="I46" s="5">
        <v>5631.3</v>
      </c>
    </row>
    <row r="47" ht="15.75" customHeight="1">
      <c r="H47" s="5" t="s">
        <v>20</v>
      </c>
      <c r="I47" s="5">
        <f>H40</f>
        <v>6150.561333</v>
      </c>
    </row>
    <row r="48" ht="15.75" customHeight="1">
      <c r="H48" s="5" t="s">
        <v>21</v>
      </c>
      <c r="I48" s="5"/>
    </row>
    <row r="49" ht="15.75" customHeight="1">
      <c r="H49" s="5" t="s">
        <v>22</v>
      </c>
      <c r="I49" s="5"/>
    </row>
    <row r="50" ht="15.75" customHeight="1">
      <c r="H50" s="5" t="s">
        <v>23</v>
      </c>
      <c r="I50" s="5"/>
    </row>
    <row r="51" ht="15.75" customHeight="1">
      <c r="H51" s="5" t="s">
        <v>24</v>
      </c>
      <c r="I51" s="5"/>
    </row>
    <row r="52" ht="15.75" customHeight="1">
      <c r="H52" s="5" t="s">
        <v>25</v>
      </c>
      <c r="I52" s="5"/>
    </row>
    <row r="53" ht="15.75" customHeight="1">
      <c r="H53" s="5" t="s">
        <v>26</v>
      </c>
      <c r="I53" s="5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G2"/>
    <mergeCell ref="D3:G3"/>
    <mergeCell ref="D4:G4"/>
  </mergeCells>
  <printOptions/>
  <pageMargins bottom="0.75" footer="0.0" header="0.0" left="0.7" right="0.7" top="0.75"/>
  <pageSetup scale="60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57"/>
    <col customWidth="1" min="3" max="3" width="11.71"/>
    <col customWidth="1" min="4" max="4" width="11.29"/>
    <col customWidth="1" min="5" max="5" width="13.0"/>
    <col customWidth="1" min="6" max="6" width="9.71"/>
    <col customWidth="1" min="7" max="7" width="13.57"/>
    <col customWidth="1" min="8" max="8" width="10.71"/>
    <col customWidth="1" min="9" max="9" width="12.57"/>
    <col customWidth="1" min="10" max="11" width="9.14"/>
    <col customWidth="1" min="12" max="12" width="0.14"/>
    <col customWidth="1" hidden="1" min="13" max="13" width="9.14"/>
    <col customWidth="1" min="14" max="14" width="0.86"/>
    <col customWidth="1" hidden="1" min="15" max="15" width="9.14"/>
    <col customWidth="1" min="16" max="18" width="9.14"/>
    <col customWidth="1" min="19" max="26" width="8.71"/>
  </cols>
  <sheetData>
    <row r="1">
      <c r="A1" s="10"/>
      <c r="B1" s="11"/>
      <c r="C1" s="21"/>
      <c r="D1" s="8" t="s">
        <v>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0"/>
      <c r="B2" s="11"/>
      <c r="C2" s="11"/>
      <c r="D2" s="9" t="s">
        <v>0</v>
      </c>
      <c r="H2" s="11"/>
      <c r="I2" s="1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1"/>
      <c r="B3" s="11"/>
      <c r="C3" s="11"/>
      <c r="D3" s="8" t="s">
        <v>37</v>
      </c>
      <c r="H3" s="10"/>
      <c r="I3" s="1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1"/>
      <c r="B4" s="11"/>
      <c r="C4" s="11"/>
      <c r="D4" s="8"/>
      <c r="E4" s="8"/>
      <c r="F4" s="8"/>
      <c r="G4" s="8"/>
      <c r="H4" s="11"/>
      <c r="I4" s="1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3</v>
      </c>
      <c r="B5" s="23" t="s">
        <v>4</v>
      </c>
      <c r="C5" s="24" t="s">
        <v>5</v>
      </c>
      <c r="D5" s="24" t="s">
        <v>27</v>
      </c>
      <c r="E5" s="24" t="s">
        <v>28</v>
      </c>
      <c r="F5" s="24" t="s">
        <v>8</v>
      </c>
      <c r="G5" s="24" t="s">
        <v>9</v>
      </c>
      <c r="H5" s="24" t="s">
        <v>10</v>
      </c>
      <c r="I5" s="24" t="s">
        <v>11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5"/>
      <c r="B6" s="17"/>
      <c r="C6" s="17"/>
      <c r="D6" s="17"/>
      <c r="E6" s="17"/>
      <c r="F6" s="17"/>
      <c r="G6" s="17"/>
      <c r="H6" s="17"/>
      <c r="I6" s="26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7">
        <v>42186.0</v>
      </c>
      <c r="B7" s="17">
        <v>45138.84</v>
      </c>
      <c r="C7" s="17">
        <v>22742.61</v>
      </c>
      <c r="D7" s="17">
        <v>-205842.0</v>
      </c>
      <c r="E7" s="17">
        <v>-216.67</v>
      </c>
      <c r="F7" s="17"/>
      <c r="G7" s="17">
        <v>1010000.0</v>
      </c>
      <c r="H7" s="17">
        <v>7118.63</v>
      </c>
      <c r="I7" s="26">
        <v>1012093.5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7">
        <v>42187.0</v>
      </c>
      <c r="B8" s="17">
        <f t="shared" ref="B8:B38" si="1">B7-H7+F7</f>
        <v>38020.21</v>
      </c>
      <c r="C8" s="17">
        <f>11000+294.3+3953.33+55.93</f>
        <v>15303.56</v>
      </c>
      <c r="D8" s="17">
        <f t="shared" ref="D8:D38" si="2">D7+E8</f>
        <v>-206162.42</v>
      </c>
      <c r="E8" s="17">
        <f t="shared" ref="E8:E38" si="3">C8+H7-C7-F7</f>
        <v>-320.42</v>
      </c>
      <c r="F8" s="17">
        <v>20000.0</v>
      </c>
      <c r="G8" s="17">
        <f t="shared" ref="G8:G38" si="4">G7+F8</f>
        <v>1030000</v>
      </c>
      <c r="H8" s="17">
        <v>6962.82</v>
      </c>
      <c r="I8" s="26">
        <f t="shared" ref="I8:I40" si="5">I7++H8</f>
        <v>1019056.32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7">
        <v>42188.0</v>
      </c>
      <c r="B9" s="17">
        <f t="shared" si="1"/>
        <v>51057.39</v>
      </c>
      <c r="C9" s="17">
        <v>28842.73</v>
      </c>
      <c r="D9" s="17">
        <f t="shared" si="2"/>
        <v>-205660.43</v>
      </c>
      <c r="E9" s="17">
        <f t="shared" si="3"/>
        <v>501.99</v>
      </c>
      <c r="F9" s="17">
        <v>10000.0</v>
      </c>
      <c r="G9" s="17">
        <f t="shared" si="4"/>
        <v>1040000</v>
      </c>
      <c r="H9" s="17">
        <f>2851+2050.79+1176.99</f>
        <v>6078.78</v>
      </c>
      <c r="I9" s="26">
        <f t="shared" si="5"/>
        <v>1025135.1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7">
        <v>42189.0</v>
      </c>
      <c r="B10" s="17">
        <f t="shared" si="1"/>
        <v>54978.61</v>
      </c>
      <c r="C10" s="17">
        <v>32578.73</v>
      </c>
      <c r="D10" s="17">
        <f t="shared" si="2"/>
        <v>-205845.65</v>
      </c>
      <c r="E10" s="17">
        <f t="shared" si="3"/>
        <v>-185.22</v>
      </c>
      <c r="F10" s="17"/>
      <c r="G10" s="17">
        <f t="shared" si="4"/>
        <v>1040000</v>
      </c>
      <c r="H10" s="17">
        <f>3028+1965.28+972.43</f>
        <v>5965.71</v>
      </c>
      <c r="I10" s="26">
        <f t="shared" si="5"/>
        <v>1031100.81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7">
        <v>42190.0</v>
      </c>
      <c r="B11" s="17">
        <f t="shared" si="1"/>
        <v>49012.9</v>
      </c>
      <c r="C11" s="17">
        <v>26291.14</v>
      </c>
      <c r="D11" s="17">
        <f t="shared" si="2"/>
        <v>-206167.53</v>
      </c>
      <c r="E11" s="17">
        <f t="shared" si="3"/>
        <v>-321.88</v>
      </c>
      <c r="F11" s="17"/>
      <c r="G11" s="17">
        <f t="shared" si="4"/>
        <v>1040000</v>
      </c>
      <c r="H11" s="17">
        <v>4444.63</v>
      </c>
      <c r="I11" s="26">
        <f t="shared" si="5"/>
        <v>1035545.44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7">
        <v>42191.0</v>
      </c>
      <c r="B12" s="17">
        <f t="shared" si="1"/>
        <v>44568.27</v>
      </c>
      <c r="C12" s="17">
        <v>21700.26</v>
      </c>
      <c r="D12" s="17">
        <f t="shared" si="2"/>
        <v>-206313.78</v>
      </c>
      <c r="E12" s="17">
        <f t="shared" si="3"/>
        <v>-146.25</v>
      </c>
      <c r="F12" s="17"/>
      <c r="G12" s="17">
        <f t="shared" si="4"/>
        <v>1040000</v>
      </c>
      <c r="H12" s="17">
        <v>6273.99</v>
      </c>
      <c r="I12" s="26">
        <f t="shared" si="5"/>
        <v>1041819.43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7">
        <v>42192.0</v>
      </c>
      <c r="B13" s="17">
        <f t="shared" si="1"/>
        <v>38294.28</v>
      </c>
      <c r="C13" s="17">
        <f>9200+2600+3512+59.32</f>
        <v>15371.32</v>
      </c>
      <c r="D13" s="17">
        <f t="shared" si="2"/>
        <v>-206368.73</v>
      </c>
      <c r="E13" s="17">
        <f t="shared" si="3"/>
        <v>-54.95</v>
      </c>
      <c r="F13" s="17">
        <v>20000.0</v>
      </c>
      <c r="G13" s="17">
        <f t="shared" si="4"/>
        <v>1060000</v>
      </c>
      <c r="H13" s="17">
        <v>6943.17</v>
      </c>
      <c r="I13" s="26">
        <f t="shared" si="5"/>
        <v>1048762.6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7">
        <v>42193.0</v>
      </c>
      <c r="B14" s="17">
        <f t="shared" si="1"/>
        <v>51351.11</v>
      </c>
      <c r="C14" s="17">
        <v>28302.74</v>
      </c>
      <c r="D14" s="17">
        <f t="shared" si="2"/>
        <v>-206494.14</v>
      </c>
      <c r="E14" s="17">
        <f t="shared" si="3"/>
        <v>-125.41</v>
      </c>
      <c r="F14" s="17">
        <v>10000.0</v>
      </c>
      <c r="G14" s="17">
        <f t="shared" si="4"/>
        <v>1070000</v>
      </c>
      <c r="H14" s="17">
        <v>5983.19</v>
      </c>
      <c r="I14" s="26">
        <f t="shared" si="5"/>
        <v>1054745.79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7">
        <v>42194.0</v>
      </c>
      <c r="B15" s="17">
        <f t="shared" si="1"/>
        <v>55367.92</v>
      </c>
      <c r="C15" s="17">
        <v>32408.23</v>
      </c>
      <c r="D15" s="17">
        <f t="shared" si="2"/>
        <v>-206405.46</v>
      </c>
      <c r="E15" s="17">
        <f t="shared" si="3"/>
        <v>88.68</v>
      </c>
      <c r="F15" s="17">
        <v>10000.0</v>
      </c>
      <c r="G15" s="17">
        <f t="shared" si="4"/>
        <v>1080000</v>
      </c>
      <c r="H15" s="17">
        <v>6632.57</v>
      </c>
      <c r="I15" s="26">
        <f t="shared" si="5"/>
        <v>1061378.36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7">
        <v>42195.0</v>
      </c>
      <c r="B16" s="17">
        <f t="shared" si="1"/>
        <v>58735.35</v>
      </c>
      <c r="C16" s="17">
        <f>17800+5840+12051.9+59.32</f>
        <v>35751.22</v>
      </c>
      <c r="D16" s="17">
        <f t="shared" si="2"/>
        <v>-206429.9</v>
      </c>
      <c r="E16" s="17">
        <f t="shared" si="3"/>
        <v>-24.44</v>
      </c>
      <c r="F16" s="17"/>
      <c r="G16" s="17">
        <f t="shared" si="4"/>
        <v>1080000</v>
      </c>
      <c r="H16" s="17">
        <v>6484.64</v>
      </c>
      <c r="I16" s="26">
        <f t="shared" si="5"/>
        <v>1067863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7">
        <v>42196.0</v>
      </c>
      <c r="B17" s="17">
        <f t="shared" si="1"/>
        <v>52250.71</v>
      </c>
      <c r="C17" s="17">
        <v>28927.65</v>
      </c>
      <c r="D17" s="17">
        <f t="shared" si="2"/>
        <v>-206768.83</v>
      </c>
      <c r="E17" s="17">
        <f t="shared" si="3"/>
        <v>-338.93</v>
      </c>
      <c r="F17" s="17"/>
      <c r="G17" s="17">
        <f t="shared" si="4"/>
        <v>1080000</v>
      </c>
      <c r="H17" s="17">
        <v>5323.5</v>
      </c>
      <c r="I17" s="26">
        <f t="shared" si="5"/>
        <v>1073186.5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7">
        <v>42197.0</v>
      </c>
      <c r="B18" s="17">
        <f t="shared" si="1"/>
        <v>46927.21</v>
      </c>
      <c r="C18" s="17">
        <f>8800+5268.75+9315.38+59.32</f>
        <v>23443.45</v>
      </c>
      <c r="D18" s="17">
        <f t="shared" si="2"/>
        <v>-206929.53</v>
      </c>
      <c r="E18" s="17">
        <f t="shared" si="3"/>
        <v>-160.7</v>
      </c>
      <c r="F18" s="17"/>
      <c r="G18" s="17">
        <f t="shared" si="4"/>
        <v>1080000</v>
      </c>
      <c r="H18" s="17">
        <f>2818+1250.53+480.61</f>
        <v>4549.14</v>
      </c>
      <c r="I18" s="26">
        <f t="shared" si="5"/>
        <v>1077735.64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7">
        <v>42198.0</v>
      </c>
      <c r="B19" s="17">
        <f t="shared" si="1"/>
        <v>42378.07</v>
      </c>
      <c r="C19" s="17">
        <f>7505.88+2328.6+8800+59.32</f>
        <v>18693.8</v>
      </c>
      <c r="D19" s="17">
        <f t="shared" si="2"/>
        <v>-207130.04</v>
      </c>
      <c r="E19" s="17">
        <f t="shared" si="3"/>
        <v>-200.51</v>
      </c>
      <c r="F19" s="17">
        <v>10000.0</v>
      </c>
      <c r="G19" s="17">
        <f t="shared" si="4"/>
        <v>1090000</v>
      </c>
      <c r="H19" s="17">
        <f>3457+1841.45+1082.65</f>
        <v>6381.1</v>
      </c>
      <c r="I19" s="26">
        <f t="shared" si="5"/>
        <v>1084116.74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7">
        <v>42199.0</v>
      </c>
      <c r="B20" s="17">
        <f t="shared" si="1"/>
        <v>45996.97</v>
      </c>
      <c r="C20" s="17">
        <f>4922.22+9578.9+7745.5+59.32</f>
        <v>22305.94</v>
      </c>
      <c r="D20" s="17">
        <f t="shared" si="2"/>
        <v>-207136.8</v>
      </c>
      <c r="E20" s="17">
        <f t="shared" si="3"/>
        <v>-6.76</v>
      </c>
      <c r="F20" s="17">
        <v>10000.0</v>
      </c>
      <c r="G20" s="17">
        <f t="shared" si="4"/>
        <v>1100000</v>
      </c>
      <c r="H20" s="17">
        <v>6555.65</v>
      </c>
      <c r="I20" s="26">
        <f t="shared" si="5"/>
        <v>1090672.39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7">
        <v>42200.0</v>
      </c>
      <c r="B21" s="17">
        <f t="shared" si="1"/>
        <v>49441.32</v>
      </c>
      <c r="C21" s="17">
        <f>12022.2+7452.6+6376+59.32</f>
        <v>25910.12</v>
      </c>
      <c r="D21" s="17">
        <f t="shared" si="2"/>
        <v>-206976.97</v>
      </c>
      <c r="E21" s="17">
        <f t="shared" si="3"/>
        <v>159.83</v>
      </c>
      <c r="F21" s="17">
        <v>18000.0</v>
      </c>
      <c r="G21" s="17">
        <f t="shared" si="4"/>
        <v>1118000</v>
      </c>
      <c r="H21" s="17">
        <v>6722.4</v>
      </c>
      <c r="I21" s="26">
        <f t="shared" si="5"/>
        <v>1097394.79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7">
        <v>42201.0</v>
      </c>
      <c r="B22" s="17">
        <f t="shared" si="1"/>
        <v>60718.92</v>
      </c>
      <c r="C22" s="17">
        <v>37303.62</v>
      </c>
      <c r="D22" s="17">
        <f t="shared" si="2"/>
        <v>-206861.07</v>
      </c>
      <c r="E22" s="17">
        <f t="shared" si="3"/>
        <v>115.9</v>
      </c>
      <c r="F22" s="17">
        <v>2000.0</v>
      </c>
      <c r="G22" s="17">
        <f t="shared" si="4"/>
        <v>1120000</v>
      </c>
      <c r="H22" s="17">
        <f>3826+2145.98+1080.95</f>
        <v>7052.93</v>
      </c>
      <c r="I22" s="26">
        <f t="shared" si="5"/>
        <v>1104447.72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7">
        <v>42202.0</v>
      </c>
      <c r="B23" s="17">
        <f t="shared" si="1"/>
        <v>55665.99</v>
      </c>
      <c r="C23" s="17">
        <f>15706.7+3982.4+12314.3+57.63</f>
        <v>32061.03</v>
      </c>
      <c r="D23" s="17">
        <f t="shared" si="2"/>
        <v>-207050.73</v>
      </c>
      <c r="E23" s="17">
        <f t="shared" si="3"/>
        <v>-189.66</v>
      </c>
      <c r="F23" s="17">
        <v>10000.0</v>
      </c>
      <c r="G23" s="17">
        <f t="shared" si="4"/>
        <v>1130000</v>
      </c>
      <c r="H23" s="17">
        <f>2975+1688.65+1014.06</f>
        <v>5677.71</v>
      </c>
      <c r="I23" s="26">
        <f t="shared" si="5"/>
        <v>1110125.43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7">
        <v>42203.0</v>
      </c>
      <c r="B24" s="17">
        <f t="shared" si="1"/>
        <v>59988.28</v>
      </c>
      <c r="C24" s="17">
        <f>18044.4+7147.1+11339.1+57.63</f>
        <v>36588.23</v>
      </c>
      <c r="D24" s="17">
        <f t="shared" si="2"/>
        <v>-206845.82</v>
      </c>
      <c r="E24" s="17">
        <f t="shared" si="3"/>
        <v>204.91</v>
      </c>
      <c r="F24" s="17"/>
      <c r="G24" s="17">
        <f t="shared" si="4"/>
        <v>1130000</v>
      </c>
      <c r="H24" s="17">
        <f>2515+1107.77+908.62</f>
        <v>4531.39</v>
      </c>
      <c r="I24" s="26">
        <f t="shared" si="5"/>
        <v>1114656.82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7">
        <v>42204.0</v>
      </c>
      <c r="B25" s="17">
        <f t="shared" si="1"/>
        <v>55456.89</v>
      </c>
      <c r="C25" s="17">
        <f>16920+4466.67+10183.3+57.63</f>
        <v>31627.6</v>
      </c>
      <c r="D25" s="17">
        <f t="shared" si="2"/>
        <v>-207275.06</v>
      </c>
      <c r="E25" s="17">
        <f t="shared" si="3"/>
        <v>-429.24</v>
      </c>
      <c r="F25" s="17"/>
      <c r="G25" s="17">
        <f t="shared" si="4"/>
        <v>1130000</v>
      </c>
      <c r="H25" s="17">
        <f>2953+1311.53+188.06</f>
        <v>4452.59</v>
      </c>
      <c r="I25" s="26">
        <f t="shared" si="5"/>
        <v>1119109.41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7">
        <v>42205.0</v>
      </c>
      <c r="B26" s="17">
        <f t="shared" si="1"/>
        <v>51004.3</v>
      </c>
      <c r="C26" s="17">
        <f>15511.11+1400+10000+59.62</f>
        <v>26970.73</v>
      </c>
      <c r="D26" s="17">
        <f t="shared" si="2"/>
        <v>-207479.34</v>
      </c>
      <c r="E26" s="17">
        <f t="shared" si="3"/>
        <v>-204.28</v>
      </c>
      <c r="F26" s="17">
        <v>10000.0</v>
      </c>
      <c r="G26" s="17">
        <f t="shared" si="4"/>
        <v>1140000</v>
      </c>
      <c r="H26" s="17">
        <v>6947.16</v>
      </c>
      <c r="I26" s="26">
        <f t="shared" si="5"/>
        <v>1126056.57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7">
        <v>42206.0</v>
      </c>
      <c r="B27" s="17">
        <f t="shared" si="1"/>
        <v>54057.14</v>
      </c>
      <c r="C27" s="17">
        <v>30242.58</v>
      </c>
      <c r="D27" s="17">
        <f t="shared" si="2"/>
        <v>-207260.33</v>
      </c>
      <c r="E27" s="17">
        <f t="shared" si="3"/>
        <v>219.01</v>
      </c>
      <c r="F27" s="17">
        <v>10000.0</v>
      </c>
      <c r="G27" s="17">
        <f t="shared" si="4"/>
        <v>1150000</v>
      </c>
      <c r="H27" s="17">
        <v>6915.58</v>
      </c>
      <c r="I27" s="26">
        <f t="shared" si="5"/>
        <v>1132972.15</v>
      </c>
      <c r="J27" s="21"/>
      <c r="K27" s="21"/>
      <c r="L27" s="21"/>
      <c r="M27" s="21"/>
      <c r="N27" s="21"/>
      <c r="O27" s="21"/>
      <c r="P27" s="21"/>
      <c r="Q27" s="21"/>
      <c r="R27" s="21">
        <f>9000/30*5</f>
        <v>1500</v>
      </c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7">
        <v>42207.0</v>
      </c>
      <c r="B28" s="17">
        <f t="shared" si="1"/>
        <v>57141.56</v>
      </c>
      <c r="C28" s="17">
        <v>33302.13</v>
      </c>
      <c r="D28" s="17">
        <f t="shared" si="2"/>
        <v>-207285.2</v>
      </c>
      <c r="E28" s="17">
        <f t="shared" si="3"/>
        <v>-24.87</v>
      </c>
      <c r="F28" s="17"/>
      <c r="G28" s="17">
        <f t="shared" si="4"/>
        <v>1150000</v>
      </c>
      <c r="H28" s="17">
        <v>6287.38</v>
      </c>
      <c r="I28" s="26">
        <f t="shared" si="5"/>
        <v>1139259.53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7">
        <v>42208.0</v>
      </c>
      <c r="B29" s="17">
        <f t="shared" si="1"/>
        <v>50854.18</v>
      </c>
      <c r="C29" s="17">
        <v>26653.96</v>
      </c>
      <c r="D29" s="17">
        <f t="shared" si="2"/>
        <v>-207645.99</v>
      </c>
      <c r="E29" s="17">
        <f t="shared" si="3"/>
        <v>-360.79</v>
      </c>
      <c r="F29" s="17">
        <v>10000.0</v>
      </c>
      <c r="G29" s="17">
        <f t="shared" si="4"/>
        <v>1160000</v>
      </c>
      <c r="H29" s="17">
        <v>6376.62</v>
      </c>
      <c r="I29" s="26">
        <f t="shared" si="5"/>
        <v>1145636.15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7">
        <v>42209.0</v>
      </c>
      <c r="B30" s="17">
        <f t="shared" si="1"/>
        <v>54477.56</v>
      </c>
      <c r="C30" s="17">
        <v>30429.39</v>
      </c>
      <c r="D30" s="17">
        <f t="shared" si="2"/>
        <v>-207493.94</v>
      </c>
      <c r="E30" s="17">
        <f t="shared" si="3"/>
        <v>152.05</v>
      </c>
      <c r="F30" s="17">
        <v>10000.0</v>
      </c>
      <c r="G30" s="17">
        <f t="shared" si="4"/>
        <v>1170000</v>
      </c>
      <c r="H30" s="17">
        <f>2136+1637.29+693.55</f>
        <v>4466.84</v>
      </c>
      <c r="I30" s="26">
        <f t="shared" si="5"/>
        <v>1150102.99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7">
        <v>42210.0</v>
      </c>
      <c r="B31" s="17">
        <f t="shared" si="1"/>
        <v>60010.72</v>
      </c>
      <c r="C31" s="17">
        <v>36196.25</v>
      </c>
      <c r="D31" s="17">
        <f t="shared" si="2"/>
        <v>-207260.24</v>
      </c>
      <c r="E31" s="17">
        <f t="shared" si="3"/>
        <v>233.7</v>
      </c>
      <c r="F31" s="17"/>
      <c r="G31" s="17">
        <f t="shared" si="4"/>
        <v>1170000</v>
      </c>
      <c r="H31" s="17">
        <v>3638.65</v>
      </c>
      <c r="I31" s="26">
        <f t="shared" si="5"/>
        <v>1153741.64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7">
        <v>42211.0</v>
      </c>
      <c r="B32" s="17">
        <f t="shared" si="1"/>
        <v>56372.07</v>
      </c>
      <c r="C32" s="17">
        <v>32124.3</v>
      </c>
      <c r="D32" s="17">
        <f t="shared" si="2"/>
        <v>-207693.54</v>
      </c>
      <c r="E32" s="17">
        <f t="shared" si="3"/>
        <v>-433.3</v>
      </c>
      <c r="F32" s="17"/>
      <c r="G32" s="17">
        <f t="shared" si="4"/>
        <v>1170000</v>
      </c>
      <c r="H32" s="17">
        <v>3252.72</v>
      </c>
      <c r="I32" s="26">
        <f t="shared" si="5"/>
        <v>1156994.36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7">
        <v>42212.0</v>
      </c>
      <c r="B33" s="17">
        <f t="shared" si="1"/>
        <v>53119.35</v>
      </c>
      <c r="C33" s="17">
        <v>28754.53</v>
      </c>
      <c r="D33" s="17">
        <f t="shared" si="2"/>
        <v>-207810.59</v>
      </c>
      <c r="E33" s="17">
        <f t="shared" si="3"/>
        <v>-117.05</v>
      </c>
      <c r="F33" s="17">
        <v>10000.0</v>
      </c>
      <c r="G33" s="17">
        <f t="shared" si="4"/>
        <v>1180000</v>
      </c>
      <c r="H33" s="17">
        <v>6801.6</v>
      </c>
      <c r="I33" s="26">
        <f t="shared" si="5"/>
        <v>1163795.96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7">
        <v>42213.0</v>
      </c>
      <c r="B34" s="17">
        <f t="shared" si="1"/>
        <v>56317.75</v>
      </c>
      <c r="C34" s="17">
        <v>32089.42</v>
      </c>
      <c r="D34" s="17">
        <f t="shared" si="2"/>
        <v>-207674.1</v>
      </c>
      <c r="E34" s="17">
        <f t="shared" si="3"/>
        <v>136.49</v>
      </c>
      <c r="F34" s="17"/>
      <c r="G34" s="17">
        <f t="shared" si="4"/>
        <v>1180000</v>
      </c>
      <c r="H34" s="17">
        <v>6802.79</v>
      </c>
      <c r="I34" s="26">
        <f t="shared" si="5"/>
        <v>1170598.75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7">
        <v>42214.0</v>
      </c>
      <c r="B35" s="17">
        <f t="shared" si="1"/>
        <v>49514.96</v>
      </c>
      <c r="C35" s="17">
        <v>24514.24</v>
      </c>
      <c r="D35" s="17">
        <f t="shared" si="2"/>
        <v>-208446.49</v>
      </c>
      <c r="E35" s="17">
        <f t="shared" si="3"/>
        <v>-772.39</v>
      </c>
      <c r="F35" s="17">
        <v>10000.0</v>
      </c>
      <c r="G35" s="17">
        <f t="shared" si="4"/>
        <v>1190000</v>
      </c>
      <c r="H35" s="17">
        <v>6434.42</v>
      </c>
      <c r="I35" s="26">
        <f t="shared" si="5"/>
        <v>1177033.17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7">
        <v>42215.0</v>
      </c>
      <c r="B36" s="17">
        <f t="shared" si="1"/>
        <v>53080.54</v>
      </c>
      <c r="C36" s="17">
        <v>28460.53</v>
      </c>
      <c r="D36" s="17">
        <f t="shared" si="2"/>
        <v>-208065.78</v>
      </c>
      <c r="E36" s="17">
        <f t="shared" si="3"/>
        <v>380.71</v>
      </c>
      <c r="F36" s="17">
        <v>16000.0</v>
      </c>
      <c r="G36" s="17">
        <f t="shared" si="4"/>
        <v>1206000</v>
      </c>
      <c r="H36" s="17">
        <v>6014.1</v>
      </c>
      <c r="I36" s="26">
        <f t="shared" si="5"/>
        <v>1183047.27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7">
        <v>42216.0</v>
      </c>
      <c r="B37" s="17">
        <f t="shared" si="1"/>
        <v>63066.44</v>
      </c>
      <c r="C37" s="17">
        <v>38725.33</v>
      </c>
      <c r="D37" s="17">
        <f t="shared" si="2"/>
        <v>-207786.88</v>
      </c>
      <c r="E37" s="17">
        <f t="shared" si="3"/>
        <v>278.9</v>
      </c>
      <c r="F37" s="17">
        <v>4000.0</v>
      </c>
      <c r="G37" s="17">
        <f t="shared" si="4"/>
        <v>1210000</v>
      </c>
      <c r="H37" s="17">
        <v>5607.21</v>
      </c>
      <c r="I37" s="26">
        <f t="shared" si="5"/>
        <v>1188654.48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7">
        <v>42217.0</v>
      </c>
      <c r="B38" s="17">
        <f t="shared" si="1"/>
        <v>61459.23</v>
      </c>
      <c r="C38" s="17">
        <v>37071.22</v>
      </c>
      <c r="D38" s="17">
        <f t="shared" si="2"/>
        <v>-207833.78</v>
      </c>
      <c r="E38" s="17">
        <f t="shared" si="3"/>
        <v>-46.9</v>
      </c>
      <c r="F38" s="17"/>
      <c r="G38" s="17">
        <f t="shared" si="4"/>
        <v>1210000</v>
      </c>
      <c r="H38" s="17"/>
      <c r="I38" s="26">
        <f t="shared" si="5"/>
        <v>1188654.48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8" t="s">
        <v>35</v>
      </c>
      <c r="B39" s="17"/>
      <c r="C39" s="17"/>
      <c r="D39" s="17"/>
      <c r="E39" s="29">
        <f>SUM(E7:E38)</f>
        <v>-2208.45</v>
      </c>
      <c r="F39" s="17"/>
      <c r="G39" s="17"/>
      <c r="H39" s="16">
        <f>SUM(H7:H38)</f>
        <v>183679.61</v>
      </c>
      <c r="I39" s="26">
        <f t="shared" si="5"/>
        <v>1372334.09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17" t="s">
        <v>17</v>
      </c>
      <c r="B40" s="17"/>
      <c r="C40" s="17"/>
      <c r="D40" s="17"/>
      <c r="E40" s="17"/>
      <c r="F40" s="17"/>
      <c r="G40" s="17"/>
      <c r="H40" s="17">
        <f>AVERAGE(H7:H37)</f>
        <v>5925.14871</v>
      </c>
      <c r="I40" s="26">
        <f t="shared" si="5"/>
        <v>1378259.239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7"/>
      <c r="B41" s="17"/>
      <c r="C41" s="17"/>
      <c r="D41" s="17"/>
      <c r="E41" s="30"/>
      <c r="F41" s="17"/>
      <c r="G41" s="17"/>
      <c r="H41" s="17"/>
      <c r="I41" s="26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31"/>
      <c r="H42" s="5"/>
      <c r="I42" s="5" t="s">
        <v>12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32"/>
      <c r="H43" s="5" t="s">
        <v>13</v>
      </c>
      <c r="I43" s="33">
        <f>5121.782</f>
        <v>5121.782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5" t="s">
        <v>14</v>
      </c>
      <c r="I44" s="33">
        <v>5601.1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5" t="s">
        <v>16</v>
      </c>
      <c r="I45" s="33">
        <v>5681.1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5" t="s">
        <v>18</v>
      </c>
      <c r="I46" s="33">
        <v>5608.0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5" t="s">
        <v>19</v>
      </c>
      <c r="I47" s="33">
        <v>5631.3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5" t="s">
        <v>20</v>
      </c>
      <c r="I48" s="33">
        <v>6150.6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5" t="s">
        <v>21</v>
      </c>
      <c r="I49" s="33">
        <f>H40</f>
        <v>5925.14871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5" t="s">
        <v>22</v>
      </c>
      <c r="I50" s="33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5" t="s">
        <v>23</v>
      </c>
      <c r="I51" s="5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5" t="s">
        <v>24</v>
      </c>
      <c r="I52" s="5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5" t="s">
        <v>25</v>
      </c>
      <c r="I53" s="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5" t="s">
        <v>38</v>
      </c>
      <c r="I54" s="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>
        <f>B1221*B444</f>
        <v>0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D1:G1"/>
    <mergeCell ref="D2:G2"/>
    <mergeCell ref="D3:G3"/>
  </mergeCells>
  <printOptions/>
  <pageMargins bottom="0.75" footer="0.0" header="0.0" left="0.7" right="0.7" top="0.75"/>
  <pageSetup scale="80"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1.57"/>
    <col customWidth="1" min="3" max="3" width="11.71"/>
    <col customWidth="1" min="4" max="4" width="11.29"/>
    <col customWidth="1" min="5" max="5" width="13.0"/>
    <col customWidth="1" min="6" max="6" width="9.71"/>
    <col customWidth="1" min="7" max="7" width="13.57"/>
    <col customWidth="1" min="8" max="8" width="10.71"/>
    <col customWidth="1" min="9" max="9" width="12.57"/>
    <col customWidth="1" min="10" max="11" width="9.14"/>
    <col customWidth="1" min="12" max="12" width="0.14"/>
    <col customWidth="1" hidden="1" min="13" max="13" width="9.14"/>
    <col customWidth="1" min="14" max="14" width="0.86"/>
    <col customWidth="1" hidden="1" min="15" max="15" width="9.14"/>
    <col customWidth="1" min="16" max="26" width="8.71"/>
  </cols>
  <sheetData>
    <row r="1">
      <c r="A1" s="10"/>
      <c r="B1" s="11"/>
      <c r="C1" s="21"/>
      <c r="D1" s="8" t="s">
        <v>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0"/>
      <c r="B2" s="11"/>
      <c r="C2" s="11"/>
      <c r="D2" s="9" t="s">
        <v>0</v>
      </c>
      <c r="H2" s="11"/>
      <c r="I2" s="1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1"/>
      <c r="B3" s="11"/>
      <c r="C3" s="11"/>
      <c r="D3" s="8" t="s">
        <v>39</v>
      </c>
      <c r="H3" s="10"/>
      <c r="I3" s="1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1"/>
      <c r="B4" s="11"/>
      <c r="C4" s="11"/>
      <c r="D4" s="8"/>
      <c r="E4" s="8"/>
      <c r="F4" s="8"/>
      <c r="G4" s="8"/>
      <c r="H4" s="11"/>
      <c r="I4" s="1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3</v>
      </c>
      <c r="B5" s="23" t="s">
        <v>4</v>
      </c>
      <c r="C5" s="24" t="s">
        <v>5</v>
      </c>
      <c r="D5" s="24" t="s">
        <v>27</v>
      </c>
      <c r="E5" s="24" t="s">
        <v>28</v>
      </c>
      <c r="F5" s="24" t="s">
        <v>8</v>
      </c>
      <c r="G5" s="24" t="s">
        <v>9</v>
      </c>
      <c r="H5" s="24" t="s">
        <v>10</v>
      </c>
      <c r="I5" s="24" t="s">
        <v>11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7">
        <v>42217.0</v>
      </c>
      <c r="B7" s="25">
        <v>61459.23</v>
      </c>
      <c r="C7" s="25">
        <v>37071.22</v>
      </c>
      <c r="D7" s="25">
        <v>-207834.0</v>
      </c>
      <c r="E7" s="25">
        <v>-49.9</v>
      </c>
      <c r="F7" s="25"/>
      <c r="G7" s="25">
        <v>1210000.0</v>
      </c>
      <c r="H7" s="25">
        <v>4902.09</v>
      </c>
      <c r="I7" s="25">
        <v>1188654.5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7">
        <v>42218.0</v>
      </c>
      <c r="B8" s="17">
        <f t="shared" ref="B8:B38" si="1">B7-H7+F7</f>
        <v>56557.14</v>
      </c>
      <c r="C8" s="17">
        <v>31675.12</v>
      </c>
      <c r="D8" s="17">
        <f t="shared" ref="D8:D38" si="2">D7+E8</f>
        <v>-208328.01</v>
      </c>
      <c r="E8" s="17">
        <f t="shared" ref="E8:E37" si="3">C8+H7-C7-F7</f>
        <v>-494.01</v>
      </c>
      <c r="F8" s="17"/>
      <c r="G8" s="17">
        <f t="shared" ref="G8:G38" si="4">G7+F8</f>
        <v>1210000</v>
      </c>
      <c r="H8" s="17">
        <v>4113.77</v>
      </c>
      <c r="I8" s="26">
        <f t="shared" ref="I8:I38" si="5">I7++H8</f>
        <v>1192768.27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7">
        <v>42219.0</v>
      </c>
      <c r="B9" s="17">
        <f t="shared" si="1"/>
        <v>52443.37</v>
      </c>
      <c r="C9" s="17">
        <v>27422.3</v>
      </c>
      <c r="D9" s="17">
        <f t="shared" si="2"/>
        <v>-208467.06</v>
      </c>
      <c r="E9" s="17">
        <f t="shared" si="3"/>
        <v>-139.05</v>
      </c>
      <c r="F9" s="17"/>
      <c r="G9" s="17">
        <f t="shared" si="4"/>
        <v>1210000</v>
      </c>
      <c r="H9" s="17">
        <v>6673.58</v>
      </c>
      <c r="I9" s="26">
        <f t="shared" si="5"/>
        <v>1199441.85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7">
        <v>42220.0</v>
      </c>
      <c r="B10" s="17">
        <f t="shared" si="1"/>
        <v>45769.79</v>
      </c>
      <c r="C10" s="17">
        <v>20489.32</v>
      </c>
      <c r="D10" s="17">
        <f t="shared" si="2"/>
        <v>-208726.46</v>
      </c>
      <c r="E10" s="17">
        <f t="shared" si="3"/>
        <v>-259.4</v>
      </c>
      <c r="F10" s="17">
        <v>10000.0</v>
      </c>
      <c r="G10" s="17">
        <f t="shared" si="4"/>
        <v>1220000</v>
      </c>
      <c r="H10" s="17">
        <v>6903.88</v>
      </c>
      <c r="I10" s="26">
        <f t="shared" si="5"/>
        <v>1206345.73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7">
        <v>42221.0</v>
      </c>
      <c r="B11" s="17">
        <f t="shared" si="1"/>
        <v>48865.91</v>
      </c>
      <c r="C11" s="17">
        <v>23857.5</v>
      </c>
      <c r="D11" s="17">
        <f t="shared" si="2"/>
        <v>-208454.4</v>
      </c>
      <c r="E11" s="17">
        <f t="shared" si="3"/>
        <v>272.06</v>
      </c>
      <c r="F11" s="17">
        <v>10000.0</v>
      </c>
      <c r="G11" s="17">
        <f t="shared" si="4"/>
        <v>1230000</v>
      </c>
      <c r="H11" s="17">
        <f>3279+1711.17+1012.52</f>
        <v>6002.69</v>
      </c>
      <c r="I11" s="26">
        <f t="shared" si="5"/>
        <v>1212348.42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7">
        <v>42222.0</v>
      </c>
      <c r="B12" s="17">
        <f t="shared" si="1"/>
        <v>52863.22</v>
      </c>
      <c r="C12" s="17">
        <v>27574.48</v>
      </c>
      <c r="D12" s="17">
        <f t="shared" si="2"/>
        <v>-208734.73</v>
      </c>
      <c r="E12" s="17">
        <f t="shared" si="3"/>
        <v>-280.33</v>
      </c>
      <c r="F12" s="17">
        <v>10000.0</v>
      </c>
      <c r="G12" s="17">
        <f t="shared" si="4"/>
        <v>1240000</v>
      </c>
      <c r="H12" s="17">
        <v>7260.3</v>
      </c>
      <c r="I12" s="26">
        <f t="shared" si="5"/>
        <v>1219608.72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7">
        <v>42223.0</v>
      </c>
      <c r="B13" s="17">
        <f t="shared" si="1"/>
        <v>55602.92</v>
      </c>
      <c r="C13" s="17">
        <v>30360.33</v>
      </c>
      <c r="D13" s="17">
        <f t="shared" si="2"/>
        <v>-208688.58</v>
      </c>
      <c r="E13" s="17">
        <f t="shared" si="3"/>
        <v>46.15</v>
      </c>
      <c r="F13" s="17">
        <v>10000.0</v>
      </c>
      <c r="G13" s="17">
        <f t="shared" si="4"/>
        <v>1250000</v>
      </c>
      <c r="H13" s="17">
        <v>5572.84</v>
      </c>
      <c r="I13" s="26">
        <f t="shared" si="5"/>
        <v>1225181.56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7">
        <v>42224.0</v>
      </c>
      <c r="B14" s="17">
        <f t="shared" si="1"/>
        <v>60030.08</v>
      </c>
      <c r="C14" s="17">
        <f>19645.5+7100+7961.5+57.63</f>
        <v>34764.63</v>
      </c>
      <c r="D14" s="17">
        <f t="shared" si="2"/>
        <v>-208711.44</v>
      </c>
      <c r="E14" s="17">
        <f t="shared" si="3"/>
        <v>-22.86</v>
      </c>
      <c r="F14" s="17"/>
      <c r="G14" s="17">
        <f t="shared" si="4"/>
        <v>1250000</v>
      </c>
      <c r="H14" s="17">
        <v>4714.57</v>
      </c>
      <c r="I14" s="26">
        <f t="shared" si="5"/>
        <v>1229896.13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7">
        <v>42225.0</v>
      </c>
      <c r="B15" s="17">
        <f t="shared" si="1"/>
        <v>55315.51</v>
      </c>
      <c r="C15" s="17">
        <v>29961.42</v>
      </c>
      <c r="D15" s="17">
        <f t="shared" si="2"/>
        <v>-208800.08</v>
      </c>
      <c r="E15" s="17">
        <f t="shared" si="3"/>
        <v>-88.64</v>
      </c>
      <c r="F15" s="17"/>
      <c r="G15" s="17">
        <f t="shared" si="4"/>
        <v>1250000</v>
      </c>
      <c r="H15" s="17">
        <v>4023.8</v>
      </c>
      <c r="I15" s="26">
        <f t="shared" si="5"/>
        <v>1233919.93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7">
        <v>42226.0</v>
      </c>
      <c r="B16" s="17">
        <f t="shared" si="1"/>
        <v>51291.71</v>
      </c>
      <c r="C16" s="17">
        <v>25778.53</v>
      </c>
      <c r="D16" s="17">
        <f t="shared" si="2"/>
        <v>-208959.17</v>
      </c>
      <c r="E16" s="17">
        <f t="shared" si="3"/>
        <v>-159.09</v>
      </c>
      <c r="F16" s="17">
        <v>10000.0</v>
      </c>
      <c r="G16" s="17">
        <f t="shared" si="4"/>
        <v>1260000</v>
      </c>
      <c r="H16" s="17">
        <f>3133+2020.78+1018.48</f>
        <v>6172.26</v>
      </c>
      <c r="I16" s="26">
        <f t="shared" si="5"/>
        <v>1240092.19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7">
        <v>42227.0</v>
      </c>
      <c r="B17" s="17">
        <f t="shared" si="1"/>
        <v>55119.45</v>
      </c>
      <c r="C17" s="17">
        <f>14680+7112.8+7800+57.63</f>
        <v>29650.43</v>
      </c>
      <c r="D17" s="17">
        <f t="shared" si="2"/>
        <v>-208915.01</v>
      </c>
      <c r="E17" s="17">
        <f t="shared" si="3"/>
        <v>44.16</v>
      </c>
      <c r="F17" s="17">
        <v>10000.0</v>
      </c>
      <c r="G17" s="17">
        <f t="shared" si="4"/>
        <v>1270000</v>
      </c>
      <c r="H17" s="17">
        <v>6800.31</v>
      </c>
      <c r="I17" s="26">
        <f t="shared" si="5"/>
        <v>1246892.5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7">
        <v>42228.0</v>
      </c>
      <c r="B18" s="17">
        <f t="shared" si="1"/>
        <v>58319.14</v>
      </c>
      <c r="C18" s="17">
        <v>32829.6</v>
      </c>
      <c r="D18" s="17">
        <f t="shared" si="2"/>
        <v>-208935.53</v>
      </c>
      <c r="E18" s="17">
        <f t="shared" si="3"/>
        <v>-20.52</v>
      </c>
      <c r="F18" s="17">
        <v>10000.0</v>
      </c>
      <c r="G18" s="17">
        <f t="shared" si="4"/>
        <v>1280000</v>
      </c>
      <c r="H18" s="17">
        <v>6320.36</v>
      </c>
      <c r="I18" s="26">
        <f t="shared" si="5"/>
        <v>1253212.86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7">
        <v>42229.0</v>
      </c>
      <c r="B19" s="17">
        <f t="shared" si="1"/>
        <v>61998.78</v>
      </c>
      <c r="C19" s="17">
        <v>36496.5</v>
      </c>
      <c r="D19" s="17">
        <f t="shared" si="2"/>
        <v>-208948.27</v>
      </c>
      <c r="E19" s="17">
        <f t="shared" si="3"/>
        <v>-12.74</v>
      </c>
      <c r="F19" s="17">
        <v>10000.0</v>
      </c>
      <c r="G19" s="17">
        <f t="shared" si="4"/>
        <v>1290000</v>
      </c>
      <c r="H19" s="17">
        <f>3081+1767.65+1195.55</f>
        <v>6044.2</v>
      </c>
      <c r="I19" s="26">
        <f t="shared" si="5"/>
        <v>1259257.06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7">
        <v>42230.0</v>
      </c>
      <c r="B20" s="17">
        <f t="shared" si="1"/>
        <v>65954.58</v>
      </c>
      <c r="C20" s="17">
        <v>40366.93</v>
      </c>
      <c r="D20" s="17">
        <f t="shared" si="2"/>
        <v>-209033.64</v>
      </c>
      <c r="E20" s="17">
        <f t="shared" si="3"/>
        <v>-85.37</v>
      </c>
      <c r="F20" s="17">
        <v>6000.0</v>
      </c>
      <c r="G20" s="17">
        <f t="shared" si="4"/>
        <v>1296000</v>
      </c>
      <c r="H20" s="17">
        <f>2959+1723.08+1364.06</f>
        <v>6046.14</v>
      </c>
      <c r="I20" s="26">
        <f t="shared" si="5"/>
        <v>1265303.2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7">
        <v>42231.0</v>
      </c>
      <c r="B21" s="17">
        <f t="shared" si="1"/>
        <v>65908.44</v>
      </c>
      <c r="C21" s="17">
        <v>40292.13</v>
      </c>
      <c r="D21" s="17">
        <f t="shared" si="2"/>
        <v>-209062.3</v>
      </c>
      <c r="E21" s="17">
        <f t="shared" si="3"/>
        <v>-28.66</v>
      </c>
      <c r="F21" s="17">
        <v>4000.0</v>
      </c>
      <c r="G21" s="17">
        <f t="shared" si="4"/>
        <v>1300000</v>
      </c>
      <c r="H21" s="17">
        <v>5199.17</v>
      </c>
      <c r="I21" s="26">
        <f t="shared" si="5"/>
        <v>1270502.37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7">
        <v>42232.0</v>
      </c>
      <c r="B22" s="17">
        <f t="shared" si="1"/>
        <v>64709.27</v>
      </c>
      <c r="C22" s="17">
        <v>39166.76</v>
      </c>
      <c r="D22" s="17">
        <f t="shared" si="2"/>
        <v>-208988.5</v>
      </c>
      <c r="E22" s="17">
        <f t="shared" si="3"/>
        <v>73.8</v>
      </c>
      <c r="F22" s="17"/>
      <c r="G22" s="17">
        <f t="shared" si="4"/>
        <v>1300000</v>
      </c>
      <c r="H22" s="17">
        <v>4185.69</v>
      </c>
      <c r="I22" s="26">
        <f t="shared" si="5"/>
        <v>1274688.06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7">
        <v>42233.0</v>
      </c>
      <c r="B23" s="17">
        <f t="shared" si="1"/>
        <v>60523.58</v>
      </c>
      <c r="C23" s="17">
        <v>34657.63</v>
      </c>
      <c r="D23" s="17">
        <f t="shared" si="2"/>
        <v>-209311.94</v>
      </c>
      <c r="E23" s="17">
        <f t="shared" si="3"/>
        <v>-323.44</v>
      </c>
      <c r="F23" s="17"/>
      <c r="G23" s="17">
        <f t="shared" si="4"/>
        <v>1300000</v>
      </c>
      <c r="H23" s="17">
        <v>6547.89</v>
      </c>
      <c r="I23" s="26">
        <f t="shared" si="5"/>
        <v>1281235.95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7">
        <v>42234.0</v>
      </c>
      <c r="B24" s="17">
        <f t="shared" si="1"/>
        <v>53975.69</v>
      </c>
      <c r="C24" s="17">
        <v>27816.43</v>
      </c>
      <c r="D24" s="17">
        <f t="shared" si="2"/>
        <v>-209605.25</v>
      </c>
      <c r="E24" s="17">
        <f t="shared" si="3"/>
        <v>-293.31</v>
      </c>
      <c r="F24" s="17">
        <v>10000.0</v>
      </c>
      <c r="G24" s="17">
        <f t="shared" si="4"/>
        <v>1310000</v>
      </c>
      <c r="H24" s="17">
        <f>3288.21+1859.24+1343.89</f>
        <v>6491.34</v>
      </c>
      <c r="I24" s="26">
        <f t="shared" si="5"/>
        <v>1287727.29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7">
        <v>42235.0</v>
      </c>
      <c r="B25" s="17">
        <f t="shared" si="1"/>
        <v>57484.35</v>
      </c>
      <c r="C25" s="17">
        <f>17077.7+7660+6696+57.63</f>
        <v>31491.33</v>
      </c>
      <c r="D25" s="17">
        <f t="shared" si="2"/>
        <v>-209439.01</v>
      </c>
      <c r="E25" s="17">
        <f t="shared" si="3"/>
        <v>166.24</v>
      </c>
      <c r="F25" s="17"/>
      <c r="G25" s="17">
        <f t="shared" si="4"/>
        <v>1310000</v>
      </c>
      <c r="H25" s="17">
        <v>6002.23</v>
      </c>
      <c r="I25" s="26">
        <f t="shared" si="5"/>
        <v>1293729.52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7">
        <v>42236.0</v>
      </c>
      <c r="B26" s="17">
        <f t="shared" si="1"/>
        <v>51482.12</v>
      </c>
      <c r="C26" s="17">
        <v>25086.13</v>
      </c>
      <c r="D26" s="17">
        <f t="shared" si="2"/>
        <v>-209841.98</v>
      </c>
      <c r="E26" s="17">
        <f t="shared" si="3"/>
        <v>-402.97</v>
      </c>
      <c r="F26" s="17">
        <v>10000.0</v>
      </c>
      <c r="G26" s="17">
        <f t="shared" si="4"/>
        <v>1320000</v>
      </c>
      <c r="H26" s="17">
        <v>5766.27</v>
      </c>
      <c r="I26" s="26">
        <f t="shared" si="5"/>
        <v>1299495.79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7">
        <v>42237.0</v>
      </c>
      <c r="B27" s="17">
        <f t="shared" si="1"/>
        <v>55715.85</v>
      </c>
      <c r="C27" s="17">
        <v>29396.13</v>
      </c>
      <c r="D27" s="17">
        <f t="shared" si="2"/>
        <v>-209765.71</v>
      </c>
      <c r="E27" s="17">
        <f t="shared" si="3"/>
        <v>76.27</v>
      </c>
      <c r="F27" s="17">
        <v>16000.0</v>
      </c>
      <c r="G27" s="17">
        <f t="shared" si="4"/>
        <v>1336000</v>
      </c>
      <c r="H27" s="17">
        <v>5431.36</v>
      </c>
      <c r="I27" s="26">
        <f t="shared" si="5"/>
        <v>1304927.15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7">
        <v>42238.0</v>
      </c>
      <c r="B28" s="17">
        <f t="shared" si="1"/>
        <v>66284.49</v>
      </c>
      <c r="C28" s="17">
        <v>40252.13</v>
      </c>
      <c r="D28" s="17">
        <f t="shared" si="2"/>
        <v>-209478.35</v>
      </c>
      <c r="E28" s="17">
        <f t="shared" si="3"/>
        <v>287.36</v>
      </c>
      <c r="F28" s="17">
        <v>4000.0</v>
      </c>
      <c r="G28" s="17">
        <f t="shared" si="4"/>
        <v>1340000</v>
      </c>
      <c r="H28" s="17">
        <v>5042.71</v>
      </c>
      <c r="I28" s="26">
        <f t="shared" si="5"/>
        <v>1309969.86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7">
        <v>42239.0</v>
      </c>
      <c r="B29" s="17">
        <f t="shared" si="1"/>
        <v>65241.78</v>
      </c>
      <c r="C29" s="17">
        <v>39159.32</v>
      </c>
      <c r="D29" s="17">
        <f t="shared" si="2"/>
        <v>-209528.45</v>
      </c>
      <c r="E29" s="17">
        <f t="shared" si="3"/>
        <v>-50.1</v>
      </c>
      <c r="F29" s="17"/>
      <c r="G29" s="17">
        <f t="shared" si="4"/>
        <v>1340000</v>
      </c>
      <c r="H29" s="17">
        <v>3610.97</v>
      </c>
      <c r="I29" s="26">
        <f t="shared" si="5"/>
        <v>1313580.83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7">
        <v>42240.0</v>
      </c>
      <c r="B30" s="17">
        <f t="shared" si="1"/>
        <v>61630.81</v>
      </c>
      <c r="C30" s="17">
        <v>35379.18</v>
      </c>
      <c r="D30" s="17">
        <f t="shared" si="2"/>
        <v>-209697.62</v>
      </c>
      <c r="E30" s="17">
        <f t="shared" si="3"/>
        <v>-169.17</v>
      </c>
      <c r="F30" s="17"/>
      <c r="G30" s="17">
        <f t="shared" si="4"/>
        <v>1340000</v>
      </c>
      <c r="H30" s="17">
        <v>6283.96</v>
      </c>
      <c r="I30" s="26">
        <f t="shared" si="5"/>
        <v>1319864.79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7">
        <v>42241.0</v>
      </c>
      <c r="B31" s="17">
        <f t="shared" si="1"/>
        <v>55346.85</v>
      </c>
      <c r="C31" s="17">
        <v>28678.8</v>
      </c>
      <c r="D31" s="17">
        <f t="shared" si="2"/>
        <v>-210114.04</v>
      </c>
      <c r="E31" s="17">
        <f t="shared" si="3"/>
        <v>-416.42</v>
      </c>
      <c r="F31" s="17">
        <v>10000.0</v>
      </c>
      <c r="G31" s="17">
        <f t="shared" si="4"/>
        <v>1350000</v>
      </c>
      <c r="H31" s="17">
        <v>6213.0</v>
      </c>
      <c r="I31" s="26">
        <f t="shared" si="5"/>
        <v>1326077.79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7">
        <v>42242.0</v>
      </c>
      <c r="B32" s="17">
        <f t="shared" si="1"/>
        <v>59133.85</v>
      </c>
      <c r="C32" s="17">
        <v>32596.4</v>
      </c>
      <c r="D32" s="17">
        <f t="shared" si="2"/>
        <v>-209983.44</v>
      </c>
      <c r="E32" s="17">
        <f t="shared" si="3"/>
        <v>130.6</v>
      </c>
      <c r="F32" s="17">
        <v>10000.0</v>
      </c>
      <c r="G32" s="17">
        <f t="shared" si="4"/>
        <v>1360000</v>
      </c>
      <c r="H32" s="17">
        <v>6245.09</v>
      </c>
      <c r="I32" s="26">
        <f t="shared" si="5"/>
        <v>1332322.88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7">
        <v>42243.0</v>
      </c>
      <c r="B33" s="17">
        <f t="shared" si="1"/>
        <v>62888.76</v>
      </c>
      <c r="C33" s="17">
        <v>36318.73</v>
      </c>
      <c r="D33" s="17">
        <f t="shared" si="2"/>
        <v>-210016.02</v>
      </c>
      <c r="E33" s="17">
        <f t="shared" si="3"/>
        <v>-32.58</v>
      </c>
      <c r="F33" s="17">
        <v>10000.0</v>
      </c>
      <c r="G33" s="17">
        <f t="shared" si="4"/>
        <v>1370000</v>
      </c>
      <c r="H33" s="17">
        <v>6753.5</v>
      </c>
      <c r="I33" s="26">
        <f t="shared" si="5"/>
        <v>1339076.38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7">
        <v>42244.0</v>
      </c>
      <c r="B34" s="17">
        <f t="shared" si="1"/>
        <v>66135.26</v>
      </c>
      <c r="C34" s="17">
        <v>39803.72</v>
      </c>
      <c r="D34" s="17">
        <f t="shared" si="2"/>
        <v>-209777.53</v>
      </c>
      <c r="E34" s="17">
        <f t="shared" si="3"/>
        <v>238.49</v>
      </c>
      <c r="F34" s="17">
        <v>6000.0</v>
      </c>
      <c r="G34" s="17">
        <f t="shared" si="4"/>
        <v>1376000</v>
      </c>
      <c r="H34" s="17">
        <v>5297.67</v>
      </c>
      <c r="I34" s="26">
        <f t="shared" si="5"/>
        <v>1344374.05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7">
        <v>42245.0</v>
      </c>
      <c r="B35" s="17">
        <f t="shared" si="1"/>
        <v>66837.59</v>
      </c>
      <c r="C35" s="17">
        <v>40710.22</v>
      </c>
      <c r="D35" s="17">
        <f t="shared" si="2"/>
        <v>-209573.36</v>
      </c>
      <c r="E35" s="17">
        <f t="shared" si="3"/>
        <v>204.17</v>
      </c>
      <c r="F35" s="17">
        <v>4000.0</v>
      </c>
      <c r="G35" s="17">
        <f t="shared" si="4"/>
        <v>1380000</v>
      </c>
      <c r="H35" s="17">
        <v>5749.95</v>
      </c>
      <c r="I35" s="26">
        <f t="shared" si="5"/>
        <v>1350124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7">
        <v>42246.0</v>
      </c>
      <c r="B36" s="17">
        <f t="shared" si="1"/>
        <v>65087.64</v>
      </c>
      <c r="C36" s="17">
        <v>39813.73</v>
      </c>
      <c r="D36" s="17">
        <f t="shared" si="2"/>
        <v>-208719.9</v>
      </c>
      <c r="E36" s="17">
        <f t="shared" si="3"/>
        <v>853.46</v>
      </c>
      <c r="F36" s="17"/>
      <c r="G36" s="17">
        <f t="shared" si="4"/>
        <v>1380000</v>
      </c>
      <c r="H36" s="17">
        <v>4496.08</v>
      </c>
      <c r="I36" s="26">
        <f t="shared" si="5"/>
        <v>1354620.08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7">
        <v>42247.0</v>
      </c>
      <c r="B37" s="17">
        <f t="shared" si="1"/>
        <v>60591.56</v>
      </c>
      <c r="C37" s="17">
        <v>35063.38</v>
      </c>
      <c r="D37" s="17">
        <f t="shared" si="2"/>
        <v>-208974.17</v>
      </c>
      <c r="E37" s="17">
        <f t="shared" si="3"/>
        <v>-254.27</v>
      </c>
      <c r="F37" s="17"/>
      <c r="G37" s="17">
        <f t="shared" si="4"/>
        <v>1380000</v>
      </c>
      <c r="H37" s="17">
        <f>2202.76+3333.34+921.95</f>
        <v>6458.05</v>
      </c>
      <c r="I37" s="26">
        <f t="shared" si="5"/>
        <v>1361078.13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7">
        <v>42248.0</v>
      </c>
      <c r="B38" s="17">
        <f t="shared" si="1"/>
        <v>54133.51</v>
      </c>
      <c r="C38" s="17">
        <v>27897.4</v>
      </c>
      <c r="D38" s="17">
        <f t="shared" si="2"/>
        <v>-209024.17</v>
      </c>
      <c r="E38" s="17">
        <v>-50.0</v>
      </c>
      <c r="F38" s="17"/>
      <c r="G38" s="17">
        <f t="shared" si="4"/>
        <v>1380000</v>
      </c>
      <c r="H38" s="17"/>
      <c r="I38" s="26">
        <f t="shared" si="5"/>
        <v>1361078.13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7"/>
      <c r="B39" s="17"/>
      <c r="C39" s="17"/>
      <c r="D39" s="17"/>
      <c r="E39" s="17"/>
      <c r="F39" s="17"/>
      <c r="G39" s="17"/>
      <c r="H39" s="17"/>
      <c r="I39" s="26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8" t="s">
        <v>35</v>
      </c>
      <c r="B40" s="17">
        <f>B38-H38+F38</f>
        <v>54133.51</v>
      </c>
      <c r="C40" s="17"/>
      <c r="D40" s="17">
        <f>D38+E40</f>
        <v>-210264.24</v>
      </c>
      <c r="E40" s="29">
        <f>SUM(E7:E38)</f>
        <v>-1240.07</v>
      </c>
      <c r="F40" s="17"/>
      <c r="G40" s="17">
        <f>G38+F40</f>
        <v>1380000</v>
      </c>
      <c r="H40" s="16">
        <f>SUM(H7:H38)</f>
        <v>177325.72</v>
      </c>
      <c r="I40" s="26">
        <f>I38++H40</f>
        <v>1538403.85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7" t="s">
        <v>17</v>
      </c>
      <c r="B41" s="17">
        <f>B40-H40+F40</f>
        <v>-123192.21</v>
      </c>
      <c r="C41" s="17"/>
      <c r="D41" s="17">
        <f>D40+E41</f>
        <v>-210264.24</v>
      </c>
      <c r="E41" s="17"/>
      <c r="F41" s="17"/>
      <c r="G41" s="17">
        <f>G40+F41</f>
        <v>1380000</v>
      </c>
      <c r="H41" s="17">
        <f>AVERAGE(H7:H37)</f>
        <v>5720.184516</v>
      </c>
      <c r="I41" s="26">
        <f>I40++H41</f>
        <v>1544124.035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7"/>
      <c r="B42" s="17"/>
      <c r="C42" s="17"/>
      <c r="D42" s="17"/>
      <c r="E42" s="30"/>
      <c r="F42" s="17"/>
      <c r="G42" s="17"/>
      <c r="H42" s="17"/>
      <c r="I42" s="2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31"/>
      <c r="H43" s="5"/>
      <c r="I43" s="5" t="s">
        <v>12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32"/>
      <c r="H44" s="5" t="s">
        <v>13</v>
      </c>
      <c r="I44" s="34">
        <f>5121.782</f>
        <v>5121.782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5" t="s">
        <v>14</v>
      </c>
      <c r="I45" s="34">
        <v>5601.1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5" t="s">
        <v>16</v>
      </c>
      <c r="I46" s="34">
        <v>5681.1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5" t="s">
        <v>18</v>
      </c>
      <c r="I47" s="34">
        <v>5608.0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5" t="s">
        <v>19</v>
      </c>
      <c r="I48" s="34">
        <v>5631.3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5" t="s">
        <v>20</v>
      </c>
      <c r="I49" s="34">
        <v>6150.6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5" t="s">
        <v>21</v>
      </c>
      <c r="I50" s="34">
        <v>5925.0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5" t="s">
        <v>22</v>
      </c>
      <c r="I51" s="34">
        <f>H41</f>
        <v>5720.184516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5" t="s">
        <v>23</v>
      </c>
      <c r="I52" s="5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5" t="s">
        <v>24</v>
      </c>
      <c r="I53" s="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5" t="s">
        <v>25</v>
      </c>
      <c r="I54" s="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5" t="s">
        <v>38</v>
      </c>
      <c r="I55" s="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>
        <f>B1222*B445</f>
        <v>0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D1:G1"/>
    <mergeCell ref="D2:G2"/>
    <mergeCell ref="D3:G3"/>
  </mergeCells>
  <printOptions/>
  <pageMargins bottom="0.75" footer="0.0" header="0.0" left="0.7" right="0.7" top="0.75"/>
  <pageSetup scale="76"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1.57"/>
    <col customWidth="1" min="3" max="3" width="11.71"/>
    <col customWidth="1" min="4" max="4" width="11.29"/>
    <col customWidth="1" min="5" max="5" width="13.0"/>
    <col customWidth="1" min="6" max="6" width="9.71"/>
    <col customWidth="1" min="7" max="7" width="13.57"/>
    <col customWidth="1" min="8" max="8" width="10.71"/>
    <col customWidth="1" min="9" max="9" width="12.57"/>
    <col customWidth="1" min="10" max="11" width="9.14"/>
    <col customWidth="1" min="12" max="12" width="0.14"/>
    <col customWidth="1" hidden="1" min="13" max="13" width="9.14"/>
    <col customWidth="1" min="14" max="14" width="0.86"/>
    <col customWidth="1" hidden="1" min="15" max="15" width="9.14"/>
    <col customWidth="1" min="16" max="26" width="8.71"/>
  </cols>
  <sheetData>
    <row r="1">
      <c r="A1" s="10"/>
      <c r="B1" s="11"/>
      <c r="C1" s="21"/>
      <c r="D1" s="8" t="s">
        <v>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0"/>
      <c r="B2" s="11"/>
      <c r="C2" s="11"/>
      <c r="D2" s="9" t="s">
        <v>0</v>
      </c>
      <c r="H2" s="11"/>
      <c r="I2" s="1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1"/>
      <c r="B3" s="11"/>
      <c r="C3" s="11"/>
      <c r="D3" s="8" t="s">
        <v>40</v>
      </c>
      <c r="H3" s="10"/>
      <c r="I3" s="1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1"/>
      <c r="B4" s="11"/>
      <c r="C4" s="11"/>
      <c r="D4" s="8"/>
      <c r="E4" s="8"/>
      <c r="F4" s="8"/>
      <c r="G4" s="8"/>
      <c r="H4" s="11"/>
      <c r="I4" s="1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3</v>
      </c>
      <c r="B5" s="23" t="s">
        <v>4</v>
      </c>
      <c r="C5" s="24" t="s">
        <v>5</v>
      </c>
      <c r="D5" s="24" t="s">
        <v>27</v>
      </c>
      <c r="E5" s="24" t="s">
        <v>28</v>
      </c>
      <c r="F5" s="24" t="s">
        <v>8</v>
      </c>
      <c r="G5" s="24" t="s">
        <v>9</v>
      </c>
      <c r="H5" s="24" t="s">
        <v>10</v>
      </c>
      <c r="I5" s="24" t="s">
        <v>11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7">
        <v>42217.0</v>
      </c>
      <c r="B7" s="25">
        <v>54133.51</v>
      </c>
      <c r="C7" s="25">
        <v>27897.4</v>
      </c>
      <c r="D7" s="25">
        <v>-209682.0</v>
      </c>
      <c r="E7" s="25">
        <v>-50.0</v>
      </c>
      <c r="F7" s="25">
        <v>10000.0</v>
      </c>
      <c r="G7" s="25">
        <v>1380000.0</v>
      </c>
      <c r="H7" s="25">
        <v>7280.22</v>
      </c>
      <c r="I7" s="25">
        <v>1361078.1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7">
        <v>42218.0</v>
      </c>
      <c r="B8" s="17">
        <f t="shared" ref="B8:B39" si="1">B7-H7+F7</f>
        <v>56853.29</v>
      </c>
      <c r="C8" s="17">
        <v>30594.48</v>
      </c>
      <c r="D8" s="17">
        <f t="shared" ref="D8:D39" si="2">D7+E8</f>
        <v>-209704.7</v>
      </c>
      <c r="E8" s="17">
        <f t="shared" ref="E8:E15" si="3">C8+H7-C7-F7</f>
        <v>-22.7</v>
      </c>
      <c r="F8" s="17">
        <v>10000.0</v>
      </c>
      <c r="G8" s="17">
        <f t="shared" ref="G8:G39" si="4">G7+F8</f>
        <v>1390000</v>
      </c>
      <c r="H8" s="17">
        <v>6346.7</v>
      </c>
      <c r="I8" s="26">
        <f t="shared" ref="I8:I39" si="5">I7++H8</f>
        <v>1367424.8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7">
        <v>42219.0</v>
      </c>
      <c r="B9" s="17">
        <f t="shared" si="1"/>
        <v>60506.59</v>
      </c>
      <c r="C9" s="17">
        <v>34096.93</v>
      </c>
      <c r="D9" s="17">
        <f t="shared" si="2"/>
        <v>-209855.55</v>
      </c>
      <c r="E9" s="17">
        <f t="shared" si="3"/>
        <v>-150.85</v>
      </c>
      <c r="F9" s="17"/>
      <c r="G9" s="17">
        <f t="shared" si="4"/>
        <v>1390000</v>
      </c>
      <c r="H9" s="17">
        <v>6035.29</v>
      </c>
      <c r="I9" s="26">
        <f t="shared" si="5"/>
        <v>1373460.09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7">
        <v>42220.0</v>
      </c>
      <c r="B10" s="17">
        <f t="shared" si="1"/>
        <v>54471.3</v>
      </c>
      <c r="C10" s="17">
        <f>17200+3468.4+7154.5+57.63</f>
        <v>27880.53</v>
      </c>
      <c r="D10" s="17">
        <f t="shared" si="2"/>
        <v>-210036.66</v>
      </c>
      <c r="E10" s="17">
        <f t="shared" si="3"/>
        <v>-181.11</v>
      </c>
      <c r="F10" s="17">
        <v>20000.0</v>
      </c>
      <c r="G10" s="17">
        <f t="shared" si="4"/>
        <v>1410000</v>
      </c>
      <c r="H10" s="17">
        <v>6242.08</v>
      </c>
      <c r="I10" s="26">
        <f t="shared" si="5"/>
        <v>1379702.17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7">
        <v>42221.0</v>
      </c>
      <c r="B11" s="17">
        <f t="shared" si="1"/>
        <v>68229.22</v>
      </c>
      <c r="C11" s="17">
        <v>41557.63</v>
      </c>
      <c r="D11" s="17">
        <f t="shared" si="2"/>
        <v>-210117.48</v>
      </c>
      <c r="E11" s="17">
        <f t="shared" si="3"/>
        <v>-80.82</v>
      </c>
      <c r="F11" s="17"/>
      <c r="G11" s="17">
        <f t="shared" si="4"/>
        <v>1410000</v>
      </c>
      <c r="H11" s="17">
        <v>5824.61</v>
      </c>
      <c r="I11" s="26">
        <f t="shared" si="5"/>
        <v>1385526.78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7">
        <v>42222.0</v>
      </c>
      <c r="B12" s="17">
        <f t="shared" si="1"/>
        <v>62404.61</v>
      </c>
      <c r="C12" s="17">
        <v>35337.53</v>
      </c>
      <c r="D12" s="17">
        <f t="shared" si="2"/>
        <v>-210512.97</v>
      </c>
      <c r="E12" s="17">
        <f t="shared" si="3"/>
        <v>-395.49</v>
      </c>
      <c r="F12" s="17"/>
      <c r="G12" s="17">
        <f t="shared" si="4"/>
        <v>1410000</v>
      </c>
      <c r="H12" s="17">
        <v>4095.59</v>
      </c>
      <c r="I12" s="26">
        <f t="shared" si="5"/>
        <v>1389622.37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7">
        <v>42223.0</v>
      </c>
      <c r="B13" s="17">
        <f t="shared" si="1"/>
        <v>58309.02</v>
      </c>
      <c r="C13" s="17">
        <v>30979.26</v>
      </c>
      <c r="D13" s="17">
        <f t="shared" si="2"/>
        <v>-210775.65</v>
      </c>
      <c r="E13" s="17">
        <f t="shared" si="3"/>
        <v>-262.68</v>
      </c>
      <c r="F13" s="17"/>
      <c r="G13" s="17">
        <f t="shared" si="4"/>
        <v>1410000</v>
      </c>
      <c r="H13" s="17">
        <v>6732.79</v>
      </c>
      <c r="I13" s="26">
        <f t="shared" si="5"/>
        <v>1396355.16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7">
        <v>42224.0</v>
      </c>
      <c r="B14" s="17">
        <f t="shared" si="1"/>
        <v>51576.23</v>
      </c>
      <c r="C14" s="17">
        <v>23583.4</v>
      </c>
      <c r="D14" s="17">
        <f t="shared" si="2"/>
        <v>-211438.72</v>
      </c>
      <c r="E14" s="17">
        <f t="shared" si="3"/>
        <v>-663.07</v>
      </c>
      <c r="F14" s="17">
        <v>10000.0</v>
      </c>
      <c r="G14" s="17">
        <f t="shared" si="4"/>
        <v>1420000</v>
      </c>
      <c r="H14" s="17">
        <v>5918.0</v>
      </c>
      <c r="I14" s="26">
        <f t="shared" si="5"/>
        <v>1402273.16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7">
        <v>42225.0</v>
      </c>
      <c r="B15" s="17">
        <f t="shared" si="1"/>
        <v>55658.23</v>
      </c>
      <c r="C15" s="17">
        <v>27587.04</v>
      </c>
      <c r="D15" s="17">
        <f t="shared" si="2"/>
        <v>-211517.08</v>
      </c>
      <c r="E15" s="17">
        <f t="shared" si="3"/>
        <v>-78.36</v>
      </c>
      <c r="F15" s="17"/>
      <c r="G15" s="17">
        <f t="shared" si="4"/>
        <v>1420000</v>
      </c>
      <c r="H15" s="17"/>
      <c r="I15" s="26">
        <f t="shared" si="5"/>
        <v>1402273.16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7">
        <v>42226.0</v>
      </c>
      <c r="B16" s="17">
        <f t="shared" si="1"/>
        <v>55658.23</v>
      </c>
      <c r="C16" s="17"/>
      <c r="D16" s="17">
        <f t="shared" si="2"/>
        <v>-211517.08</v>
      </c>
      <c r="E16" s="17"/>
      <c r="F16" s="17"/>
      <c r="G16" s="17">
        <f t="shared" si="4"/>
        <v>1420000</v>
      </c>
      <c r="H16" s="17"/>
      <c r="I16" s="26">
        <f t="shared" si="5"/>
        <v>1402273.16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7">
        <v>42227.0</v>
      </c>
      <c r="B17" s="17">
        <f t="shared" si="1"/>
        <v>55658.23</v>
      </c>
      <c r="C17" s="17"/>
      <c r="D17" s="17">
        <f t="shared" si="2"/>
        <v>-211517.08</v>
      </c>
      <c r="E17" s="17">
        <f t="shared" ref="E17:E39" si="6">C17+H16-C16-F16</f>
        <v>0</v>
      </c>
      <c r="F17" s="17"/>
      <c r="G17" s="17">
        <f t="shared" si="4"/>
        <v>1420000</v>
      </c>
      <c r="H17" s="17"/>
      <c r="I17" s="26">
        <f t="shared" si="5"/>
        <v>1402273.16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7">
        <v>42228.0</v>
      </c>
      <c r="B18" s="17">
        <f t="shared" si="1"/>
        <v>55658.23</v>
      </c>
      <c r="C18" s="17"/>
      <c r="D18" s="17">
        <f t="shared" si="2"/>
        <v>-211517.08</v>
      </c>
      <c r="E18" s="17">
        <f t="shared" si="6"/>
        <v>0</v>
      </c>
      <c r="F18" s="17"/>
      <c r="G18" s="17">
        <f t="shared" si="4"/>
        <v>1420000</v>
      </c>
      <c r="H18" s="17"/>
      <c r="I18" s="26">
        <f t="shared" si="5"/>
        <v>1402273.16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7">
        <v>42229.0</v>
      </c>
      <c r="B19" s="17">
        <f t="shared" si="1"/>
        <v>55658.23</v>
      </c>
      <c r="C19" s="17"/>
      <c r="D19" s="17">
        <f t="shared" si="2"/>
        <v>-211517.08</v>
      </c>
      <c r="E19" s="17">
        <f t="shared" si="6"/>
        <v>0</v>
      </c>
      <c r="F19" s="17"/>
      <c r="G19" s="17">
        <f t="shared" si="4"/>
        <v>1420000</v>
      </c>
      <c r="H19" s="17"/>
      <c r="I19" s="26">
        <f t="shared" si="5"/>
        <v>1402273.16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7">
        <v>42230.0</v>
      </c>
      <c r="B20" s="17">
        <f t="shared" si="1"/>
        <v>55658.23</v>
      </c>
      <c r="C20" s="17"/>
      <c r="D20" s="17">
        <f t="shared" si="2"/>
        <v>-211517.08</v>
      </c>
      <c r="E20" s="17">
        <f t="shared" si="6"/>
        <v>0</v>
      </c>
      <c r="F20" s="17"/>
      <c r="G20" s="17">
        <f t="shared" si="4"/>
        <v>1420000</v>
      </c>
      <c r="H20" s="17"/>
      <c r="I20" s="26">
        <f t="shared" si="5"/>
        <v>1402273.16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7">
        <v>42231.0</v>
      </c>
      <c r="B21" s="17">
        <f t="shared" si="1"/>
        <v>55658.23</v>
      </c>
      <c r="C21" s="17"/>
      <c r="D21" s="17">
        <f t="shared" si="2"/>
        <v>-211517.08</v>
      </c>
      <c r="E21" s="17">
        <f t="shared" si="6"/>
        <v>0</v>
      </c>
      <c r="F21" s="17"/>
      <c r="G21" s="17">
        <f t="shared" si="4"/>
        <v>1420000</v>
      </c>
      <c r="H21" s="17"/>
      <c r="I21" s="26">
        <f t="shared" si="5"/>
        <v>1402273.16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7">
        <v>42232.0</v>
      </c>
      <c r="B22" s="17">
        <f t="shared" si="1"/>
        <v>55658.23</v>
      </c>
      <c r="C22" s="17"/>
      <c r="D22" s="17">
        <f t="shared" si="2"/>
        <v>-211517.08</v>
      </c>
      <c r="E22" s="17">
        <f t="shared" si="6"/>
        <v>0</v>
      </c>
      <c r="F22" s="17"/>
      <c r="G22" s="17">
        <f t="shared" si="4"/>
        <v>1420000</v>
      </c>
      <c r="H22" s="17"/>
      <c r="I22" s="26">
        <f t="shared" si="5"/>
        <v>1402273.16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7">
        <v>42233.0</v>
      </c>
      <c r="B23" s="17">
        <f t="shared" si="1"/>
        <v>55658.23</v>
      </c>
      <c r="C23" s="17"/>
      <c r="D23" s="17">
        <f t="shared" si="2"/>
        <v>-211517.08</v>
      </c>
      <c r="E23" s="17">
        <f t="shared" si="6"/>
        <v>0</v>
      </c>
      <c r="F23" s="17"/>
      <c r="G23" s="17">
        <f t="shared" si="4"/>
        <v>1420000</v>
      </c>
      <c r="H23" s="17"/>
      <c r="I23" s="26">
        <f t="shared" si="5"/>
        <v>1402273.16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7">
        <v>42234.0</v>
      </c>
      <c r="B24" s="17">
        <f t="shared" si="1"/>
        <v>55658.23</v>
      </c>
      <c r="C24" s="17"/>
      <c r="D24" s="17">
        <f t="shared" si="2"/>
        <v>-211517.08</v>
      </c>
      <c r="E24" s="17">
        <f t="shared" si="6"/>
        <v>0</v>
      </c>
      <c r="F24" s="17"/>
      <c r="G24" s="17">
        <f t="shared" si="4"/>
        <v>1420000</v>
      </c>
      <c r="H24" s="17"/>
      <c r="I24" s="26">
        <f t="shared" si="5"/>
        <v>1402273.16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7">
        <v>42235.0</v>
      </c>
      <c r="B25" s="17">
        <f t="shared" si="1"/>
        <v>55658.23</v>
      </c>
      <c r="C25" s="17"/>
      <c r="D25" s="17">
        <f t="shared" si="2"/>
        <v>-211517.08</v>
      </c>
      <c r="E25" s="17">
        <f t="shared" si="6"/>
        <v>0</v>
      </c>
      <c r="F25" s="17"/>
      <c r="G25" s="17">
        <f t="shared" si="4"/>
        <v>1420000</v>
      </c>
      <c r="H25" s="17"/>
      <c r="I25" s="26">
        <f t="shared" si="5"/>
        <v>1402273.16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7">
        <v>42236.0</v>
      </c>
      <c r="B26" s="17">
        <f t="shared" si="1"/>
        <v>55658.23</v>
      </c>
      <c r="C26" s="17"/>
      <c r="D26" s="17">
        <f t="shared" si="2"/>
        <v>-211517.08</v>
      </c>
      <c r="E26" s="17">
        <f t="shared" si="6"/>
        <v>0</v>
      </c>
      <c r="F26" s="17"/>
      <c r="G26" s="17">
        <f t="shared" si="4"/>
        <v>1420000</v>
      </c>
      <c r="H26" s="17"/>
      <c r="I26" s="26">
        <f t="shared" si="5"/>
        <v>1402273.16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7">
        <v>42237.0</v>
      </c>
      <c r="B27" s="17">
        <f t="shared" si="1"/>
        <v>55658.23</v>
      </c>
      <c r="C27" s="17"/>
      <c r="D27" s="17">
        <f t="shared" si="2"/>
        <v>-211517.08</v>
      </c>
      <c r="E27" s="17">
        <f t="shared" si="6"/>
        <v>0</v>
      </c>
      <c r="F27" s="17"/>
      <c r="G27" s="17">
        <f t="shared" si="4"/>
        <v>1420000</v>
      </c>
      <c r="H27" s="17"/>
      <c r="I27" s="26">
        <f t="shared" si="5"/>
        <v>1402273.16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7">
        <v>42238.0</v>
      </c>
      <c r="B28" s="17">
        <f t="shared" si="1"/>
        <v>55658.23</v>
      </c>
      <c r="C28" s="17"/>
      <c r="D28" s="17">
        <f t="shared" si="2"/>
        <v>-211517.08</v>
      </c>
      <c r="E28" s="17">
        <f t="shared" si="6"/>
        <v>0</v>
      </c>
      <c r="F28" s="17"/>
      <c r="G28" s="17">
        <f t="shared" si="4"/>
        <v>1420000</v>
      </c>
      <c r="H28" s="17"/>
      <c r="I28" s="26">
        <f t="shared" si="5"/>
        <v>1402273.16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7">
        <v>42239.0</v>
      </c>
      <c r="B29" s="17">
        <f t="shared" si="1"/>
        <v>55658.23</v>
      </c>
      <c r="C29" s="17"/>
      <c r="D29" s="17">
        <f t="shared" si="2"/>
        <v>-211517.08</v>
      </c>
      <c r="E29" s="17">
        <f t="shared" si="6"/>
        <v>0</v>
      </c>
      <c r="F29" s="17"/>
      <c r="G29" s="17">
        <f t="shared" si="4"/>
        <v>1420000</v>
      </c>
      <c r="H29" s="17"/>
      <c r="I29" s="26">
        <f t="shared" si="5"/>
        <v>1402273.16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7">
        <v>42240.0</v>
      </c>
      <c r="B30" s="17">
        <f t="shared" si="1"/>
        <v>55658.23</v>
      </c>
      <c r="C30" s="17"/>
      <c r="D30" s="17">
        <f t="shared" si="2"/>
        <v>-211517.08</v>
      </c>
      <c r="E30" s="17">
        <f t="shared" si="6"/>
        <v>0</v>
      </c>
      <c r="F30" s="17"/>
      <c r="G30" s="17">
        <f t="shared" si="4"/>
        <v>1420000</v>
      </c>
      <c r="H30" s="17"/>
      <c r="I30" s="26">
        <f t="shared" si="5"/>
        <v>1402273.16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7">
        <v>42241.0</v>
      </c>
      <c r="B31" s="17">
        <f t="shared" si="1"/>
        <v>55658.23</v>
      </c>
      <c r="C31" s="17"/>
      <c r="D31" s="17">
        <f t="shared" si="2"/>
        <v>-211517.08</v>
      </c>
      <c r="E31" s="17">
        <f t="shared" si="6"/>
        <v>0</v>
      </c>
      <c r="F31" s="17"/>
      <c r="G31" s="17">
        <f t="shared" si="4"/>
        <v>1420000</v>
      </c>
      <c r="H31" s="17"/>
      <c r="I31" s="26">
        <f t="shared" si="5"/>
        <v>1402273.16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7">
        <v>42242.0</v>
      </c>
      <c r="B32" s="17">
        <f t="shared" si="1"/>
        <v>55658.23</v>
      </c>
      <c r="C32" s="17"/>
      <c r="D32" s="17">
        <f t="shared" si="2"/>
        <v>-211517.08</v>
      </c>
      <c r="E32" s="17">
        <f t="shared" si="6"/>
        <v>0</v>
      </c>
      <c r="F32" s="17"/>
      <c r="G32" s="17">
        <f t="shared" si="4"/>
        <v>1420000</v>
      </c>
      <c r="H32" s="17"/>
      <c r="I32" s="26">
        <f t="shared" si="5"/>
        <v>1402273.16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7">
        <v>42243.0</v>
      </c>
      <c r="B33" s="17">
        <f t="shared" si="1"/>
        <v>55658.23</v>
      </c>
      <c r="C33" s="17"/>
      <c r="D33" s="17">
        <f t="shared" si="2"/>
        <v>-211517.08</v>
      </c>
      <c r="E33" s="17">
        <f t="shared" si="6"/>
        <v>0</v>
      </c>
      <c r="F33" s="17"/>
      <c r="G33" s="17">
        <f t="shared" si="4"/>
        <v>1420000</v>
      </c>
      <c r="H33" s="17"/>
      <c r="I33" s="26">
        <f t="shared" si="5"/>
        <v>1402273.16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7">
        <v>42244.0</v>
      </c>
      <c r="B34" s="17">
        <f t="shared" si="1"/>
        <v>55658.23</v>
      </c>
      <c r="C34" s="17"/>
      <c r="D34" s="17">
        <f t="shared" si="2"/>
        <v>-211517.08</v>
      </c>
      <c r="E34" s="17">
        <f t="shared" si="6"/>
        <v>0</v>
      </c>
      <c r="F34" s="17"/>
      <c r="G34" s="17">
        <f t="shared" si="4"/>
        <v>1420000</v>
      </c>
      <c r="H34" s="17"/>
      <c r="I34" s="26">
        <f t="shared" si="5"/>
        <v>1402273.16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7">
        <v>42245.0</v>
      </c>
      <c r="B35" s="17">
        <f t="shared" si="1"/>
        <v>55658.23</v>
      </c>
      <c r="C35" s="17"/>
      <c r="D35" s="17">
        <f t="shared" si="2"/>
        <v>-211517.08</v>
      </c>
      <c r="E35" s="17">
        <f t="shared" si="6"/>
        <v>0</v>
      </c>
      <c r="F35" s="17"/>
      <c r="G35" s="17">
        <f t="shared" si="4"/>
        <v>1420000</v>
      </c>
      <c r="H35" s="17"/>
      <c r="I35" s="26">
        <f t="shared" si="5"/>
        <v>1402273.16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7">
        <v>42246.0</v>
      </c>
      <c r="B36" s="17">
        <f t="shared" si="1"/>
        <v>55658.23</v>
      </c>
      <c r="C36" s="17"/>
      <c r="D36" s="17">
        <f t="shared" si="2"/>
        <v>-211517.08</v>
      </c>
      <c r="E36" s="17">
        <f t="shared" si="6"/>
        <v>0</v>
      </c>
      <c r="F36" s="17"/>
      <c r="G36" s="17">
        <f t="shared" si="4"/>
        <v>1420000</v>
      </c>
      <c r="H36" s="17"/>
      <c r="I36" s="26">
        <f t="shared" si="5"/>
        <v>1402273.16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7">
        <v>42247.0</v>
      </c>
      <c r="B37" s="17">
        <f t="shared" si="1"/>
        <v>55658.23</v>
      </c>
      <c r="C37" s="17"/>
      <c r="D37" s="17">
        <f t="shared" si="2"/>
        <v>-211517.08</v>
      </c>
      <c r="E37" s="17">
        <f t="shared" si="6"/>
        <v>0</v>
      </c>
      <c r="F37" s="17"/>
      <c r="G37" s="17">
        <f t="shared" si="4"/>
        <v>1420000</v>
      </c>
      <c r="H37" s="17"/>
      <c r="I37" s="26">
        <f t="shared" si="5"/>
        <v>1402273.16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7">
        <v>42248.0</v>
      </c>
      <c r="B38" s="17">
        <f t="shared" si="1"/>
        <v>55658.23</v>
      </c>
      <c r="C38" s="17"/>
      <c r="D38" s="17">
        <f t="shared" si="2"/>
        <v>-211517.08</v>
      </c>
      <c r="E38" s="17">
        <f t="shared" si="6"/>
        <v>0</v>
      </c>
      <c r="F38" s="17"/>
      <c r="G38" s="17">
        <f t="shared" si="4"/>
        <v>1420000</v>
      </c>
      <c r="H38" s="17"/>
      <c r="I38" s="26">
        <f t="shared" si="5"/>
        <v>1402273.16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7"/>
      <c r="B39" s="17">
        <f t="shared" si="1"/>
        <v>55658.23</v>
      </c>
      <c r="C39" s="17"/>
      <c r="D39" s="17">
        <f t="shared" si="2"/>
        <v>-211517.08</v>
      </c>
      <c r="E39" s="17">
        <f t="shared" si="6"/>
        <v>0</v>
      </c>
      <c r="F39" s="17"/>
      <c r="G39" s="17">
        <f t="shared" si="4"/>
        <v>1420000</v>
      </c>
      <c r="H39" s="17"/>
      <c r="I39" s="26">
        <f t="shared" si="5"/>
        <v>1402273.16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8" t="s">
        <v>35</v>
      </c>
      <c r="B40" s="17">
        <f>B38-H38+F38</f>
        <v>55658.23</v>
      </c>
      <c r="C40" s="17"/>
      <c r="D40" s="17">
        <f>D38+E40</f>
        <v>-213402.16</v>
      </c>
      <c r="E40" s="29">
        <f>SUM(E7:E38)</f>
        <v>-1885.08</v>
      </c>
      <c r="F40" s="17"/>
      <c r="G40" s="17">
        <f>G38+F40</f>
        <v>1420000</v>
      </c>
      <c r="H40" s="16">
        <f>SUM(H7:H38)</f>
        <v>48475.28</v>
      </c>
      <c r="I40" s="26">
        <f>I38++H40</f>
        <v>1450748.44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7" t="s">
        <v>17</v>
      </c>
      <c r="B41" s="17">
        <f>B40-H40+F40</f>
        <v>7182.95</v>
      </c>
      <c r="C41" s="17"/>
      <c r="D41" s="17">
        <f>D40+E41</f>
        <v>-213402.16</v>
      </c>
      <c r="E41" s="17"/>
      <c r="F41" s="17"/>
      <c r="G41" s="17">
        <f>G40+F41</f>
        <v>1420000</v>
      </c>
      <c r="H41" s="17">
        <f>AVERAGE(H7:H37)</f>
        <v>6059.41</v>
      </c>
      <c r="I41" s="26">
        <f>I40++H41</f>
        <v>1456807.85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7"/>
      <c r="B42" s="17"/>
      <c r="C42" s="17"/>
      <c r="D42" s="17"/>
      <c r="E42" s="30"/>
      <c r="F42" s="17"/>
      <c r="G42" s="17"/>
      <c r="H42" s="17"/>
      <c r="I42" s="2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31"/>
      <c r="H43" s="5"/>
      <c r="I43" s="5" t="s">
        <v>12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32"/>
      <c r="H44" s="5" t="s">
        <v>13</v>
      </c>
      <c r="I44" s="34">
        <f>5121.782</f>
        <v>5121.782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5" t="s">
        <v>14</v>
      </c>
      <c r="I45" s="34">
        <v>5601.1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5" t="s">
        <v>16</v>
      </c>
      <c r="I46" s="34">
        <v>5681.1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5" t="s">
        <v>18</v>
      </c>
      <c r="I47" s="34">
        <v>5608.0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5" t="s">
        <v>19</v>
      </c>
      <c r="I48" s="34">
        <v>5631.3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5" t="s">
        <v>20</v>
      </c>
      <c r="I49" s="34">
        <v>6150.6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5" t="s">
        <v>21</v>
      </c>
      <c r="I50" s="34">
        <v>5925.0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5" t="s">
        <v>22</v>
      </c>
      <c r="I51" s="34">
        <v>5720.2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5" t="s">
        <v>23</v>
      </c>
      <c r="I52" s="34">
        <f>H41</f>
        <v>6059.41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5" t="s">
        <v>24</v>
      </c>
      <c r="I53" s="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5" t="s">
        <v>25</v>
      </c>
      <c r="I54" s="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5" t="s">
        <v>38</v>
      </c>
      <c r="I55" s="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>
        <f>B1222*B445</f>
        <v>0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D1:G1"/>
    <mergeCell ref="D2:G2"/>
    <mergeCell ref="D3:G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