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tudentsWork-Lessons-\Marvin\Project1\data\"/>
    </mc:Choice>
  </mc:AlternateContent>
  <xr:revisionPtr revIDLastSave="0" documentId="13_ncr:1_{2322170B-EB5F-428D-AF2E-9313EDC3A86E}" xr6:coauthVersionLast="47" xr6:coauthVersionMax="47" xr10:uidLastSave="{00000000-0000-0000-0000-000000000000}"/>
  <bookViews>
    <workbookView xWindow="-110" yWindow="-110" windowWidth="19420" windowHeight="10540" firstSheet="3" activeTab="8" xr2:uid="{00000000-000D-0000-FFFF-FFFF00000000}"/>
  </bookViews>
  <sheets>
    <sheet name="JANUARY 2015" sheetId="1" r:id="rId1"/>
    <sheet name="FEBRUARY 2015" sheetId="2" r:id="rId2"/>
    <sheet name="MARCH 2015" sheetId="3" r:id="rId3"/>
    <sheet name="APRIL 2015" sheetId="4" r:id="rId4"/>
    <sheet name="MAY 2015" sheetId="5" r:id="rId5"/>
    <sheet name="JUNE 2015" sheetId="6" r:id="rId6"/>
    <sheet name="JULY 2015" sheetId="7" r:id="rId7"/>
    <sheet name="AUGUST 2015" sheetId="8" r:id="rId8"/>
    <sheet name="SEPTEMBER 2015" sheetId="9" r:id="rId9"/>
  </sheets>
  <calcPr calcId="191029"/>
</workbook>
</file>

<file path=xl/calcChain.xml><?xml version="1.0" encoding="utf-8"?>
<calcChain xmlns="http://schemas.openxmlformats.org/spreadsheetml/2006/main">
  <c r="E88" i="9" l="1"/>
  <c r="I45" i="9"/>
  <c r="H42" i="9"/>
  <c r="I53" i="9" s="1"/>
  <c r="H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6" i="9"/>
  <c r="E15" i="9"/>
  <c r="E14" i="9"/>
  <c r="E13" i="9"/>
  <c r="E12" i="9"/>
  <c r="I11" i="9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C11" i="9"/>
  <c r="E11" i="9" s="1"/>
  <c r="I10" i="9"/>
  <c r="E10" i="9"/>
  <c r="I9" i="9"/>
  <c r="G9" i="9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E9" i="9"/>
  <c r="D9" i="9" s="1"/>
  <c r="D10" i="9" s="1"/>
  <c r="D11" i="9" s="1"/>
  <c r="D12" i="9" s="1"/>
  <c r="D13" i="9" s="1"/>
  <c r="D14" i="9" s="1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E88" i="8"/>
  <c r="I45" i="8"/>
  <c r="H38" i="8"/>
  <c r="E38" i="8"/>
  <c r="E37" i="8"/>
  <c r="E36" i="8"/>
  <c r="E35" i="8"/>
  <c r="E34" i="8"/>
  <c r="E33" i="8"/>
  <c r="E32" i="8"/>
  <c r="E31" i="8"/>
  <c r="E30" i="8"/>
  <c r="E29" i="8"/>
  <c r="E28" i="8"/>
  <c r="C26" i="8"/>
  <c r="E26" i="8" s="1"/>
  <c r="H25" i="8"/>
  <c r="E25" i="8"/>
  <c r="E24" i="8"/>
  <c r="E23" i="8"/>
  <c r="H21" i="8"/>
  <c r="E22" i="8" s="1"/>
  <c r="H20" i="8"/>
  <c r="E21" i="8" s="1"/>
  <c r="E20" i="8"/>
  <c r="C18" i="8"/>
  <c r="E19" i="8" s="1"/>
  <c r="H17" i="8"/>
  <c r="E17" i="8"/>
  <c r="C15" i="8"/>
  <c r="E14" i="8"/>
  <c r="H12" i="8"/>
  <c r="E12" i="8"/>
  <c r="E11" i="8"/>
  <c r="E10" i="8"/>
  <c r="I9" i="8"/>
  <c r="I10" i="8" s="1"/>
  <c r="I11" i="8" s="1"/>
  <c r="I12" i="8" s="1"/>
  <c r="I13" i="8" s="1"/>
  <c r="I14" i="8" s="1"/>
  <c r="I15" i="8" s="1"/>
  <c r="I16" i="8" s="1"/>
  <c r="G9" i="8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1" i="8" s="1"/>
  <c r="G42" i="8" s="1"/>
  <c r="E9" i="8"/>
  <c r="D9" i="8"/>
  <c r="D10" i="8" s="1"/>
  <c r="D11" i="8" s="1"/>
  <c r="D12" i="8" s="1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1" i="8" s="1"/>
  <c r="E87" i="7"/>
  <c r="I44" i="7"/>
  <c r="E39" i="7"/>
  <c r="E38" i="7"/>
  <c r="E37" i="7"/>
  <c r="E36" i="7"/>
  <c r="E35" i="7"/>
  <c r="E34" i="7"/>
  <c r="E33" i="7"/>
  <c r="H31" i="7"/>
  <c r="E32" i="7" s="1"/>
  <c r="E31" i="7"/>
  <c r="E30" i="7"/>
  <c r="E29" i="7"/>
  <c r="R28" i="7"/>
  <c r="C27" i="7"/>
  <c r="H26" i="7"/>
  <c r="C26" i="7"/>
  <c r="H25" i="7"/>
  <c r="C25" i="7"/>
  <c r="E26" i="7" s="1"/>
  <c r="H24" i="7"/>
  <c r="C24" i="7"/>
  <c r="H23" i="7"/>
  <c r="G23" i="7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C22" i="7"/>
  <c r="C21" i="7"/>
  <c r="E21" i="7" s="1"/>
  <c r="H20" i="7"/>
  <c r="C20" i="7"/>
  <c r="H19" i="7"/>
  <c r="C19" i="7"/>
  <c r="E19" i="7" s="1"/>
  <c r="C17" i="7"/>
  <c r="E17" i="7" s="1"/>
  <c r="E16" i="7"/>
  <c r="E15" i="7"/>
  <c r="C14" i="7"/>
  <c r="E14" i="7" s="1"/>
  <c r="E13" i="7"/>
  <c r="E12" i="7"/>
  <c r="H11" i="7"/>
  <c r="H10" i="7"/>
  <c r="I9" i="7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G9" i="7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C9" i="7"/>
  <c r="E9" i="7" s="1"/>
  <c r="D9" i="7" s="1"/>
  <c r="B9" i="7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I42" i="6"/>
  <c r="C38" i="6"/>
  <c r="E38" i="6" s="1"/>
  <c r="H37" i="6"/>
  <c r="E37" i="6"/>
  <c r="H36" i="6"/>
  <c r="E36" i="6"/>
  <c r="E35" i="6"/>
  <c r="C33" i="6"/>
  <c r="E32" i="6"/>
  <c r="E31" i="6"/>
  <c r="E30" i="6"/>
  <c r="E29" i="6"/>
  <c r="E28" i="6"/>
  <c r="E27" i="6"/>
  <c r="C27" i="6"/>
  <c r="C25" i="6"/>
  <c r="E26" i="6" s="1"/>
  <c r="H24" i="6"/>
  <c r="E25" i="6" s="1"/>
  <c r="E24" i="6"/>
  <c r="E23" i="6"/>
  <c r="E22" i="6"/>
  <c r="E21" i="6"/>
  <c r="E20" i="6"/>
  <c r="E19" i="6"/>
  <c r="C18" i="6"/>
  <c r="E18" i="6" s="1"/>
  <c r="C17" i="6"/>
  <c r="H16" i="6"/>
  <c r="E17" i="6" s="1"/>
  <c r="E16" i="6"/>
  <c r="H14" i="6"/>
  <c r="E15" i="6" s="1"/>
  <c r="C13" i="6"/>
  <c r="H12" i="6"/>
  <c r="G12" i="6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C11" i="6"/>
  <c r="E10" i="6"/>
  <c r="I9" i="6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G9" i="6"/>
  <c r="G10" i="6" s="1"/>
  <c r="G11" i="6" s="1"/>
  <c r="E9" i="6"/>
  <c r="D9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K43" i="5"/>
  <c r="H38" i="5"/>
  <c r="E39" i="5" s="1"/>
  <c r="E38" i="5"/>
  <c r="E37" i="5"/>
  <c r="E36" i="5"/>
  <c r="E35" i="5"/>
  <c r="C35" i="5"/>
  <c r="E34" i="5"/>
  <c r="E33" i="5"/>
  <c r="E32" i="5"/>
  <c r="H31" i="5"/>
  <c r="C31" i="5"/>
  <c r="E31" i="5" s="1"/>
  <c r="H30" i="5"/>
  <c r="C30" i="5"/>
  <c r="E30" i="5" s="1"/>
  <c r="H29" i="5"/>
  <c r="E29" i="5"/>
  <c r="C28" i="5"/>
  <c r="E28" i="5" s="1"/>
  <c r="H27" i="5"/>
  <c r="C27" i="5"/>
  <c r="C26" i="5"/>
  <c r="E26" i="5" s="1"/>
  <c r="H25" i="5"/>
  <c r="C25" i="5"/>
  <c r="E25" i="5" s="1"/>
  <c r="H24" i="5"/>
  <c r="E24" i="5"/>
  <c r="C24" i="5"/>
  <c r="E23" i="5"/>
  <c r="E22" i="5"/>
  <c r="H20" i="5"/>
  <c r="H43" i="5" s="1"/>
  <c r="C20" i="5"/>
  <c r="E20" i="5" s="1"/>
  <c r="E19" i="5"/>
  <c r="C18" i="5"/>
  <c r="E18" i="5" s="1"/>
  <c r="E17" i="5"/>
  <c r="E16" i="5"/>
  <c r="C16" i="5"/>
  <c r="H14" i="5"/>
  <c r="E15" i="5" s="1"/>
  <c r="E14" i="5"/>
  <c r="C14" i="5"/>
  <c r="H13" i="5"/>
  <c r="D46" i="5" s="1"/>
  <c r="K47" i="5" s="1"/>
  <c r="E13" i="5"/>
  <c r="D13" i="5"/>
  <c r="D14" i="5" s="1"/>
  <c r="D15" i="5" s="1"/>
  <c r="D16" i="5" s="1"/>
  <c r="D17" i="5" s="1"/>
  <c r="D18" i="5" s="1"/>
  <c r="D19" i="5" s="1"/>
  <c r="D20" i="5" s="1"/>
  <c r="E12" i="5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E11" i="5"/>
  <c r="I10" i="5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G10" i="5"/>
  <c r="E10" i="5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I9" i="5"/>
  <c r="G9" i="5"/>
  <c r="E9" i="5"/>
  <c r="D9" i="5"/>
  <c r="D10" i="5" s="1"/>
  <c r="D11" i="5" s="1"/>
  <c r="D12" i="5" s="1"/>
  <c r="B9" i="5"/>
  <c r="K43" i="4"/>
  <c r="E38" i="4"/>
  <c r="C36" i="4"/>
  <c r="E37" i="4" s="1"/>
  <c r="H35" i="4"/>
  <c r="E36" i="4" s="1"/>
  <c r="E35" i="4"/>
  <c r="H33" i="4"/>
  <c r="E34" i="4" s="1"/>
  <c r="C33" i="4"/>
  <c r="E33" i="4" s="1"/>
  <c r="H32" i="4"/>
  <c r="E32" i="4"/>
  <c r="E31" i="4"/>
  <c r="E30" i="4"/>
  <c r="E29" i="4"/>
  <c r="E28" i="4"/>
  <c r="E27" i="4"/>
  <c r="E26" i="4"/>
  <c r="E25" i="4"/>
  <c r="C25" i="4"/>
  <c r="E24" i="4"/>
  <c r="E23" i="4"/>
  <c r="E22" i="4"/>
  <c r="E21" i="4"/>
  <c r="E20" i="4"/>
  <c r="H18" i="4"/>
  <c r="E19" i="4" s="1"/>
  <c r="E18" i="4"/>
  <c r="C16" i="4"/>
  <c r="C14" i="4"/>
  <c r="E14" i="4" s="1"/>
  <c r="C13" i="4"/>
  <c r="H12" i="4"/>
  <c r="C12" i="4"/>
  <c r="E12" i="4" s="1"/>
  <c r="E11" i="4"/>
  <c r="G10" i="4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E10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I9" i="4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G9" i="4"/>
  <c r="E9" i="4"/>
  <c r="D9" i="4"/>
  <c r="D10" i="4" s="1"/>
  <c r="D11" i="4" s="1"/>
  <c r="D12" i="4" s="1"/>
  <c r="B9" i="4"/>
  <c r="K43" i="3"/>
  <c r="E39" i="3"/>
  <c r="C37" i="3"/>
  <c r="H36" i="3"/>
  <c r="C36" i="3"/>
  <c r="E36" i="3" s="1"/>
  <c r="E35" i="3"/>
  <c r="E34" i="3"/>
  <c r="C34" i="3"/>
  <c r="E33" i="3"/>
  <c r="E32" i="3"/>
  <c r="E31" i="3"/>
  <c r="E30" i="3"/>
  <c r="E29" i="3"/>
  <c r="E28" i="3"/>
  <c r="E27" i="3"/>
  <c r="C25" i="3"/>
  <c r="H24" i="3"/>
  <c r="D46" i="3" s="1"/>
  <c r="K45" i="3" s="1"/>
  <c r="E24" i="3"/>
  <c r="E23" i="3"/>
  <c r="E22" i="3"/>
  <c r="C22" i="3"/>
  <c r="E21" i="3"/>
  <c r="E20" i="3"/>
  <c r="E19" i="3"/>
  <c r="E18" i="3"/>
  <c r="E17" i="3"/>
  <c r="E16" i="3"/>
  <c r="E15" i="3"/>
  <c r="E14" i="3"/>
  <c r="E13" i="3"/>
  <c r="E12" i="3"/>
  <c r="E11" i="3"/>
  <c r="E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E9" i="3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B9" i="3"/>
  <c r="K43" i="2"/>
  <c r="H43" i="2"/>
  <c r="E36" i="2"/>
  <c r="E35" i="2"/>
  <c r="E34" i="2"/>
  <c r="E33" i="2"/>
  <c r="E32" i="2"/>
  <c r="C30" i="2"/>
  <c r="E30" i="2" s="1"/>
  <c r="H29" i="2"/>
  <c r="E29" i="2"/>
  <c r="C28" i="2"/>
  <c r="E28" i="2" s="1"/>
  <c r="E27" i="2"/>
  <c r="E26" i="2"/>
  <c r="E25" i="2"/>
  <c r="E24" i="2"/>
  <c r="E23" i="2"/>
  <c r="E22" i="2"/>
  <c r="E21" i="2"/>
  <c r="E20" i="2"/>
  <c r="E19" i="2"/>
  <c r="C18" i="2"/>
  <c r="E18" i="2" s="1"/>
  <c r="C16" i="2"/>
  <c r="E17" i="2" s="1"/>
  <c r="H15" i="2"/>
  <c r="C15" i="2"/>
  <c r="E15" i="2" s="1"/>
  <c r="H14" i="2"/>
  <c r="D46" i="2" s="1"/>
  <c r="K44" i="2" s="1"/>
  <c r="E14" i="2"/>
  <c r="C14" i="2"/>
  <c r="E13" i="2"/>
  <c r="C11" i="2"/>
  <c r="E12" i="2" s="1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C10" i="2"/>
  <c r="E10" i="2" s="1"/>
  <c r="I9" i="2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E9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H39" i="1"/>
  <c r="C39" i="1"/>
  <c r="E39" i="1" s="1"/>
  <c r="E38" i="1"/>
  <c r="E37" i="1"/>
  <c r="E36" i="1"/>
  <c r="E35" i="1"/>
  <c r="C34" i="1"/>
  <c r="E34" i="1" s="1"/>
  <c r="C33" i="1"/>
  <c r="E33" i="1" s="1"/>
  <c r="H32" i="1"/>
  <c r="E32" i="1"/>
  <c r="C32" i="1"/>
  <c r="E31" i="1"/>
  <c r="E30" i="1"/>
  <c r="E29" i="1"/>
  <c r="E28" i="1"/>
  <c r="E27" i="1"/>
  <c r="C26" i="1"/>
  <c r="E26" i="1" s="1"/>
  <c r="H25" i="1"/>
  <c r="H43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E10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G9" i="1"/>
  <c r="E9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D15" i="9" l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1" i="9" s="1"/>
  <c r="D42" i="9" s="1"/>
  <c r="I17" i="8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1" i="8" s="1"/>
  <c r="I42" i="8" s="1"/>
  <c r="H41" i="8"/>
  <c r="B42" i="8" s="1"/>
  <c r="E18" i="8"/>
  <c r="E27" i="8"/>
  <c r="E13" i="8"/>
  <c r="D13" i="8" s="1"/>
  <c r="D14" i="8" s="1"/>
  <c r="H42" i="8"/>
  <c r="I52" i="8" s="1"/>
  <c r="E25" i="7"/>
  <c r="E20" i="7"/>
  <c r="E18" i="7"/>
  <c r="E11" i="2"/>
  <c r="H43" i="4"/>
  <c r="D46" i="4"/>
  <c r="K46" i="4" s="1"/>
  <c r="E13" i="4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G40" i="9"/>
  <c r="G41" i="9"/>
  <c r="G42" i="9" s="1"/>
  <c r="D46" i="1"/>
  <c r="K43" i="1" s="1"/>
  <c r="E31" i="2"/>
  <c r="E26" i="3"/>
  <c r="E41" i="3" s="1"/>
  <c r="E25" i="3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E38" i="3"/>
  <c r="E37" i="3"/>
  <c r="H43" i="3"/>
  <c r="E15" i="4"/>
  <c r="E41" i="4" s="1"/>
  <c r="D10" i="6"/>
  <c r="D11" i="6" s="1"/>
  <c r="E12" i="6"/>
  <c r="E39" i="6" s="1"/>
  <c r="E11" i="6"/>
  <c r="E14" i="6"/>
  <c r="E13" i="6"/>
  <c r="E16" i="2"/>
  <c r="E38" i="2" s="1"/>
  <c r="E33" i="6"/>
  <c r="E34" i="6"/>
  <c r="D9" i="2"/>
  <c r="D10" i="2" s="1"/>
  <c r="D11" i="2" s="1"/>
  <c r="D12" i="2" s="1"/>
  <c r="D13" i="2" s="1"/>
  <c r="D14" i="2" s="1"/>
  <c r="D15" i="2" s="1"/>
  <c r="E17" i="4"/>
  <c r="E16" i="4"/>
  <c r="E21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E27" i="5"/>
  <c r="H40" i="6"/>
  <c r="I47" i="6" s="1"/>
  <c r="E23" i="7"/>
  <c r="E22" i="7"/>
  <c r="H39" i="6"/>
  <c r="E28" i="7"/>
  <c r="E27" i="7"/>
  <c r="E15" i="8"/>
  <c r="E16" i="8"/>
  <c r="B41" i="9"/>
  <c r="B42" i="9" s="1"/>
  <c r="B40" i="9"/>
  <c r="E10" i="7"/>
  <c r="D10" i="7" s="1"/>
  <c r="E24" i="7"/>
  <c r="E40" i="6"/>
  <c r="D40" i="9"/>
  <c r="I41" i="9"/>
  <c r="I42" i="9" s="1"/>
  <c r="I40" i="9"/>
  <c r="H40" i="7"/>
  <c r="I40" i="7" s="1"/>
  <c r="E11" i="7"/>
  <c r="H41" i="7"/>
  <c r="I50" i="7" s="1"/>
  <c r="E41" i="9"/>
  <c r="D15" i="8" l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11" i="7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I41" i="7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E41" i="8"/>
  <c r="D41" i="8" s="1"/>
  <c r="D42" i="8" s="1"/>
  <c r="E40" i="7"/>
  <c r="E41" i="5"/>
  <c r="D12" i="6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</calcChain>
</file>

<file path=xl/sharedStrings.xml><?xml version="1.0" encoding="utf-8"?>
<sst xmlns="http://schemas.openxmlformats.org/spreadsheetml/2006/main" count="250" uniqueCount="41">
  <si>
    <t>DIESEL</t>
  </si>
  <si>
    <t>FUEL STOCK MOVEMENT SCHEDULE</t>
  </si>
  <si>
    <t xml:space="preserve">VARIANCE </t>
  </si>
  <si>
    <t>DATE</t>
  </si>
  <si>
    <t>OPENING</t>
  </si>
  <si>
    <t>DIPPINGS</t>
  </si>
  <si>
    <t>CUMULATIVE</t>
  </si>
  <si>
    <t>DAILY</t>
  </si>
  <si>
    <t>ADDED</t>
  </si>
  <si>
    <t>ACC-PURCHASE</t>
  </si>
  <si>
    <t>SALES</t>
  </si>
  <si>
    <t>ACC-SALES</t>
  </si>
  <si>
    <t>AVERAGE DIESEL SALES</t>
  </si>
  <si>
    <t xml:space="preserve">JANUARY </t>
  </si>
  <si>
    <t>FEBRUARY</t>
  </si>
  <si>
    <t>VARIANCE %</t>
  </si>
  <si>
    <t>MARCH</t>
  </si>
  <si>
    <t>AVERAGE SALE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</si>
  <si>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</si>
  <si>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</si>
  <si>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</si>
  <si>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</si>
  <si>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</si>
  <si>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</si>
  <si>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</si>
  <si>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</si>
  <si>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</si>
  <si>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CUMULATIVE VAR</t>
  </si>
  <si>
    <t>DAILY VAR.</t>
  </si>
  <si>
    <t>FOR THE MONTH OF JUNE</t>
  </si>
  <si>
    <t>OPENINGS</t>
  </si>
  <si>
    <t>CUM.VAR</t>
  </si>
  <si>
    <t>VARIANCE</t>
  </si>
  <si>
    <t>ACC. PUR</t>
  </si>
  <si>
    <t>ACC.SALES</t>
  </si>
  <si>
    <t>TOTALS</t>
  </si>
  <si>
    <t>AVERAGE</t>
  </si>
  <si>
    <t>FOR THE MONTH OF JULY</t>
  </si>
  <si>
    <t>DECEMBER</t>
  </si>
  <si>
    <t>FOR THE MONTH OF AUGUST</t>
  </si>
  <si>
    <t>FOR THE MONTH OF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</si>
</sst>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7" x14ac:knownFonts="1">
    <font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F243E"/>
      <name val="Calibri"/>
    </font>
    <font>
      <b/>
      <u/>
      <sz val="11"/>
      <color rgb="FF0F243E"/>
      <name val="Calibri"/>
    </font>
    <font>
      <sz val="11"/>
      <color rgb="FF0F243E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u/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7" fontId="0" fillId="0" borderId="0" xfId="0" applyNumberFormat="1"/>
    <xf numFmtId="17" fontId="1" fillId="2" borderId="1" xfId="0" applyNumberFormat="1" applyFont="1" applyFill="1" applyBorder="1"/>
    <xf numFmtId="0" fontId="2" fillId="2" borderId="1" xfId="0" applyFont="1" applyFill="1" applyBorder="1"/>
    <xf numFmtId="0" fontId="0" fillId="0" borderId="2" xfId="0" applyBorder="1"/>
    <xf numFmtId="0" fontId="0" fillId="0" borderId="1" xfId="0" applyBorder="1"/>
    <xf numFmtId="14" fontId="0" fillId="0" borderId="1" xfId="0" applyNumberFormat="1" applyBorder="1"/>
    <xf numFmtId="0" fontId="0" fillId="0" borderId="3" xfId="0" applyBorder="1"/>
    <xf numFmtId="0" fontId="3" fillId="0" borderId="0" xfId="0" applyFont="1" applyAlignment="1">
      <alignment horizontal="center"/>
    </xf>
    <xf numFmtId="17" fontId="5" fillId="0" borderId="0" xfId="0" applyNumberFormat="1" applyFont="1"/>
    <xf numFmtId="0" fontId="6" fillId="0" borderId="0" xfId="0" applyFont="1"/>
    <xf numFmtId="0" fontId="7" fillId="2" borderId="4" xfId="0" applyFont="1" applyFill="1" applyBorder="1"/>
    <xf numFmtId="0" fontId="8" fillId="2" borderId="5" xfId="0" applyFont="1" applyFill="1" applyBorder="1"/>
    <xf numFmtId="0" fontId="9" fillId="0" borderId="6" xfId="0" applyFont="1" applyBorder="1"/>
    <xf numFmtId="14" fontId="0" fillId="0" borderId="2" xfId="0" applyNumberFormat="1" applyBorder="1"/>
    <xf numFmtId="14" fontId="0" fillId="0" borderId="7" xfId="0" applyNumberFormat="1" applyBorder="1"/>
    <xf numFmtId="0" fontId="10" fillId="0" borderId="1" xfId="0" applyFont="1" applyBorder="1"/>
    <xf numFmtId="0" fontId="11" fillId="0" borderId="8" xfId="0" applyFont="1" applyBorder="1"/>
    <xf numFmtId="0" fontId="12" fillId="0" borderId="9" xfId="0" applyFont="1" applyBorder="1"/>
    <xf numFmtId="0" fontId="13" fillId="0" borderId="0" xfId="0" applyFont="1"/>
    <xf numFmtId="0" fontId="0" fillId="0" borderId="9" xfId="0" applyBorder="1"/>
    <xf numFmtId="0" fontId="0" fillId="0" borderId="10" xfId="0" applyBorder="1"/>
    <xf numFmtId="14" fontId="0" fillId="0" borderId="9" xfId="0" applyNumberFormat="1" applyBorder="1"/>
    <xf numFmtId="0" fontId="14" fillId="0" borderId="11" xfId="0" applyFont="1" applyBorder="1" applyAlignment="1">
      <alignment horizontal="center"/>
    </xf>
    <xf numFmtId="17" fontId="15" fillId="0" borderId="0" xfId="0" applyNumberFormat="1" applyFont="1"/>
    <xf numFmtId="17" fontId="16" fillId="0" borderId="0" xfId="0" applyNumberFormat="1" applyFont="1"/>
    <xf numFmtId="1" fontId="0" fillId="0" borderId="1" xfId="0" applyNumberFormat="1" applyBorder="1"/>
    <xf numFmtId="164" fontId="0" fillId="0" borderId="1" xfId="0" applyNumberFormat="1" applyBorder="1"/>
    <xf numFmtId="0" fontId="3" fillId="0" borderId="0" xfId="0" applyFont="1" applyAlignment="1">
      <alignment horizontal="center"/>
    </xf>
    <xf numFmtId="0" fontId="0" fillId="0" borderId="0" xfId="0"/>
    <xf numFmtId="17" fontId="4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</dxfs>
  <tableStyles count="4">
    <tableStyle name="JUNE 2015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JULY 2015-style" pivot="0" count="4" xr9:uid="{00000000-0011-0000-FFFF-FFFF01000000}">
      <tableStyleElement type="headerRow" dxfId="11"/>
      <tableStyleElement type="totalRow" dxfId="10"/>
      <tableStyleElement type="firstRowStripe" dxfId="9"/>
      <tableStyleElement type="secondRowStripe" dxfId="8"/>
    </tableStyle>
    <tableStyle name="AUGUST 2015-style" pivot="0" count="4" xr9:uid="{00000000-0011-0000-FFFF-FFFF02000000}">
      <tableStyleElement type="headerRow" dxfId="7"/>
      <tableStyleElement type="totalRow" dxfId="6"/>
      <tableStyleElement type="firstRowStripe" dxfId="5"/>
      <tableStyleElement type="secondRowStripe" dxfId="4"/>
    </tableStyle>
    <tableStyle name="SEPTEMBER 2015-style" pivot="0" count="4" xr9:uid="{00000000-0011-0000-FFFF-FFFF03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'JANUARY 2015'!$K$42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'JANUARY 2015'!$J$43:$J$54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'JANUARY 2015'!$K$43:$K$54</c:f>
              <c:numCache>
                <c:formatCode>General</c:formatCode>
                <c:ptCount val="12"/>
                <c:pt idx="0">
                  <c:v>5121.7822580645152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EB-4FF8-B751-48C147B6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298479"/>
        <c:axId val="339584397"/>
      </c:barChart>
      <c:catAx>
        <c:axId val="111029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9584397"/>
        <c:crosses val="autoZero"/>
        <c:auto val="1"/>
        <c:lblAlgn val="ctr"/>
        <c:lblOffset val="100"/>
        <c:noMultiLvlLbl val="1"/>
      </c:catAx>
      <c:valAx>
        <c:axId val="339584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10298479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en-US" b="1" i="0">
                <a:solidFill>
                  <a:srgbClr val="000000"/>
                </a:solidFill>
                <a:latin typeface="Roboto"/>
              </a:rPr>
              <a:t>AVERAGE DIESEL SALES UP TO JULY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2195508271746409E-2"/>
          <c:y val="0.19480351414406533"/>
          <c:w val="0.91359480361690693"/>
          <c:h val="0.5239018806859667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'JULY 2015'!$I$43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'JULY 2015'!$H$44:$H$55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DECEMBER</c:v>
                </c:pt>
              </c:strCache>
            </c:strRef>
          </c:cat>
          <c:val>
            <c:numRef>
              <c:f>'JULY 2015'!$I$44:$I$55</c:f>
              <c:numCache>
                <c:formatCode>0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5681.1</c:v>
                </c:pt>
                <c:pt idx="3">
                  <c:v>5608</c:v>
                </c:pt>
                <c:pt idx="4">
                  <c:v>5631.3</c:v>
                </c:pt>
                <c:pt idx="5">
                  <c:v>6150.6</c:v>
                </c:pt>
                <c:pt idx="6">
                  <c:v>5925.1487096774199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15-477C-8F43-0EE6D913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684225"/>
        <c:axId val="665409748"/>
      </c:barChart>
      <c:catAx>
        <c:axId val="2008684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5409748"/>
        <c:crosses val="autoZero"/>
        <c:auto val="1"/>
        <c:lblAlgn val="ctr"/>
        <c:lblOffset val="100"/>
        <c:noMultiLvlLbl val="1"/>
      </c:catAx>
      <c:valAx>
        <c:axId val="665409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08684225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'APRIL 2015'!$K$42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'APRIL 2015'!$J$43:$J$54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'APRIL 2015'!$K$43:$K$54</c:f>
              <c:numCache>
                <c:formatCode>General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5681.1</c:v>
                </c:pt>
                <c:pt idx="3">
                  <c:v>5608.5876666666672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09-4110-AF93-CDEFAF7D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309641"/>
        <c:axId val="1597005272"/>
      </c:barChart>
      <c:catAx>
        <c:axId val="2020309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97005272"/>
        <c:crosses val="autoZero"/>
        <c:auto val="1"/>
        <c:lblAlgn val="ctr"/>
        <c:lblOffset val="100"/>
        <c:noMultiLvlLbl val="1"/>
      </c:catAx>
      <c:valAx>
        <c:axId val="1597005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030964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AVERAGE DIESEL SALES AUGUST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2195508271746409E-2"/>
          <c:y val="0.19480351414406533"/>
          <c:w val="0.91359480361690693"/>
          <c:h val="0.5239018806859667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'AUGUST 2015'!$I$44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'AUGUST 2015'!$H$45:$H$56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DECEMBER</c:v>
                </c:pt>
              </c:strCache>
            </c:strRef>
          </c:cat>
          <c:val>
            <c:numRef>
              <c:f>'AUGUST 2015'!$I$45:$I$56</c:f>
              <c:numCache>
                <c:formatCode>0.0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5681.1</c:v>
                </c:pt>
                <c:pt idx="3">
                  <c:v>5608</c:v>
                </c:pt>
                <c:pt idx="4">
                  <c:v>5631.3</c:v>
                </c:pt>
                <c:pt idx="5">
                  <c:v>6150.6</c:v>
                </c:pt>
                <c:pt idx="6">
                  <c:v>5925</c:v>
                </c:pt>
                <c:pt idx="7">
                  <c:v>5720.1845161290321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D8A-4232-965A-C38700BC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453112"/>
        <c:axId val="1338555624"/>
      </c:barChart>
      <c:catAx>
        <c:axId val="13374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38555624"/>
        <c:crosses val="autoZero"/>
        <c:auto val="1"/>
        <c:lblAlgn val="ctr"/>
        <c:lblOffset val="100"/>
        <c:noMultiLvlLbl val="1"/>
      </c:catAx>
      <c:valAx>
        <c:axId val="1338555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3745311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'APRIL 2015'!$K$42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'APRIL 2015'!$J$43:$J$54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'APRIL 2015'!$K$43:$K$54</c:f>
              <c:numCache>
                <c:formatCode>General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5681.1</c:v>
                </c:pt>
                <c:pt idx="3">
                  <c:v>5608.5876666666672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F59-476C-8FEC-47136934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128165"/>
        <c:axId val="932383969"/>
      </c:barChart>
      <c:catAx>
        <c:axId val="802128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32383969"/>
        <c:crosses val="autoZero"/>
        <c:auto val="1"/>
        <c:lblAlgn val="ctr"/>
        <c:lblOffset val="100"/>
        <c:noMultiLvlLbl val="1"/>
      </c:catAx>
      <c:valAx>
        <c:axId val="932383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02128165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AVERAGE DIESEL SALES AUGUST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2195508271746409E-2"/>
          <c:y val="0.19480351414406533"/>
          <c:w val="0.91359480361690693"/>
          <c:h val="0.5239018806859667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'SEPTEMBER 2015'!$I$44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'SEPTEMBER 2015'!$H$45:$H$56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DECEMBER</c:v>
                </c:pt>
              </c:strCache>
            </c:strRef>
          </c:cat>
          <c:val>
            <c:numRef>
              <c:f>'SEPTEMBER 2015'!$I$45:$I$56</c:f>
              <c:numCache>
                <c:formatCode>0.0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5681.1</c:v>
                </c:pt>
                <c:pt idx="3">
                  <c:v>5608</c:v>
                </c:pt>
                <c:pt idx="4">
                  <c:v>5631.3</c:v>
                </c:pt>
                <c:pt idx="5">
                  <c:v>6150.6</c:v>
                </c:pt>
                <c:pt idx="6">
                  <c:v>5925</c:v>
                </c:pt>
                <c:pt idx="7">
                  <c:v>5720.2</c:v>
                </c:pt>
                <c:pt idx="8">
                  <c:v>6059.4100000000008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DE8-4B06-993D-4E7CB545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443326"/>
        <c:axId val="1284507907"/>
      </c:barChart>
      <c:catAx>
        <c:axId val="902443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84507907"/>
        <c:crosses val="autoZero"/>
        <c:auto val="1"/>
        <c:lblAlgn val="ctr"/>
        <c:lblOffset val="100"/>
        <c:noMultiLvlLbl val="1"/>
      </c:catAx>
      <c:valAx>
        <c:axId val="1284507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0244332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'FEBRUARY 2015'!$K$42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'FEBRUARY 2015'!$J$43:$J$54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'FEBRUARY 2015'!$K$43:$K$54</c:f>
              <c:numCache>
                <c:formatCode>General</c:formatCode>
                <c:ptCount val="12"/>
                <c:pt idx="0">
                  <c:v>5121.7820000000002</c:v>
                </c:pt>
                <c:pt idx="1">
                  <c:v>5601.0579310344829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0A-4462-8A3A-7F157129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357249"/>
        <c:axId val="929772857"/>
      </c:barChart>
      <c:catAx>
        <c:axId val="1252357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9772857"/>
        <c:crosses val="autoZero"/>
        <c:auto val="1"/>
        <c:lblAlgn val="ctr"/>
        <c:lblOffset val="100"/>
        <c:noMultiLvlLbl val="1"/>
      </c:catAx>
      <c:valAx>
        <c:axId val="929772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52357249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'MARCH 2015'!$K$42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'MARCH 2015'!$J$43:$J$54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'MARCH 2015'!$K$43:$K$54</c:f>
              <c:numCache>
                <c:formatCode>General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5681.0499999999993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BC8-46E7-8ED3-E3FE85F09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197726"/>
        <c:axId val="286821238"/>
      </c:barChart>
      <c:catAx>
        <c:axId val="214619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86821238"/>
        <c:crosses val="autoZero"/>
        <c:auto val="1"/>
        <c:lblAlgn val="ctr"/>
        <c:lblOffset val="100"/>
        <c:noMultiLvlLbl val="1"/>
      </c:catAx>
      <c:valAx>
        <c:axId val="28682123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4619772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'MARCH 2015'!$K$42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'MARCH 2015'!$J$43:$J$54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'MARCH 2015'!$K$43:$K$54</c:f>
              <c:numCache>
                <c:formatCode>General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5681.0499999999993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B3-49F8-A227-5A4906D5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720878"/>
        <c:axId val="711141538"/>
      </c:barChart>
      <c:catAx>
        <c:axId val="1142720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11141538"/>
        <c:crosses val="autoZero"/>
        <c:auto val="1"/>
        <c:lblAlgn val="ctr"/>
        <c:lblOffset val="100"/>
        <c:noMultiLvlLbl val="1"/>
      </c:catAx>
      <c:valAx>
        <c:axId val="711141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4272087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'APRIL 2015'!$K$42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'APRIL 2015'!$J$43:$J$54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'APRIL 2015'!$K$43:$K$54</c:f>
              <c:numCache>
                <c:formatCode>General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5681.1</c:v>
                </c:pt>
                <c:pt idx="3">
                  <c:v>5608.5876666666672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E3-4BC1-B058-D0E6C378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482007"/>
        <c:axId val="209762344"/>
      </c:barChart>
      <c:catAx>
        <c:axId val="1528482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9762344"/>
        <c:crosses val="autoZero"/>
        <c:auto val="1"/>
        <c:lblAlgn val="ctr"/>
        <c:lblOffset val="100"/>
        <c:noMultiLvlLbl val="1"/>
      </c:catAx>
      <c:valAx>
        <c:axId val="209762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28482007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'APRIL 2015'!$K$42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'APRIL 2015'!$J$43:$J$54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'APRIL 2015'!$K$43:$K$54</c:f>
              <c:numCache>
                <c:formatCode>General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5681.1</c:v>
                </c:pt>
                <c:pt idx="3">
                  <c:v>5608.5876666666672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6C-46D5-88D8-D285775F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1411"/>
        <c:axId val="447330297"/>
      </c:barChart>
      <c:catAx>
        <c:axId val="17181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47330297"/>
        <c:crosses val="autoZero"/>
        <c:auto val="1"/>
        <c:lblAlgn val="ctr"/>
        <c:lblOffset val="100"/>
        <c:noMultiLvlLbl val="1"/>
      </c:catAx>
      <c:valAx>
        <c:axId val="447330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18141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'MAY 2015'!$K$42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'MAY 2015'!$J$43:$J$54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'MAY 2015'!$K$43:$K$54</c:f>
              <c:numCache>
                <c:formatCode>General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5681.1</c:v>
                </c:pt>
                <c:pt idx="3">
                  <c:v>5608</c:v>
                </c:pt>
                <c:pt idx="4">
                  <c:v>5631.3125806451608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7D-4097-9FB6-2054AE702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460658"/>
        <c:axId val="1832123742"/>
      </c:barChart>
      <c:catAx>
        <c:axId val="404460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32123742"/>
        <c:crosses val="autoZero"/>
        <c:auto val="1"/>
        <c:lblAlgn val="ctr"/>
        <c:lblOffset val="100"/>
        <c:noMultiLvlLbl val="1"/>
      </c:catAx>
      <c:valAx>
        <c:axId val="1832123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446065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AVERAGE DIESEL SALES JUNE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2195508271746409E-2"/>
          <c:y val="0.13311887615471552"/>
          <c:w val="0.92275201498369774"/>
          <c:h val="0.695070287032626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'JUNE 2015'!$I$41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'JUNE 2015'!$H$42:$H$53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'JUNE 2015'!$I$42:$I$53</c:f>
              <c:numCache>
                <c:formatCode>General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5681.1</c:v>
                </c:pt>
                <c:pt idx="3">
                  <c:v>5608</c:v>
                </c:pt>
                <c:pt idx="4">
                  <c:v>5631.3</c:v>
                </c:pt>
                <c:pt idx="5">
                  <c:v>6150.5613333333331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D74-4A63-A08A-342F3946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090599"/>
        <c:axId val="168866910"/>
      </c:barChart>
      <c:catAx>
        <c:axId val="1076090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866910"/>
        <c:crosses val="autoZero"/>
        <c:auto val="1"/>
        <c:lblAlgn val="ctr"/>
        <c:lblOffset val="100"/>
        <c:noMultiLvlLbl val="1"/>
      </c:catAx>
      <c:valAx>
        <c:axId val="168866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6090599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'APRIL 2015'!$K$42</c:f>
              <c:strCache>
                <c:ptCount val="1"/>
                <c:pt idx="0">
                  <c:v>AVERAGE DIESEL SALES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'APRIL 2015'!$J$43:$J$54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'APRIL 2015'!$K$43:$K$54</c:f>
              <c:numCache>
                <c:formatCode>General</c:formatCode>
                <c:ptCount val="12"/>
                <c:pt idx="0">
                  <c:v>5121.7820000000002</c:v>
                </c:pt>
                <c:pt idx="1">
                  <c:v>5601.1</c:v>
                </c:pt>
                <c:pt idx="2">
                  <c:v>5681.1</c:v>
                </c:pt>
                <c:pt idx="3">
                  <c:v>5608.5876666666672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DE2-4658-B679-8F3C5161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807583"/>
        <c:axId val="266917286"/>
      </c:barChart>
      <c:catAx>
        <c:axId val="190380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66917286"/>
        <c:crosses val="autoZero"/>
        <c:auto val="1"/>
        <c:lblAlgn val="ctr"/>
        <c:lblOffset val="100"/>
        <c:noMultiLvlLbl val="1"/>
      </c:catAx>
      <c:valAx>
        <c:axId val="266917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3807583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46</xdr:row>
      <xdr:rowOff>133350</xdr:rowOff>
    </xdr:from>
    <xdr:ext cx="5410200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46</xdr:row>
      <xdr:rowOff>133350</xdr:rowOff>
    </xdr:from>
    <xdr:ext cx="5648325" cy="28860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476250</xdr:colOff>
      <xdr:row>61</xdr:row>
      <xdr:rowOff>19050</xdr:rowOff>
    </xdr:from>
    <xdr:ext cx="38100" cy="76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46</xdr:row>
      <xdr:rowOff>104775</xdr:rowOff>
    </xdr:from>
    <xdr:ext cx="4600575" cy="28575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46</xdr:row>
      <xdr:rowOff>133350</xdr:rowOff>
    </xdr:from>
    <xdr:ext cx="5695950" cy="288607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46</xdr:row>
      <xdr:rowOff>133350</xdr:rowOff>
    </xdr:from>
    <xdr:ext cx="5695950" cy="288607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419100</xdr:colOff>
      <xdr:row>46</xdr:row>
      <xdr:rowOff>38100</xdr:rowOff>
    </xdr:from>
    <xdr:ext cx="5695950" cy="287655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40</xdr:row>
      <xdr:rowOff>38100</xdr:rowOff>
    </xdr:from>
    <xdr:ext cx="6762750" cy="280987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61</xdr:row>
      <xdr:rowOff>9525</xdr:rowOff>
    </xdr:from>
    <xdr:ext cx="38100" cy="381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47625</xdr:colOff>
      <xdr:row>42</xdr:row>
      <xdr:rowOff>0</xdr:rowOff>
    </xdr:from>
    <xdr:ext cx="4562475" cy="248602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62</xdr:row>
      <xdr:rowOff>9525</xdr:rowOff>
    </xdr:from>
    <xdr:ext cx="38100" cy="38100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47625</xdr:colOff>
      <xdr:row>43</xdr:row>
      <xdr:rowOff>0</xdr:rowOff>
    </xdr:from>
    <xdr:ext cx="4743450" cy="2486025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62</xdr:row>
      <xdr:rowOff>9525</xdr:rowOff>
    </xdr:from>
    <xdr:ext cx="38100" cy="38100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47625</xdr:colOff>
      <xdr:row>43</xdr:row>
      <xdr:rowOff>0</xdr:rowOff>
    </xdr:from>
    <xdr:ext cx="4743450" cy="248602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:I38">
  <tableColumns count="9">
    <tableColumn id="1" xr3:uid="{00000000-0010-0000-0000-000001000000}" name="DATE"/>
    <tableColumn id="2" xr3:uid="{00000000-0010-0000-0000-000002000000}" name="OPENINGS"/>
    <tableColumn id="3" xr3:uid="{00000000-0010-0000-0000-000003000000}" name="DIPPINGS"/>
    <tableColumn id="4" xr3:uid="{00000000-0010-0000-0000-000004000000}" name="CUM.VAR"/>
    <tableColumn id="5" xr3:uid="{00000000-0010-0000-0000-000005000000}" name="VARIANCE"/>
    <tableColumn id="6" xr3:uid="{00000000-0010-0000-0000-000006000000}" name="ADDED"/>
    <tableColumn id="7" xr3:uid="{00000000-0010-0000-0000-000007000000}" name="ACC. PUR"/>
    <tableColumn id="8" xr3:uid="{00000000-0010-0000-0000-000008000000}" name="SALES"/>
    <tableColumn id="9" xr3:uid="{00000000-0010-0000-0000-000009000000}" name="ACC.SALES"/>
  </tableColumns>
  <tableStyleInfo name="JUNE 2015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6:I42">
  <tableColumns count="9">
    <tableColumn id="1" xr3:uid="{00000000-0010-0000-0100-000001000000}" name="DATE"/>
    <tableColumn id="2" xr3:uid="{00000000-0010-0000-0100-000002000000}" name="OPENING"/>
    <tableColumn id="3" xr3:uid="{00000000-0010-0000-0100-000003000000}" name="DIPPINGS"/>
    <tableColumn id="4" xr3:uid="{00000000-0010-0000-0100-000004000000}" name="CUMULATIVE VAR"/>
    <tableColumn id="5" xr3:uid="{00000000-0010-0000-0100-000005000000}" name="DAILY VAR."/>
    <tableColumn id="6" xr3:uid="{00000000-0010-0000-0100-000006000000}" name="ADDED"/>
    <tableColumn id="7" xr3:uid="{00000000-0010-0000-0100-000007000000}" name="ACC-PURCHASE"/>
    <tableColumn id="8" xr3:uid="{00000000-0010-0000-0100-000008000000}" name="SALES"/>
    <tableColumn id="9" xr3:uid="{00000000-0010-0000-0100-000009000000}" name="ACC-SALES"/>
  </tableColumns>
  <tableStyleInfo name="JULY 2015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6:I43">
  <tableColumns count="9">
    <tableColumn id="1" xr3:uid="{00000000-0010-0000-0200-000001000000}" name="DATE"/>
    <tableColumn id="2" xr3:uid="{00000000-0010-0000-0200-000002000000}" name="OPENING"/>
    <tableColumn id="3" xr3:uid="{00000000-0010-0000-0200-000003000000}" name="DIPPINGS"/>
    <tableColumn id="4" xr3:uid="{00000000-0010-0000-0200-000004000000}" name="CUMULATIVE VAR"/>
    <tableColumn id="5" xr3:uid="{00000000-0010-0000-0200-000005000000}" name="DAILY VAR."/>
    <tableColumn id="6" xr3:uid="{00000000-0010-0000-0200-000006000000}" name="ADDED"/>
    <tableColumn id="7" xr3:uid="{00000000-0010-0000-0200-000007000000}" name="ACC-PURCHASE"/>
    <tableColumn id="8" xr3:uid="{00000000-0010-0000-0200-000008000000}" name="SALES"/>
    <tableColumn id="9" xr3:uid="{00000000-0010-0000-0200-000009000000}" name="ACC-SALES"/>
  </tableColumns>
  <tableStyleInfo name="AUGUST 2015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6:I43">
  <tableColumns count="9">
    <tableColumn id="1" xr3:uid="{00000000-0010-0000-0300-000001000000}" name="DATE"/>
    <tableColumn id="2" xr3:uid="{00000000-0010-0000-0300-000002000000}" name="OPENING"/>
    <tableColumn id="3" xr3:uid="{00000000-0010-0000-0300-000003000000}" name="DIPPINGS"/>
    <tableColumn id="4" xr3:uid="{00000000-0010-0000-0300-000004000000}" name="CUMULATIVE VAR"/>
    <tableColumn id="5" xr3:uid="{00000000-0010-0000-0300-000005000000}" name="DAILY VAR."/>
    <tableColumn id="6" xr3:uid="{00000000-0010-0000-0300-000006000000}" name="ADDED"/>
    <tableColumn id="7" xr3:uid="{00000000-0010-0000-0300-000007000000}" name="ACC-PURCHASE"/>
    <tableColumn id="8" xr3:uid="{00000000-0010-0000-0300-000008000000}" name="SALES"/>
    <tableColumn id="9" xr3:uid="{00000000-0010-0000-0300-000009000000}" name="ACC-SALES"/>
  </tableColumns>
  <tableStyleInfo name="SEPTEMBER 2015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7" workbookViewId="0"/>
  </sheetViews>
  <sheetFormatPr defaultColWidth="14.453125" defaultRowHeight="15" customHeight="1" x14ac:dyDescent="0.35"/>
  <cols>
    <col min="1" max="1" width="14.26953125" customWidth="1"/>
    <col min="2" max="3" width="9.26953125" customWidth="1"/>
    <col min="4" max="4" width="10.54296875" customWidth="1"/>
    <col min="5" max="6" width="9.26953125" customWidth="1"/>
    <col min="7" max="7" width="9.81640625" customWidth="1"/>
    <col min="8" max="8" width="9.26953125" customWidth="1"/>
    <col min="9" max="9" width="9.81640625" customWidth="1"/>
    <col min="10" max="26" width="8.7265625" customWidth="1"/>
  </cols>
  <sheetData>
    <row r="1" spans="1:10" ht="14.5" x14ac:dyDescent="0.35">
      <c r="A1" t="s">
        <v>0</v>
      </c>
    </row>
    <row r="2" spans="1:10" ht="14.5" x14ac:dyDescent="0.35">
      <c r="A2" t="s">
        <v>1</v>
      </c>
    </row>
    <row r="3" spans="1:10" ht="14.5" x14ac:dyDescent="0.35">
      <c r="A3" s="1">
        <v>42005</v>
      </c>
    </row>
    <row r="4" spans="1:10" ht="14.5" x14ac:dyDescent="0.35">
      <c r="A4" s="2">
        <v>42005</v>
      </c>
      <c r="B4" s="3"/>
      <c r="C4" s="3"/>
      <c r="D4" s="3"/>
      <c r="E4" s="3"/>
      <c r="F4" s="3"/>
      <c r="G4" s="3"/>
      <c r="H4" s="3"/>
      <c r="I4" s="3"/>
    </row>
    <row r="5" spans="1:10" ht="14.5" x14ac:dyDescent="0.35">
      <c r="A5" s="3"/>
      <c r="B5" s="3" t="s">
        <v>0</v>
      </c>
      <c r="C5" s="3"/>
      <c r="D5" s="3" t="s">
        <v>2</v>
      </c>
      <c r="E5" s="3" t="s">
        <v>2</v>
      </c>
      <c r="F5" s="3"/>
      <c r="G5" s="3"/>
      <c r="H5" s="3"/>
      <c r="I5" s="3"/>
    </row>
    <row r="6" spans="1:10" ht="14.5" x14ac:dyDescent="0.3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4"/>
    </row>
    <row r="7" spans="1:10" ht="14.5" x14ac:dyDescent="0.35">
      <c r="A7" s="5"/>
      <c r="B7" s="5"/>
      <c r="C7" s="5"/>
      <c r="D7" s="5"/>
      <c r="E7" s="5"/>
      <c r="F7" s="5"/>
      <c r="G7" s="5"/>
      <c r="H7" s="5"/>
      <c r="I7" s="5"/>
    </row>
    <row r="8" spans="1:10" ht="14.5" x14ac:dyDescent="0.35">
      <c r="A8" s="6">
        <v>42005</v>
      </c>
      <c r="B8" s="5">
        <v>55641.14</v>
      </c>
      <c r="C8" s="5">
        <v>46751.11</v>
      </c>
      <c r="D8" s="5">
        <v>-13682.4</v>
      </c>
      <c r="E8" s="5">
        <v>174.77</v>
      </c>
      <c r="F8" s="5"/>
      <c r="G8" s="5">
        <v>0</v>
      </c>
      <c r="H8" s="5">
        <v>3171.43</v>
      </c>
      <c r="I8" s="5">
        <v>3171.43</v>
      </c>
    </row>
    <row r="9" spans="1:10" ht="14.5" x14ac:dyDescent="0.35">
      <c r="A9" s="6">
        <v>42006</v>
      </c>
      <c r="B9" s="5">
        <f t="shared" ref="B9:B39" si="0">B8-H8+F8</f>
        <v>52469.71</v>
      </c>
      <c r="C9" s="5">
        <v>43413.8</v>
      </c>
      <c r="D9" s="5">
        <f t="shared" ref="D9:D39" si="1">D8+E9</f>
        <v>-13848.279999999997</v>
      </c>
      <c r="E9" s="5">
        <f t="shared" ref="E9:E39" si="2">C9+H8-C8-F8</f>
        <v>-165.87999999999738</v>
      </c>
      <c r="F9" s="5"/>
      <c r="G9" s="5">
        <f t="shared" ref="G9:G39" si="3">G8+F9</f>
        <v>0</v>
      </c>
      <c r="H9" s="5">
        <v>3843.45</v>
      </c>
      <c r="I9" s="5">
        <f t="shared" ref="I9:I39" si="4">I8++H9</f>
        <v>7014.8799999999992</v>
      </c>
    </row>
    <row r="10" spans="1:10" ht="14.5" x14ac:dyDescent="0.35">
      <c r="A10" s="6">
        <v>42007</v>
      </c>
      <c r="B10" s="5">
        <f t="shared" si="0"/>
        <v>48626.26</v>
      </c>
      <c r="C10" s="5">
        <v>39332.53</v>
      </c>
      <c r="D10" s="5">
        <f t="shared" si="1"/>
        <v>-14086.100000000004</v>
      </c>
      <c r="E10" s="5">
        <f t="shared" si="2"/>
        <v>-237.82000000000698</v>
      </c>
      <c r="F10" s="5"/>
      <c r="G10" s="5">
        <f t="shared" si="3"/>
        <v>0</v>
      </c>
      <c r="H10" s="5">
        <v>3556.74</v>
      </c>
      <c r="I10" s="5">
        <f t="shared" si="4"/>
        <v>10571.619999999999</v>
      </c>
    </row>
    <row r="11" spans="1:10" ht="14.5" x14ac:dyDescent="0.35">
      <c r="A11" s="6">
        <v>42008</v>
      </c>
      <c r="B11" s="5">
        <f t="shared" si="0"/>
        <v>45069.520000000004</v>
      </c>
      <c r="C11" s="5">
        <v>35588.400000000001</v>
      </c>
      <c r="D11" s="5">
        <f t="shared" si="1"/>
        <v>-14273.490000000003</v>
      </c>
      <c r="E11" s="5">
        <f t="shared" si="2"/>
        <v>-187.38999999999942</v>
      </c>
      <c r="F11" s="5"/>
      <c r="G11" s="5">
        <f t="shared" si="3"/>
        <v>0</v>
      </c>
      <c r="H11" s="5">
        <v>3482.36</v>
      </c>
      <c r="I11" s="5">
        <f t="shared" si="4"/>
        <v>14053.98</v>
      </c>
    </row>
    <row r="12" spans="1:10" ht="14.5" x14ac:dyDescent="0.35">
      <c r="A12" s="6">
        <v>42009</v>
      </c>
      <c r="B12" s="5">
        <f t="shared" si="0"/>
        <v>41587.160000000003</v>
      </c>
      <c r="C12" s="5">
        <v>31977.09</v>
      </c>
      <c r="D12" s="5">
        <f t="shared" si="1"/>
        <v>-14402.440000000008</v>
      </c>
      <c r="E12" s="5">
        <f t="shared" si="2"/>
        <v>-128.95000000000437</v>
      </c>
      <c r="F12" s="5"/>
      <c r="G12" s="5">
        <f t="shared" si="3"/>
        <v>0</v>
      </c>
      <c r="H12" s="5">
        <v>5790.26</v>
      </c>
      <c r="I12" s="5">
        <f t="shared" si="4"/>
        <v>19844.239999999998</v>
      </c>
    </row>
    <row r="13" spans="1:10" ht="14.5" x14ac:dyDescent="0.35">
      <c r="A13" s="6">
        <v>42010</v>
      </c>
      <c r="B13" s="5">
        <f t="shared" si="0"/>
        <v>35796.9</v>
      </c>
      <c r="C13" s="5">
        <v>26220.83</v>
      </c>
      <c r="D13" s="5">
        <f t="shared" si="1"/>
        <v>-14368.440000000004</v>
      </c>
      <c r="E13" s="5">
        <f t="shared" si="2"/>
        <v>34.000000000003638</v>
      </c>
      <c r="F13" s="5">
        <v>10000</v>
      </c>
      <c r="G13" s="5">
        <f t="shared" si="3"/>
        <v>10000</v>
      </c>
      <c r="H13" s="5">
        <v>5611.91</v>
      </c>
      <c r="I13" s="5">
        <f t="shared" si="4"/>
        <v>25456.149999999998</v>
      </c>
    </row>
    <row r="14" spans="1:10" ht="14.5" x14ac:dyDescent="0.35">
      <c r="A14" s="6">
        <v>42011</v>
      </c>
      <c r="B14" s="5">
        <f t="shared" si="0"/>
        <v>40184.990000000005</v>
      </c>
      <c r="C14" s="5">
        <v>30651.52</v>
      </c>
      <c r="D14" s="5">
        <f t="shared" si="1"/>
        <v>-14325.840000000006</v>
      </c>
      <c r="E14" s="5">
        <f t="shared" si="2"/>
        <v>42.599999999998545</v>
      </c>
      <c r="F14" s="5">
        <v>10000</v>
      </c>
      <c r="G14" s="5">
        <f t="shared" si="3"/>
        <v>20000</v>
      </c>
      <c r="H14" s="5">
        <v>5513.85</v>
      </c>
      <c r="I14" s="5">
        <f t="shared" si="4"/>
        <v>30970</v>
      </c>
    </row>
    <row r="15" spans="1:10" ht="14.5" x14ac:dyDescent="0.35">
      <c r="A15" s="6">
        <v>42012</v>
      </c>
      <c r="B15" s="5">
        <f t="shared" si="0"/>
        <v>44671.140000000007</v>
      </c>
      <c r="C15" s="5">
        <v>35239.199999999997</v>
      </c>
      <c r="D15" s="5">
        <f t="shared" si="1"/>
        <v>-14224.31000000001</v>
      </c>
      <c r="E15" s="5">
        <f t="shared" si="2"/>
        <v>101.5299999999952</v>
      </c>
      <c r="F15" s="5"/>
      <c r="G15" s="5">
        <f t="shared" si="3"/>
        <v>20000</v>
      </c>
      <c r="H15" s="5">
        <v>5422.14</v>
      </c>
      <c r="I15" s="5">
        <f t="shared" si="4"/>
        <v>36392.14</v>
      </c>
    </row>
    <row r="16" spans="1:10" ht="14.5" x14ac:dyDescent="0.35">
      <c r="A16" s="6">
        <v>42013</v>
      </c>
      <c r="B16" s="5">
        <f t="shared" si="0"/>
        <v>39249.000000000007</v>
      </c>
      <c r="C16" s="5">
        <v>29427.8</v>
      </c>
      <c r="D16" s="5">
        <f t="shared" si="1"/>
        <v>-14613.570000000005</v>
      </c>
      <c r="E16" s="5">
        <f t="shared" si="2"/>
        <v>-389.25999999999476</v>
      </c>
      <c r="F16" s="5">
        <v>10000</v>
      </c>
      <c r="G16" s="5">
        <f t="shared" si="3"/>
        <v>30000</v>
      </c>
      <c r="H16" s="5">
        <v>5086.49</v>
      </c>
      <c r="I16" s="5">
        <f t="shared" si="4"/>
        <v>41478.629999999997</v>
      </c>
    </row>
    <row r="17" spans="1:9" ht="14.5" x14ac:dyDescent="0.35">
      <c r="A17" s="6">
        <v>42014</v>
      </c>
      <c r="B17" s="5">
        <f t="shared" si="0"/>
        <v>44162.510000000009</v>
      </c>
      <c r="C17" s="5">
        <v>34551.74</v>
      </c>
      <c r="D17" s="5">
        <f t="shared" si="1"/>
        <v>-14403.140000000009</v>
      </c>
      <c r="E17" s="5">
        <f t="shared" si="2"/>
        <v>210.42999999999665</v>
      </c>
      <c r="F17" s="5"/>
      <c r="G17" s="5">
        <f t="shared" si="3"/>
        <v>30000</v>
      </c>
      <c r="H17" s="5">
        <v>4131.26</v>
      </c>
      <c r="I17" s="5">
        <f t="shared" si="4"/>
        <v>45609.89</v>
      </c>
    </row>
    <row r="18" spans="1:9" ht="14.5" x14ac:dyDescent="0.35">
      <c r="A18" s="6">
        <v>42015</v>
      </c>
      <c r="B18" s="5">
        <f t="shared" si="0"/>
        <v>40031.250000000007</v>
      </c>
      <c r="C18" s="5">
        <v>30029.9</v>
      </c>
      <c r="D18" s="5">
        <f t="shared" si="1"/>
        <v>-14793.720000000003</v>
      </c>
      <c r="E18" s="5">
        <f t="shared" si="2"/>
        <v>-390.57999999999447</v>
      </c>
      <c r="F18" s="5"/>
      <c r="G18" s="5">
        <f t="shared" si="3"/>
        <v>30000</v>
      </c>
      <c r="H18" s="5">
        <v>3043</v>
      </c>
      <c r="I18" s="5">
        <f t="shared" si="4"/>
        <v>48652.89</v>
      </c>
    </row>
    <row r="19" spans="1:9" ht="14.5" x14ac:dyDescent="0.35">
      <c r="A19" s="6">
        <v>42016</v>
      </c>
      <c r="B19" s="5">
        <f t="shared" si="0"/>
        <v>36988.250000000007</v>
      </c>
      <c r="C19" s="5">
        <v>27043.99</v>
      </c>
      <c r="D19" s="5">
        <f t="shared" si="1"/>
        <v>-14736.630000000003</v>
      </c>
      <c r="E19" s="5">
        <f t="shared" si="2"/>
        <v>57.090000000000146</v>
      </c>
      <c r="F19" s="5">
        <v>10000</v>
      </c>
      <c r="G19" s="5">
        <f t="shared" si="3"/>
        <v>40000</v>
      </c>
      <c r="H19" s="5">
        <v>5870.96</v>
      </c>
      <c r="I19" s="5">
        <f t="shared" si="4"/>
        <v>54523.85</v>
      </c>
    </row>
    <row r="20" spans="1:9" ht="14.5" x14ac:dyDescent="0.35">
      <c r="A20" s="6">
        <v>42017</v>
      </c>
      <c r="B20" s="5">
        <f t="shared" si="0"/>
        <v>41117.290000000008</v>
      </c>
      <c r="C20" s="5">
        <v>31334.34</v>
      </c>
      <c r="D20" s="5">
        <f t="shared" si="1"/>
        <v>-14575.320000000002</v>
      </c>
      <c r="E20" s="5">
        <f t="shared" si="2"/>
        <v>161.31000000000131</v>
      </c>
      <c r="F20" s="5">
        <v>10000</v>
      </c>
      <c r="G20" s="5">
        <f t="shared" si="3"/>
        <v>50000</v>
      </c>
      <c r="H20" s="5">
        <v>4929.03</v>
      </c>
      <c r="I20" s="5">
        <f t="shared" si="4"/>
        <v>59452.88</v>
      </c>
    </row>
    <row r="21" spans="1:9" ht="15.75" customHeight="1" x14ac:dyDescent="0.35">
      <c r="A21" s="6">
        <v>42018</v>
      </c>
      <c r="B21" s="5">
        <f t="shared" si="0"/>
        <v>46188.260000000009</v>
      </c>
      <c r="C21" s="5">
        <v>36302.629999999997</v>
      </c>
      <c r="D21" s="5">
        <f t="shared" si="1"/>
        <v>-14678.000000000005</v>
      </c>
      <c r="E21" s="5">
        <f t="shared" si="2"/>
        <v>-102.68000000000393</v>
      </c>
      <c r="F21" s="5"/>
      <c r="G21" s="5">
        <f t="shared" si="3"/>
        <v>50000</v>
      </c>
      <c r="H21" s="5">
        <v>4849.13</v>
      </c>
      <c r="I21" s="5">
        <f t="shared" si="4"/>
        <v>64302.009999999995</v>
      </c>
    </row>
    <row r="22" spans="1:9" ht="15.75" customHeight="1" x14ac:dyDescent="0.35">
      <c r="A22" s="6">
        <v>42019</v>
      </c>
      <c r="B22" s="5">
        <f t="shared" si="0"/>
        <v>41339.130000000012</v>
      </c>
      <c r="C22" s="5">
        <v>31180.93</v>
      </c>
      <c r="D22" s="5">
        <f t="shared" si="1"/>
        <v>-14950.570000000005</v>
      </c>
      <c r="E22" s="5">
        <f t="shared" si="2"/>
        <v>-272.56999999999971</v>
      </c>
      <c r="F22" s="5">
        <v>10000</v>
      </c>
      <c r="G22" s="5">
        <f t="shared" si="3"/>
        <v>60000</v>
      </c>
      <c r="H22" s="5">
        <v>5889.94</v>
      </c>
      <c r="I22" s="5">
        <f t="shared" si="4"/>
        <v>70191.95</v>
      </c>
    </row>
    <row r="23" spans="1:9" ht="15.75" customHeight="1" x14ac:dyDescent="0.35">
      <c r="A23" s="6">
        <v>42020</v>
      </c>
      <c r="B23" s="5">
        <f t="shared" si="0"/>
        <v>45449.19000000001</v>
      </c>
      <c r="C23" s="5">
        <v>35451.339999999997</v>
      </c>
      <c r="D23" s="5">
        <f t="shared" si="1"/>
        <v>-14790.220000000007</v>
      </c>
      <c r="E23" s="5">
        <f t="shared" si="2"/>
        <v>160.34999999999854</v>
      </c>
      <c r="F23" s="5"/>
      <c r="G23" s="5">
        <f t="shared" si="3"/>
        <v>60000</v>
      </c>
      <c r="H23" s="5">
        <v>6245.04</v>
      </c>
      <c r="I23" s="5">
        <f t="shared" si="4"/>
        <v>76436.989999999991</v>
      </c>
    </row>
    <row r="24" spans="1:9" ht="15.75" customHeight="1" x14ac:dyDescent="0.35">
      <c r="A24" s="6">
        <v>42021</v>
      </c>
      <c r="B24" s="5">
        <f t="shared" si="0"/>
        <v>39204.150000000009</v>
      </c>
      <c r="C24" s="5">
        <v>28920.91</v>
      </c>
      <c r="D24" s="5">
        <f t="shared" si="1"/>
        <v>-15075.610000000006</v>
      </c>
      <c r="E24" s="5">
        <f t="shared" si="2"/>
        <v>-285.38999999999942</v>
      </c>
      <c r="F24" s="5"/>
      <c r="G24" s="5">
        <f t="shared" si="3"/>
        <v>60000</v>
      </c>
      <c r="H24" s="5">
        <v>4733.8599999999997</v>
      </c>
      <c r="I24" s="5">
        <f t="shared" si="4"/>
        <v>81170.849999999991</v>
      </c>
    </row>
    <row r="25" spans="1:9" ht="15.75" customHeight="1" x14ac:dyDescent="0.35">
      <c r="A25" s="6">
        <v>42022</v>
      </c>
      <c r="B25" s="5">
        <f t="shared" si="0"/>
        <v>34470.290000000008</v>
      </c>
      <c r="C25" s="5">
        <v>23936.14</v>
      </c>
      <c r="D25" s="5">
        <f t="shared" si="1"/>
        <v>-15326.520000000006</v>
      </c>
      <c r="E25" s="5">
        <f t="shared" si="2"/>
        <v>-250.90999999999985</v>
      </c>
      <c r="F25" s="5"/>
      <c r="G25" s="5">
        <f t="shared" si="3"/>
        <v>60000</v>
      </c>
      <c r="H25" s="5">
        <f>1695+1535.46+183.56</f>
        <v>3414.02</v>
      </c>
      <c r="I25" s="5">
        <f t="shared" si="4"/>
        <v>84584.87</v>
      </c>
    </row>
    <row r="26" spans="1:9" ht="15.75" customHeight="1" x14ac:dyDescent="0.35">
      <c r="A26" s="6">
        <v>42023</v>
      </c>
      <c r="B26" s="5">
        <f t="shared" si="0"/>
        <v>31056.270000000008</v>
      </c>
      <c r="C26" s="5">
        <f>13187.5+294.12+6908.3+55.93</f>
        <v>20445.850000000002</v>
      </c>
      <c r="D26" s="5">
        <f t="shared" si="1"/>
        <v>-15402.790000000003</v>
      </c>
      <c r="E26" s="5">
        <f t="shared" si="2"/>
        <v>-76.269999999996799</v>
      </c>
      <c r="F26" s="5">
        <v>10000</v>
      </c>
      <c r="G26" s="5">
        <f t="shared" si="3"/>
        <v>70000</v>
      </c>
      <c r="H26" s="5">
        <v>5749.92</v>
      </c>
      <c r="I26" s="5">
        <f t="shared" si="4"/>
        <v>90334.79</v>
      </c>
    </row>
    <row r="27" spans="1:9" ht="15.75" customHeight="1" x14ac:dyDescent="0.35">
      <c r="A27" s="6">
        <v>42024</v>
      </c>
      <c r="B27" s="5">
        <f t="shared" si="0"/>
        <v>35306.350000000006</v>
      </c>
      <c r="C27" s="5">
        <v>24887.9</v>
      </c>
      <c r="D27" s="5">
        <f t="shared" si="1"/>
        <v>-15210.820000000005</v>
      </c>
      <c r="E27" s="5">
        <f t="shared" si="2"/>
        <v>191.96999999999753</v>
      </c>
      <c r="F27" s="5"/>
      <c r="G27" s="5">
        <f t="shared" si="3"/>
        <v>70000</v>
      </c>
      <c r="H27" s="5">
        <v>6147.39</v>
      </c>
      <c r="I27" s="5">
        <f t="shared" si="4"/>
        <v>96482.18</v>
      </c>
    </row>
    <row r="28" spans="1:9" ht="15.75" customHeight="1" x14ac:dyDescent="0.35">
      <c r="A28" s="6">
        <v>42025</v>
      </c>
      <c r="B28" s="5">
        <f t="shared" si="0"/>
        <v>29158.960000000006</v>
      </c>
      <c r="C28" s="5">
        <v>18242.189999999999</v>
      </c>
      <c r="D28" s="5">
        <f t="shared" si="1"/>
        <v>-15709.140000000009</v>
      </c>
      <c r="E28" s="5">
        <f t="shared" si="2"/>
        <v>-498.32000000000335</v>
      </c>
      <c r="F28" s="5">
        <v>10000</v>
      </c>
      <c r="G28" s="5">
        <f t="shared" si="3"/>
        <v>80000</v>
      </c>
      <c r="H28" s="5">
        <v>5845.18</v>
      </c>
      <c r="I28" s="5">
        <f t="shared" si="4"/>
        <v>102327.35999999999</v>
      </c>
    </row>
    <row r="29" spans="1:9" ht="15.75" customHeight="1" x14ac:dyDescent="0.35">
      <c r="A29" s="6">
        <v>42026</v>
      </c>
      <c r="B29" s="5">
        <f t="shared" si="0"/>
        <v>33313.780000000006</v>
      </c>
      <c r="C29" s="5">
        <v>22760.5</v>
      </c>
      <c r="D29" s="5">
        <f t="shared" si="1"/>
        <v>-15345.650000000007</v>
      </c>
      <c r="E29" s="5">
        <f t="shared" si="2"/>
        <v>363.4900000000016</v>
      </c>
      <c r="F29" s="5">
        <v>10000</v>
      </c>
      <c r="G29" s="5">
        <f t="shared" si="3"/>
        <v>90000</v>
      </c>
      <c r="H29" s="5">
        <v>6987.68</v>
      </c>
      <c r="I29" s="5">
        <f t="shared" si="4"/>
        <v>109315.03999999998</v>
      </c>
    </row>
    <row r="30" spans="1:9" ht="15.75" customHeight="1" x14ac:dyDescent="0.35">
      <c r="A30" s="6">
        <v>42027</v>
      </c>
      <c r="B30" s="5">
        <f t="shared" si="0"/>
        <v>36326.100000000006</v>
      </c>
      <c r="C30" s="5">
        <v>25613.35</v>
      </c>
      <c r="D30" s="5">
        <f t="shared" si="1"/>
        <v>-15505.120000000008</v>
      </c>
      <c r="E30" s="5">
        <f t="shared" si="2"/>
        <v>-159.47000000000116</v>
      </c>
      <c r="F30" s="5">
        <v>10000</v>
      </c>
      <c r="G30" s="5">
        <f t="shared" si="3"/>
        <v>100000</v>
      </c>
      <c r="H30" s="5">
        <v>5248.21</v>
      </c>
      <c r="I30" s="5">
        <f t="shared" si="4"/>
        <v>114563.24999999999</v>
      </c>
    </row>
    <row r="31" spans="1:9" ht="15.75" customHeight="1" x14ac:dyDescent="0.35">
      <c r="A31" s="6">
        <v>42028</v>
      </c>
      <c r="B31" s="5">
        <f t="shared" si="0"/>
        <v>41077.890000000007</v>
      </c>
      <c r="C31" s="5">
        <v>30469.11</v>
      </c>
      <c r="D31" s="5">
        <f t="shared" si="1"/>
        <v>-15401.150000000007</v>
      </c>
      <c r="E31" s="5">
        <f t="shared" si="2"/>
        <v>103.97000000000116</v>
      </c>
      <c r="F31" s="5"/>
      <c r="G31" s="5">
        <f t="shared" si="3"/>
        <v>100000</v>
      </c>
      <c r="H31" s="5">
        <v>4709.3900000000003</v>
      </c>
      <c r="I31" s="5">
        <f t="shared" si="4"/>
        <v>119272.63999999998</v>
      </c>
    </row>
    <row r="32" spans="1:9" ht="15.75" customHeight="1" x14ac:dyDescent="0.35">
      <c r="A32" s="6">
        <v>42029</v>
      </c>
      <c r="B32" s="5">
        <f t="shared" si="0"/>
        <v>36368.500000000007</v>
      </c>
      <c r="C32" s="5">
        <f>14366.7+5162.8+5966.67+54.24</f>
        <v>25550.41</v>
      </c>
      <c r="D32" s="5">
        <f t="shared" si="1"/>
        <v>-15610.460000000008</v>
      </c>
      <c r="E32" s="5">
        <f t="shared" si="2"/>
        <v>-209.31000000000131</v>
      </c>
      <c r="F32" s="5"/>
      <c r="G32" s="5">
        <f t="shared" si="3"/>
        <v>100000</v>
      </c>
      <c r="H32" s="5">
        <f>1932+870.46+612.13</f>
        <v>3414.59</v>
      </c>
      <c r="I32" s="5">
        <f t="shared" si="4"/>
        <v>122687.22999999998</v>
      </c>
    </row>
    <row r="33" spans="1:11" ht="15.75" customHeight="1" x14ac:dyDescent="0.35">
      <c r="A33" s="6">
        <v>42030</v>
      </c>
      <c r="B33" s="5">
        <f t="shared" si="0"/>
        <v>32953.910000000003</v>
      </c>
      <c r="C33" s="5">
        <f>13466.7+3127.8+5330.4+54.24</f>
        <v>21979.140000000003</v>
      </c>
      <c r="D33" s="5">
        <f t="shared" si="1"/>
        <v>-15767.140000000005</v>
      </c>
      <c r="E33" s="5">
        <f t="shared" si="2"/>
        <v>-156.67999999999665</v>
      </c>
      <c r="F33" s="5">
        <v>10000</v>
      </c>
      <c r="G33" s="5">
        <f t="shared" si="3"/>
        <v>110000</v>
      </c>
      <c r="H33" s="5">
        <v>6022.86</v>
      </c>
      <c r="I33" s="5">
        <f t="shared" si="4"/>
        <v>128710.08999999998</v>
      </c>
    </row>
    <row r="34" spans="1:11" ht="15.75" customHeight="1" x14ac:dyDescent="0.35">
      <c r="A34" s="6">
        <v>42031</v>
      </c>
      <c r="B34" s="5">
        <f t="shared" si="0"/>
        <v>36931.050000000003</v>
      </c>
      <c r="C34" s="5">
        <f>15400+6200+4384.6+61.02</f>
        <v>26045.62</v>
      </c>
      <c r="D34" s="5">
        <f t="shared" si="1"/>
        <v>-15677.800000000008</v>
      </c>
      <c r="E34" s="5">
        <f t="shared" si="2"/>
        <v>89.339999999996508</v>
      </c>
      <c r="F34" s="5">
        <v>10000</v>
      </c>
      <c r="G34" s="5">
        <f t="shared" si="3"/>
        <v>120000</v>
      </c>
      <c r="H34" s="5">
        <v>6870.83</v>
      </c>
      <c r="I34" s="5">
        <f t="shared" si="4"/>
        <v>135580.91999999998</v>
      </c>
    </row>
    <row r="35" spans="1:11" ht="15.75" customHeight="1" x14ac:dyDescent="0.35">
      <c r="A35" s="6">
        <v>42032</v>
      </c>
      <c r="B35" s="5">
        <f t="shared" si="0"/>
        <v>40060.22</v>
      </c>
      <c r="C35" s="5">
        <v>29146.43</v>
      </c>
      <c r="D35" s="5">
        <f t="shared" si="1"/>
        <v>-15706.160000000005</v>
      </c>
      <c r="E35" s="5">
        <f t="shared" si="2"/>
        <v>-28.359999999996944</v>
      </c>
      <c r="F35" s="5">
        <v>10000</v>
      </c>
      <c r="G35" s="5">
        <f t="shared" si="3"/>
        <v>130000</v>
      </c>
      <c r="H35" s="5">
        <v>6042.06</v>
      </c>
      <c r="I35" s="5">
        <f t="shared" si="4"/>
        <v>141622.97999999998</v>
      </c>
    </row>
    <row r="36" spans="1:11" ht="15.75" customHeight="1" x14ac:dyDescent="0.35">
      <c r="A36" s="6">
        <v>42033</v>
      </c>
      <c r="B36" s="5">
        <f t="shared" si="0"/>
        <v>44018.16</v>
      </c>
      <c r="C36" s="5">
        <v>33132.620000000003</v>
      </c>
      <c r="D36" s="5">
        <f t="shared" si="1"/>
        <v>-15677.910000000005</v>
      </c>
      <c r="E36" s="5">
        <f t="shared" si="2"/>
        <v>28.25</v>
      </c>
      <c r="F36" s="5"/>
      <c r="G36" s="5">
        <f t="shared" si="3"/>
        <v>130000</v>
      </c>
      <c r="H36" s="5">
        <v>5947.24</v>
      </c>
      <c r="I36" s="5">
        <f t="shared" si="4"/>
        <v>147570.21999999997</v>
      </c>
    </row>
    <row r="37" spans="1:11" ht="15.75" customHeight="1" x14ac:dyDescent="0.35">
      <c r="A37" s="6">
        <v>42034</v>
      </c>
      <c r="B37" s="5">
        <f t="shared" si="0"/>
        <v>38070.920000000006</v>
      </c>
      <c r="C37" s="5">
        <v>26876.33</v>
      </c>
      <c r="D37" s="5">
        <f t="shared" si="1"/>
        <v>-15986.960000000008</v>
      </c>
      <c r="E37" s="5">
        <f t="shared" si="2"/>
        <v>-309.05000000000291</v>
      </c>
      <c r="F37" s="5">
        <v>10000</v>
      </c>
      <c r="G37" s="5">
        <f t="shared" si="3"/>
        <v>140000</v>
      </c>
      <c r="H37" s="5">
        <v>6324.38</v>
      </c>
      <c r="I37" s="5">
        <f t="shared" si="4"/>
        <v>153894.59999999998</v>
      </c>
    </row>
    <row r="38" spans="1:11" ht="15.75" customHeight="1" x14ac:dyDescent="0.35">
      <c r="A38" s="6">
        <v>42035</v>
      </c>
      <c r="B38" s="5">
        <f t="shared" si="0"/>
        <v>41746.540000000008</v>
      </c>
      <c r="C38" s="5">
        <v>30493</v>
      </c>
      <c r="D38" s="5">
        <f t="shared" si="1"/>
        <v>-16045.910000000013</v>
      </c>
      <c r="E38" s="5">
        <f t="shared" si="2"/>
        <v>-58.950000000004366</v>
      </c>
      <c r="F38" s="5"/>
      <c r="G38" s="5">
        <f t="shared" si="3"/>
        <v>140000</v>
      </c>
      <c r="H38" s="5">
        <v>4880.6499999999996</v>
      </c>
      <c r="I38" s="5">
        <f t="shared" si="4"/>
        <v>158775.24999999997</v>
      </c>
    </row>
    <row r="39" spans="1:11" ht="15.75" customHeight="1" x14ac:dyDescent="0.35">
      <c r="A39" s="6">
        <v>42036</v>
      </c>
      <c r="B39" s="5">
        <f t="shared" si="0"/>
        <v>36865.890000000007</v>
      </c>
      <c r="C39" s="5">
        <f>16326.3+5236.36+4040+55.93</f>
        <v>25658.59</v>
      </c>
      <c r="D39" s="5">
        <f t="shared" si="1"/>
        <v>-15999.670000000015</v>
      </c>
      <c r="E39" s="5">
        <f t="shared" si="2"/>
        <v>46.239999999997963</v>
      </c>
      <c r="F39" s="5"/>
      <c r="G39" s="5">
        <f t="shared" si="3"/>
        <v>140000</v>
      </c>
      <c r="H39" s="5">
        <f>3271+1472.26+1380.17</f>
        <v>6123.43</v>
      </c>
      <c r="I39" s="5">
        <f t="shared" si="4"/>
        <v>164898.67999999996</v>
      </c>
    </row>
    <row r="40" spans="1:11" ht="15.75" customHeight="1" x14ac:dyDescent="0.35">
      <c r="A40" s="5"/>
      <c r="B40" s="5"/>
      <c r="C40" s="5"/>
      <c r="D40" s="5"/>
      <c r="E40" s="5"/>
      <c r="F40" s="5"/>
      <c r="G40" s="5"/>
      <c r="H40" s="5"/>
      <c r="I40" s="5"/>
    </row>
    <row r="41" spans="1:11" ht="15.75" customHeight="1" x14ac:dyDescent="0.35">
      <c r="A41" s="5"/>
      <c r="B41" s="5"/>
      <c r="C41" s="5"/>
      <c r="D41" s="5"/>
      <c r="E41" s="5"/>
      <c r="F41" s="5"/>
      <c r="G41" s="5"/>
      <c r="H41" s="5"/>
      <c r="I41" s="5"/>
    </row>
    <row r="42" spans="1:11" ht="15.75" customHeight="1" x14ac:dyDescent="0.35">
      <c r="A42" s="5"/>
      <c r="B42" s="5"/>
      <c r="C42" s="5"/>
      <c r="D42" s="5"/>
      <c r="E42" s="5"/>
      <c r="F42" s="5"/>
      <c r="G42" s="5"/>
      <c r="H42" s="5"/>
      <c r="I42" s="7"/>
      <c r="J42" s="5"/>
      <c r="K42" s="5" t="s">
        <v>12</v>
      </c>
    </row>
    <row r="43" spans="1:11" ht="15.75" customHeight="1" x14ac:dyDescent="0.35">
      <c r="A43" s="5"/>
      <c r="B43" s="5"/>
      <c r="C43" s="5"/>
      <c r="D43" s="5"/>
      <c r="E43" s="5">
        <v>-1937.28</v>
      </c>
      <c r="F43" s="5">
        <v>160000</v>
      </c>
      <c r="G43" s="5"/>
      <c r="H43" s="5">
        <f>SUM(H8:H38)</f>
        <v>158775.24999999997</v>
      </c>
      <c r="I43" s="7"/>
      <c r="J43" s="5" t="s">
        <v>13</v>
      </c>
      <c r="K43" s="5">
        <f>D46</f>
        <v>5121.7822580645152</v>
      </c>
    </row>
    <row r="44" spans="1:11" ht="15.75" customHeight="1" x14ac:dyDescent="0.35">
      <c r="A44" s="5"/>
      <c r="B44" s="5"/>
      <c r="C44" s="5"/>
      <c r="D44" s="5"/>
      <c r="E44" s="5"/>
      <c r="F44" s="5"/>
      <c r="G44" s="5"/>
      <c r="H44" s="5"/>
      <c r="I44" s="7"/>
      <c r="J44" s="5" t="s">
        <v>14</v>
      </c>
      <c r="K44" s="5"/>
    </row>
    <row r="45" spans="1:11" ht="15.75" customHeight="1" x14ac:dyDescent="0.35">
      <c r="A45" s="5"/>
      <c r="B45" s="5" t="s">
        <v>15</v>
      </c>
      <c r="C45" s="5"/>
      <c r="D45" s="5">
        <v>1.38</v>
      </c>
      <c r="E45" s="5"/>
      <c r="F45" s="5"/>
      <c r="G45" s="5"/>
      <c r="H45" s="5"/>
      <c r="I45" s="7"/>
      <c r="J45" s="5" t="s">
        <v>16</v>
      </c>
      <c r="K45" s="5"/>
    </row>
    <row r="46" spans="1:11" ht="15.75" customHeight="1" x14ac:dyDescent="0.35">
      <c r="A46" s="5"/>
      <c r="B46" s="5" t="s">
        <v>17</v>
      </c>
      <c r="C46" s="5"/>
      <c r="D46" s="5">
        <f>AVERAGE(H8:H38)</f>
        <v>5121.7822580645152</v>
      </c>
      <c r="E46" s="5"/>
      <c r="F46" s="5"/>
      <c r="G46" s="5"/>
      <c r="H46" s="5"/>
      <c r="I46" s="7"/>
      <c r="J46" s="5" t="s">
        <v>18</v>
      </c>
      <c r="K46" s="5"/>
    </row>
    <row r="47" spans="1:11" ht="15.75" customHeight="1" x14ac:dyDescent="0.35">
      <c r="J47" s="5" t="s">
        <v>19</v>
      </c>
      <c r="K47" s="5"/>
    </row>
    <row r="48" spans="1:11" ht="15.75" customHeight="1" x14ac:dyDescent="0.35">
      <c r="J48" s="5" t="s">
        <v>20</v>
      </c>
      <c r="K48" s="5"/>
    </row>
    <row r="49" spans="10:11" ht="15.75" customHeight="1" x14ac:dyDescent="0.35">
      <c r="J49" s="5" t="s">
        <v>21</v>
      </c>
      <c r="K49" s="5"/>
    </row>
    <row r="50" spans="10:11" ht="15.75" customHeight="1" x14ac:dyDescent="0.35">
      <c r="J50" s="5" t="s">
        <v>22</v>
      </c>
      <c r="K50" s="5"/>
    </row>
    <row r="51" spans="10:11" ht="15.75" customHeight="1" x14ac:dyDescent="0.35">
      <c r="J51" s="5" t="s">
        <v>23</v>
      </c>
      <c r="K51" s="5"/>
    </row>
    <row r="52" spans="10:11" ht="15.75" customHeight="1" x14ac:dyDescent="0.35">
      <c r="J52" s="5" t="s">
        <v>24</v>
      </c>
      <c r="K52" s="5"/>
    </row>
    <row r="53" spans="10:11" ht="15.75" customHeight="1" x14ac:dyDescent="0.35">
      <c r="J53" s="5" t="s">
        <v>25</v>
      </c>
      <c r="K53" s="5"/>
    </row>
    <row r="54" spans="10:11" ht="15.75" customHeight="1" x14ac:dyDescent="0.35">
      <c r="J54" s="5" t="s">
        <v>26</v>
      </c>
      <c r="K54" s="5"/>
    </row>
    <row r="55" spans="10:11" ht="15.75" customHeight="1" x14ac:dyDescent="0.35"/>
    <row r="56" spans="10:11" ht="15.75" customHeight="1" x14ac:dyDescent="0.35"/>
    <row r="57" spans="10:11" ht="15.75" customHeight="1" x14ac:dyDescent="0.35"/>
    <row r="58" spans="10:11" ht="15.75" customHeight="1" x14ac:dyDescent="0.35"/>
    <row r="59" spans="10:11" ht="15.75" customHeight="1" x14ac:dyDescent="0.35"/>
    <row r="60" spans="10:11" ht="15.75" customHeight="1" x14ac:dyDescent="0.35"/>
    <row r="61" spans="10:11" ht="15.75" customHeight="1" x14ac:dyDescent="0.35"/>
    <row r="62" spans="10:11" ht="15.75" customHeight="1" x14ac:dyDescent="0.35"/>
    <row r="63" spans="10:11" ht="15.75" customHeight="1" x14ac:dyDescent="0.35"/>
    <row r="64" spans="10:1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scale="7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53125" defaultRowHeight="15" customHeight="1" x14ac:dyDescent="0.35"/>
  <cols>
    <col min="1" max="1" width="14.26953125" customWidth="1"/>
    <col min="2" max="2" width="9.26953125" customWidth="1"/>
    <col min="3" max="3" width="9.7265625" customWidth="1"/>
    <col min="4" max="5" width="10.54296875" customWidth="1"/>
    <col min="6" max="6" width="9.7265625" customWidth="1"/>
    <col min="7" max="7" width="9.81640625" customWidth="1"/>
    <col min="8" max="8" width="10.7265625" customWidth="1"/>
    <col min="9" max="9" width="9.81640625" customWidth="1"/>
    <col min="10" max="26" width="8.7265625" customWidth="1"/>
  </cols>
  <sheetData>
    <row r="1" spans="1:10" ht="14.5" x14ac:dyDescent="0.35">
      <c r="A1" t="s">
        <v>0</v>
      </c>
    </row>
    <row r="2" spans="1:10" ht="14.5" x14ac:dyDescent="0.35">
      <c r="A2" t="s">
        <v>1</v>
      </c>
    </row>
    <row r="3" spans="1:10" ht="14.5" x14ac:dyDescent="0.35">
      <c r="A3" s="1">
        <v>42036</v>
      </c>
    </row>
    <row r="4" spans="1:10" ht="14.5" x14ac:dyDescent="0.35">
      <c r="A4" s="2">
        <v>42036</v>
      </c>
      <c r="B4" s="3"/>
      <c r="C4" s="3"/>
      <c r="D4" s="3"/>
      <c r="E4" s="3"/>
      <c r="F4" s="3"/>
      <c r="G4" s="3"/>
      <c r="H4" s="3"/>
      <c r="I4" s="3"/>
    </row>
    <row r="5" spans="1:10" ht="14.5" x14ac:dyDescent="0.35">
      <c r="A5" s="3"/>
      <c r="B5" s="3" t="s">
        <v>0</v>
      </c>
      <c r="C5" s="3"/>
      <c r="D5" s="3" t="s">
        <v>2</v>
      </c>
      <c r="E5" s="3" t="s">
        <v>2</v>
      </c>
      <c r="F5" s="3"/>
      <c r="G5" s="3"/>
      <c r="H5" s="3"/>
      <c r="I5" s="3"/>
    </row>
    <row r="6" spans="1:10" ht="14.5" x14ac:dyDescent="0.3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4"/>
    </row>
    <row r="7" spans="1:10" ht="14.5" x14ac:dyDescent="0.35">
      <c r="A7" s="5"/>
      <c r="B7" s="5"/>
      <c r="C7" s="5"/>
      <c r="D7" s="5"/>
      <c r="E7" s="5"/>
      <c r="F7" s="5"/>
      <c r="G7" s="5"/>
      <c r="H7" s="5"/>
      <c r="I7" s="5"/>
    </row>
    <row r="8" spans="1:10" ht="14.5" x14ac:dyDescent="0.35">
      <c r="A8" s="6">
        <v>42036</v>
      </c>
      <c r="B8" s="5">
        <v>36865.89</v>
      </c>
      <c r="C8" s="5">
        <v>25658.59</v>
      </c>
      <c r="D8" s="5">
        <v>-15999.67</v>
      </c>
      <c r="E8" s="5">
        <v>46.24</v>
      </c>
      <c r="F8" s="5"/>
      <c r="G8" s="5">
        <v>140000</v>
      </c>
      <c r="H8" s="5">
        <v>3843.45</v>
      </c>
      <c r="I8" s="5">
        <v>164898.68</v>
      </c>
    </row>
    <row r="9" spans="1:10" ht="14.5" x14ac:dyDescent="0.35">
      <c r="A9" s="6">
        <v>42037</v>
      </c>
      <c r="B9" s="5">
        <f t="shared" ref="B9:B36" si="0">B8-H8+F8</f>
        <v>33022.44</v>
      </c>
      <c r="C9" s="5">
        <v>22037.73</v>
      </c>
      <c r="D9" s="5">
        <f t="shared" ref="D9:D36" si="1">D8+E9</f>
        <v>-15777.08</v>
      </c>
      <c r="E9" s="5">
        <f t="shared" ref="E9:E36" si="2">C9+H8-C8-F8</f>
        <v>222.59000000000015</v>
      </c>
      <c r="F9" s="5">
        <v>10000</v>
      </c>
      <c r="G9" s="5">
        <f t="shared" ref="G9:G36" si="3">G8+F9</f>
        <v>150000</v>
      </c>
      <c r="H9" s="5">
        <v>6123.17</v>
      </c>
      <c r="I9" s="5">
        <f t="shared" ref="I9:I36" si="4">I8++H9</f>
        <v>171021.85</v>
      </c>
    </row>
    <row r="10" spans="1:10" ht="14.5" x14ac:dyDescent="0.35">
      <c r="A10" s="6">
        <v>42038</v>
      </c>
      <c r="B10" s="5">
        <f t="shared" si="0"/>
        <v>36899.270000000004</v>
      </c>
      <c r="C10" s="5">
        <f>13444.4+6000+6445.5+55.93</f>
        <v>25945.83</v>
      </c>
      <c r="D10" s="5">
        <f t="shared" si="1"/>
        <v>-15745.81</v>
      </c>
      <c r="E10" s="5">
        <f t="shared" si="2"/>
        <v>31.270000000000437</v>
      </c>
      <c r="F10" s="5">
        <v>10000</v>
      </c>
      <c r="G10" s="5">
        <f t="shared" si="3"/>
        <v>160000</v>
      </c>
      <c r="H10" s="5">
        <v>6230.18</v>
      </c>
      <c r="I10" s="5">
        <f t="shared" si="4"/>
        <v>177252.03</v>
      </c>
    </row>
    <row r="11" spans="1:10" ht="14.5" x14ac:dyDescent="0.35">
      <c r="A11" s="6">
        <v>42039</v>
      </c>
      <c r="B11" s="5">
        <f t="shared" si="0"/>
        <v>40669.090000000004</v>
      </c>
      <c r="C11" s="5">
        <f>14466.7+7555.6+7321.7+55.93</f>
        <v>29399.930000000004</v>
      </c>
      <c r="D11" s="5">
        <f t="shared" si="1"/>
        <v>-16061.53</v>
      </c>
      <c r="E11" s="5">
        <f t="shared" si="2"/>
        <v>-315.72000000000116</v>
      </c>
      <c r="F11" s="5">
        <v>10000</v>
      </c>
      <c r="G11" s="5">
        <f t="shared" si="3"/>
        <v>170000</v>
      </c>
      <c r="H11" s="5">
        <v>6190.34</v>
      </c>
      <c r="I11" s="5">
        <f t="shared" si="4"/>
        <v>183442.37</v>
      </c>
    </row>
    <row r="12" spans="1:10" ht="14.5" x14ac:dyDescent="0.35">
      <c r="A12" s="6">
        <v>42040</v>
      </c>
      <c r="B12" s="5">
        <f t="shared" si="0"/>
        <v>44478.75</v>
      </c>
      <c r="C12" s="5">
        <v>33298.83</v>
      </c>
      <c r="D12" s="5">
        <f t="shared" si="1"/>
        <v>-15972.290000000006</v>
      </c>
      <c r="E12" s="5">
        <f t="shared" si="2"/>
        <v>89.239999999994325</v>
      </c>
      <c r="F12" s="5">
        <v>10000</v>
      </c>
      <c r="G12" s="5">
        <f t="shared" si="3"/>
        <v>180000</v>
      </c>
      <c r="H12" s="5">
        <v>6383.33</v>
      </c>
      <c r="I12" s="5">
        <f t="shared" si="4"/>
        <v>189825.69999999998</v>
      </c>
    </row>
    <row r="13" spans="1:10" ht="14.5" x14ac:dyDescent="0.35">
      <c r="A13" s="6">
        <v>42041</v>
      </c>
      <c r="B13" s="5">
        <f t="shared" si="0"/>
        <v>48095.42</v>
      </c>
      <c r="C13" s="5">
        <v>36821.949999999997</v>
      </c>
      <c r="D13" s="5">
        <f t="shared" si="1"/>
        <v>-16065.840000000009</v>
      </c>
      <c r="E13" s="5">
        <f t="shared" si="2"/>
        <v>-93.55000000000291</v>
      </c>
      <c r="F13" s="6"/>
      <c r="G13" s="6">
        <f t="shared" si="3"/>
        <v>180000</v>
      </c>
      <c r="H13" s="5">
        <v>5951.71</v>
      </c>
      <c r="I13" s="5">
        <f t="shared" si="4"/>
        <v>195777.40999999997</v>
      </c>
    </row>
    <row r="14" spans="1:10" ht="14.5" x14ac:dyDescent="0.35">
      <c r="A14" s="6">
        <v>42042</v>
      </c>
      <c r="B14" s="6">
        <f t="shared" si="0"/>
        <v>42143.71</v>
      </c>
      <c r="C14" s="5">
        <f>16444.4+3829.4+10372.7+54.24</f>
        <v>30700.740000000005</v>
      </c>
      <c r="D14" s="6">
        <f t="shared" si="1"/>
        <v>-16235.340000000002</v>
      </c>
      <c r="E14" s="6">
        <f t="shared" si="2"/>
        <v>-169.49999999999272</v>
      </c>
      <c r="F14" s="6"/>
      <c r="G14" s="5">
        <f t="shared" si="3"/>
        <v>180000</v>
      </c>
      <c r="H14" s="5">
        <f>2170+1880.1+721.12</f>
        <v>4771.22</v>
      </c>
      <c r="I14" s="5">
        <f t="shared" si="4"/>
        <v>200548.62999999998</v>
      </c>
    </row>
    <row r="15" spans="1:10" ht="14.5" x14ac:dyDescent="0.35">
      <c r="A15" s="6">
        <v>42043</v>
      </c>
      <c r="B15" s="5">
        <f t="shared" si="0"/>
        <v>37372.49</v>
      </c>
      <c r="C15" s="5">
        <f>14500+1586.96+9648.3</f>
        <v>25735.26</v>
      </c>
      <c r="D15" s="5">
        <f t="shared" si="1"/>
        <v>-16429.600000000006</v>
      </c>
      <c r="E15" s="6">
        <f t="shared" si="2"/>
        <v>-194.26000000000568</v>
      </c>
      <c r="F15" s="6"/>
      <c r="G15" s="6">
        <f t="shared" si="3"/>
        <v>180000</v>
      </c>
      <c r="H15" s="5">
        <f>1215+1701.57+1277.75</f>
        <v>4194.32</v>
      </c>
      <c r="I15" s="5">
        <f t="shared" si="4"/>
        <v>204742.94999999998</v>
      </c>
    </row>
    <row r="16" spans="1:10" ht="14.5" x14ac:dyDescent="0.35">
      <c r="A16" s="6">
        <v>42044</v>
      </c>
      <c r="B16" s="6">
        <f t="shared" si="0"/>
        <v>33178.17</v>
      </c>
      <c r="C16" s="5">
        <f>12666.67+294.12+54.24+8350</f>
        <v>21365.03</v>
      </c>
      <c r="D16" s="6">
        <f t="shared" si="1"/>
        <v>-16605.510000000006</v>
      </c>
      <c r="E16" s="6">
        <f t="shared" si="2"/>
        <v>-175.90999999999985</v>
      </c>
      <c r="F16" s="5">
        <v>10000</v>
      </c>
      <c r="G16" s="6">
        <f t="shared" si="3"/>
        <v>190000</v>
      </c>
      <c r="H16" s="5">
        <v>6398.35</v>
      </c>
      <c r="I16" s="5">
        <f t="shared" si="4"/>
        <v>211141.3</v>
      </c>
    </row>
    <row r="17" spans="1:9" ht="14.5" x14ac:dyDescent="0.35">
      <c r="A17" s="6">
        <v>42045</v>
      </c>
      <c r="B17" s="6">
        <f t="shared" si="0"/>
        <v>36779.82</v>
      </c>
      <c r="C17" s="5">
        <v>25054.29</v>
      </c>
      <c r="D17" s="6">
        <f t="shared" si="1"/>
        <v>-16517.900000000005</v>
      </c>
      <c r="E17" s="5">
        <f t="shared" si="2"/>
        <v>87.610000000000582</v>
      </c>
      <c r="F17" s="5">
        <v>10000</v>
      </c>
      <c r="G17" s="6">
        <f t="shared" si="3"/>
        <v>200000</v>
      </c>
      <c r="H17" s="5">
        <v>6330.99</v>
      </c>
      <c r="I17" s="5">
        <f t="shared" si="4"/>
        <v>217472.28999999998</v>
      </c>
    </row>
    <row r="18" spans="1:9" ht="14.5" x14ac:dyDescent="0.35">
      <c r="A18" s="6">
        <v>42046</v>
      </c>
      <c r="B18" s="6">
        <f t="shared" si="0"/>
        <v>40448.83</v>
      </c>
      <c r="C18" s="5">
        <f>15252.6+5929.4+7576+54.24</f>
        <v>28812.240000000002</v>
      </c>
      <c r="D18" s="6">
        <f t="shared" si="1"/>
        <v>-16428.960000000003</v>
      </c>
      <c r="E18" s="5">
        <f t="shared" si="2"/>
        <v>88.940000000002328</v>
      </c>
      <c r="F18" s="5"/>
      <c r="G18" s="6">
        <f t="shared" si="3"/>
        <v>200000</v>
      </c>
      <c r="H18" s="5">
        <v>5630.2</v>
      </c>
      <c r="I18" s="5">
        <f t="shared" si="4"/>
        <v>223102.49</v>
      </c>
    </row>
    <row r="19" spans="1:9" ht="14.5" x14ac:dyDescent="0.35">
      <c r="A19" s="6">
        <v>42047</v>
      </c>
      <c r="B19" s="6">
        <f t="shared" si="0"/>
        <v>34818.630000000005</v>
      </c>
      <c r="C19" s="5">
        <v>23010.639999999999</v>
      </c>
      <c r="D19" s="6">
        <f t="shared" si="1"/>
        <v>-16600.360000000004</v>
      </c>
      <c r="E19" s="5">
        <f t="shared" si="2"/>
        <v>-171.40000000000146</v>
      </c>
      <c r="F19" s="5">
        <v>10000</v>
      </c>
      <c r="G19" s="6">
        <f t="shared" si="3"/>
        <v>210000</v>
      </c>
      <c r="H19" s="5">
        <v>5444.49</v>
      </c>
      <c r="I19" s="5">
        <f t="shared" si="4"/>
        <v>228546.97999999998</v>
      </c>
    </row>
    <row r="20" spans="1:9" ht="14.5" x14ac:dyDescent="0.35">
      <c r="A20" s="6">
        <v>42048</v>
      </c>
      <c r="B20" s="6">
        <f t="shared" si="0"/>
        <v>39374.140000000007</v>
      </c>
      <c r="C20" s="5">
        <v>27782.04</v>
      </c>
      <c r="D20" s="6">
        <f t="shared" si="1"/>
        <v>-16384.470000000005</v>
      </c>
      <c r="E20" s="5">
        <f t="shared" si="2"/>
        <v>215.88999999999942</v>
      </c>
      <c r="F20" s="5"/>
      <c r="G20" s="6">
        <f t="shared" si="3"/>
        <v>210000</v>
      </c>
      <c r="H20" s="5">
        <v>5576.61</v>
      </c>
      <c r="I20" s="5">
        <f t="shared" si="4"/>
        <v>234123.58999999997</v>
      </c>
    </row>
    <row r="21" spans="1:9" ht="15.75" customHeight="1" x14ac:dyDescent="0.35">
      <c r="A21" s="6">
        <v>42049</v>
      </c>
      <c r="B21" s="6">
        <f t="shared" si="0"/>
        <v>33797.530000000006</v>
      </c>
      <c r="C21" s="5">
        <v>21927.51</v>
      </c>
      <c r="D21" s="6">
        <f t="shared" si="1"/>
        <v>-16662.390000000007</v>
      </c>
      <c r="E21" s="5">
        <f t="shared" si="2"/>
        <v>-277.92000000000189</v>
      </c>
      <c r="F21" s="5"/>
      <c r="G21" s="6">
        <f t="shared" si="3"/>
        <v>210000</v>
      </c>
      <c r="H21" s="5">
        <v>4610.6099999999997</v>
      </c>
      <c r="I21" s="5">
        <f t="shared" si="4"/>
        <v>238734.19999999995</v>
      </c>
    </row>
    <row r="22" spans="1:9" ht="15.75" customHeight="1" x14ac:dyDescent="0.35">
      <c r="A22" s="6">
        <v>42050</v>
      </c>
      <c r="B22" s="6">
        <f t="shared" si="0"/>
        <v>29186.920000000006</v>
      </c>
      <c r="C22" s="5">
        <v>17198.240000000002</v>
      </c>
      <c r="D22" s="6">
        <f t="shared" si="1"/>
        <v>-16781.050000000003</v>
      </c>
      <c r="E22" s="5">
        <f t="shared" si="2"/>
        <v>-118.65999999999622</v>
      </c>
      <c r="F22" s="5"/>
      <c r="G22" s="6">
        <f t="shared" si="3"/>
        <v>210000</v>
      </c>
      <c r="H22" s="5">
        <v>3874.84</v>
      </c>
      <c r="I22" s="5">
        <f t="shared" si="4"/>
        <v>242609.03999999995</v>
      </c>
    </row>
    <row r="23" spans="1:9" ht="15.75" customHeight="1" x14ac:dyDescent="0.35">
      <c r="A23" s="6">
        <v>42051</v>
      </c>
      <c r="B23" s="6">
        <f t="shared" si="0"/>
        <v>25312.080000000005</v>
      </c>
      <c r="C23" s="5">
        <v>13230.93</v>
      </c>
      <c r="D23" s="6">
        <f t="shared" si="1"/>
        <v>-16873.520000000004</v>
      </c>
      <c r="E23" s="5">
        <f t="shared" si="2"/>
        <v>-92.470000000001164</v>
      </c>
      <c r="F23" s="5"/>
      <c r="G23" s="6">
        <f t="shared" si="3"/>
        <v>210000</v>
      </c>
      <c r="H23" s="5">
        <v>6544.15</v>
      </c>
      <c r="I23" s="5">
        <f t="shared" si="4"/>
        <v>249153.18999999994</v>
      </c>
    </row>
    <row r="24" spans="1:9" ht="15.75" customHeight="1" x14ac:dyDescent="0.35">
      <c r="A24" s="6">
        <v>42052</v>
      </c>
      <c r="B24" s="6">
        <f t="shared" si="0"/>
        <v>18767.930000000008</v>
      </c>
      <c r="C24" s="5">
        <v>6732.99</v>
      </c>
      <c r="D24" s="6">
        <f t="shared" si="1"/>
        <v>-16827.310000000005</v>
      </c>
      <c r="E24" s="5">
        <f t="shared" si="2"/>
        <v>46.209999999999127</v>
      </c>
      <c r="F24" s="5">
        <v>10000</v>
      </c>
      <c r="G24" s="6">
        <f t="shared" si="3"/>
        <v>220000</v>
      </c>
      <c r="H24" s="5">
        <v>5894.63</v>
      </c>
      <c r="I24" s="5">
        <f t="shared" si="4"/>
        <v>255047.81999999995</v>
      </c>
    </row>
    <row r="25" spans="1:9" ht="15.75" customHeight="1" x14ac:dyDescent="0.35">
      <c r="A25" s="6">
        <v>42053</v>
      </c>
      <c r="B25" s="6">
        <f t="shared" si="0"/>
        <v>22873.300000000007</v>
      </c>
      <c r="C25" s="5">
        <v>10999.24</v>
      </c>
      <c r="D25" s="6">
        <f t="shared" si="1"/>
        <v>-16666.430000000008</v>
      </c>
      <c r="E25" s="5">
        <f t="shared" si="2"/>
        <v>160.8799999999992</v>
      </c>
      <c r="F25" s="5">
        <v>10000</v>
      </c>
      <c r="G25" s="6">
        <f t="shared" si="3"/>
        <v>230000</v>
      </c>
      <c r="H25" s="5">
        <v>6890.03</v>
      </c>
      <c r="I25" s="5">
        <f t="shared" si="4"/>
        <v>261937.84999999995</v>
      </c>
    </row>
    <row r="26" spans="1:9" ht="15.75" customHeight="1" x14ac:dyDescent="0.35">
      <c r="A26" s="6">
        <v>42054</v>
      </c>
      <c r="B26" s="6">
        <f t="shared" si="0"/>
        <v>25983.270000000008</v>
      </c>
      <c r="C26" s="5">
        <v>13834.83</v>
      </c>
      <c r="D26" s="6">
        <f t="shared" si="1"/>
        <v>-16940.810000000005</v>
      </c>
      <c r="E26" s="5">
        <f t="shared" si="2"/>
        <v>-274.3799999999992</v>
      </c>
      <c r="F26" s="5">
        <v>10000</v>
      </c>
      <c r="G26" s="6">
        <f t="shared" si="3"/>
        <v>240000</v>
      </c>
      <c r="H26" s="5">
        <v>6369.3</v>
      </c>
      <c r="I26" s="5">
        <f t="shared" si="4"/>
        <v>268307.14999999997</v>
      </c>
    </row>
    <row r="27" spans="1:9" ht="15.75" customHeight="1" x14ac:dyDescent="0.35">
      <c r="A27" s="6">
        <v>42055</v>
      </c>
      <c r="B27" s="6">
        <f t="shared" si="0"/>
        <v>29613.970000000008</v>
      </c>
      <c r="C27" s="5">
        <v>17305.93</v>
      </c>
      <c r="D27" s="6">
        <f t="shared" si="1"/>
        <v>-17100.410000000003</v>
      </c>
      <c r="E27" s="5">
        <f t="shared" si="2"/>
        <v>-159.60000000000036</v>
      </c>
      <c r="F27" s="5">
        <v>10000</v>
      </c>
      <c r="G27" s="6">
        <f t="shared" si="3"/>
        <v>250000</v>
      </c>
      <c r="H27" s="5">
        <v>5522.73</v>
      </c>
      <c r="I27" s="5">
        <f t="shared" si="4"/>
        <v>273829.87999999995</v>
      </c>
    </row>
    <row r="28" spans="1:9" ht="15.75" customHeight="1" x14ac:dyDescent="0.35">
      <c r="A28" s="6">
        <v>42056</v>
      </c>
      <c r="B28" s="6">
        <f t="shared" si="0"/>
        <v>34091.240000000005</v>
      </c>
      <c r="C28" s="5">
        <f>11400+7046.67+3345.45+55.93</f>
        <v>21848.05</v>
      </c>
      <c r="D28" s="6">
        <f t="shared" si="1"/>
        <v>-17035.560000000005</v>
      </c>
      <c r="E28" s="5">
        <f t="shared" si="2"/>
        <v>64.849999999998545</v>
      </c>
      <c r="F28" s="5"/>
      <c r="G28" s="6">
        <f t="shared" si="3"/>
        <v>250000</v>
      </c>
      <c r="H28" s="5">
        <v>4850</v>
      </c>
      <c r="I28" s="5">
        <f t="shared" si="4"/>
        <v>278679.87999999995</v>
      </c>
    </row>
    <row r="29" spans="1:9" ht="15.75" customHeight="1" x14ac:dyDescent="0.35">
      <c r="A29" s="6">
        <v>42057</v>
      </c>
      <c r="B29" s="6">
        <f t="shared" si="0"/>
        <v>29241.240000000005</v>
      </c>
      <c r="C29" s="5">
        <v>16726.43</v>
      </c>
      <c r="D29" s="6">
        <f t="shared" si="1"/>
        <v>-17307.180000000004</v>
      </c>
      <c r="E29" s="5">
        <f t="shared" si="2"/>
        <v>-271.61999999999898</v>
      </c>
      <c r="F29" s="5"/>
      <c r="G29" s="6">
        <f t="shared" si="3"/>
        <v>250000</v>
      </c>
      <c r="H29" s="5">
        <f>2421+1718+263</f>
        <v>4402</v>
      </c>
      <c r="I29" s="5">
        <f t="shared" si="4"/>
        <v>283081.87999999995</v>
      </c>
    </row>
    <row r="30" spans="1:9" ht="15.75" customHeight="1" x14ac:dyDescent="0.35">
      <c r="A30" s="6">
        <v>42058</v>
      </c>
      <c r="B30" s="6">
        <f t="shared" si="0"/>
        <v>24839.240000000005</v>
      </c>
      <c r="C30" s="5">
        <f>8066.7+2085+2034.48+54.24</f>
        <v>12240.42</v>
      </c>
      <c r="D30" s="6">
        <f t="shared" si="1"/>
        <v>-17391.190000000006</v>
      </c>
      <c r="E30" s="5">
        <f t="shared" si="2"/>
        <v>-84.010000000002037</v>
      </c>
      <c r="F30" s="5">
        <v>10000</v>
      </c>
      <c r="G30" s="6">
        <f t="shared" si="3"/>
        <v>260000</v>
      </c>
      <c r="H30" s="5">
        <v>6265.32</v>
      </c>
      <c r="I30" s="5">
        <f t="shared" si="4"/>
        <v>289347.19999999995</v>
      </c>
    </row>
    <row r="31" spans="1:9" ht="15.75" customHeight="1" x14ac:dyDescent="0.35">
      <c r="A31" s="6">
        <v>42059</v>
      </c>
      <c r="B31" s="6">
        <f t="shared" si="0"/>
        <v>28573.920000000006</v>
      </c>
      <c r="C31" s="5">
        <v>15830.03</v>
      </c>
      <c r="D31" s="6">
        <f t="shared" si="1"/>
        <v>-17536.260000000009</v>
      </c>
      <c r="E31" s="5">
        <f t="shared" si="2"/>
        <v>-145.07000000000153</v>
      </c>
      <c r="F31" s="5">
        <v>10000</v>
      </c>
      <c r="G31" s="6">
        <f t="shared" si="3"/>
        <v>270000</v>
      </c>
      <c r="H31" s="5">
        <v>6673.09</v>
      </c>
      <c r="I31" s="5">
        <f t="shared" si="4"/>
        <v>296020.28999999998</v>
      </c>
    </row>
    <row r="32" spans="1:9" ht="15.75" customHeight="1" x14ac:dyDescent="0.35">
      <c r="A32" s="6">
        <v>42060</v>
      </c>
      <c r="B32" s="6">
        <f t="shared" si="0"/>
        <v>31900.830000000005</v>
      </c>
      <c r="C32" s="5">
        <v>19237.330000000002</v>
      </c>
      <c r="D32" s="6">
        <f t="shared" si="1"/>
        <v>-17455.87000000001</v>
      </c>
      <c r="E32" s="5">
        <f t="shared" si="2"/>
        <v>80.390000000001237</v>
      </c>
      <c r="F32" s="5">
        <v>10000</v>
      </c>
      <c r="G32" s="6">
        <f t="shared" si="3"/>
        <v>280000</v>
      </c>
      <c r="H32" s="5">
        <v>6408.26</v>
      </c>
      <c r="I32" s="5">
        <f t="shared" si="4"/>
        <v>302428.55</v>
      </c>
    </row>
    <row r="33" spans="1:11" ht="15.75" customHeight="1" x14ac:dyDescent="0.35">
      <c r="A33" s="6">
        <v>42061</v>
      </c>
      <c r="B33" s="6">
        <f t="shared" si="0"/>
        <v>35492.570000000007</v>
      </c>
      <c r="C33" s="5">
        <v>22873.29</v>
      </c>
      <c r="D33" s="6">
        <f t="shared" si="1"/>
        <v>-17411.650000000009</v>
      </c>
      <c r="E33" s="5">
        <f t="shared" si="2"/>
        <v>44.220000000001164</v>
      </c>
      <c r="F33" s="5"/>
      <c r="G33" s="6">
        <f t="shared" si="3"/>
        <v>280000</v>
      </c>
      <c r="H33" s="5">
        <v>5865.28</v>
      </c>
      <c r="I33" s="5">
        <f t="shared" si="4"/>
        <v>308293.83</v>
      </c>
    </row>
    <row r="34" spans="1:11" ht="15.75" customHeight="1" x14ac:dyDescent="0.35">
      <c r="A34" s="6">
        <v>42062</v>
      </c>
      <c r="B34" s="6">
        <f t="shared" si="0"/>
        <v>29627.290000000008</v>
      </c>
      <c r="C34" s="5">
        <v>16746.63</v>
      </c>
      <c r="D34" s="6">
        <f t="shared" si="1"/>
        <v>-17673.03000000001</v>
      </c>
      <c r="E34" s="5">
        <f t="shared" si="2"/>
        <v>-261.38000000000102</v>
      </c>
      <c r="F34" s="5">
        <v>10000</v>
      </c>
      <c r="G34" s="6">
        <f t="shared" si="3"/>
        <v>290000</v>
      </c>
      <c r="H34" s="5">
        <v>6138.99</v>
      </c>
      <c r="I34" s="5">
        <f t="shared" si="4"/>
        <v>314432.82</v>
      </c>
    </row>
    <row r="35" spans="1:11" ht="15.75" customHeight="1" x14ac:dyDescent="0.35">
      <c r="A35" s="6">
        <v>42063</v>
      </c>
      <c r="B35" s="6">
        <f t="shared" si="0"/>
        <v>33488.30000000001</v>
      </c>
      <c r="C35" s="5">
        <v>20702.099999999999</v>
      </c>
      <c r="D35" s="6">
        <f t="shared" si="1"/>
        <v>-17578.570000000014</v>
      </c>
      <c r="E35" s="5">
        <f t="shared" si="2"/>
        <v>94.459999999995489</v>
      </c>
      <c r="F35" s="6"/>
      <c r="G35" s="5">
        <f t="shared" si="3"/>
        <v>290000</v>
      </c>
      <c r="H35" s="5">
        <v>4891.28</v>
      </c>
      <c r="I35" s="5">
        <f t="shared" si="4"/>
        <v>319324.10000000003</v>
      </c>
    </row>
    <row r="36" spans="1:11" ht="15.75" customHeight="1" x14ac:dyDescent="0.35">
      <c r="A36" s="6">
        <v>42064</v>
      </c>
      <c r="B36" s="5">
        <f t="shared" si="0"/>
        <v>28597.020000000011</v>
      </c>
      <c r="C36" s="5">
        <v>15631.9</v>
      </c>
      <c r="D36" s="5">
        <f t="shared" si="1"/>
        <v>-17757.490000000013</v>
      </c>
      <c r="E36" s="6">
        <f t="shared" si="2"/>
        <v>-178.91999999999825</v>
      </c>
      <c r="F36" s="6"/>
      <c r="G36" s="6">
        <f t="shared" si="3"/>
        <v>290000</v>
      </c>
      <c r="H36" s="5">
        <v>4161.8100000000004</v>
      </c>
      <c r="I36" s="5">
        <f t="shared" si="4"/>
        <v>323485.91000000003</v>
      </c>
    </row>
    <row r="37" spans="1:11" ht="15.75" customHeight="1" x14ac:dyDescent="0.35">
      <c r="A37" s="6"/>
      <c r="B37" s="6"/>
      <c r="C37" s="6"/>
      <c r="D37" s="6"/>
      <c r="F37" s="6"/>
      <c r="G37" s="6"/>
      <c r="H37" s="6"/>
      <c r="I37" s="6"/>
    </row>
    <row r="38" spans="1:11" ht="15.75" customHeight="1" x14ac:dyDescent="0.35">
      <c r="A38" s="6"/>
      <c r="B38" s="6"/>
      <c r="C38" s="6"/>
      <c r="D38" s="6"/>
      <c r="E38" s="5">
        <f>SUM(E8:E36)</f>
        <v>-1711.5800000000124</v>
      </c>
      <c r="F38" s="6"/>
      <c r="G38" s="6"/>
      <c r="H38" s="6"/>
      <c r="I38" s="6"/>
    </row>
    <row r="39" spans="1:11" ht="15.75" customHeight="1" x14ac:dyDescent="0.35">
      <c r="A39" s="6"/>
      <c r="B39" s="6"/>
      <c r="C39" s="6"/>
      <c r="D39" s="6"/>
      <c r="E39" s="5"/>
      <c r="F39" s="6"/>
      <c r="G39" s="6"/>
      <c r="H39" s="6"/>
      <c r="I39" s="6"/>
    </row>
    <row r="40" spans="1:11" ht="15.75" customHeight="1" x14ac:dyDescent="0.35">
      <c r="A40" s="5"/>
      <c r="B40" s="5"/>
      <c r="C40" s="5"/>
      <c r="D40" s="5"/>
      <c r="E40" s="5"/>
      <c r="F40" s="5"/>
      <c r="G40" s="5"/>
      <c r="H40" s="5"/>
      <c r="I40" s="5"/>
    </row>
    <row r="41" spans="1:11" ht="15.75" customHeight="1" x14ac:dyDescent="0.35">
      <c r="A41" s="5"/>
      <c r="B41" s="5"/>
      <c r="C41" s="5"/>
      <c r="D41" s="5"/>
      <c r="E41" s="5"/>
      <c r="F41" s="5"/>
      <c r="G41" s="5"/>
      <c r="H41" s="5"/>
      <c r="I41" s="5"/>
    </row>
    <row r="42" spans="1:11" ht="15.75" customHeight="1" x14ac:dyDescent="0.35">
      <c r="A42" s="5"/>
      <c r="B42" s="5"/>
      <c r="C42" s="5"/>
      <c r="D42" s="5"/>
      <c r="E42" s="5"/>
      <c r="F42" s="5"/>
      <c r="G42" s="5"/>
      <c r="H42" s="5"/>
      <c r="I42" s="7"/>
      <c r="J42" s="5"/>
      <c r="K42" s="5" t="s">
        <v>12</v>
      </c>
    </row>
    <row r="43" spans="1:11" ht="15.75" customHeight="1" x14ac:dyDescent="0.35">
      <c r="A43" s="5"/>
      <c r="B43" s="5"/>
      <c r="C43" s="5"/>
      <c r="D43" s="5"/>
      <c r="E43" s="5"/>
      <c r="F43" s="5">
        <v>160000</v>
      </c>
      <c r="G43" s="5"/>
      <c r="H43" s="5">
        <f>SUM(H8:H38)</f>
        <v>162430.68</v>
      </c>
      <c r="I43" s="7"/>
      <c r="J43" s="5" t="s">
        <v>13</v>
      </c>
      <c r="K43" s="5">
        <f>5121.782</f>
        <v>5121.7820000000002</v>
      </c>
    </row>
    <row r="44" spans="1:11" ht="15.75" customHeight="1" x14ac:dyDescent="0.35">
      <c r="A44" s="5"/>
      <c r="B44" s="5"/>
      <c r="C44" s="5"/>
      <c r="D44" s="5"/>
      <c r="E44" s="5"/>
      <c r="F44" s="5"/>
      <c r="G44" s="5"/>
      <c r="H44" s="5"/>
      <c r="I44" s="7"/>
      <c r="J44" s="5" t="s">
        <v>14</v>
      </c>
      <c r="K44" s="5">
        <f>D46</f>
        <v>5601.0579310344829</v>
      </c>
    </row>
    <row r="45" spans="1:11" ht="15.75" customHeight="1" x14ac:dyDescent="0.35">
      <c r="A45" s="5"/>
      <c r="B45" s="5" t="s">
        <v>15</v>
      </c>
      <c r="C45" s="5"/>
      <c r="D45" s="5">
        <v>1.38</v>
      </c>
      <c r="E45" s="5"/>
      <c r="F45" s="5"/>
      <c r="G45" s="5"/>
      <c r="H45" s="5"/>
      <c r="I45" s="7"/>
      <c r="J45" s="5" t="s">
        <v>16</v>
      </c>
      <c r="K45" s="5"/>
    </row>
    <row r="46" spans="1:11" ht="15.75" customHeight="1" x14ac:dyDescent="0.35">
      <c r="A46" s="5"/>
      <c r="B46" s="5" t="s">
        <v>17</v>
      </c>
      <c r="C46" s="5"/>
      <c r="D46" s="5">
        <f>AVERAGE(H8:H38)</f>
        <v>5601.0579310344829</v>
      </c>
      <c r="E46" s="5"/>
      <c r="F46" s="5"/>
      <c r="G46" s="5"/>
      <c r="H46" s="5"/>
      <c r="I46" s="7"/>
      <c r="J46" s="5" t="s">
        <v>18</v>
      </c>
      <c r="K46" s="5"/>
    </row>
    <row r="47" spans="1:11" ht="15.75" customHeight="1" x14ac:dyDescent="0.35">
      <c r="J47" s="5" t="s">
        <v>19</v>
      </c>
      <c r="K47" s="5"/>
    </row>
    <row r="48" spans="1:11" ht="15.75" customHeight="1" x14ac:dyDescent="0.35">
      <c r="J48" s="5" t="s">
        <v>20</v>
      </c>
      <c r="K48" s="5"/>
    </row>
    <row r="49" spans="10:11" ht="15.75" customHeight="1" x14ac:dyDescent="0.35">
      <c r="J49" s="5" t="s">
        <v>21</v>
      </c>
      <c r="K49" s="5"/>
    </row>
    <row r="50" spans="10:11" ht="15.75" customHeight="1" x14ac:dyDescent="0.35">
      <c r="J50" s="5" t="s">
        <v>22</v>
      </c>
      <c r="K50" s="5"/>
    </row>
    <row r="51" spans="10:11" ht="15.75" customHeight="1" x14ac:dyDescent="0.35">
      <c r="J51" s="5" t="s">
        <v>23</v>
      </c>
      <c r="K51" s="5"/>
    </row>
    <row r="52" spans="10:11" ht="15.75" customHeight="1" x14ac:dyDescent="0.35">
      <c r="J52" s="5" t="s">
        <v>24</v>
      </c>
      <c r="K52" s="5"/>
    </row>
    <row r="53" spans="10:11" ht="15.75" customHeight="1" x14ac:dyDescent="0.35">
      <c r="J53" s="5" t="s">
        <v>25</v>
      </c>
      <c r="K53" s="5"/>
    </row>
    <row r="54" spans="10:11" ht="15.75" customHeight="1" x14ac:dyDescent="0.35">
      <c r="J54" s="5" t="s">
        <v>26</v>
      </c>
      <c r="K54" s="5"/>
    </row>
    <row r="55" spans="10:11" ht="15.75" customHeight="1" x14ac:dyDescent="0.35"/>
    <row r="56" spans="10:11" ht="15.75" customHeight="1" x14ac:dyDescent="0.35"/>
    <row r="57" spans="10:11" ht="15.75" customHeight="1" x14ac:dyDescent="0.35"/>
    <row r="58" spans="10:11" ht="15.75" customHeight="1" x14ac:dyDescent="0.35"/>
    <row r="59" spans="10:11" ht="15.75" customHeight="1" x14ac:dyDescent="0.35"/>
    <row r="60" spans="10:11" ht="15.75" customHeight="1" x14ac:dyDescent="0.35"/>
    <row r="61" spans="10:11" ht="15.75" customHeight="1" x14ac:dyDescent="0.35"/>
    <row r="62" spans="10:11" ht="15.75" customHeight="1" x14ac:dyDescent="0.35"/>
    <row r="63" spans="10:11" ht="15.75" customHeight="1" x14ac:dyDescent="0.35"/>
    <row r="64" spans="10:1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53125" defaultRowHeight="15" customHeight="1" x14ac:dyDescent="0.35"/>
  <cols>
    <col min="1" max="1" width="14.26953125" customWidth="1"/>
    <col min="2" max="2" width="9.26953125" customWidth="1"/>
    <col min="3" max="3" width="10.453125" customWidth="1"/>
    <col min="4" max="5" width="10.54296875" customWidth="1"/>
    <col min="6" max="6" width="9.7265625" customWidth="1"/>
    <col min="7" max="7" width="9.81640625" customWidth="1"/>
    <col min="8" max="8" width="10.7265625" customWidth="1"/>
    <col min="9" max="9" width="9.81640625" customWidth="1"/>
    <col min="10" max="26" width="8.7265625" customWidth="1"/>
  </cols>
  <sheetData>
    <row r="1" spans="1:10" ht="14.5" x14ac:dyDescent="0.35">
      <c r="A1" t="s">
        <v>0</v>
      </c>
    </row>
    <row r="2" spans="1:10" ht="14.5" x14ac:dyDescent="0.35">
      <c r="A2" t="s">
        <v>1</v>
      </c>
    </row>
    <row r="3" spans="1:10" ht="14.5" x14ac:dyDescent="0.35">
      <c r="A3" s="1">
        <v>42064</v>
      </c>
    </row>
    <row r="4" spans="1:10" ht="14.5" x14ac:dyDescent="0.35">
      <c r="A4" s="2">
        <v>42064</v>
      </c>
      <c r="B4" s="3"/>
      <c r="C4" s="3"/>
      <c r="D4" s="3"/>
      <c r="E4" s="3"/>
      <c r="F4" s="3"/>
      <c r="G4" s="3"/>
      <c r="H4" s="3"/>
      <c r="I4" s="3"/>
    </row>
    <row r="5" spans="1:10" ht="14.5" x14ac:dyDescent="0.35">
      <c r="A5" s="3"/>
      <c r="B5" s="3" t="s">
        <v>0</v>
      </c>
      <c r="C5" s="3"/>
      <c r="D5" s="3" t="s">
        <v>2</v>
      </c>
      <c r="E5" s="3" t="s">
        <v>2</v>
      </c>
      <c r="F5" s="3"/>
      <c r="G5" s="3"/>
      <c r="H5" s="3"/>
      <c r="I5" s="3"/>
    </row>
    <row r="6" spans="1:10" ht="14.5" x14ac:dyDescent="0.3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4"/>
    </row>
    <row r="7" spans="1:10" ht="14.5" x14ac:dyDescent="0.35">
      <c r="A7" s="5"/>
      <c r="B7" s="5"/>
      <c r="C7" s="5"/>
      <c r="D7" s="5"/>
      <c r="E7" s="5"/>
      <c r="F7" s="5"/>
      <c r="G7" s="5"/>
      <c r="H7" s="5"/>
      <c r="I7" s="5"/>
    </row>
    <row r="8" spans="1:10" ht="14.5" x14ac:dyDescent="0.35">
      <c r="A8" s="6">
        <v>42064</v>
      </c>
      <c r="B8" s="5">
        <v>28597.02</v>
      </c>
      <c r="C8" s="5">
        <v>15631.9</v>
      </c>
      <c r="D8" s="5">
        <v>-17757.490000000002</v>
      </c>
      <c r="E8" s="5">
        <v>-178.92</v>
      </c>
      <c r="F8" s="5"/>
      <c r="G8" s="5">
        <v>290000</v>
      </c>
      <c r="H8" s="5">
        <v>4161.8100000000004</v>
      </c>
      <c r="I8" s="5">
        <v>323485.90999999997</v>
      </c>
    </row>
    <row r="9" spans="1:10" ht="14.5" x14ac:dyDescent="0.35">
      <c r="A9" s="6">
        <v>42065</v>
      </c>
      <c r="B9" s="5">
        <f t="shared" ref="B9:B39" si="0">B8-H8+F8</f>
        <v>24435.21</v>
      </c>
      <c r="C9" s="5">
        <v>11392.9</v>
      </c>
      <c r="D9" s="5">
        <f t="shared" ref="D9:D39" si="1">D8+E9</f>
        <v>-17834.68</v>
      </c>
      <c r="E9" s="5">
        <f t="shared" ref="E9:E39" si="2">C9+H8-C8-F8</f>
        <v>-77.190000000000509</v>
      </c>
      <c r="F9" s="5">
        <v>10000</v>
      </c>
      <c r="G9" s="5">
        <f t="shared" ref="G9:G39" si="3">G8+F9</f>
        <v>300000</v>
      </c>
      <c r="H9" s="5">
        <v>5870.9</v>
      </c>
      <c r="I9" s="5">
        <f t="shared" ref="I9:I39" si="4">I8++H9</f>
        <v>329356.81</v>
      </c>
    </row>
    <row r="10" spans="1:10" ht="14.5" x14ac:dyDescent="0.35">
      <c r="A10" s="6">
        <v>42066</v>
      </c>
      <c r="B10" s="5">
        <f t="shared" si="0"/>
        <v>28564.309999999998</v>
      </c>
      <c r="C10" s="5">
        <v>15533.17</v>
      </c>
      <c r="D10" s="5">
        <f t="shared" si="1"/>
        <v>-17823.510000000002</v>
      </c>
      <c r="E10" s="5">
        <f t="shared" si="2"/>
        <v>11.170000000000073</v>
      </c>
      <c r="F10" s="5">
        <v>10000</v>
      </c>
      <c r="G10" s="5">
        <f t="shared" si="3"/>
        <v>310000</v>
      </c>
      <c r="H10" s="5">
        <v>7548.27</v>
      </c>
      <c r="I10" s="5">
        <f t="shared" si="4"/>
        <v>336905.08</v>
      </c>
    </row>
    <row r="11" spans="1:10" ht="14.5" x14ac:dyDescent="0.35">
      <c r="A11" s="6">
        <v>42067</v>
      </c>
      <c r="B11" s="5">
        <f t="shared" si="0"/>
        <v>31016.039999999997</v>
      </c>
      <c r="C11" s="5">
        <v>17758.11</v>
      </c>
      <c r="D11" s="5">
        <f t="shared" si="1"/>
        <v>-18050.300000000003</v>
      </c>
      <c r="E11" s="5">
        <f t="shared" si="2"/>
        <v>-226.78999999999905</v>
      </c>
      <c r="F11" s="5">
        <v>10000</v>
      </c>
      <c r="G11" s="5">
        <f t="shared" si="3"/>
        <v>320000</v>
      </c>
      <c r="H11" s="5">
        <v>6504.96</v>
      </c>
      <c r="I11" s="5">
        <f t="shared" si="4"/>
        <v>343410.04000000004</v>
      </c>
    </row>
    <row r="12" spans="1:10" ht="14.5" x14ac:dyDescent="0.35">
      <c r="A12" s="6">
        <v>42068</v>
      </c>
      <c r="B12" s="5">
        <f t="shared" si="0"/>
        <v>34511.08</v>
      </c>
      <c r="C12" s="5">
        <v>21303.439999999999</v>
      </c>
      <c r="D12" s="5">
        <f t="shared" si="1"/>
        <v>-18000.010000000006</v>
      </c>
      <c r="E12" s="5">
        <f t="shared" si="2"/>
        <v>50.289999999997235</v>
      </c>
      <c r="F12" s="5">
        <v>10000</v>
      </c>
      <c r="G12" s="5">
        <f t="shared" si="3"/>
        <v>330000</v>
      </c>
      <c r="H12" s="5">
        <v>5530.04</v>
      </c>
      <c r="I12" s="5">
        <f t="shared" si="4"/>
        <v>348940.08</v>
      </c>
    </row>
    <row r="13" spans="1:10" ht="14.5" x14ac:dyDescent="0.35">
      <c r="A13" s="6">
        <v>42069</v>
      </c>
      <c r="B13" s="5">
        <f t="shared" si="0"/>
        <v>38981.040000000001</v>
      </c>
      <c r="C13" s="5">
        <v>25754.19</v>
      </c>
      <c r="D13" s="5">
        <f t="shared" si="1"/>
        <v>-18019.220000000005</v>
      </c>
      <c r="E13" s="5">
        <f t="shared" si="2"/>
        <v>-19.209999999999127</v>
      </c>
      <c r="F13" s="5">
        <v>10000</v>
      </c>
      <c r="G13" s="5">
        <f t="shared" si="3"/>
        <v>340000</v>
      </c>
      <c r="H13" s="5">
        <v>6695.37</v>
      </c>
      <c r="I13" s="5">
        <f t="shared" si="4"/>
        <v>355635.45</v>
      </c>
    </row>
    <row r="14" spans="1:10" ht="14.5" x14ac:dyDescent="0.35">
      <c r="A14" s="6">
        <v>42070</v>
      </c>
      <c r="B14" s="5">
        <f t="shared" si="0"/>
        <v>42285.67</v>
      </c>
      <c r="C14" s="5">
        <v>29150.21</v>
      </c>
      <c r="D14" s="5">
        <f t="shared" si="1"/>
        <v>-17927.830000000002</v>
      </c>
      <c r="E14" s="5">
        <f t="shared" si="2"/>
        <v>91.390000000003056</v>
      </c>
      <c r="F14" s="5"/>
      <c r="G14" s="5">
        <f t="shared" si="3"/>
        <v>340000</v>
      </c>
      <c r="H14" s="5">
        <v>5533.69</v>
      </c>
      <c r="I14" s="5">
        <f t="shared" si="4"/>
        <v>361169.14</v>
      </c>
    </row>
    <row r="15" spans="1:10" ht="14.5" x14ac:dyDescent="0.35">
      <c r="A15" s="6">
        <v>42071</v>
      </c>
      <c r="B15" s="5">
        <f t="shared" si="0"/>
        <v>36751.979999999996</v>
      </c>
      <c r="C15" s="5">
        <v>23356.74</v>
      </c>
      <c r="D15" s="5">
        <f t="shared" si="1"/>
        <v>-18187.61</v>
      </c>
      <c r="E15" s="5">
        <f t="shared" si="2"/>
        <v>-259.77999999999884</v>
      </c>
      <c r="F15" s="5"/>
      <c r="G15" s="5">
        <f t="shared" si="3"/>
        <v>340000</v>
      </c>
      <c r="H15" s="5">
        <v>4078.95</v>
      </c>
      <c r="I15" s="5">
        <f t="shared" si="4"/>
        <v>365248.09</v>
      </c>
    </row>
    <row r="16" spans="1:10" ht="14.5" x14ac:dyDescent="0.35">
      <c r="A16" s="6">
        <v>42072</v>
      </c>
      <c r="B16" s="5">
        <f t="shared" si="0"/>
        <v>32673.029999999995</v>
      </c>
      <c r="C16" s="5">
        <v>19125.95</v>
      </c>
      <c r="D16" s="5">
        <f t="shared" si="1"/>
        <v>-18339.45</v>
      </c>
      <c r="E16" s="5">
        <f t="shared" si="2"/>
        <v>-151.84000000000015</v>
      </c>
      <c r="F16" s="5"/>
      <c r="G16" s="5">
        <f t="shared" si="3"/>
        <v>340000</v>
      </c>
      <c r="H16" s="5">
        <v>4896.66</v>
      </c>
      <c r="I16" s="5">
        <f t="shared" si="4"/>
        <v>370144.75</v>
      </c>
    </row>
    <row r="17" spans="1:9" ht="14.5" x14ac:dyDescent="0.35">
      <c r="A17" s="6">
        <v>42073</v>
      </c>
      <c r="B17" s="5">
        <f t="shared" si="0"/>
        <v>27776.369999999995</v>
      </c>
      <c r="C17" s="5">
        <v>14097.5</v>
      </c>
      <c r="D17" s="5">
        <f t="shared" si="1"/>
        <v>-18471.240000000002</v>
      </c>
      <c r="E17" s="5">
        <f t="shared" si="2"/>
        <v>-131.79000000000087</v>
      </c>
      <c r="F17" s="5">
        <v>20000</v>
      </c>
      <c r="G17" s="5">
        <f t="shared" si="3"/>
        <v>360000</v>
      </c>
      <c r="H17" s="5">
        <v>6540.66</v>
      </c>
      <c r="I17" s="5">
        <f t="shared" si="4"/>
        <v>376685.41</v>
      </c>
    </row>
    <row r="18" spans="1:9" ht="14.5" x14ac:dyDescent="0.35">
      <c r="A18" s="6">
        <v>42074</v>
      </c>
      <c r="B18" s="5">
        <f t="shared" si="0"/>
        <v>41235.709999999992</v>
      </c>
      <c r="C18" s="5">
        <v>27678.33</v>
      </c>
      <c r="D18" s="5">
        <f t="shared" si="1"/>
        <v>-18349.749999999996</v>
      </c>
      <c r="E18" s="5">
        <f t="shared" si="2"/>
        <v>121.49000000000524</v>
      </c>
      <c r="F18" s="5">
        <v>10000</v>
      </c>
      <c r="G18" s="5">
        <f t="shared" si="3"/>
        <v>370000</v>
      </c>
      <c r="H18" s="5">
        <v>6386.48</v>
      </c>
      <c r="I18" s="5">
        <f t="shared" si="4"/>
        <v>383071.88999999996</v>
      </c>
    </row>
    <row r="19" spans="1:9" ht="14.5" x14ac:dyDescent="0.35">
      <c r="A19" s="6">
        <v>42075</v>
      </c>
      <c r="B19" s="5">
        <f t="shared" si="0"/>
        <v>44849.229999999996</v>
      </c>
      <c r="C19" s="5">
        <v>31370.23</v>
      </c>
      <c r="D19" s="5">
        <f t="shared" si="1"/>
        <v>-18271.37</v>
      </c>
      <c r="E19" s="5">
        <f t="shared" si="2"/>
        <v>78.379999999997381</v>
      </c>
      <c r="F19" s="5">
        <v>10000</v>
      </c>
      <c r="G19" s="5">
        <f t="shared" si="3"/>
        <v>380000</v>
      </c>
      <c r="H19" s="5">
        <v>6214.94</v>
      </c>
      <c r="I19" s="5">
        <f t="shared" si="4"/>
        <v>389286.82999999996</v>
      </c>
    </row>
    <row r="20" spans="1:9" ht="14.5" x14ac:dyDescent="0.35">
      <c r="A20" s="6">
        <v>42076</v>
      </c>
      <c r="B20" s="5">
        <f t="shared" si="0"/>
        <v>48634.289999999994</v>
      </c>
      <c r="C20" s="5">
        <v>35045.03</v>
      </c>
      <c r="D20" s="5">
        <f t="shared" si="1"/>
        <v>-18381.629999999997</v>
      </c>
      <c r="E20" s="5">
        <f t="shared" si="2"/>
        <v>-110.2599999999984</v>
      </c>
      <c r="F20" s="5"/>
      <c r="G20" s="5">
        <f t="shared" si="3"/>
        <v>380000</v>
      </c>
      <c r="H20" s="5">
        <v>5496.51</v>
      </c>
      <c r="I20" s="5">
        <f t="shared" si="4"/>
        <v>394783.33999999997</v>
      </c>
    </row>
    <row r="21" spans="1:9" ht="15.75" customHeight="1" x14ac:dyDescent="0.35">
      <c r="A21" s="6">
        <v>42077</v>
      </c>
      <c r="B21" s="5">
        <f t="shared" si="0"/>
        <v>43137.779999999992</v>
      </c>
      <c r="C21" s="5">
        <v>29345.93</v>
      </c>
      <c r="D21" s="5">
        <f t="shared" si="1"/>
        <v>-18584.219999999994</v>
      </c>
      <c r="E21" s="5">
        <f t="shared" si="2"/>
        <v>-202.58999999999651</v>
      </c>
      <c r="F21" s="5"/>
      <c r="G21" s="5">
        <f t="shared" si="3"/>
        <v>380000</v>
      </c>
      <c r="H21" s="5">
        <v>4770.8500000000004</v>
      </c>
      <c r="I21" s="5">
        <f t="shared" si="4"/>
        <v>399554.18999999994</v>
      </c>
    </row>
    <row r="22" spans="1:9" ht="15.75" customHeight="1" x14ac:dyDescent="0.35">
      <c r="A22" s="6">
        <v>42078</v>
      </c>
      <c r="B22" s="5">
        <f t="shared" si="0"/>
        <v>38366.929999999993</v>
      </c>
      <c r="C22" s="5">
        <f>14684.2+1580+8043.5+54.24</f>
        <v>24361.940000000002</v>
      </c>
      <c r="D22" s="5">
        <f t="shared" si="1"/>
        <v>-18797.359999999993</v>
      </c>
      <c r="E22" s="5">
        <f t="shared" si="2"/>
        <v>-213.13999999999942</v>
      </c>
      <c r="F22" s="5"/>
      <c r="G22" s="5">
        <f t="shared" si="3"/>
        <v>380000</v>
      </c>
      <c r="H22" s="5">
        <v>3559.09</v>
      </c>
      <c r="I22" s="5">
        <f t="shared" si="4"/>
        <v>403113.27999999997</v>
      </c>
    </row>
    <row r="23" spans="1:9" ht="15.75" customHeight="1" x14ac:dyDescent="0.35">
      <c r="A23" s="6">
        <v>42079</v>
      </c>
      <c r="B23" s="5">
        <f t="shared" si="0"/>
        <v>34807.839999999997</v>
      </c>
      <c r="C23" s="5">
        <v>20683.330000000002</v>
      </c>
      <c r="D23" s="5">
        <f t="shared" si="1"/>
        <v>-18916.879999999994</v>
      </c>
      <c r="E23" s="5">
        <f t="shared" si="2"/>
        <v>-119.52000000000044</v>
      </c>
      <c r="F23" s="5">
        <v>10000</v>
      </c>
      <c r="G23" s="5">
        <f t="shared" si="3"/>
        <v>390000</v>
      </c>
      <c r="H23" s="5">
        <v>5660.69</v>
      </c>
      <c r="I23" s="5">
        <f t="shared" si="4"/>
        <v>408773.97</v>
      </c>
    </row>
    <row r="24" spans="1:9" ht="15.75" customHeight="1" x14ac:dyDescent="0.35">
      <c r="A24" s="6">
        <v>42080</v>
      </c>
      <c r="B24" s="5">
        <f t="shared" si="0"/>
        <v>39147.149999999994</v>
      </c>
      <c r="C24" s="5">
        <v>25190.9</v>
      </c>
      <c r="D24" s="5">
        <f t="shared" si="1"/>
        <v>-18748.619999999995</v>
      </c>
      <c r="E24" s="5">
        <f t="shared" si="2"/>
        <v>168.2599999999984</v>
      </c>
      <c r="F24" s="5">
        <v>10000</v>
      </c>
      <c r="G24" s="5">
        <f t="shared" si="3"/>
        <v>400000</v>
      </c>
      <c r="H24" s="5">
        <f>3555+2175.23+1170.55</f>
        <v>6900.78</v>
      </c>
      <c r="I24" s="5">
        <f t="shared" si="4"/>
        <v>415674.75</v>
      </c>
    </row>
    <row r="25" spans="1:9" ht="15.75" customHeight="1" x14ac:dyDescent="0.35">
      <c r="A25" s="6">
        <v>42081</v>
      </c>
      <c r="B25" s="5">
        <f t="shared" si="0"/>
        <v>42246.369999999995</v>
      </c>
      <c r="C25" s="5">
        <f>16157.9+7750+4400+55.93</f>
        <v>28363.83</v>
      </c>
      <c r="D25" s="5">
        <f t="shared" si="1"/>
        <v>-18674.909999999996</v>
      </c>
      <c r="E25" s="5">
        <f t="shared" si="2"/>
        <v>73.709999999999127</v>
      </c>
      <c r="F25" s="5">
        <v>10000</v>
      </c>
      <c r="G25" s="5">
        <f t="shared" si="3"/>
        <v>410000</v>
      </c>
      <c r="H25" s="5">
        <v>6591.93</v>
      </c>
      <c r="I25" s="5">
        <f t="shared" si="4"/>
        <v>422266.68</v>
      </c>
    </row>
    <row r="26" spans="1:9" ht="15.75" customHeight="1" x14ac:dyDescent="0.35">
      <c r="A26" s="6">
        <v>42082</v>
      </c>
      <c r="B26" s="5">
        <f t="shared" si="0"/>
        <v>45654.439999999995</v>
      </c>
      <c r="C26" s="5">
        <v>31663.29</v>
      </c>
      <c r="D26" s="5">
        <f t="shared" si="1"/>
        <v>-18783.519999999997</v>
      </c>
      <c r="E26" s="5">
        <f t="shared" si="2"/>
        <v>-108.61000000000058</v>
      </c>
      <c r="F26" s="5"/>
      <c r="G26" s="5">
        <f t="shared" si="3"/>
        <v>410000</v>
      </c>
      <c r="H26" s="5">
        <v>6449.5</v>
      </c>
      <c r="I26" s="5">
        <f t="shared" si="4"/>
        <v>428716.18</v>
      </c>
    </row>
    <row r="27" spans="1:9" ht="15.75" customHeight="1" x14ac:dyDescent="0.35">
      <c r="A27" s="6">
        <v>42083</v>
      </c>
      <c r="B27" s="5">
        <f t="shared" si="0"/>
        <v>39204.939999999995</v>
      </c>
      <c r="C27" s="5">
        <v>24909.63</v>
      </c>
      <c r="D27" s="5">
        <f t="shared" si="1"/>
        <v>-19087.679999999997</v>
      </c>
      <c r="E27" s="5">
        <f t="shared" si="2"/>
        <v>-304.15999999999985</v>
      </c>
      <c r="F27" s="5">
        <v>10000</v>
      </c>
      <c r="G27" s="5">
        <f t="shared" si="3"/>
        <v>420000</v>
      </c>
      <c r="H27" s="5">
        <v>5898.4</v>
      </c>
      <c r="I27" s="5">
        <f t="shared" si="4"/>
        <v>434614.58</v>
      </c>
    </row>
    <row r="28" spans="1:9" ht="15.75" customHeight="1" x14ac:dyDescent="0.35">
      <c r="A28" s="6">
        <v>42084</v>
      </c>
      <c r="B28" s="5">
        <f t="shared" si="0"/>
        <v>43306.539999999994</v>
      </c>
      <c r="C28" s="5">
        <v>29175.53</v>
      </c>
      <c r="D28" s="5">
        <f t="shared" si="1"/>
        <v>-18923.379999999997</v>
      </c>
      <c r="E28" s="5">
        <f t="shared" si="2"/>
        <v>164.29999999999927</v>
      </c>
      <c r="F28" s="5"/>
      <c r="G28" s="5">
        <f t="shared" si="3"/>
        <v>420000</v>
      </c>
      <c r="H28" s="5">
        <v>4927.71</v>
      </c>
      <c r="I28" s="5">
        <f t="shared" si="4"/>
        <v>439542.29000000004</v>
      </c>
    </row>
    <row r="29" spans="1:9" ht="15.75" customHeight="1" x14ac:dyDescent="0.35">
      <c r="A29" s="6">
        <v>42085</v>
      </c>
      <c r="B29" s="5">
        <f t="shared" si="0"/>
        <v>38378.829999999994</v>
      </c>
      <c r="C29" s="5">
        <v>24135.040000000001</v>
      </c>
      <c r="D29" s="5">
        <f t="shared" si="1"/>
        <v>-19036.159999999996</v>
      </c>
      <c r="E29" s="5">
        <f t="shared" si="2"/>
        <v>-112.77999999999884</v>
      </c>
      <c r="F29" s="5"/>
      <c r="G29" s="5">
        <f t="shared" si="3"/>
        <v>420000</v>
      </c>
      <c r="H29" s="5">
        <v>3925.53</v>
      </c>
      <c r="I29" s="5">
        <f t="shared" si="4"/>
        <v>443467.82000000007</v>
      </c>
    </row>
    <row r="30" spans="1:9" ht="15.75" customHeight="1" x14ac:dyDescent="0.35">
      <c r="A30" s="6">
        <v>42086</v>
      </c>
      <c r="B30" s="5">
        <f t="shared" si="0"/>
        <v>34453.299999999996</v>
      </c>
      <c r="C30" s="5">
        <v>19936.5</v>
      </c>
      <c r="D30" s="5">
        <f t="shared" si="1"/>
        <v>-19309.169999999998</v>
      </c>
      <c r="E30" s="5">
        <f t="shared" si="2"/>
        <v>-273.01000000000204</v>
      </c>
      <c r="F30" s="5">
        <v>10000</v>
      </c>
      <c r="G30" s="5">
        <f t="shared" si="3"/>
        <v>430000</v>
      </c>
      <c r="H30" s="5">
        <v>6289.68</v>
      </c>
      <c r="I30" s="5">
        <f t="shared" si="4"/>
        <v>449757.50000000006</v>
      </c>
    </row>
    <row r="31" spans="1:9" ht="15.75" customHeight="1" x14ac:dyDescent="0.35">
      <c r="A31" s="6">
        <v>42087</v>
      </c>
      <c r="B31" s="5">
        <f t="shared" si="0"/>
        <v>38163.619999999995</v>
      </c>
      <c r="C31" s="5">
        <v>23763.93</v>
      </c>
      <c r="D31" s="5">
        <f t="shared" si="1"/>
        <v>-19192.059999999998</v>
      </c>
      <c r="E31" s="5">
        <f t="shared" si="2"/>
        <v>117.11000000000058</v>
      </c>
      <c r="F31" s="5"/>
      <c r="G31" s="5">
        <f t="shared" si="3"/>
        <v>430000</v>
      </c>
      <c r="H31" s="5">
        <v>6228.9</v>
      </c>
      <c r="I31" s="5">
        <f t="shared" si="4"/>
        <v>455986.40000000008</v>
      </c>
    </row>
    <row r="32" spans="1:9" ht="15.75" customHeight="1" x14ac:dyDescent="0.35">
      <c r="A32" s="6">
        <v>42088</v>
      </c>
      <c r="B32" s="5">
        <f t="shared" si="0"/>
        <v>31934.719999999994</v>
      </c>
      <c r="C32" s="5">
        <v>17314.189999999999</v>
      </c>
      <c r="D32" s="5">
        <f t="shared" si="1"/>
        <v>-19412.900000000001</v>
      </c>
      <c r="E32" s="5">
        <f t="shared" si="2"/>
        <v>-220.84000000000378</v>
      </c>
      <c r="F32" s="5">
        <v>10000</v>
      </c>
      <c r="G32" s="5">
        <f t="shared" si="3"/>
        <v>440000</v>
      </c>
      <c r="H32" s="5">
        <v>6018.83</v>
      </c>
      <c r="I32" s="5">
        <f t="shared" si="4"/>
        <v>462005.2300000001</v>
      </c>
    </row>
    <row r="33" spans="1:11" ht="15.75" customHeight="1" x14ac:dyDescent="0.35">
      <c r="A33" s="6">
        <v>42089</v>
      </c>
      <c r="B33" s="5">
        <f t="shared" si="0"/>
        <v>35915.889999999992</v>
      </c>
      <c r="C33" s="5">
        <v>21139.23</v>
      </c>
      <c r="D33" s="5">
        <f t="shared" si="1"/>
        <v>-19569.030000000002</v>
      </c>
      <c r="E33" s="5">
        <f t="shared" si="2"/>
        <v>-156.13000000000102</v>
      </c>
      <c r="F33" s="5"/>
      <c r="G33" s="5">
        <f t="shared" si="3"/>
        <v>440000</v>
      </c>
      <c r="H33" s="5">
        <v>6184.94</v>
      </c>
      <c r="I33" s="5">
        <f t="shared" si="4"/>
        <v>468190.1700000001</v>
      </c>
    </row>
    <row r="34" spans="1:11" ht="15.75" customHeight="1" x14ac:dyDescent="0.35">
      <c r="A34" s="6">
        <v>42090</v>
      </c>
      <c r="B34" s="5">
        <f t="shared" si="0"/>
        <v>29730.949999999993</v>
      </c>
      <c r="C34" s="5">
        <f>7960+2385+4400+55.93</f>
        <v>14800.93</v>
      </c>
      <c r="D34" s="5">
        <f t="shared" si="1"/>
        <v>-19722.390000000003</v>
      </c>
      <c r="E34" s="5">
        <f t="shared" si="2"/>
        <v>-153.36000000000058</v>
      </c>
      <c r="F34" s="5">
        <v>10000</v>
      </c>
      <c r="G34" s="5">
        <f t="shared" si="3"/>
        <v>450000</v>
      </c>
      <c r="H34" s="5">
        <v>6272.47</v>
      </c>
      <c r="I34" s="5">
        <f t="shared" si="4"/>
        <v>474462.64000000007</v>
      </c>
    </row>
    <row r="35" spans="1:11" ht="15.75" customHeight="1" x14ac:dyDescent="0.35">
      <c r="A35" s="6">
        <v>42091</v>
      </c>
      <c r="B35" s="5">
        <f t="shared" si="0"/>
        <v>33458.479999999996</v>
      </c>
      <c r="C35" s="5">
        <v>18685.736000000001</v>
      </c>
      <c r="D35" s="5">
        <f t="shared" si="1"/>
        <v>-19565.114000000001</v>
      </c>
      <c r="E35" s="5">
        <f t="shared" si="2"/>
        <v>157.27600000000166</v>
      </c>
      <c r="F35" s="5"/>
      <c r="G35" s="5">
        <f t="shared" si="3"/>
        <v>450000</v>
      </c>
      <c r="H35" s="5">
        <v>4892.99</v>
      </c>
      <c r="I35" s="5">
        <f t="shared" si="4"/>
        <v>479355.63000000006</v>
      </c>
    </row>
    <row r="36" spans="1:11" ht="15.75" customHeight="1" x14ac:dyDescent="0.35">
      <c r="A36" s="6">
        <v>42092</v>
      </c>
      <c r="B36" s="5">
        <f t="shared" si="0"/>
        <v>28565.489999999998</v>
      </c>
      <c r="C36" s="5">
        <f>6200+4747.1+2485.71+55.93</f>
        <v>13488.740000000002</v>
      </c>
      <c r="D36" s="5">
        <f t="shared" si="1"/>
        <v>-19869.12</v>
      </c>
      <c r="E36" s="5">
        <f t="shared" si="2"/>
        <v>-304.00599999999758</v>
      </c>
      <c r="F36" s="5"/>
      <c r="G36" s="5">
        <f t="shared" si="3"/>
        <v>450000</v>
      </c>
      <c r="H36" s="5">
        <f>2002+1001.98+526.23</f>
        <v>3530.21</v>
      </c>
      <c r="I36" s="5">
        <f t="shared" si="4"/>
        <v>482885.84000000008</v>
      </c>
    </row>
    <row r="37" spans="1:11" ht="15.75" customHeight="1" x14ac:dyDescent="0.35">
      <c r="A37" s="6">
        <v>42093</v>
      </c>
      <c r="B37" s="5">
        <f t="shared" si="0"/>
        <v>25035.279999999999</v>
      </c>
      <c r="C37" s="5">
        <f>5258.8+2665+1979.31+55.93</f>
        <v>9959.0400000000009</v>
      </c>
      <c r="D37" s="5">
        <f t="shared" si="1"/>
        <v>-19868.61</v>
      </c>
      <c r="E37" s="5">
        <f t="shared" si="2"/>
        <v>0.50999999999839929</v>
      </c>
      <c r="F37" s="5">
        <v>10000</v>
      </c>
      <c r="G37" s="5">
        <f t="shared" si="3"/>
        <v>460000</v>
      </c>
      <c r="H37" s="5">
        <v>6156.67</v>
      </c>
      <c r="I37" s="5">
        <f t="shared" si="4"/>
        <v>489042.51000000007</v>
      </c>
    </row>
    <row r="38" spans="1:11" ht="15.75" customHeight="1" x14ac:dyDescent="0.35">
      <c r="A38" s="6">
        <v>42094</v>
      </c>
      <c r="B38" s="5">
        <f t="shared" si="0"/>
        <v>28878.61</v>
      </c>
      <c r="C38" s="5">
        <v>13818.97</v>
      </c>
      <c r="D38" s="5">
        <f t="shared" si="1"/>
        <v>-19852.010000000002</v>
      </c>
      <c r="E38" s="5">
        <f t="shared" si="2"/>
        <v>16.599999999998545</v>
      </c>
      <c r="F38" s="5">
        <v>10000</v>
      </c>
      <c r="G38" s="5">
        <f t="shared" si="3"/>
        <v>470000</v>
      </c>
      <c r="H38" s="5">
        <v>6394.14</v>
      </c>
      <c r="I38" s="5">
        <f t="shared" si="4"/>
        <v>495436.65000000008</v>
      </c>
    </row>
    <row r="39" spans="1:11" ht="15.75" customHeight="1" x14ac:dyDescent="0.35">
      <c r="A39" s="6">
        <v>42095</v>
      </c>
      <c r="B39" s="5">
        <f t="shared" si="0"/>
        <v>32484.47</v>
      </c>
      <c r="C39" s="5">
        <v>17426.580000000002</v>
      </c>
      <c r="D39" s="5">
        <f t="shared" si="1"/>
        <v>-19850.260000000002</v>
      </c>
      <c r="E39" s="5">
        <f t="shared" si="2"/>
        <v>1.750000000001819</v>
      </c>
      <c r="F39" s="6"/>
      <c r="G39" s="6">
        <f t="shared" si="3"/>
        <v>470000</v>
      </c>
      <c r="H39" s="6"/>
      <c r="I39" s="6">
        <f t="shared" si="4"/>
        <v>495436.65000000008</v>
      </c>
    </row>
    <row r="40" spans="1:11" ht="15.75" customHeight="1" x14ac:dyDescent="0.35">
      <c r="A40" s="5"/>
      <c r="B40" s="5"/>
      <c r="C40" s="5"/>
      <c r="D40" s="5"/>
      <c r="E40" s="5"/>
      <c r="F40" s="5"/>
      <c r="G40" s="5"/>
      <c r="H40" s="5"/>
      <c r="I40" s="5"/>
    </row>
    <row r="41" spans="1:11" ht="15.75" customHeight="1" x14ac:dyDescent="0.35">
      <c r="A41" s="5"/>
      <c r="B41" s="5"/>
      <c r="C41" s="5"/>
      <c r="D41" s="5"/>
      <c r="E41" s="5">
        <f>SUM(E8:E38)</f>
        <v>-2273.4399999999987</v>
      </c>
      <c r="F41" s="5"/>
      <c r="G41" s="5"/>
      <c r="H41" s="5"/>
      <c r="I41" s="5"/>
    </row>
    <row r="42" spans="1:11" ht="15.75" customHeight="1" x14ac:dyDescent="0.35">
      <c r="A42" s="5"/>
      <c r="B42" s="5"/>
      <c r="C42" s="5"/>
      <c r="D42" s="5"/>
      <c r="E42" s="5"/>
      <c r="F42" s="5"/>
      <c r="G42" s="5"/>
      <c r="H42" s="5"/>
      <c r="I42" s="7"/>
      <c r="J42" s="5"/>
      <c r="K42" s="5" t="s">
        <v>12</v>
      </c>
    </row>
    <row r="43" spans="1:11" ht="15.75" customHeight="1" x14ac:dyDescent="0.35">
      <c r="A43" s="5"/>
      <c r="B43" s="5"/>
      <c r="C43" s="5"/>
      <c r="D43" s="5"/>
      <c r="E43" s="5"/>
      <c r="F43" s="5">
        <v>160000</v>
      </c>
      <c r="G43" s="5"/>
      <c r="H43" s="5">
        <f>SUM(H8:H38)</f>
        <v>176112.55</v>
      </c>
      <c r="I43" s="7"/>
      <c r="J43" s="5" t="s">
        <v>13</v>
      </c>
      <c r="K43" s="5">
        <f>5121.782</f>
        <v>5121.7820000000002</v>
      </c>
    </row>
    <row r="44" spans="1:11" ht="15.75" customHeight="1" x14ac:dyDescent="0.35">
      <c r="A44" s="5"/>
      <c r="B44" s="5"/>
      <c r="C44" s="5"/>
      <c r="D44" s="5"/>
      <c r="E44" s="5"/>
      <c r="F44" s="5"/>
      <c r="G44" s="5"/>
      <c r="H44" s="5"/>
      <c r="I44" s="7"/>
      <c r="J44" s="5" t="s">
        <v>14</v>
      </c>
      <c r="K44" s="5">
        <v>5601.1</v>
      </c>
    </row>
    <row r="45" spans="1:11" ht="15.75" customHeight="1" x14ac:dyDescent="0.35">
      <c r="A45" s="5"/>
      <c r="B45" s="5" t="s">
        <v>15</v>
      </c>
      <c r="C45" s="5"/>
      <c r="D45" s="5">
        <v>1.38</v>
      </c>
      <c r="E45" s="5"/>
      <c r="F45" s="5"/>
      <c r="G45" s="5"/>
      <c r="H45" s="5"/>
      <c r="I45" s="7"/>
      <c r="J45" s="5" t="s">
        <v>16</v>
      </c>
      <c r="K45" s="5">
        <f>D46</f>
        <v>5681.0499999999993</v>
      </c>
    </row>
    <row r="46" spans="1:11" ht="15.75" customHeight="1" x14ac:dyDescent="0.35">
      <c r="A46" s="5"/>
      <c r="B46" s="5" t="s">
        <v>17</v>
      </c>
      <c r="C46" s="5"/>
      <c r="D46" s="5">
        <f>AVERAGE(H8:H38)</f>
        <v>5681.0499999999993</v>
      </c>
      <c r="E46" s="5"/>
      <c r="F46" s="5"/>
      <c r="G46" s="5"/>
      <c r="H46" s="5"/>
      <c r="I46" s="7"/>
      <c r="J46" s="5" t="s">
        <v>18</v>
      </c>
      <c r="K46" s="5"/>
    </row>
    <row r="47" spans="1:11" ht="15.75" customHeight="1" x14ac:dyDescent="0.35">
      <c r="J47" s="5" t="s">
        <v>19</v>
      </c>
      <c r="K47" s="5"/>
    </row>
    <row r="48" spans="1:11" ht="15.75" customHeight="1" x14ac:dyDescent="0.35">
      <c r="J48" s="5" t="s">
        <v>20</v>
      </c>
      <c r="K48" s="5"/>
    </row>
    <row r="49" spans="10:11" ht="15.75" customHeight="1" x14ac:dyDescent="0.35">
      <c r="J49" s="5" t="s">
        <v>21</v>
      </c>
      <c r="K49" s="5"/>
    </row>
    <row r="50" spans="10:11" ht="15.75" customHeight="1" x14ac:dyDescent="0.35">
      <c r="J50" s="5" t="s">
        <v>22</v>
      </c>
      <c r="K50" s="5"/>
    </row>
    <row r="51" spans="10:11" ht="15.75" customHeight="1" x14ac:dyDescent="0.35">
      <c r="J51" s="5" t="s">
        <v>23</v>
      </c>
      <c r="K51" s="5"/>
    </row>
    <row r="52" spans="10:11" ht="15.75" customHeight="1" x14ac:dyDescent="0.35">
      <c r="J52" s="5" t="s">
        <v>24</v>
      </c>
      <c r="K52" s="5"/>
    </row>
    <row r="53" spans="10:11" ht="15.75" customHeight="1" x14ac:dyDescent="0.35">
      <c r="J53" s="5" t="s">
        <v>25</v>
      </c>
      <c r="K53" s="5"/>
    </row>
    <row r="54" spans="10:11" ht="15.75" customHeight="1" x14ac:dyDescent="0.35">
      <c r="J54" s="5" t="s">
        <v>26</v>
      </c>
      <c r="K54" s="5"/>
    </row>
    <row r="55" spans="10:11" ht="15.75" customHeight="1" x14ac:dyDescent="0.35"/>
    <row r="56" spans="10:11" ht="15.75" customHeight="1" x14ac:dyDescent="0.35"/>
    <row r="57" spans="10:11" ht="15.75" customHeight="1" x14ac:dyDescent="0.35"/>
    <row r="58" spans="10:11" ht="15.75" customHeight="1" x14ac:dyDescent="0.35"/>
    <row r="59" spans="10:11" ht="15.75" customHeight="1" x14ac:dyDescent="0.35"/>
    <row r="60" spans="10:11" ht="15.75" customHeight="1" x14ac:dyDescent="0.35"/>
    <row r="61" spans="10:11" ht="15.75" customHeight="1" x14ac:dyDescent="0.35"/>
    <row r="62" spans="10:11" ht="15.75" customHeight="1" x14ac:dyDescent="0.35"/>
    <row r="63" spans="10:11" ht="15.75" customHeight="1" x14ac:dyDescent="0.35"/>
    <row r="64" spans="10:1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scale="68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53125" defaultRowHeight="15" customHeight="1" x14ac:dyDescent="0.35"/>
  <cols>
    <col min="1" max="1" width="14.26953125" customWidth="1"/>
    <col min="2" max="2" width="9.26953125" customWidth="1"/>
    <col min="3" max="3" width="10.453125" customWidth="1"/>
    <col min="4" max="5" width="10.54296875" customWidth="1"/>
    <col min="6" max="6" width="9.7265625" customWidth="1"/>
    <col min="7" max="7" width="9.81640625" customWidth="1"/>
    <col min="8" max="8" width="10.7265625" customWidth="1"/>
    <col min="9" max="9" width="9.81640625" customWidth="1"/>
    <col min="10" max="26" width="8.7265625" customWidth="1"/>
  </cols>
  <sheetData>
    <row r="1" spans="1:10" ht="14.5" x14ac:dyDescent="0.35">
      <c r="A1" t="s">
        <v>0</v>
      </c>
    </row>
    <row r="2" spans="1:10" ht="14.5" x14ac:dyDescent="0.35">
      <c r="A2" t="s">
        <v>1</v>
      </c>
    </row>
    <row r="3" spans="1:10" ht="14.5" x14ac:dyDescent="0.35">
      <c r="A3" s="1">
        <v>42095</v>
      </c>
    </row>
    <row r="4" spans="1:10" ht="14.5" x14ac:dyDescent="0.35">
      <c r="A4" s="2">
        <v>42095</v>
      </c>
      <c r="B4" s="3"/>
      <c r="C4" s="3"/>
      <c r="D4" s="3"/>
      <c r="E4" s="3"/>
      <c r="F4" s="3"/>
      <c r="G4" s="3"/>
      <c r="H4" s="3"/>
      <c r="I4" s="3"/>
    </row>
    <row r="5" spans="1:10" ht="14.5" x14ac:dyDescent="0.35">
      <c r="A5" s="3"/>
      <c r="B5" s="3" t="s">
        <v>0</v>
      </c>
      <c r="C5" s="3"/>
      <c r="D5" s="3" t="s">
        <v>2</v>
      </c>
      <c r="E5" s="3" t="s">
        <v>2</v>
      </c>
      <c r="F5" s="3"/>
      <c r="G5" s="3"/>
      <c r="H5" s="3"/>
      <c r="I5" s="3"/>
    </row>
    <row r="6" spans="1:10" ht="14.5" x14ac:dyDescent="0.3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4"/>
    </row>
    <row r="7" spans="1:10" ht="14.5" x14ac:dyDescent="0.35">
      <c r="A7" s="5"/>
      <c r="B7" s="5"/>
      <c r="C7" s="5"/>
      <c r="D7" s="5"/>
      <c r="E7" s="5"/>
      <c r="F7" s="5"/>
      <c r="G7" s="5"/>
      <c r="H7" s="5"/>
      <c r="I7" s="5"/>
    </row>
    <row r="8" spans="1:10" ht="14.5" x14ac:dyDescent="0.35">
      <c r="A8" s="6">
        <v>42095</v>
      </c>
      <c r="B8" s="5">
        <v>32484</v>
      </c>
      <c r="C8" s="5">
        <v>17426.599999999999</v>
      </c>
      <c r="D8" s="5">
        <v>-198503</v>
      </c>
      <c r="E8" s="5">
        <v>17.5</v>
      </c>
      <c r="F8" s="5"/>
      <c r="G8" s="5">
        <v>470000</v>
      </c>
      <c r="H8" s="5">
        <v>6299.96</v>
      </c>
      <c r="I8" s="5">
        <v>495437</v>
      </c>
    </row>
    <row r="9" spans="1:10" ht="14.5" x14ac:dyDescent="0.35">
      <c r="A9" s="6">
        <v>42096</v>
      </c>
      <c r="B9" s="5">
        <f t="shared" ref="B9:B38" si="0">B8-H8+F8</f>
        <v>26184.04</v>
      </c>
      <c r="C9" s="5">
        <v>10841.64</v>
      </c>
      <c r="D9" s="5">
        <f t="shared" ref="D9:D38" si="1">D8+E9</f>
        <v>-198788</v>
      </c>
      <c r="E9" s="5">
        <f t="shared" ref="E9:E38" si="2">C9+H8-C8-F8</f>
        <v>-285</v>
      </c>
      <c r="F9" s="5">
        <v>20000</v>
      </c>
      <c r="G9" s="5">
        <f t="shared" ref="G9:G38" si="3">G8+F9</f>
        <v>490000</v>
      </c>
      <c r="H9" s="5">
        <v>6131.55</v>
      </c>
      <c r="I9" s="5">
        <f t="shared" ref="I9:I38" si="4">I8++H9</f>
        <v>501568.55</v>
      </c>
    </row>
    <row r="10" spans="1:10" ht="14.5" x14ac:dyDescent="0.35">
      <c r="A10" s="6">
        <v>42097</v>
      </c>
      <c r="B10" s="5">
        <f t="shared" si="0"/>
        <v>40052.490000000005</v>
      </c>
      <c r="C10" s="5">
        <v>24770.54</v>
      </c>
      <c r="D10" s="5">
        <f t="shared" si="1"/>
        <v>-198727.55</v>
      </c>
      <c r="E10" s="5">
        <f t="shared" si="2"/>
        <v>60.450000000000728</v>
      </c>
      <c r="F10" s="5"/>
      <c r="G10" s="5">
        <f t="shared" si="3"/>
        <v>490000</v>
      </c>
      <c r="H10" s="5">
        <v>4756.41</v>
      </c>
      <c r="I10" s="5">
        <f t="shared" si="4"/>
        <v>506324.95999999996</v>
      </c>
    </row>
    <row r="11" spans="1:10" ht="14.5" x14ac:dyDescent="0.35">
      <c r="A11" s="6">
        <v>42098</v>
      </c>
      <c r="B11" s="5">
        <f t="shared" si="0"/>
        <v>35296.080000000002</v>
      </c>
      <c r="C11" s="5">
        <v>19695.54</v>
      </c>
      <c r="D11" s="5">
        <f t="shared" si="1"/>
        <v>-199046.13999999998</v>
      </c>
      <c r="E11" s="5">
        <f t="shared" si="2"/>
        <v>-318.59000000000015</v>
      </c>
      <c r="F11" s="5"/>
      <c r="G11" s="5">
        <f t="shared" si="3"/>
        <v>490000</v>
      </c>
      <c r="H11" s="5">
        <v>4300.3</v>
      </c>
      <c r="I11" s="5">
        <f t="shared" si="4"/>
        <v>510625.25999999995</v>
      </c>
    </row>
    <row r="12" spans="1:10" ht="14.5" x14ac:dyDescent="0.35">
      <c r="A12" s="6">
        <v>42099</v>
      </c>
      <c r="B12" s="5">
        <f t="shared" si="0"/>
        <v>30995.780000000002</v>
      </c>
      <c r="C12" s="5">
        <f>7677.7+2800+4800+55.93</f>
        <v>15333.630000000001</v>
      </c>
      <c r="D12" s="5">
        <f t="shared" si="1"/>
        <v>-199107.75</v>
      </c>
      <c r="E12" s="5">
        <f t="shared" si="2"/>
        <v>-61.610000000000582</v>
      </c>
      <c r="F12" s="5"/>
      <c r="G12" s="5">
        <f t="shared" si="3"/>
        <v>490000</v>
      </c>
      <c r="H12" s="5">
        <f>1642+1078.31+518.22</f>
        <v>3238.5299999999997</v>
      </c>
      <c r="I12" s="5">
        <f t="shared" si="4"/>
        <v>513863.79</v>
      </c>
    </row>
    <row r="13" spans="1:10" ht="14.5" x14ac:dyDescent="0.35">
      <c r="A13" s="6">
        <v>42100</v>
      </c>
      <c r="B13" s="5">
        <f t="shared" si="0"/>
        <v>27757.250000000004</v>
      </c>
      <c r="C13" s="5">
        <f>6581.81+1017.4+4272+54.4</f>
        <v>11925.609999999999</v>
      </c>
      <c r="D13" s="5">
        <f t="shared" si="1"/>
        <v>-199277.24</v>
      </c>
      <c r="E13" s="5">
        <f t="shared" si="2"/>
        <v>-169.4900000000016</v>
      </c>
      <c r="F13" s="5"/>
      <c r="G13" s="5">
        <f t="shared" si="3"/>
        <v>490000</v>
      </c>
      <c r="H13" s="5">
        <v>4342</v>
      </c>
      <c r="I13" s="5">
        <f t="shared" si="4"/>
        <v>518205.79</v>
      </c>
    </row>
    <row r="14" spans="1:10" ht="14.5" x14ac:dyDescent="0.35">
      <c r="A14" s="6">
        <v>42101</v>
      </c>
      <c r="B14" s="5">
        <f t="shared" si="0"/>
        <v>23415.250000000004</v>
      </c>
      <c r="C14" s="5">
        <f>4000+2055.6+1638.71+55.93</f>
        <v>7750.2400000000007</v>
      </c>
      <c r="D14" s="5">
        <f t="shared" si="1"/>
        <v>-199110.61</v>
      </c>
      <c r="E14" s="5">
        <f t="shared" si="2"/>
        <v>166.63000000000284</v>
      </c>
      <c r="F14" s="5">
        <v>10000</v>
      </c>
      <c r="G14" s="5">
        <f t="shared" si="3"/>
        <v>500000</v>
      </c>
      <c r="H14" s="5">
        <v>6273</v>
      </c>
      <c r="I14" s="5">
        <f t="shared" si="4"/>
        <v>524478.79</v>
      </c>
    </row>
    <row r="15" spans="1:10" ht="14.5" x14ac:dyDescent="0.35">
      <c r="A15" s="6">
        <v>42102</v>
      </c>
      <c r="B15" s="5">
        <f t="shared" si="0"/>
        <v>27142.250000000004</v>
      </c>
      <c r="C15" s="5">
        <v>11629.07</v>
      </c>
      <c r="D15" s="5">
        <f t="shared" si="1"/>
        <v>-198958.78</v>
      </c>
      <c r="E15" s="5">
        <f t="shared" si="2"/>
        <v>151.82999999999811</v>
      </c>
      <c r="F15" s="5"/>
      <c r="G15" s="5">
        <f t="shared" si="3"/>
        <v>500000</v>
      </c>
      <c r="H15" s="5">
        <v>6862.18</v>
      </c>
      <c r="I15" s="5">
        <f t="shared" si="4"/>
        <v>531340.97000000009</v>
      </c>
    </row>
    <row r="16" spans="1:10" ht="14.5" x14ac:dyDescent="0.35">
      <c r="A16" s="6">
        <v>42103</v>
      </c>
      <c r="B16" s="5">
        <f t="shared" si="0"/>
        <v>20280.070000000003</v>
      </c>
      <c r="C16" s="5">
        <f>2860.9+1800+225.45+55.9</f>
        <v>4942.2499999999991</v>
      </c>
      <c r="D16" s="5">
        <f t="shared" si="1"/>
        <v>-198783.41999999998</v>
      </c>
      <c r="E16" s="5">
        <f t="shared" si="2"/>
        <v>175.36000000000058</v>
      </c>
      <c r="F16" s="5">
        <v>30000</v>
      </c>
      <c r="G16" s="5">
        <f t="shared" si="3"/>
        <v>530000</v>
      </c>
      <c r="H16" s="5">
        <v>6667.98</v>
      </c>
      <c r="I16" s="5">
        <f t="shared" si="4"/>
        <v>538008.95000000007</v>
      </c>
    </row>
    <row r="17" spans="1:9" ht="14.5" x14ac:dyDescent="0.35">
      <c r="A17" s="6">
        <v>42104</v>
      </c>
      <c r="B17" s="5">
        <f t="shared" si="0"/>
        <v>43612.090000000004</v>
      </c>
      <c r="C17" s="5">
        <v>28118.47</v>
      </c>
      <c r="D17" s="5">
        <f t="shared" si="1"/>
        <v>-198939.21999999997</v>
      </c>
      <c r="E17" s="5">
        <f t="shared" si="2"/>
        <v>-155.80000000000291</v>
      </c>
      <c r="F17" s="5"/>
      <c r="G17" s="5">
        <f t="shared" si="3"/>
        <v>530000</v>
      </c>
      <c r="H17" s="5">
        <v>6037.22</v>
      </c>
      <c r="I17" s="5">
        <f t="shared" si="4"/>
        <v>544046.17000000004</v>
      </c>
    </row>
    <row r="18" spans="1:9" ht="14.5" x14ac:dyDescent="0.35">
      <c r="A18" s="6">
        <v>42105</v>
      </c>
      <c r="B18" s="5">
        <f t="shared" si="0"/>
        <v>37574.870000000003</v>
      </c>
      <c r="C18" s="5">
        <v>21957.93</v>
      </c>
      <c r="D18" s="5">
        <f t="shared" si="1"/>
        <v>-199062.53999999998</v>
      </c>
      <c r="E18" s="5">
        <f t="shared" si="2"/>
        <v>-123.31999999999971</v>
      </c>
      <c r="F18" s="5">
        <v>10000</v>
      </c>
      <c r="G18" s="5">
        <f t="shared" si="3"/>
        <v>540000</v>
      </c>
      <c r="H18" s="5">
        <f>2394+1845.85+718.74</f>
        <v>4958.59</v>
      </c>
      <c r="I18" s="5">
        <f t="shared" si="4"/>
        <v>549004.76</v>
      </c>
    </row>
    <row r="19" spans="1:9" ht="14.5" x14ac:dyDescent="0.35">
      <c r="A19" s="6">
        <v>42106</v>
      </c>
      <c r="B19" s="5">
        <f t="shared" si="0"/>
        <v>42616.28</v>
      </c>
      <c r="C19" s="5">
        <v>27083.68</v>
      </c>
      <c r="D19" s="5">
        <f t="shared" si="1"/>
        <v>-198978.19999999998</v>
      </c>
      <c r="E19" s="5">
        <f t="shared" si="2"/>
        <v>84.340000000000146</v>
      </c>
      <c r="F19" s="5"/>
      <c r="G19" s="5">
        <f t="shared" si="3"/>
        <v>540000</v>
      </c>
      <c r="H19" s="5">
        <v>4286.1400000000003</v>
      </c>
      <c r="I19" s="5">
        <f t="shared" si="4"/>
        <v>553290.9</v>
      </c>
    </row>
    <row r="20" spans="1:9" ht="14.5" x14ac:dyDescent="0.35">
      <c r="A20" s="6">
        <v>42107</v>
      </c>
      <c r="B20" s="5">
        <f t="shared" si="0"/>
        <v>38330.14</v>
      </c>
      <c r="C20" s="5">
        <v>22623.82</v>
      </c>
      <c r="D20" s="5">
        <f t="shared" si="1"/>
        <v>-199151.91999999998</v>
      </c>
      <c r="E20" s="5">
        <f t="shared" si="2"/>
        <v>-173.72000000000116</v>
      </c>
      <c r="F20" s="5">
        <v>10000</v>
      </c>
      <c r="G20" s="5">
        <f t="shared" si="3"/>
        <v>550000</v>
      </c>
      <c r="H20" s="5">
        <v>6137.34</v>
      </c>
      <c r="I20" s="5">
        <f t="shared" si="4"/>
        <v>559428.24</v>
      </c>
    </row>
    <row r="21" spans="1:9" ht="15.75" customHeight="1" x14ac:dyDescent="0.35">
      <c r="A21" s="6">
        <v>42108</v>
      </c>
      <c r="B21" s="5">
        <f t="shared" si="0"/>
        <v>42192.800000000003</v>
      </c>
      <c r="C21" s="5">
        <v>26704.03</v>
      </c>
      <c r="D21" s="5">
        <f t="shared" si="1"/>
        <v>-198934.37</v>
      </c>
      <c r="E21" s="5">
        <f t="shared" si="2"/>
        <v>217.54999999999563</v>
      </c>
      <c r="F21" s="5">
        <v>10000</v>
      </c>
      <c r="G21" s="5">
        <f t="shared" si="3"/>
        <v>560000</v>
      </c>
      <c r="H21" s="5">
        <v>6958.27</v>
      </c>
      <c r="I21" s="5">
        <f t="shared" si="4"/>
        <v>566386.51</v>
      </c>
    </row>
    <row r="22" spans="1:9" ht="15.75" customHeight="1" x14ac:dyDescent="0.35">
      <c r="A22" s="6">
        <v>42109</v>
      </c>
      <c r="B22" s="5">
        <f t="shared" si="0"/>
        <v>45234.53</v>
      </c>
      <c r="C22" s="5">
        <v>29580.93</v>
      </c>
      <c r="D22" s="5">
        <f t="shared" si="1"/>
        <v>-199099.2</v>
      </c>
      <c r="E22" s="5">
        <f t="shared" si="2"/>
        <v>-164.83000000000175</v>
      </c>
      <c r="F22" s="5"/>
      <c r="G22" s="5">
        <f t="shared" si="3"/>
        <v>560000</v>
      </c>
      <c r="H22" s="5">
        <v>5659.06</v>
      </c>
      <c r="I22" s="5">
        <f t="shared" si="4"/>
        <v>572045.57000000007</v>
      </c>
    </row>
    <row r="23" spans="1:9" ht="15.75" customHeight="1" x14ac:dyDescent="0.35">
      <c r="A23" s="6">
        <v>42110</v>
      </c>
      <c r="B23" s="5">
        <f t="shared" si="0"/>
        <v>39575.47</v>
      </c>
      <c r="C23" s="5">
        <v>23610.639999999999</v>
      </c>
      <c r="D23" s="5">
        <f t="shared" si="1"/>
        <v>-199410.43000000002</v>
      </c>
      <c r="E23" s="5">
        <f t="shared" si="2"/>
        <v>-311.22999999999956</v>
      </c>
      <c r="F23" s="5">
        <v>10000</v>
      </c>
      <c r="G23" s="5">
        <f t="shared" si="3"/>
        <v>570000</v>
      </c>
      <c r="H23" s="5">
        <v>6593.81</v>
      </c>
      <c r="I23" s="5">
        <f t="shared" si="4"/>
        <v>578639.38000000012</v>
      </c>
    </row>
    <row r="24" spans="1:9" ht="15.75" customHeight="1" x14ac:dyDescent="0.35">
      <c r="A24" s="6">
        <v>42111</v>
      </c>
      <c r="B24" s="5">
        <f t="shared" si="0"/>
        <v>42981.66</v>
      </c>
      <c r="C24" s="5">
        <v>27197.93</v>
      </c>
      <c r="D24" s="5">
        <f t="shared" si="1"/>
        <v>-199229.33000000002</v>
      </c>
      <c r="E24" s="5">
        <f t="shared" si="2"/>
        <v>181.09999999999854</v>
      </c>
      <c r="F24" s="5">
        <v>10000</v>
      </c>
      <c r="G24" s="5">
        <f t="shared" si="3"/>
        <v>580000</v>
      </c>
      <c r="H24" s="5">
        <v>6025.12</v>
      </c>
      <c r="I24" s="5">
        <f t="shared" si="4"/>
        <v>584664.50000000012</v>
      </c>
    </row>
    <row r="25" spans="1:9" ht="15.75" customHeight="1" x14ac:dyDescent="0.35">
      <c r="A25" s="6">
        <v>42112</v>
      </c>
      <c r="B25" s="5">
        <f t="shared" si="0"/>
        <v>46956.54</v>
      </c>
      <c r="C25" s="5">
        <f>13000+8361.1+9688+55.93</f>
        <v>31105.03</v>
      </c>
      <c r="D25" s="5">
        <f t="shared" si="1"/>
        <v>-199297.11000000002</v>
      </c>
      <c r="E25" s="5">
        <f t="shared" si="2"/>
        <v>-67.779999999998836</v>
      </c>
      <c r="F25" s="5"/>
      <c r="G25" s="5">
        <f t="shared" si="3"/>
        <v>580000</v>
      </c>
      <c r="H25" s="5">
        <v>4940.5</v>
      </c>
      <c r="I25" s="5">
        <f t="shared" si="4"/>
        <v>589605.00000000012</v>
      </c>
    </row>
    <row r="26" spans="1:9" ht="15.75" customHeight="1" x14ac:dyDescent="0.35">
      <c r="A26" s="6">
        <v>42113</v>
      </c>
      <c r="B26" s="5">
        <f t="shared" si="0"/>
        <v>42016.04</v>
      </c>
      <c r="C26" s="5">
        <v>25969.43</v>
      </c>
      <c r="D26" s="5">
        <f t="shared" si="1"/>
        <v>-199492.21000000002</v>
      </c>
      <c r="E26" s="5">
        <f t="shared" si="2"/>
        <v>-195.09999999999854</v>
      </c>
      <c r="F26" s="5"/>
      <c r="G26" s="5">
        <f t="shared" si="3"/>
        <v>580000</v>
      </c>
      <c r="H26" s="5">
        <v>4424.57</v>
      </c>
      <c r="I26" s="5">
        <f t="shared" si="4"/>
        <v>594029.57000000007</v>
      </c>
    </row>
    <row r="27" spans="1:9" ht="15.75" customHeight="1" x14ac:dyDescent="0.35">
      <c r="A27" s="6">
        <v>42114</v>
      </c>
      <c r="B27" s="5">
        <f t="shared" si="0"/>
        <v>37591.47</v>
      </c>
      <c r="C27" s="5">
        <v>21337.43</v>
      </c>
      <c r="D27" s="5">
        <f t="shared" si="1"/>
        <v>-199699.64</v>
      </c>
      <c r="E27" s="5">
        <f t="shared" si="2"/>
        <v>-207.43000000000029</v>
      </c>
      <c r="F27" s="5">
        <v>10000</v>
      </c>
      <c r="G27" s="5">
        <f t="shared" si="3"/>
        <v>590000</v>
      </c>
      <c r="H27" s="5">
        <v>5578.47</v>
      </c>
      <c r="I27" s="5">
        <f t="shared" si="4"/>
        <v>599608.04</v>
      </c>
    </row>
    <row r="28" spans="1:9" ht="15.75" customHeight="1" x14ac:dyDescent="0.35">
      <c r="A28" s="6">
        <v>42115</v>
      </c>
      <c r="B28" s="5">
        <f t="shared" si="0"/>
        <v>42013</v>
      </c>
      <c r="C28" s="5">
        <v>25911.53</v>
      </c>
      <c r="D28" s="5">
        <f t="shared" si="1"/>
        <v>-199547.07</v>
      </c>
      <c r="E28" s="5">
        <f t="shared" si="2"/>
        <v>152.56999999999971</v>
      </c>
      <c r="F28" s="5"/>
      <c r="G28" s="5">
        <f t="shared" si="3"/>
        <v>590000</v>
      </c>
      <c r="H28" s="5">
        <v>6101.73</v>
      </c>
      <c r="I28" s="5">
        <f t="shared" si="4"/>
        <v>605709.77</v>
      </c>
    </row>
    <row r="29" spans="1:9" ht="15.75" customHeight="1" x14ac:dyDescent="0.35">
      <c r="A29" s="6">
        <v>42116</v>
      </c>
      <c r="B29" s="5">
        <f t="shared" si="0"/>
        <v>35911.270000000004</v>
      </c>
      <c r="C29" s="5">
        <v>19467.689999999999</v>
      </c>
      <c r="D29" s="5">
        <f t="shared" si="1"/>
        <v>-199889.18</v>
      </c>
      <c r="E29" s="5">
        <f t="shared" si="2"/>
        <v>-342.11000000000058</v>
      </c>
      <c r="F29" s="5">
        <v>10000</v>
      </c>
      <c r="G29" s="5">
        <f t="shared" si="3"/>
        <v>600000</v>
      </c>
      <c r="H29" s="5">
        <v>6263.28</v>
      </c>
      <c r="I29" s="5">
        <f t="shared" si="4"/>
        <v>611973.05000000005</v>
      </c>
    </row>
    <row r="30" spans="1:9" ht="15.75" customHeight="1" x14ac:dyDescent="0.35">
      <c r="A30" s="6">
        <v>42117</v>
      </c>
      <c r="B30" s="5">
        <f t="shared" si="0"/>
        <v>39647.990000000005</v>
      </c>
      <c r="C30" s="5">
        <v>23355.93</v>
      </c>
      <c r="D30" s="5">
        <f t="shared" si="1"/>
        <v>-199737.66</v>
      </c>
      <c r="E30" s="5">
        <f t="shared" si="2"/>
        <v>151.52000000000044</v>
      </c>
      <c r="F30" s="5">
        <v>10000</v>
      </c>
      <c r="G30" s="5">
        <f t="shared" si="3"/>
        <v>610000</v>
      </c>
      <c r="H30" s="5">
        <v>6707.52</v>
      </c>
      <c r="I30" s="5">
        <f t="shared" si="4"/>
        <v>618680.57000000007</v>
      </c>
    </row>
    <row r="31" spans="1:9" ht="15.75" customHeight="1" x14ac:dyDescent="0.35">
      <c r="A31" s="6">
        <v>42118</v>
      </c>
      <c r="B31" s="5">
        <f t="shared" si="0"/>
        <v>42940.47</v>
      </c>
      <c r="C31" s="5">
        <v>26692.63</v>
      </c>
      <c r="D31" s="5">
        <f t="shared" si="1"/>
        <v>-199693.44</v>
      </c>
      <c r="E31" s="5">
        <f t="shared" si="2"/>
        <v>44.220000000001164</v>
      </c>
      <c r="F31" s="5">
        <v>10000</v>
      </c>
      <c r="G31" s="5">
        <f t="shared" si="3"/>
        <v>620000</v>
      </c>
      <c r="H31" s="5">
        <v>6132.21</v>
      </c>
      <c r="I31" s="5">
        <f t="shared" si="4"/>
        <v>624812.78</v>
      </c>
    </row>
    <row r="32" spans="1:9" ht="15.75" customHeight="1" x14ac:dyDescent="0.35">
      <c r="A32" s="6">
        <v>42119</v>
      </c>
      <c r="B32" s="5">
        <f t="shared" si="0"/>
        <v>46808.26</v>
      </c>
      <c r="C32" s="5">
        <v>30403.63</v>
      </c>
      <c r="D32" s="5">
        <f t="shared" si="1"/>
        <v>-199850.23</v>
      </c>
      <c r="E32" s="5">
        <f t="shared" si="2"/>
        <v>-156.78999999999724</v>
      </c>
      <c r="F32" s="5"/>
      <c r="G32" s="5">
        <f t="shared" si="3"/>
        <v>620000</v>
      </c>
      <c r="H32" s="5">
        <f>2074+1710.37+772.95</f>
        <v>4557.32</v>
      </c>
      <c r="I32" s="5">
        <f t="shared" si="4"/>
        <v>629370.1</v>
      </c>
    </row>
    <row r="33" spans="1:11" ht="15.75" customHeight="1" x14ac:dyDescent="0.35">
      <c r="A33" s="6">
        <v>42120</v>
      </c>
      <c r="B33" s="5">
        <f t="shared" si="0"/>
        <v>42250.94</v>
      </c>
      <c r="C33" s="5">
        <f>14447.1+4011.76+7085.7+55.93</f>
        <v>25600.49</v>
      </c>
      <c r="D33" s="5">
        <f t="shared" si="1"/>
        <v>-200096.05000000002</v>
      </c>
      <c r="E33" s="5">
        <f t="shared" si="2"/>
        <v>-245.81999999999971</v>
      </c>
      <c r="F33" s="5"/>
      <c r="G33" s="5">
        <f t="shared" si="3"/>
        <v>620000</v>
      </c>
      <c r="H33" s="5">
        <f>2157+1760.1+219.99</f>
        <v>4137.09</v>
      </c>
      <c r="I33" s="5">
        <f t="shared" si="4"/>
        <v>633507.18999999994</v>
      </c>
    </row>
    <row r="34" spans="1:11" ht="15.75" customHeight="1" x14ac:dyDescent="0.35">
      <c r="A34" s="6">
        <v>42121</v>
      </c>
      <c r="B34" s="5">
        <f t="shared" si="0"/>
        <v>38113.850000000006</v>
      </c>
      <c r="C34" s="5">
        <v>21380.93</v>
      </c>
      <c r="D34" s="5">
        <f t="shared" si="1"/>
        <v>-200178.52000000002</v>
      </c>
      <c r="E34" s="5">
        <f t="shared" si="2"/>
        <v>-82.470000000001164</v>
      </c>
      <c r="F34" s="5">
        <v>10000</v>
      </c>
      <c r="G34" s="5">
        <f t="shared" si="3"/>
        <v>630000</v>
      </c>
      <c r="H34" s="5">
        <v>5675.41</v>
      </c>
      <c r="I34" s="5">
        <f t="shared" si="4"/>
        <v>639182.6</v>
      </c>
    </row>
    <row r="35" spans="1:11" ht="15.75" customHeight="1" x14ac:dyDescent="0.35">
      <c r="A35" s="6">
        <v>42122</v>
      </c>
      <c r="B35" s="5">
        <f t="shared" si="0"/>
        <v>42438.44</v>
      </c>
      <c r="C35" s="5">
        <v>25735.96</v>
      </c>
      <c r="D35" s="5">
        <f t="shared" si="1"/>
        <v>-200148.08000000002</v>
      </c>
      <c r="E35" s="5">
        <f t="shared" si="2"/>
        <v>30.43999999999869</v>
      </c>
      <c r="F35" s="5"/>
      <c r="G35" s="5">
        <f t="shared" si="3"/>
        <v>630000</v>
      </c>
      <c r="H35" s="5">
        <f>3621+2322.94+872.29</f>
        <v>6816.2300000000005</v>
      </c>
      <c r="I35" s="5">
        <f t="shared" si="4"/>
        <v>645998.82999999996</v>
      </c>
    </row>
    <row r="36" spans="1:11" ht="15.75" customHeight="1" x14ac:dyDescent="0.35">
      <c r="A36" s="6">
        <v>42123</v>
      </c>
      <c r="B36" s="5">
        <f t="shared" si="0"/>
        <v>35622.21</v>
      </c>
      <c r="C36" s="5">
        <f>10000+3658.8+4891.7+55.93</f>
        <v>18606.43</v>
      </c>
      <c r="D36" s="5">
        <f t="shared" si="1"/>
        <v>-200461.38</v>
      </c>
      <c r="E36" s="5">
        <f t="shared" si="2"/>
        <v>-313.29999999999927</v>
      </c>
      <c r="F36" s="5">
        <v>10000</v>
      </c>
      <c r="G36" s="5">
        <f t="shared" si="3"/>
        <v>640000</v>
      </c>
      <c r="H36" s="5">
        <v>5756.65</v>
      </c>
      <c r="I36" s="5">
        <f t="shared" si="4"/>
        <v>651755.48</v>
      </c>
    </row>
    <row r="37" spans="1:11" ht="15.75" customHeight="1" x14ac:dyDescent="0.35">
      <c r="A37" s="6">
        <v>42124</v>
      </c>
      <c r="B37" s="5">
        <f t="shared" si="0"/>
        <v>39865.56</v>
      </c>
      <c r="C37" s="5">
        <v>23005.03</v>
      </c>
      <c r="D37" s="5">
        <f t="shared" si="1"/>
        <v>-200306.13</v>
      </c>
      <c r="E37" s="5">
        <f t="shared" si="2"/>
        <v>155.25</v>
      </c>
      <c r="F37" s="5">
        <v>10000</v>
      </c>
      <c r="G37" s="5">
        <f t="shared" si="3"/>
        <v>650000</v>
      </c>
      <c r="H37" s="5">
        <v>5639.19</v>
      </c>
      <c r="I37" s="5">
        <f t="shared" si="4"/>
        <v>657394.66999999993</v>
      </c>
    </row>
    <row r="38" spans="1:11" ht="15.75" customHeight="1" x14ac:dyDescent="0.35">
      <c r="A38" s="6">
        <v>42125</v>
      </c>
      <c r="B38" s="5">
        <f t="shared" si="0"/>
        <v>44226.369999999995</v>
      </c>
      <c r="C38" s="5">
        <v>27316.93</v>
      </c>
      <c r="D38" s="5">
        <f t="shared" si="1"/>
        <v>-200355.04</v>
      </c>
      <c r="E38" s="5">
        <f t="shared" si="2"/>
        <v>-48.909999999996217</v>
      </c>
      <c r="F38" s="5"/>
      <c r="G38" s="5">
        <f t="shared" si="3"/>
        <v>650000</v>
      </c>
      <c r="H38" s="5"/>
      <c r="I38" s="5">
        <f t="shared" si="4"/>
        <v>657394.66999999993</v>
      </c>
    </row>
    <row r="39" spans="1:11" ht="15.75" customHeight="1" x14ac:dyDescent="0.35">
      <c r="A39" s="6"/>
      <c r="B39" s="5"/>
      <c r="C39" s="5"/>
      <c r="D39" s="5"/>
      <c r="E39" s="5"/>
      <c r="F39" s="5"/>
      <c r="G39" s="5"/>
      <c r="H39" s="5"/>
      <c r="I39" s="5"/>
    </row>
    <row r="40" spans="1:11" ht="15.75" customHeight="1" x14ac:dyDescent="0.35">
      <c r="A40" s="5"/>
      <c r="B40" s="5"/>
      <c r="C40" s="5"/>
      <c r="D40" s="5"/>
      <c r="E40" s="5"/>
      <c r="F40" s="5"/>
      <c r="G40" s="5"/>
      <c r="H40" s="5"/>
      <c r="I40" s="5"/>
    </row>
    <row r="41" spans="1:11" ht="15.75" customHeight="1" x14ac:dyDescent="0.35">
      <c r="A41" s="5"/>
      <c r="B41" s="5"/>
      <c r="C41" s="5"/>
      <c r="D41" s="5"/>
      <c r="E41" s="5">
        <f>SUM(E8:E38)</f>
        <v>-1834.5400000000027</v>
      </c>
      <c r="F41" s="5"/>
      <c r="G41" s="5"/>
      <c r="H41" s="5"/>
      <c r="I41" s="5"/>
    </row>
    <row r="42" spans="1:11" ht="15.75" customHeight="1" x14ac:dyDescent="0.35">
      <c r="A42" s="5"/>
      <c r="B42" s="5"/>
      <c r="C42" s="5"/>
      <c r="D42" s="5"/>
      <c r="E42" s="5"/>
      <c r="F42" s="5"/>
      <c r="G42" s="5"/>
      <c r="H42" s="5"/>
      <c r="I42" s="7"/>
      <c r="J42" s="5"/>
      <c r="K42" s="5" t="s">
        <v>12</v>
      </c>
    </row>
    <row r="43" spans="1:11" ht="15.75" customHeight="1" x14ac:dyDescent="0.35">
      <c r="A43" s="5"/>
      <c r="B43" s="5"/>
      <c r="C43" s="5"/>
      <c r="D43" s="5"/>
      <c r="E43" s="5"/>
      <c r="F43" s="5">
        <v>160000</v>
      </c>
      <c r="G43" s="5"/>
      <c r="H43" s="5">
        <f>SUM(H8:H38)</f>
        <v>168257.63</v>
      </c>
      <c r="I43" s="7"/>
      <c r="J43" s="5" t="s">
        <v>13</v>
      </c>
      <c r="K43" s="5">
        <f>5121.782</f>
        <v>5121.7820000000002</v>
      </c>
    </row>
    <row r="44" spans="1:11" ht="15.75" customHeight="1" x14ac:dyDescent="0.35">
      <c r="A44" s="5"/>
      <c r="B44" s="5"/>
      <c r="C44" s="5"/>
      <c r="D44" s="5"/>
      <c r="E44" s="5"/>
      <c r="F44" s="5"/>
      <c r="G44" s="5"/>
      <c r="H44" s="5"/>
      <c r="I44" s="7"/>
      <c r="J44" s="5" t="s">
        <v>14</v>
      </c>
      <c r="K44" s="5">
        <v>5601.1</v>
      </c>
    </row>
    <row r="45" spans="1:11" ht="15.75" customHeight="1" x14ac:dyDescent="0.35">
      <c r="A45" s="5"/>
      <c r="B45" s="5" t="s">
        <v>15</v>
      </c>
      <c r="C45" s="5"/>
      <c r="D45" s="5">
        <v>1.38</v>
      </c>
      <c r="E45" s="5"/>
      <c r="F45" s="5"/>
      <c r="G45" s="5"/>
      <c r="H45" s="5"/>
      <c r="I45" s="7"/>
      <c r="J45" s="5" t="s">
        <v>16</v>
      </c>
      <c r="K45" s="5">
        <v>5681.1</v>
      </c>
    </row>
    <row r="46" spans="1:11" ht="15.75" customHeight="1" x14ac:dyDescent="0.35">
      <c r="A46" s="5"/>
      <c r="B46" s="5" t="s">
        <v>17</v>
      </c>
      <c r="C46" s="5"/>
      <c r="D46" s="5">
        <f>AVERAGE(H8:H38)</f>
        <v>5608.5876666666672</v>
      </c>
      <c r="E46" s="5"/>
      <c r="F46" s="5"/>
      <c r="G46" s="5"/>
      <c r="H46" s="5"/>
      <c r="I46" s="7"/>
      <c r="J46" s="5" t="s">
        <v>18</v>
      </c>
      <c r="K46" s="5">
        <f>D46</f>
        <v>5608.5876666666672</v>
      </c>
    </row>
    <row r="47" spans="1:11" ht="15.75" customHeight="1" x14ac:dyDescent="0.35">
      <c r="J47" s="5" t="s">
        <v>19</v>
      </c>
      <c r="K47" s="5"/>
    </row>
    <row r="48" spans="1:11" ht="15.75" customHeight="1" x14ac:dyDescent="0.35">
      <c r="J48" s="5" t="s">
        <v>20</v>
      </c>
      <c r="K48" s="5"/>
    </row>
    <row r="49" spans="10:11" ht="15.75" customHeight="1" x14ac:dyDescent="0.35">
      <c r="J49" s="5" t="s">
        <v>21</v>
      </c>
      <c r="K49" s="5"/>
    </row>
    <row r="50" spans="10:11" ht="15.75" customHeight="1" x14ac:dyDescent="0.35">
      <c r="J50" s="5" t="s">
        <v>22</v>
      </c>
      <c r="K50" s="5"/>
    </row>
    <row r="51" spans="10:11" ht="15.75" customHeight="1" x14ac:dyDescent="0.35">
      <c r="J51" s="5" t="s">
        <v>23</v>
      </c>
      <c r="K51" s="5"/>
    </row>
    <row r="52" spans="10:11" ht="15.75" customHeight="1" x14ac:dyDescent="0.35">
      <c r="J52" s="5" t="s">
        <v>24</v>
      </c>
      <c r="K52" s="5"/>
    </row>
    <row r="53" spans="10:11" ht="15.75" customHeight="1" x14ac:dyDescent="0.35">
      <c r="J53" s="5" t="s">
        <v>25</v>
      </c>
      <c r="K53" s="5"/>
    </row>
    <row r="54" spans="10:11" ht="15.75" customHeight="1" x14ac:dyDescent="0.35">
      <c r="J54" s="5" t="s">
        <v>26</v>
      </c>
      <c r="K54" s="5"/>
    </row>
    <row r="55" spans="10:11" ht="15.75" customHeight="1" x14ac:dyDescent="0.35"/>
    <row r="56" spans="10:11" ht="15.75" customHeight="1" x14ac:dyDescent="0.35"/>
    <row r="57" spans="10:11" ht="15.75" customHeight="1" x14ac:dyDescent="0.35"/>
    <row r="58" spans="10:11" ht="15.75" customHeight="1" x14ac:dyDescent="0.35"/>
    <row r="59" spans="10:11" ht="15.75" customHeight="1" x14ac:dyDescent="0.35"/>
    <row r="60" spans="10:11" ht="15.75" customHeight="1" x14ac:dyDescent="0.35"/>
    <row r="61" spans="10:11" ht="15.75" customHeight="1" x14ac:dyDescent="0.35"/>
    <row r="62" spans="10:11" ht="15.75" customHeight="1" x14ac:dyDescent="0.35"/>
    <row r="63" spans="10:11" ht="15.75" customHeight="1" x14ac:dyDescent="0.35"/>
    <row r="64" spans="10:1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scale="68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defaultColWidth="14.453125" defaultRowHeight="15" customHeight="1" x14ac:dyDescent="0.35"/>
  <cols>
    <col min="1" max="1" width="14.26953125" customWidth="1"/>
    <col min="2" max="2" width="9.26953125" customWidth="1"/>
    <col min="3" max="3" width="10.453125" customWidth="1"/>
    <col min="4" max="5" width="10.54296875" customWidth="1"/>
    <col min="6" max="6" width="9.7265625" customWidth="1"/>
    <col min="7" max="7" width="9.81640625" customWidth="1"/>
    <col min="8" max="8" width="10.7265625" customWidth="1"/>
    <col min="9" max="9" width="9.81640625" customWidth="1"/>
    <col min="10" max="26" width="8.7265625" customWidth="1"/>
  </cols>
  <sheetData>
    <row r="1" spans="1:10" ht="14.5" x14ac:dyDescent="0.35">
      <c r="A1" t="s">
        <v>0</v>
      </c>
    </row>
    <row r="2" spans="1:10" ht="14.5" x14ac:dyDescent="0.35">
      <c r="A2" t="s">
        <v>1</v>
      </c>
    </row>
    <row r="3" spans="1:10" ht="14.5" x14ac:dyDescent="0.35">
      <c r="A3" s="1">
        <v>42125</v>
      </c>
    </row>
    <row r="4" spans="1:10" ht="14.5" x14ac:dyDescent="0.35">
      <c r="A4" s="2"/>
      <c r="B4" s="3"/>
      <c r="C4" s="3"/>
      <c r="D4" s="3"/>
      <c r="E4" s="3"/>
      <c r="F4" s="3"/>
      <c r="G4" s="3"/>
      <c r="H4" s="3"/>
      <c r="I4" s="3"/>
    </row>
    <row r="5" spans="1:10" ht="14.5" x14ac:dyDescent="0.35">
      <c r="A5" s="3"/>
      <c r="B5" s="3"/>
      <c r="C5" s="3"/>
      <c r="D5" s="3"/>
      <c r="E5" s="3"/>
      <c r="F5" s="3"/>
      <c r="G5" s="3"/>
      <c r="H5" s="3"/>
      <c r="I5" s="3"/>
    </row>
    <row r="6" spans="1:10" ht="14.5" x14ac:dyDescent="0.35">
      <c r="A6" s="3" t="s">
        <v>3</v>
      </c>
      <c r="B6" s="3" t="s">
        <v>4</v>
      </c>
      <c r="C6" s="3" t="s">
        <v>5</v>
      </c>
      <c r="D6" s="3" t="s">
        <v>27</v>
      </c>
      <c r="E6" s="3" t="s">
        <v>28</v>
      </c>
      <c r="F6" s="3" t="s">
        <v>8</v>
      </c>
      <c r="G6" s="3" t="s">
        <v>9</v>
      </c>
      <c r="H6" s="3" t="s">
        <v>10</v>
      </c>
      <c r="I6" s="3" t="s">
        <v>11</v>
      </c>
      <c r="J6" s="4"/>
    </row>
    <row r="7" spans="1:10" ht="14.5" x14ac:dyDescent="0.35">
      <c r="A7" s="5"/>
      <c r="B7" s="5"/>
      <c r="C7" s="5"/>
      <c r="D7" s="5"/>
      <c r="E7" s="5"/>
      <c r="F7" s="5"/>
      <c r="G7" s="5"/>
      <c r="H7" s="5"/>
      <c r="I7" s="5"/>
    </row>
    <row r="8" spans="1:10" ht="14.5" x14ac:dyDescent="0.35">
      <c r="A8" s="6">
        <v>42125</v>
      </c>
      <c r="B8" s="5">
        <v>44226.37</v>
      </c>
      <c r="C8" s="5">
        <v>27316.93</v>
      </c>
      <c r="D8" s="5">
        <v>-200355</v>
      </c>
      <c r="E8" s="5">
        <v>-48.91</v>
      </c>
      <c r="F8" s="5"/>
      <c r="G8" s="5">
        <v>650000</v>
      </c>
      <c r="H8" s="5">
        <v>4388.42</v>
      </c>
      <c r="I8" s="5">
        <v>657394.67000000004</v>
      </c>
    </row>
    <row r="9" spans="1:10" ht="14.5" x14ac:dyDescent="0.35">
      <c r="A9" s="6">
        <v>42126</v>
      </c>
      <c r="B9" s="5">
        <f t="shared" ref="B9:B39" si="0">B8-H8+F8</f>
        <v>39837.950000000004</v>
      </c>
      <c r="C9" s="5">
        <v>22736.23</v>
      </c>
      <c r="D9" s="5">
        <f t="shared" ref="D9:D39" si="1">D8+E9</f>
        <v>-200547.28</v>
      </c>
      <c r="E9" s="5">
        <f t="shared" ref="E9:E39" si="2">C9+H8-C8-F8</f>
        <v>-192.27999999999884</v>
      </c>
      <c r="F9" s="5"/>
      <c r="G9" s="5">
        <f t="shared" ref="G9:G39" si="3">G8+F9</f>
        <v>650000</v>
      </c>
      <c r="H9" s="5">
        <v>5265.14</v>
      </c>
      <c r="I9" s="5">
        <f t="shared" ref="I9:I39" si="4">I8++H9</f>
        <v>662659.81000000006</v>
      </c>
    </row>
    <row r="10" spans="1:10" ht="14.5" x14ac:dyDescent="0.35">
      <c r="A10" s="6">
        <v>42127</v>
      </c>
      <c r="B10" s="5">
        <f t="shared" si="0"/>
        <v>34572.810000000005</v>
      </c>
      <c r="C10" s="5">
        <v>17328.63</v>
      </c>
      <c r="D10" s="5">
        <f t="shared" si="1"/>
        <v>-200689.74</v>
      </c>
      <c r="E10" s="5">
        <f t="shared" si="2"/>
        <v>-142.45999999999913</v>
      </c>
      <c r="F10" s="5"/>
      <c r="G10" s="5">
        <f t="shared" si="3"/>
        <v>650000</v>
      </c>
      <c r="H10" s="5">
        <v>4013.05</v>
      </c>
      <c r="I10" s="5">
        <f t="shared" si="4"/>
        <v>666672.8600000001</v>
      </c>
    </row>
    <row r="11" spans="1:10" ht="14.5" x14ac:dyDescent="0.35">
      <c r="A11" s="6">
        <v>42128</v>
      </c>
      <c r="B11" s="5">
        <f t="shared" si="0"/>
        <v>30559.760000000006</v>
      </c>
      <c r="C11" s="5">
        <v>13068.97</v>
      </c>
      <c r="D11" s="5">
        <f t="shared" si="1"/>
        <v>-200936.34999999998</v>
      </c>
      <c r="E11" s="5">
        <f t="shared" si="2"/>
        <v>-246.61000000000058</v>
      </c>
      <c r="F11" s="5"/>
      <c r="G11" s="5">
        <f t="shared" si="3"/>
        <v>650000</v>
      </c>
      <c r="H11" s="5">
        <v>6162.8</v>
      </c>
      <c r="I11" s="5">
        <f t="shared" si="4"/>
        <v>672835.66000000015</v>
      </c>
    </row>
    <row r="12" spans="1:10" ht="14.5" x14ac:dyDescent="0.35">
      <c r="A12" s="6">
        <v>42129</v>
      </c>
      <c r="B12" s="5">
        <f t="shared" si="0"/>
        <v>24396.960000000006</v>
      </c>
      <c r="C12" s="5">
        <v>7014.13</v>
      </c>
      <c r="D12" s="5">
        <f t="shared" si="1"/>
        <v>-200828.38999999998</v>
      </c>
      <c r="E12" s="5">
        <f t="shared" si="2"/>
        <v>107.96000000000095</v>
      </c>
      <c r="F12" s="5">
        <v>20000</v>
      </c>
      <c r="G12" s="5">
        <f t="shared" si="3"/>
        <v>670000</v>
      </c>
      <c r="H12" s="5">
        <v>6831.12</v>
      </c>
      <c r="I12" s="5">
        <f t="shared" si="4"/>
        <v>679666.78000000014</v>
      </c>
    </row>
    <row r="13" spans="1:10" ht="14.5" x14ac:dyDescent="0.35">
      <c r="A13" s="6">
        <v>42130</v>
      </c>
      <c r="B13" s="5">
        <f t="shared" si="0"/>
        <v>37565.840000000011</v>
      </c>
      <c r="C13" s="5">
        <v>20139.900000000001</v>
      </c>
      <c r="D13" s="5">
        <f t="shared" si="1"/>
        <v>-200871.5</v>
      </c>
      <c r="E13" s="5">
        <f t="shared" si="2"/>
        <v>-43.110000000000582</v>
      </c>
      <c r="F13" s="5">
        <v>10000</v>
      </c>
      <c r="G13" s="5">
        <f t="shared" si="3"/>
        <v>680000</v>
      </c>
      <c r="H13" s="5">
        <f>3080+2032.28+1551.74</f>
        <v>6664.0199999999995</v>
      </c>
      <c r="I13" s="5">
        <f t="shared" si="4"/>
        <v>686330.80000000016</v>
      </c>
    </row>
    <row r="14" spans="1:10" ht="14.5" x14ac:dyDescent="0.35">
      <c r="A14" s="6">
        <v>42131</v>
      </c>
      <c r="B14" s="5">
        <f t="shared" si="0"/>
        <v>40901.820000000007</v>
      </c>
      <c r="C14" s="5">
        <f>12144.4+8137.5+3170.37+55.93</f>
        <v>23508.2</v>
      </c>
      <c r="D14" s="5">
        <f t="shared" si="1"/>
        <v>-200839.18</v>
      </c>
      <c r="E14" s="5">
        <f t="shared" si="2"/>
        <v>32.319999999999709</v>
      </c>
      <c r="F14" s="5"/>
      <c r="G14" s="5">
        <f t="shared" si="3"/>
        <v>680000</v>
      </c>
      <c r="H14" s="5">
        <f>2983+1589.21+937.67</f>
        <v>5509.88</v>
      </c>
      <c r="I14" s="5">
        <f t="shared" si="4"/>
        <v>691840.68000000017</v>
      </c>
    </row>
    <row r="15" spans="1:10" ht="14.5" x14ac:dyDescent="0.35">
      <c r="A15" s="6">
        <v>42132</v>
      </c>
      <c r="B15" s="5">
        <f t="shared" si="0"/>
        <v>35391.94000000001</v>
      </c>
      <c r="C15" s="5">
        <v>17740.23</v>
      </c>
      <c r="D15" s="5">
        <f t="shared" si="1"/>
        <v>-201097.27</v>
      </c>
      <c r="E15" s="5">
        <f t="shared" si="2"/>
        <v>-258.09000000000015</v>
      </c>
      <c r="F15" s="5">
        <v>10000</v>
      </c>
      <c r="G15" s="5">
        <f t="shared" si="3"/>
        <v>690000</v>
      </c>
      <c r="H15" s="5">
        <v>6452.99</v>
      </c>
      <c r="I15" s="5">
        <f t="shared" si="4"/>
        <v>698293.67000000016</v>
      </c>
    </row>
    <row r="16" spans="1:10" ht="14.5" x14ac:dyDescent="0.35">
      <c r="A16" s="6">
        <v>42133</v>
      </c>
      <c r="B16" s="5">
        <f t="shared" si="0"/>
        <v>38938.950000000012</v>
      </c>
      <c r="C16" s="5">
        <f>12167.67+5846.7+3200+55.93</f>
        <v>21270.3</v>
      </c>
      <c r="D16" s="5">
        <f t="shared" si="1"/>
        <v>-201114.21</v>
      </c>
      <c r="E16" s="5">
        <f t="shared" si="2"/>
        <v>-16.93999999999869</v>
      </c>
      <c r="F16" s="5"/>
      <c r="G16" s="5">
        <f t="shared" si="3"/>
        <v>690000</v>
      </c>
      <c r="H16" s="5">
        <v>4877.1899999999996</v>
      </c>
      <c r="I16" s="5">
        <f t="shared" si="4"/>
        <v>703170.8600000001</v>
      </c>
    </row>
    <row r="17" spans="1:9" ht="14.5" x14ac:dyDescent="0.35">
      <c r="A17" s="6">
        <v>42134</v>
      </c>
      <c r="B17" s="5">
        <f t="shared" si="0"/>
        <v>34061.760000000009</v>
      </c>
      <c r="C17" s="5">
        <v>16213.8</v>
      </c>
      <c r="D17" s="5">
        <f t="shared" si="1"/>
        <v>-201293.52</v>
      </c>
      <c r="E17" s="5">
        <f t="shared" si="2"/>
        <v>-179.31000000000131</v>
      </c>
      <c r="F17" s="5"/>
      <c r="G17" s="5">
        <f t="shared" si="3"/>
        <v>690000</v>
      </c>
      <c r="H17" s="5">
        <v>3557.5</v>
      </c>
      <c r="I17" s="5">
        <f t="shared" si="4"/>
        <v>706728.3600000001</v>
      </c>
    </row>
    <row r="18" spans="1:9" ht="14.5" x14ac:dyDescent="0.35">
      <c r="A18" s="6">
        <v>42135</v>
      </c>
      <c r="B18" s="5">
        <f t="shared" si="0"/>
        <v>30504.260000000009</v>
      </c>
      <c r="C18" s="5">
        <f>9252.2+1268.18+2020+55.32</f>
        <v>12595.7</v>
      </c>
      <c r="D18" s="5">
        <f t="shared" si="1"/>
        <v>-201354.12</v>
      </c>
      <c r="E18" s="5">
        <f t="shared" si="2"/>
        <v>-60.599999999998545</v>
      </c>
      <c r="F18" s="5">
        <v>10000</v>
      </c>
      <c r="G18" s="5">
        <f t="shared" si="3"/>
        <v>700000</v>
      </c>
      <c r="H18" s="5">
        <v>6351.87</v>
      </c>
      <c r="I18" s="5">
        <f t="shared" si="4"/>
        <v>713080.2300000001</v>
      </c>
    </row>
    <row r="19" spans="1:9" ht="14.5" x14ac:dyDescent="0.35">
      <c r="A19" s="6">
        <v>42136</v>
      </c>
      <c r="B19" s="5">
        <f t="shared" si="0"/>
        <v>34152.390000000014</v>
      </c>
      <c r="C19" s="5">
        <v>16231.43</v>
      </c>
      <c r="D19" s="5">
        <f t="shared" si="1"/>
        <v>-201366.52</v>
      </c>
      <c r="E19" s="5">
        <f t="shared" si="2"/>
        <v>-12.400000000001455</v>
      </c>
      <c r="F19" s="5">
        <v>10000</v>
      </c>
      <c r="G19" s="5">
        <f t="shared" si="3"/>
        <v>710000</v>
      </c>
      <c r="H19" s="5">
        <v>6919.11</v>
      </c>
      <c r="I19" s="5">
        <f t="shared" si="4"/>
        <v>719999.34000000008</v>
      </c>
    </row>
    <row r="20" spans="1:9" ht="14.5" x14ac:dyDescent="0.35">
      <c r="A20" s="6">
        <v>42137</v>
      </c>
      <c r="B20" s="5">
        <f t="shared" si="0"/>
        <v>37233.280000000013</v>
      </c>
      <c r="C20" s="5">
        <f>8536.8+6435+4316.67+55.93</f>
        <v>19344.400000000001</v>
      </c>
      <c r="D20" s="5">
        <f t="shared" si="1"/>
        <v>-201334.44</v>
      </c>
      <c r="E20" s="5">
        <f t="shared" si="2"/>
        <v>32.080000000001746</v>
      </c>
      <c r="F20" s="5">
        <v>10000</v>
      </c>
      <c r="G20" s="5">
        <f t="shared" si="3"/>
        <v>720000</v>
      </c>
      <c r="H20" s="5">
        <f>3300+2298.11+743.79</f>
        <v>6341.9000000000005</v>
      </c>
      <c r="I20" s="5">
        <f t="shared" si="4"/>
        <v>726341.24000000011</v>
      </c>
    </row>
    <row r="21" spans="1:9" ht="15.75" customHeight="1" x14ac:dyDescent="0.35">
      <c r="A21" s="6">
        <v>42138</v>
      </c>
      <c r="B21" s="5">
        <f t="shared" si="0"/>
        <v>40891.380000000012</v>
      </c>
      <c r="C21" s="5">
        <v>22675.03</v>
      </c>
      <c r="D21" s="5">
        <f t="shared" si="1"/>
        <v>-201661.91</v>
      </c>
      <c r="E21" s="5">
        <f t="shared" si="2"/>
        <v>-327.47000000000116</v>
      </c>
      <c r="F21" s="5">
        <v>10000</v>
      </c>
      <c r="G21" s="5">
        <f t="shared" si="3"/>
        <v>730000</v>
      </c>
      <c r="H21" s="5">
        <v>5882.37</v>
      </c>
      <c r="I21" s="5">
        <f t="shared" si="4"/>
        <v>732223.6100000001</v>
      </c>
    </row>
    <row r="22" spans="1:9" ht="15.75" customHeight="1" x14ac:dyDescent="0.35">
      <c r="A22" s="6">
        <v>42139</v>
      </c>
      <c r="B22" s="5">
        <f t="shared" si="0"/>
        <v>45009.010000000009</v>
      </c>
      <c r="C22" s="5">
        <v>26856.400000000001</v>
      </c>
      <c r="D22" s="5">
        <f t="shared" si="1"/>
        <v>-201598.17</v>
      </c>
      <c r="E22" s="5">
        <f t="shared" si="2"/>
        <v>63.740000000001601</v>
      </c>
      <c r="F22" s="5">
        <v>10000</v>
      </c>
      <c r="G22" s="5">
        <f t="shared" si="3"/>
        <v>740000</v>
      </c>
      <c r="H22" s="5">
        <v>5597.71</v>
      </c>
      <c r="I22" s="5">
        <f t="shared" si="4"/>
        <v>737821.32000000007</v>
      </c>
    </row>
    <row r="23" spans="1:9" ht="15.75" customHeight="1" x14ac:dyDescent="0.35">
      <c r="A23" s="6">
        <v>42140</v>
      </c>
      <c r="B23" s="5">
        <f t="shared" si="0"/>
        <v>49411.30000000001</v>
      </c>
      <c r="C23" s="5">
        <v>31125.200000000001</v>
      </c>
      <c r="D23" s="5">
        <f t="shared" si="1"/>
        <v>-201731.66</v>
      </c>
      <c r="E23" s="5">
        <f t="shared" si="2"/>
        <v>-133.48999999999796</v>
      </c>
      <c r="F23" s="5"/>
      <c r="G23" s="5">
        <f t="shared" si="3"/>
        <v>740000</v>
      </c>
      <c r="H23" s="5">
        <v>5865.86</v>
      </c>
      <c r="I23" s="5">
        <f t="shared" si="4"/>
        <v>743687.18</v>
      </c>
    </row>
    <row r="24" spans="1:9" ht="15.75" customHeight="1" x14ac:dyDescent="0.35">
      <c r="A24" s="6">
        <v>42141</v>
      </c>
      <c r="B24" s="5">
        <f t="shared" si="0"/>
        <v>43545.44000000001</v>
      </c>
      <c r="C24" s="5">
        <f>14344.4+4070.6+6545.5+55.93</f>
        <v>25016.43</v>
      </c>
      <c r="D24" s="5">
        <f t="shared" si="1"/>
        <v>-201974.57</v>
      </c>
      <c r="E24" s="5">
        <f t="shared" si="2"/>
        <v>-242.90999999999985</v>
      </c>
      <c r="F24" s="5"/>
      <c r="G24" s="5">
        <f t="shared" si="3"/>
        <v>740000</v>
      </c>
      <c r="H24" s="5">
        <f>3148+1264.66+399.9</f>
        <v>4812.5599999999995</v>
      </c>
      <c r="I24" s="5">
        <f t="shared" si="4"/>
        <v>748499.74000000011</v>
      </c>
    </row>
    <row r="25" spans="1:9" ht="15.75" customHeight="1" x14ac:dyDescent="0.35">
      <c r="A25" s="6">
        <v>42142</v>
      </c>
      <c r="B25" s="5">
        <f t="shared" si="0"/>
        <v>38732.880000000012</v>
      </c>
      <c r="C25" s="5">
        <f>13000+735.71+6118.18+54.24</f>
        <v>19908.13</v>
      </c>
      <c r="D25" s="5">
        <f t="shared" si="1"/>
        <v>-202270.31</v>
      </c>
      <c r="E25" s="5">
        <f t="shared" si="2"/>
        <v>-295.73999999999796</v>
      </c>
      <c r="F25" s="5">
        <v>10000</v>
      </c>
      <c r="G25" s="5">
        <f t="shared" si="3"/>
        <v>750000</v>
      </c>
      <c r="H25" s="5">
        <f>2791+2073.62+1389.93</f>
        <v>6254.55</v>
      </c>
      <c r="I25" s="5">
        <f t="shared" si="4"/>
        <v>754754.29000000015</v>
      </c>
    </row>
    <row r="26" spans="1:9" ht="15.75" customHeight="1" x14ac:dyDescent="0.35">
      <c r="A26" s="6">
        <v>42143</v>
      </c>
      <c r="B26" s="5">
        <f t="shared" si="0"/>
        <v>42478.330000000016</v>
      </c>
      <c r="C26" s="5">
        <f>14966.7+4082.4+4730.8+55.93</f>
        <v>23835.83</v>
      </c>
      <c r="D26" s="5">
        <f t="shared" si="1"/>
        <v>-202088.06</v>
      </c>
      <c r="E26" s="5">
        <f t="shared" si="2"/>
        <v>182.25</v>
      </c>
      <c r="F26" s="5">
        <v>10000</v>
      </c>
      <c r="G26" s="5">
        <f t="shared" si="3"/>
        <v>760000</v>
      </c>
      <c r="H26" s="5">
        <v>6121.32</v>
      </c>
      <c r="I26" s="5">
        <f t="shared" si="4"/>
        <v>760875.6100000001</v>
      </c>
    </row>
    <row r="27" spans="1:9" ht="15.75" customHeight="1" x14ac:dyDescent="0.35">
      <c r="A27" s="6">
        <v>42144</v>
      </c>
      <c r="B27" s="5">
        <f t="shared" si="0"/>
        <v>46357.010000000017</v>
      </c>
      <c r="C27" s="5">
        <f>17033.3+6923.5+3656+55.93</f>
        <v>27668.73</v>
      </c>
      <c r="D27" s="5">
        <f t="shared" si="1"/>
        <v>-202133.84</v>
      </c>
      <c r="E27" s="5">
        <f t="shared" si="2"/>
        <v>-45.779999999998836</v>
      </c>
      <c r="F27" s="5">
        <v>10000</v>
      </c>
      <c r="G27" s="5">
        <f t="shared" si="3"/>
        <v>770000</v>
      </c>
      <c r="H27" s="5">
        <f>3223+1841.55+1016.5</f>
        <v>6081.05</v>
      </c>
      <c r="I27" s="5">
        <f t="shared" si="4"/>
        <v>766956.66000000015</v>
      </c>
    </row>
    <row r="28" spans="1:9" ht="15.75" customHeight="1" x14ac:dyDescent="0.35">
      <c r="A28" s="6">
        <v>42145</v>
      </c>
      <c r="B28" s="5">
        <f t="shared" si="0"/>
        <v>50275.960000000014</v>
      </c>
      <c r="C28" s="5">
        <f>15111.11+7722.22+8581.82+55.93</f>
        <v>31471.08</v>
      </c>
      <c r="D28" s="5">
        <f t="shared" si="1"/>
        <v>-202250.44</v>
      </c>
      <c r="E28" s="5">
        <f t="shared" si="2"/>
        <v>-116.59999999999491</v>
      </c>
      <c r="F28" s="5">
        <v>10000</v>
      </c>
      <c r="G28" s="5">
        <f t="shared" si="3"/>
        <v>780000</v>
      </c>
      <c r="H28" s="5">
        <v>6342.26</v>
      </c>
      <c r="I28" s="5">
        <f t="shared" si="4"/>
        <v>773298.92000000016</v>
      </c>
    </row>
    <row r="29" spans="1:9" ht="15.75" customHeight="1" x14ac:dyDescent="0.35">
      <c r="A29" s="6">
        <v>42146</v>
      </c>
      <c r="B29" s="5">
        <f t="shared" si="0"/>
        <v>53933.700000000012</v>
      </c>
      <c r="C29" s="5">
        <v>35117.03</v>
      </c>
      <c r="D29" s="5">
        <f t="shared" si="1"/>
        <v>-202262.23</v>
      </c>
      <c r="E29" s="5">
        <f t="shared" si="2"/>
        <v>-11.790000000000873</v>
      </c>
      <c r="F29" s="5">
        <v>10000</v>
      </c>
      <c r="G29" s="5">
        <f t="shared" si="3"/>
        <v>790000</v>
      </c>
      <c r="H29" s="5">
        <f>2669+1841.3+887.4</f>
        <v>5397.7</v>
      </c>
      <c r="I29" s="5">
        <f t="shared" si="4"/>
        <v>778696.62000000011</v>
      </c>
    </row>
    <row r="30" spans="1:9" ht="15.75" customHeight="1" x14ac:dyDescent="0.35">
      <c r="A30" s="6">
        <v>42147</v>
      </c>
      <c r="B30" s="5">
        <f t="shared" si="0"/>
        <v>58536.000000000015</v>
      </c>
      <c r="C30" s="5">
        <f>19200+7544.4+12957.4+93.22</f>
        <v>39795.020000000004</v>
      </c>
      <c r="D30" s="5">
        <f t="shared" si="1"/>
        <v>-202186.54</v>
      </c>
      <c r="E30" s="5">
        <f t="shared" si="2"/>
        <v>75.690000000002328</v>
      </c>
      <c r="F30" s="5"/>
      <c r="G30" s="5">
        <f t="shared" si="3"/>
        <v>790000</v>
      </c>
      <c r="H30" s="5">
        <f>2365+1786+790.13</f>
        <v>4941.13</v>
      </c>
      <c r="I30" s="5">
        <f t="shared" si="4"/>
        <v>783637.75000000012</v>
      </c>
    </row>
    <row r="31" spans="1:9" ht="15.75" customHeight="1" x14ac:dyDescent="0.35">
      <c r="A31" s="6">
        <v>42148</v>
      </c>
      <c r="B31" s="5">
        <f t="shared" si="0"/>
        <v>53594.870000000017</v>
      </c>
      <c r="C31" s="5">
        <f>17436.4+5020+12153.85+55.93</f>
        <v>34666.18</v>
      </c>
      <c r="D31" s="5">
        <f t="shared" si="1"/>
        <v>-202374.25</v>
      </c>
      <c r="E31" s="5">
        <f t="shared" si="2"/>
        <v>-187.7100000000064</v>
      </c>
      <c r="F31" s="5"/>
      <c r="G31" s="5">
        <f t="shared" si="3"/>
        <v>790000</v>
      </c>
      <c r="H31" s="5">
        <f>2290+1335.32+585.55</f>
        <v>4210.87</v>
      </c>
      <c r="I31" s="5">
        <f t="shared" si="4"/>
        <v>787848.62000000011</v>
      </c>
    </row>
    <row r="32" spans="1:9" ht="15.75" customHeight="1" x14ac:dyDescent="0.35">
      <c r="A32" s="6">
        <v>42149</v>
      </c>
      <c r="B32" s="5">
        <f t="shared" si="0"/>
        <v>49384.000000000015</v>
      </c>
      <c r="C32" s="5">
        <v>30303.58</v>
      </c>
      <c r="D32" s="5">
        <f t="shared" si="1"/>
        <v>-202525.97999999998</v>
      </c>
      <c r="E32" s="5">
        <f t="shared" si="2"/>
        <v>-151.72999999999593</v>
      </c>
      <c r="F32" s="5"/>
      <c r="G32" s="5">
        <f t="shared" si="3"/>
        <v>790000</v>
      </c>
      <c r="H32" s="5">
        <v>5562.72</v>
      </c>
      <c r="I32" s="5">
        <f t="shared" si="4"/>
        <v>793411.34000000008</v>
      </c>
    </row>
    <row r="33" spans="1:11" ht="15.75" customHeight="1" x14ac:dyDescent="0.35">
      <c r="A33" s="6">
        <v>42150</v>
      </c>
      <c r="B33" s="5">
        <f t="shared" si="0"/>
        <v>43821.280000000013</v>
      </c>
      <c r="C33" s="5">
        <v>24256.83</v>
      </c>
      <c r="D33" s="5">
        <f t="shared" si="1"/>
        <v>-203010.00999999998</v>
      </c>
      <c r="E33" s="5">
        <f t="shared" si="2"/>
        <v>-484.02999999999884</v>
      </c>
      <c r="F33" s="5">
        <v>10000</v>
      </c>
      <c r="G33" s="5">
        <f t="shared" si="3"/>
        <v>800000</v>
      </c>
      <c r="H33" s="5">
        <v>7125.62</v>
      </c>
      <c r="I33" s="5">
        <f t="shared" si="4"/>
        <v>800536.96000000008</v>
      </c>
    </row>
    <row r="34" spans="1:11" ht="15.75" customHeight="1" x14ac:dyDescent="0.35">
      <c r="A34" s="6">
        <v>42151</v>
      </c>
      <c r="B34" s="5">
        <f t="shared" si="0"/>
        <v>46695.660000000011</v>
      </c>
      <c r="C34" s="5">
        <v>27231.48</v>
      </c>
      <c r="D34" s="5">
        <f t="shared" si="1"/>
        <v>-202909.74</v>
      </c>
      <c r="E34" s="5">
        <f t="shared" si="2"/>
        <v>100.2699999999968</v>
      </c>
      <c r="F34" s="5">
        <v>10000</v>
      </c>
      <c r="G34" s="5">
        <f t="shared" si="3"/>
        <v>810000</v>
      </c>
      <c r="H34" s="5">
        <v>5719.37</v>
      </c>
      <c r="I34" s="5">
        <f t="shared" si="4"/>
        <v>806256.33000000007</v>
      </c>
    </row>
    <row r="35" spans="1:11" ht="15.75" customHeight="1" x14ac:dyDescent="0.35">
      <c r="A35" s="6">
        <v>42152</v>
      </c>
      <c r="B35" s="5">
        <f t="shared" si="0"/>
        <v>50976.290000000008</v>
      </c>
      <c r="C35" s="5">
        <f>14778.9+6560+10181.8+55.93</f>
        <v>31576.63</v>
      </c>
      <c r="D35" s="5">
        <f t="shared" si="1"/>
        <v>-202845.22</v>
      </c>
      <c r="E35" s="5">
        <f t="shared" si="2"/>
        <v>64.520000000000437</v>
      </c>
      <c r="F35" s="5">
        <v>10000</v>
      </c>
      <c r="G35" s="5">
        <f t="shared" si="3"/>
        <v>820000</v>
      </c>
      <c r="H35" s="5">
        <v>6850.77</v>
      </c>
      <c r="I35" s="5">
        <f t="shared" si="4"/>
        <v>813107.10000000009</v>
      </c>
    </row>
    <row r="36" spans="1:11" ht="15.75" customHeight="1" x14ac:dyDescent="0.35">
      <c r="A36" s="6">
        <v>42153</v>
      </c>
      <c r="B36" s="5">
        <f t="shared" si="0"/>
        <v>54125.520000000004</v>
      </c>
      <c r="C36" s="5">
        <v>34769.5</v>
      </c>
      <c r="D36" s="5">
        <f t="shared" si="1"/>
        <v>-202801.58</v>
      </c>
      <c r="E36" s="5">
        <f t="shared" si="2"/>
        <v>43.640000000003056</v>
      </c>
      <c r="F36" s="5">
        <v>10000</v>
      </c>
      <c r="G36" s="5">
        <f t="shared" si="3"/>
        <v>830000</v>
      </c>
      <c r="H36" s="5">
        <v>5842.22</v>
      </c>
      <c r="I36" s="5">
        <f t="shared" si="4"/>
        <v>818949.32000000007</v>
      </c>
    </row>
    <row r="37" spans="1:11" ht="15.75" customHeight="1" x14ac:dyDescent="0.35">
      <c r="A37" s="6">
        <v>42154</v>
      </c>
      <c r="B37" s="5">
        <f t="shared" si="0"/>
        <v>58283.3</v>
      </c>
      <c r="C37" s="5">
        <v>38880.129999999997</v>
      </c>
      <c r="D37" s="5">
        <f t="shared" si="1"/>
        <v>-202848.72999999998</v>
      </c>
      <c r="E37" s="5">
        <f t="shared" si="2"/>
        <v>-47.150000000001455</v>
      </c>
      <c r="F37" s="5"/>
      <c r="G37" s="5">
        <f t="shared" si="3"/>
        <v>830000</v>
      </c>
      <c r="H37" s="5">
        <v>4922.0600000000004</v>
      </c>
      <c r="I37" s="5">
        <f t="shared" si="4"/>
        <v>823871.38000000012</v>
      </c>
    </row>
    <row r="38" spans="1:11" ht="15.75" customHeight="1" x14ac:dyDescent="0.35">
      <c r="A38" s="6">
        <v>42155</v>
      </c>
      <c r="B38" s="5">
        <f t="shared" si="0"/>
        <v>53361.240000000005</v>
      </c>
      <c r="C38" s="5">
        <v>33766.11</v>
      </c>
      <c r="D38" s="5">
        <f t="shared" si="1"/>
        <v>-203040.68999999997</v>
      </c>
      <c r="E38" s="5">
        <f t="shared" si="2"/>
        <v>-191.95999999999913</v>
      </c>
      <c r="F38" s="5"/>
      <c r="G38" s="5">
        <f t="shared" si="3"/>
        <v>830000</v>
      </c>
      <c r="H38" s="5">
        <f>2219+1048.33+438.23</f>
        <v>3705.56</v>
      </c>
      <c r="I38" s="5">
        <f t="shared" si="4"/>
        <v>827576.94000000018</v>
      </c>
    </row>
    <row r="39" spans="1:11" ht="15.75" customHeight="1" x14ac:dyDescent="0.35">
      <c r="A39" s="6">
        <v>42156</v>
      </c>
      <c r="B39" s="5">
        <f t="shared" si="0"/>
        <v>49655.680000000008</v>
      </c>
      <c r="C39" s="5">
        <v>29844.93</v>
      </c>
      <c r="D39" s="5">
        <f t="shared" si="1"/>
        <v>-203256.30999999997</v>
      </c>
      <c r="E39" s="5">
        <f t="shared" si="2"/>
        <v>-215.62000000000262</v>
      </c>
      <c r="F39" s="5"/>
      <c r="G39" s="5">
        <f t="shared" si="3"/>
        <v>830000</v>
      </c>
      <c r="H39" s="5">
        <v>5406.3119999999999</v>
      </c>
      <c r="I39" s="5">
        <f t="shared" si="4"/>
        <v>832983.25200000021</v>
      </c>
    </row>
    <row r="40" spans="1:11" ht="15.75" customHeight="1" x14ac:dyDescent="0.35">
      <c r="A40" s="5"/>
      <c r="B40" s="5"/>
      <c r="C40" s="5"/>
      <c r="D40" s="5"/>
      <c r="E40" s="5"/>
      <c r="F40" s="5"/>
      <c r="G40" s="5"/>
      <c r="H40" s="5"/>
      <c r="I40" s="5"/>
    </row>
    <row r="41" spans="1:11" ht="15.75" customHeight="1" x14ac:dyDescent="0.35">
      <c r="A41" s="5"/>
      <c r="B41" s="5"/>
      <c r="C41" s="5"/>
      <c r="D41" s="5"/>
      <c r="E41" s="5">
        <f>SUM(E8:E39)</f>
        <v>-2950.2199999999884</v>
      </c>
      <c r="F41" s="5"/>
      <c r="G41" s="5"/>
      <c r="H41" s="5"/>
      <c r="I41" s="5"/>
    </row>
    <row r="42" spans="1:11" ht="15.75" customHeight="1" x14ac:dyDescent="0.35">
      <c r="A42" s="5"/>
      <c r="B42" s="5"/>
      <c r="C42" s="5"/>
      <c r="D42" s="5"/>
      <c r="E42" s="5"/>
      <c r="F42" s="5"/>
      <c r="G42" s="5"/>
      <c r="H42" s="5"/>
      <c r="I42" s="7"/>
      <c r="J42" s="5"/>
      <c r="K42" s="5" t="s">
        <v>12</v>
      </c>
    </row>
    <row r="43" spans="1:11" ht="15.75" customHeight="1" x14ac:dyDescent="0.35">
      <c r="A43" s="5"/>
      <c r="B43" s="5"/>
      <c r="C43" s="5"/>
      <c r="D43" s="5"/>
      <c r="E43" s="5"/>
      <c r="F43" s="5">
        <v>160000</v>
      </c>
      <c r="G43" s="5"/>
      <c r="H43" s="5">
        <f>SUM(H8:H39)</f>
        <v>179977.00199999998</v>
      </c>
      <c r="I43" s="7"/>
      <c r="J43" s="5" t="s">
        <v>13</v>
      </c>
      <c r="K43" s="5">
        <f>5121.782</f>
        <v>5121.7820000000002</v>
      </c>
    </row>
    <row r="44" spans="1:11" ht="15.75" customHeight="1" x14ac:dyDescent="0.35">
      <c r="A44" s="5"/>
      <c r="B44" s="5"/>
      <c r="C44" s="5"/>
      <c r="D44" s="5"/>
      <c r="E44" s="5"/>
      <c r="F44" s="5"/>
      <c r="G44" s="5"/>
      <c r="H44" s="5"/>
      <c r="I44" s="7"/>
      <c r="J44" s="5" t="s">
        <v>14</v>
      </c>
      <c r="K44" s="5">
        <v>5601.1</v>
      </c>
    </row>
    <row r="45" spans="1:11" ht="15.75" customHeight="1" x14ac:dyDescent="0.35">
      <c r="A45" s="5"/>
      <c r="B45" s="5" t="s">
        <v>15</v>
      </c>
      <c r="C45" s="5"/>
      <c r="D45" s="5">
        <v>1.38</v>
      </c>
      <c r="E45" s="5"/>
      <c r="F45" s="5"/>
      <c r="G45" s="5"/>
      <c r="H45" s="5"/>
      <c r="I45" s="7"/>
      <c r="J45" s="5" t="s">
        <v>16</v>
      </c>
      <c r="K45" s="5">
        <v>5681.1</v>
      </c>
    </row>
    <row r="46" spans="1:11" ht="15.75" customHeight="1" x14ac:dyDescent="0.35">
      <c r="A46" s="5"/>
      <c r="B46" s="5" t="s">
        <v>17</v>
      </c>
      <c r="C46" s="5"/>
      <c r="D46" s="5">
        <f>AVERAGE(H8:H38)</f>
        <v>5631.3125806451608</v>
      </c>
      <c r="E46" s="5"/>
      <c r="F46" s="5"/>
      <c r="G46" s="5"/>
      <c r="H46" s="5"/>
      <c r="I46" s="7"/>
      <c r="J46" s="5" t="s">
        <v>18</v>
      </c>
      <c r="K46" s="5">
        <v>5608</v>
      </c>
    </row>
    <row r="47" spans="1:11" ht="15.75" customHeight="1" x14ac:dyDescent="0.35">
      <c r="J47" s="5" t="s">
        <v>19</v>
      </c>
      <c r="K47" s="5">
        <f>D46</f>
        <v>5631.3125806451608</v>
      </c>
    </row>
    <row r="48" spans="1:11" ht="15.75" customHeight="1" x14ac:dyDescent="0.35">
      <c r="J48" s="5" t="s">
        <v>20</v>
      </c>
      <c r="K48" s="5"/>
    </row>
    <row r="49" spans="10:11" ht="15.75" customHeight="1" x14ac:dyDescent="0.35">
      <c r="J49" s="5" t="s">
        <v>21</v>
      </c>
      <c r="K49" s="5"/>
    </row>
    <row r="50" spans="10:11" ht="15.75" customHeight="1" x14ac:dyDescent="0.35">
      <c r="J50" s="5" t="s">
        <v>22</v>
      </c>
      <c r="K50" s="5"/>
    </row>
    <row r="51" spans="10:11" ht="15.75" customHeight="1" x14ac:dyDescent="0.35">
      <c r="J51" s="5" t="s">
        <v>23</v>
      </c>
      <c r="K51" s="5"/>
    </row>
    <row r="52" spans="10:11" ht="15.75" customHeight="1" x14ac:dyDescent="0.35">
      <c r="J52" s="5" t="s">
        <v>24</v>
      </c>
      <c r="K52" s="5"/>
    </row>
    <row r="53" spans="10:11" ht="15.75" customHeight="1" x14ac:dyDescent="0.35">
      <c r="J53" s="5" t="s">
        <v>25</v>
      </c>
      <c r="K53" s="5"/>
    </row>
    <row r="54" spans="10:11" ht="15.75" customHeight="1" x14ac:dyDescent="0.35">
      <c r="J54" s="5" t="s">
        <v>26</v>
      </c>
      <c r="K54" s="5"/>
    </row>
    <row r="55" spans="10:11" ht="15.75" customHeight="1" x14ac:dyDescent="0.35"/>
    <row r="56" spans="10:11" ht="15.75" customHeight="1" x14ac:dyDescent="0.35"/>
    <row r="57" spans="10:11" ht="15.75" customHeight="1" x14ac:dyDescent="0.35"/>
    <row r="58" spans="10:11" ht="15.75" customHeight="1" x14ac:dyDescent="0.35"/>
    <row r="59" spans="10:11" ht="15.75" customHeight="1" x14ac:dyDescent="0.35"/>
    <row r="60" spans="10:11" ht="15.75" customHeight="1" x14ac:dyDescent="0.35"/>
    <row r="61" spans="10:11" ht="15.75" customHeight="1" x14ac:dyDescent="0.35"/>
    <row r="62" spans="10:11" ht="15.75" customHeight="1" x14ac:dyDescent="0.35"/>
    <row r="63" spans="10:11" ht="15.75" customHeight="1" x14ac:dyDescent="0.35"/>
    <row r="64" spans="10:1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scale="68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00"/>
  <sheetViews>
    <sheetView workbookViewId="0"/>
  </sheetViews>
  <sheetFormatPr defaultColWidth="14.453125" defaultRowHeight="15" customHeight="1" x14ac:dyDescent="0.35"/>
  <cols>
    <col min="1" max="1" width="15.453125" customWidth="1"/>
    <col min="2" max="2" width="16.08984375" customWidth="1"/>
    <col min="3" max="3" width="14.7265625" customWidth="1"/>
    <col min="4" max="4" width="18.08984375" customWidth="1"/>
    <col min="5" max="5" width="13" customWidth="1"/>
    <col min="6" max="6" width="14" customWidth="1"/>
    <col min="7" max="7" width="14.453125" customWidth="1"/>
    <col min="8" max="8" width="12.54296875" customWidth="1"/>
    <col min="9" max="9" width="14.453125" customWidth="1"/>
    <col min="10" max="26" width="8.7265625" customWidth="1"/>
  </cols>
  <sheetData>
    <row r="2" spans="1:9" ht="14.5" x14ac:dyDescent="0.35">
      <c r="D2" s="28" t="s">
        <v>1</v>
      </c>
      <c r="E2" s="29"/>
      <c r="F2" s="29"/>
      <c r="G2" s="29"/>
    </row>
    <row r="3" spans="1:9" ht="14.5" x14ac:dyDescent="0.35">
      <c r="A3" s="1"/>
      <c r="D3" s="30" t="s">
        <v>0</v>
      </c>
      <c r="E3" s="29"/>
      <c r="F3" s="29"/>
      <c r="G3" s="29"/>
    </row>
    <row r="4" spans="1:9" ht="14.5" x14ac:dyDescent="0.35">
      <c r="A4" s="9"/>
      <c r="B4" s="10"/>
      <c r="C4" s="10"/>
      <c r="D4" s="28" t="s">
        <v>29</v>
      </c>
      <c r="E4" s="29"/>
      <c r="F4" s="29"/>
      <c r="G4" s="29"/>
      <c r="H4" s="10"/>
      <c r="I4" s="10"/>
    </row>
    <row r="5" spans="1:9" ht="14.5" x14ac:dyDescent="0.35">
      <c r="A5" s="10"/>
      <c r="B5" s="10"/>
      <c r="C5" s="10"/>
      <c r="D5" s="10"/>
      <c r="E5" s="10"/>
      <c r="F5" s="10"/>
      <c r="G5" s="10"/>
      <c r="H5" s="10"/>
      <c r="I5" s="10"/>
    </row>
    <row r="6" spans="1:9" ht="14.5" x14ac:dyDescent="0.35">
      <c r="A6" s="11" t="s">
        <v>3</v>
      </c>
      <c r="B6" s="12" t="s">
        <v>30</v>
      </c>
      <c r="C6" s="12" t="s">
        <v>5</v>
      </c>
      <c r="D6" s="12" t="s">
        <v>31</v>
      </c>
      <c r="E6" s="12" t="s">
        <v>32</v>
      </c>
      <c r="F6" s="12" t="s">
        <v>8</v>
      </c>
      <c r="G6" s="12" t="s">
        <v>33</v>
      </c>
      <c r="H6" s="12" t="s">
        <v>10</v>
      </c>
      <c r="I6" s="13" t="s">
        <v>34</v>
      </c>
    </row>
    <row r="7" spans="1:9" ht="14.5" x14ac:dyDescent="0.35">
      <c r="A7" s="4"/>
      <c r="B7" s="5"/>
      <c r="C7" s="5"/>
      <c r="D7" s="5"/>
      <c r="E7" s="5"/>
      <c r="F7" s="5"/>
      <c r="G7" s="5"/>
      <c r="H7" s="5"/>
    </row>
    <row r="8" spans="1:9" ht="14.5" x14ac:dyDescent="0.35">
      <c r="A8" s="14">
        <v>42156</v>
      </c>
      <c r="B8" s="5">
        <v>49655.68</v>
      </c>
      <c r="C8" s="5">
        <v>29844.93</v>
      </c>
      <c r="D8" s="5">
        <v>-203256.03</v>
      </c>
      <c r="E8" s="5">
        <v>-215.62</v>
      </c>
      <c r="F8" s="5"/>
      <c r="G8" s="5">
        <v>830000</v>
      </c>
      <c r="H8" s="5">
        <v>5406.31</v>
      </c>
      <c r="I8" s="5">
        <v>832983</v>
      </c>
    </row>
    <row r="9" spans="1:9" ht="14.5" x14ac:dyDescent="0.35">
      <c r="A9" s="14">
        <v>42157</v>
      </c>
      <c r="B9" s="5">
        <f t="shared" ref="B9:B38" si="0">B8-H8+F8</f>
        <v>44249.37</v>
      </c>
      <c r="C9" s="5">
        <v>24103.73</v>
      </c>
      <c r="D9" s="5">
        <f t="shared" ref="D9:D38" si="1">D8+E9</f>
        <v>-203590.91999999998</v>
      </c>
      <c r="E9" s="5">
        <f t="shared" ref="E9:E38" si="2">C9+H8-C8-F8</f>
        <v>-334.88999999999942</v>
      </c>
      <c r="F9" s="5"/>
      <c r="G9" s="5">
        <f t="shared" ref="G9:G38" si="3">G8+F9</f>
        <v>830000</v>
      </c>
      <c r="H9" s="5">
        <v>6971.26</v>
      </c>
      <c r="I9" s="5">
        <f t="shared" ref="I9:I38" si="4">I8++H9</f>
        <v>839954.26</v>
      </c>
    </row>
    <row r="10" spans="1:9" ht="14.5" x14ac:dyDescent="0.35">
      <c r="A10" s="14">
        <v>42158</v>
      </c>
      <c r="B10" s="5">
        <f t="shared" si="0"/>
        <v>37278.11</v>
      </c>
      <c r="C10" s="5">
        <v>16727.37</v>
      </c>
      <c r="D10" s="5">
        <f t="shared" si="1"/>
        <v>-203996.02</v>
      </c>
      <c r="E10" s="5">
        <f t="shared" si="2"/>
        <v>-405.10000000000218</v>
      </c>
      <c r="F10" s="5">
        <v>10000</v>
      </c>
      <c r="G10" s="5">
        <f t="shared" si="3"/>
        <v>840000</v>
      </c>
      <c r="H10" s="5">
        <v>8070.08</v>
      </c>
      <c r="I10" s="5">
        <f t="shared" si="4"/>
        <v>848024.34</v>
      </c>
    </row>
    <row r="11" spans="1:9" ht="14.5" x14ac:dyDescent="0.35">
      <c r="A11" s="14">
        <v>42159</v>
      </c>
      <c r="B11" s="5">
        <f t="shared" si="0"/>
        <v>39208.03</v>
      </c>
      <c r="C11" s="5">
        <f>8070.6+3756.25+7163.6+58.12</f>
        <v>19048.57</v>
      </c>
      <c r="D11" s="5">
        <f t="shared" si="1"/>
        <v>-203604.74</v>
      </c>
      <c r="E11" s="5">
        <f t="shared" si="2"/>
        <v>391.28000000000247</v>
      </c>
      <c r="F11" s="5">
        <v>10000</v>
      </c>
      <c r="G11" s="5">
        <f t="shared" si="3"/>
        <v>850000</v>
      </c>
      <c r="H11" s="5">
        <v>6634.59</v>
      </c>
      <c r="I11" s="5">
        <f t="shared" si="4"/>
        <v>854658.92999999993</v>
      </c>
    </row>
    <row r="12" spans="1:9" ht="14.5" x14ac:dyDescent="0.35">
      <c r="A12" s="14">
        <v>42160</v>
      </c>
      <c r="B12" s="5">
        <f t="shared" si="0"/>
        <v>42573.440000000002</v>
      </c>
      <c r="C12" s="5">
        <v>22419.82</v>
      </c>
      <c r="D12" s="5">
        <f t="shared" si="1"/>
        <v>-203598.9</v>
      </c>
      <c r="E12" s="5">
        <f t="shared" si="2"/>
        <v>5.8400000000001455</v>
      </c>
      <c r="F12" s="5">
        <v>10000</v>
      </c>
      <c r="G12" s="5">
        <f t="shared" si="3"/>
        <v>860000</v>
      </c>
      <c r="H12" s="5">
        <f>3301+2252.26+1121.45</f>
        <v>6674.71</v>
      </c>
      <c r="I12" s="5">
        <f t="shared" si="4"/>
        <v>861333.6399999999</v>
      </c>
    </row>
    <row r="13" spans="1:9" ht="14.5" x14ac:dyDescent="0.35">
      <c r="A13" s="14">
        <v>42161</v>
      </c>
      <c r="B13" s="5">
        <f t="shared" si="0"/>
        <v>45898.73</v>
      </c>
      <c r="C13" s="5">
        <f>12066.7+7152.94+6352+55.93</f>
        <v>25627.57</v>
      </c>
      <c r="D13" s="5">
        <f t="shared" si="1"/>
        <v>-203716.44</v>
      </c>
      <c r="E13" s="5">
        <f t="shared" si="2"/>
        <v>-117.54000000000087</v>
      </c>
      <c r="F13" s="5"/>
      <c r="G13" s="5">
        <f t="shared" si="3"/>
        <v>860000</v>
      </c>
      <c r="H13" s="5">
        <v>5759.11</v>
      </c>
      <c r="I13" s="5">
        <f t="shared" si="4"/>
        <v>867092.74999999988</v>
      </c>
    </row>
    <row r="14" spans="1:9" ht="14.5" x14ac:dyDescent="0.35">
      <c r="A14" s="14">
        <v>42162</v>
      </c>
      <c r="B14" s="5">
        <f t="shared" si="0"/>
        <v>40139.620000000003</v>
      </c>
      <c r="C14" s="5">
        <v>19546.53</v>
      </c>
      <c r="D14" s="5">
        <f t="shared" si="1"/>
        <v>-204038.37</v>
      </c>
      <c r="E14" s="5">
        <f t="shared" si="2"/>
        <v>-321.93000000000029</v>
      </c>
      <c r="F14" s="5"/>
      <c r="G14" s="5">
        <f t="shared" si="3"/>
        <v>860000</v>
      </c>
      <c r="H14" s="5">
        <f>2393+290.92+1528.05</f>
        <v>4211.97</v>
      </c>
      <c r="I14" s="5">
        <f t="shared" si="4"/>
        <v>871304.71999999986</v>
      </c>
    </row>
    <row r="15" spans="1:9" ht="14.5" x14ac:dyDescent="0.35">
      <c r="A15" s="14">
        <v>42163</v>
      </c>
      <c r="B15" s="5">
        <f t="shared" si="0"/>
        <v>35927.65</v>
      </c>
      <c r="C15" s="5">
        <v>15282.23</v>
      </c>
      <c r="D15" s="5">
        <f t="shared" si="1"/>
        <v>-204090.69999999998</v>
      </c>
      <c r="E15" s="5">
        <f t="shared" si="2"/>
        <v>-52.329999999998108</v>
      </c>
      <c r="F15" s="5">
        <v>10000</v>
      </c>
      <c r="G15" s="5">
        <f t="shared" si="3"/>
        <v>870000</v>
      </c>
      <c r="H15" s="5">
        <v>7212.73</v>
      </c>
      <c r="I15" s="5">
        <f t="shared" si="4"/>
        <v>878517.44999999984</v>
      </c>
    </row>
    <row r="16" spans="1:9" ht="14.5" x14ac:dyDescent="0.35">
      <c r="A16" s="14">
        <v>42164</v>
      </c>
      <c r="B16" s="5">
        <f t="shared" si="0"/>
        <v>38714.92</v>
      </c>
      <c r="C16" s="5">
        <v>18224.189999999999</v>
      </c>
      <c r="D16" s="5">
        <f t="shared" si="1"/>
        <v>-203936.00999999998</v>
      </c>
      <c r="E16" s="5">
        <f t="shared" si="2"/>
        <v>154.68999999999869</v>
      </c>
      <c r="F16" s="5"/>
      <c r="G16" s="5">
        <f t="shared" si="3"/>
        <v>870000</v>
      </c>
      <c r="H16" s="5">
        <f>3382+2177.41+1573.5</f>
        <v>7132.91</v>
      </c>
      <c r="I16" s="5">
        <f t="shared" si="4"/>
        <v>885650.35999999987</v>
      </c>
    </row>
    <row r="17" spans="1:9" ht="14.5" x14ac:dyDescent="0.35">
      <c r="A17" s="14">
        <v>42165</v>
      </c>
      <c r="B17" s="5">
        <f t="shared" si="0"/>
        <v>31582.01</v>
      </c>
      <c r="C17" s="5">
        <f>5350+4700+900+55.93</f>
        <v>11005.93</v>
      </c>
      <c r="D17" s="5">
        <f t="shared" si="1"/>
        <v>-204021.36</v>
      </c>
      <c r="E17" s="5">
        <f t="shared" si="2"/>
        <v>-85.349999999998545</v>
      </c>
      <c r="F17" s="5">
        <v>20000</v>
      </c>
      <c r="G17" s="5">
        <f t="shared" si="3"/>
        <v>890000</v>
      </c>
      <c r="H17" s="5">
        <v>6591.16</v>
      </c>
      <c r="I17" s="5">
        <f t="shared" si="4"/>
        <v>892241.5199999999</v>
      </c>
    </row>
    <row r="18" spans="1:9" ht="14.5" x14ac:dyDescent="0.35">
      <c r="A18" s="14">
        <v>42166</v>
      </c>
      <c r="B18" s="5">
        <f t="shared" si="0"/>
        <v>44990.85</v>
      </c>
      <c r="C18" s="5">
        <f>7470.6+7223.1+9338.5+55.96</f>
        <v>24088.16</v>
      </c>
      <c r="D18" s="5">
        <f t="shared" si="1"/>
        <v>-204347.96999999997</v>
      </c>
      <c r="E18" s="5">
        <f t="shared" si="2"/>
        <v>-326.61000000000058</v>
      </c>
      <c r="F18" s="5"/>
      <c r="G18" s="5">
        <f t="shared" si="3"/>
        <v>890000</v>
      </c>
      <c r="H18" s="5">
        <v>6410.03</v>
      </c>
      <c r="I18" s="5">
        <f t="shared" si="4"/>
        <v>898651.54999999993</v>
      </c>
    </row>
    <row r="19" spans="1:9" ht="14.5" x14ac:dyDescent="0.35">
      <c r="A19" s="14">
        <v>42167</v>
      </c>
      <c r="B19" s="5">
        <f t="shared" si="0"/>
        <v>38580.82</v>
      </c>
      <c r="C19" s="5">
        <v>17384.400000000001</v>
      </c>
      <c r="D19" s="5">
        <f t="shared" si="1"/>
        <v>-204641.69999999998</v>
      </c>
      <c r="E19" s="5">
        <f t="shared" si="2"/>
        <v>-293.72999999999956</v>
      </c>
      <c r="F19" s="5">
        <v>20000</v>
      </c>
      <c r="G19" s="5">
        <f t="shared" si="3"/>
        <v>910000</v>
      </c>
      <c r="H19" s="5">
        <v>5688.12</v>
      </c>
      <c r="I19" s="5">
        <f t="shared" si="4"/>
        <v>904339.66999999993</v>
      </c>
    </row>
    <row r="20" spans="1:9" ht="14.5" x14ac:dyDescent="0.35">
      <c r="A20" s="14">
        <v>42168</v>
      </c>
      <c r="B20" s="5">
        <f t="shared" si="0"/>
        <v>52892.7</v>
      </c>
      <c r="C20" s="5">
        <v>31842.23</v>
      </c>
      <c r="D20" s="5">
        <f t="shared" si="1"/>
        <v>-204495.75</v>
      </c>
      <c r="E20" s="5">
        <f t="shared" si="2"/>
        <v>145.94999999999709</v>
      </c>
      <c r="F20" s="5"/>
      <c r="G20" s="5">
        <f t="shared" si="3"/>
        <v>910000</v>
      </c>
      <c r="H20" s="5">
        <v>5462.13</v>
      </c>
      <c r="I20" s="5">
        <f t="shared" si="4"/>
        <v>909801.79999999993</v>
      </c>
    </row>
    <row r="21" spans="1:9" ht="15.75" customHeight="1" x14ac:dyDescent="0.35">
      <c r="A21" s="14">
        <v>42169</v>
      </c>
      <c r="B21" s="5">
        <f t="shared" si="0"/>
        <v>47430.57</v>
      </c>
      <c r="C21" s="5">
        <v>26146.63</v>
      </c>
      <c r="D21" s="5">
        <f t="shared" si="1"/>
        <v>-204729.22</v>
      </c>
      <c r="E21" s="5">
        <f t="shared" si="2"/>
        <v>-233.46999999999753</v>
      </c>
      <c r="F21" s="5"/>
      <c r="G21" s="5">
        <f t="shared" si="3"/>
        <v>910000</v>
      </c>
      <c r="H21" s="5">
        <v>4438.3</v>
      </c>
      <c r="I21" s="5">
        <f t="shared" si="4"/>
        <v>914240.1</v>
      </c>
    </row>
    <row r="22" spans="1:9" ht="15.75" customHeight="1" x14ac:dyDescent="0.35">
      <c r="A22" s="14">
        <v>42170</v>
      </c>
      <c r="B22" s="5">
        <f t="shared" si="0"/>
        <v>42992.27</v>
      </c>
      <c r="C22" s="5">
        <v>21491.83</v>
      </c>
      <c r="D22" s="5">
        <f t="shared" si="1"/>
        <v>-204945.72</v>
      </c>
      <c r="E22" s="5">
        <f t="shared" si="2"/>
        <v>-216.5</v>
      </c>
      <c r="F22" s="5">
        <v>10000</v>
      </c>
      <c r="G22" s="5">
        <f t="shared" si="3"/>
        <v>920000</v>
      </c>
      <c r="H22" s="5">
        <v>6739.55</v>
      </c>
      <c r="I22" s="5">
        <f t="shared" si="4"/>
        <v>920979.65</v>
      </c>
    </row>
    <row r="23" spans="1:9" ht="15.75" customHeight="1" x14ac:dyDescent="0.35">
      <c r="A23" s="14">
        <v>42171</v>
      </c>
      <c r="B23" s="5">
        <f t="shared" si="0"/>
        <v>46252.719999999994</v>
      </c>
      <c r="C23" s="5">
        <v>25033.031999999999</v>
      </c>
      <c r="D23" s="5">
        <f t="shared" si="1"/>
        <v>-204664.96799999999</v>
      </c>
      <c r="E23" s="5">
        <f t="shared" si="2"/>
        <v>280.75199999999677</v>
      </c>
      <c r="F23" s="5"/>
      <c r="G23" s="5">
        <f t="shared" si="3"/>
        <v>920000</v>
      </c>
      <c r="H23" s="5">
        <v>7135.45</v>
      </c>
      <c r="I23" s="5">
        <f t="shared" si="4"/>
        <v>928115.1</v>
      </c>
    </row>
    <row r="24" spans="1:9" ht="15.75" customHeight="1" x14ac:dyDescent="0.35">
      <c r="A24" s="14">
        <v>42172</v>
      </c>
      <c r="B24" s="5">
        <f t="shared" si="0"/>
        <v>39117.269999999997</v>
      </c>
      <c r="C24" s="5">
        <v>17541.23</v>
      </c>
      <c r="D24" s="5">
        <f t="shared" si="1"/>
        <v>-205021.32</v>
      </c>
      <c r="E24" s="5">
        <f t="shared" si="2"/>
        <v>-356.35199999999895</v>
      </c>
      <c r="F24" s="5">
        <v>10000</v>
      </c>
      <c r="G24" s="5">
        <f t="shared" si="3"/>
        <v>930000</v>
      </c>
      <c r="H24" s="5">
        <f>3516+1804.3+1273.15</f>
        <v>6593.4500000000007</v>
      </c>
      <c r="I24" s="5">
        <f t="shared" si="4"/>
        <v>934708.54999999993</v>
      </c>
    </row>
    <row r="25" spans="1:9" ht="15.75" customHeight="1" x14ac:dyDescent="0.35">
      <c r="A25" s="14">
        <v>42173</v>
      </c>
      <c r="B25" s="5">
        <f t="shared" si="0"/>
        <v>42523.819999999992</v>
      </c>
      <c r="C25" s="5">
        <f>9000+7926.32+4125+55.93</f>
        <v>21107.25</v>
      </c>
      <c r="D25" s="5">
        <f t="shared" si="1"/>
        <v>-204861.85</v>
      </c>
      <c r="E25" s="5">
        <f t="shared" si="2"/>
        <v>159.47000000000116</v>
      </c>
      <c r="F25" s="5">
        <v>10000</v>
      </c>
      <c r="G25" s="5">
        <f t="shared" si="3"/>
        <v>940000</v>
      </c>
      <c r="H25" s="5">
        <v>6321.86</v>
      </c>
      <c r="I25" s="5">
        <f t="shared" si="4"/>
        <v>941030.40999999992</v>
      </c>
    </row>
    <row r="26" spans="1:9" ht="15.75" customHeight="1" x14ac:dyDescent="0.35">
      <c r="A26" s="14">
        <v>42174</v>
      </c>
      <c r="B26" s="5">
        <f t="shared" si="0"/>
        <v>46201.959999999992</v>
      </c>
      <c r="C26" s="5">
        <v>24577.4</v>
      </c>
      <c r="D26" s="5">
        <f t="shared" si="1"/>
        <v>-205069.84</v>
      </c>
      <c r="E26" s="5">
        <f t="shared" si="2"/>
        <v>-207.98999999999796</v>
      </c>
      <c r="F26" s="5">
        <v>10000</v>
      </c>
      <c r="G26" s="5">
        <f t="shared" si="3"/>
        <v>950000</v>
      </c>
      <c r="H26" s="5">
        <v>5769.95</v>
      </c>
      <c r="I26" s="5">
        <f t="shared" si="4"/>
        <v>946800.35999999987</v>
      </c>
    </row>
    <row r="27" spans="1:9" ht="15.75" customHeight="1" x14ac:dyDescent="0.35">
      <c r="A27" s="14">
        <v>42175</v>
      </c>
      <c r="B27" s="5">
        <f t="shared" si="0"/>
        <v>50432.009999999995</v>
      </c>
      <c r="C27" s="5">
        <f>13050+8100+7730.43+55.93</f>
        <v>28936.36</v>
      </c>
      <c r="D27" s="5">
        <f t="shared" si="1"/>
        <v>-204940.93</v>
      </c>
      <c r="E27" s="5">
        <f t="shared" si="2"/>
        <v>128.90999999999622</v>
      </c>
      <c r="F27" s="5"/>
      <c r="G27" s="5">
        <f t="shared" si="3"/>
        <v>950000</v>
      </c>
      <c r="H27" s="5">
        <v>5036.6899999999996</v>
      </c>
      <c r="I27" s="5">
        <f t="shared" si="4"/>
        <v>951837.04999999981</v>
      </c>
    </row>
    <row r="28" spans="1:9" ht="15.75" customHeight="1" x14ac:dyDescent="0.35">
      <c r="A28" s="14">
        <v>42176</v>
      </c>
      <c r="B28" s="5">
        <f t="shared" si="0"/>
        <v>45395.319999999992</v>
      </c>
      <c r="C28" s="5">
        <v>23697.200000000001</v>
      </c>
      <c r="D28" s="5">
        <f t="shared" si="1"/>
        <v>-205143.4</v>
      </c>
      <c r="E28" s="5">
        <f t="shared" si="2"/>
        <v>-202.47000000000116</v>
      </c>
      <c r="F28" s="5"/>
      <c r="G28" s="5">
        <f t="shared" si="3"/>
        <v>950000</v>
      </c>
      <c r="H28" s="5">
        <v>4055.9</v>
      </c>
      <c r="I28" s="5">
        <f t="shared" si="4"/>
        <v>955892.94999999984</v>
      </c>
    </row>
    <row r="29" spans="1:9" ht="15.75" customHeight="1" x14ac:dyDescent="0.35">
      <c r="A29" s="14">
        <v>42177</v>
      </c>
      <c r="B29" s="5">
        <f t="shared" si="0"/>
        <v>41339.419999999991</v>
      </c>
      <c r="C29" s="5">
        <v>19459</v>
      </c>
      <c r="D29" s="5">
        <f t="shared" si="1"/>
        <v>-205325.69999999998</v>
      </c>
      <c r="E29" s="5">
        <f t="shared" si="2"/>
        <v>-182.29999999999927</v>
      </c>
      <c r="F29" s="5">
        <v>10000</v>
      </c>
      <c r="G29" s="5">
        <f t="shared" si="3"/>
        <v>960000</v>
      </c>
      <c r="H29" s="5">
        <v>6746.71</v>
      </c>
      <c r="I29" s="5">
        <f t="shared" si="4"/>
        <v>962639.6599999998</v>
      </c>
    </row>
    <row r="30" spans="1:9" ht="15.75" customHeight="1" x14ac:dyDescent="0.35">
      <c r="A30" s="14">
        <v>42178</v>
      </c>
      <c r="B30" s="5">
        <f t="shared" si="0"/>
        <v>44592.709999999992</v>
      </c>
      <c r="C30" s="5">
        <v>22851.33</v>
      </c>
      <c r="D30" s="5">
        <f t="shared" si="1"/>
        <v>-205186.65999999997</v>
      </c>
      <c r="E30" s="5">
        <f t="shared" si="2"/>
        <v>139.04000000000087</v>
      </c>
      <c r="F30" s="5">
        <v>10000</v>
      </c>
      <c r="G30" s="5">
        <f t="shared" si="3"/>
        <v>970000</v>
      </c>
      <c r="H30" s="5">
        <v>6761.97</v>
      </c>
      <c r="I30" s="5">
        <f t="shared" si="4"/>
        <v>969401.62999999977</v>
      </c>
    </row>
    <row r="31" spans="1:9" ht="15.75" customHeight="1" x14ac:dyDescent="0.35">
      <c r="A31" s="14">
        <v>42179</v>
      </c>
      <c r="B31" s="5">
        <f t="shared" si="0"/>
        <v>47830.739999999991</v>
      </c>
      <c r="C31" s="5">
        <v>26212.43</v>
      </c>
      <c r="D31" s="5">
        <f t="shared" si="1"/>
        <v>-205063.58999999997</v>
      </c>
      <c r="E31" s="5">
        <f t="shared" si="2"/>
        <v>123.06999999999971</v>
      </c>
      <c r="F31" s="5">
        <v>10000</v>
      </c>
      <c r="G31" s="5">
        <f t="shared" si="3"/>
        <v>980000</v>
      </c>
      <c r="H31" s="5">
        <v>6623.56</v>
      </c>
      <c r="I31" s="5">
        <f t="shared" si="4"/>
        <v>976025.18999999983</v>
      </c>
    </row>
    <row r="32" spans="1:9" ht="15.75" customHeight="1" x14ac:dyDescent="0.35">
      <c r="A32" s="14">
        <v>42180</v>
      </c>
      <c r="B32" s="5">
        <f t="shared" si="0"/>
        <v>51207.179999999993</v>
      </c>
      <c r="C32" s="5">
        <v>29511.34</v>
      </c>
      <c r="D32" s="5">
        <f t="shared" si="1"/>
        <v>-205141.11999999997</v>
      </c>
      <c r="E32" s="5">
        <f t="shared" si="2"/>
        <v>-77.529999999998836</v>
      </c>
      <c r="F32" s="5">
        <v>10000</v>
      </c>
      <c r="G32" s="5">
        <f t="shared" si="3"/>
        <v>990000</v>
      </c>
      <c r="H32" s="5">
        <v>6089.86</v>
      </c>
      <c r="I32" s="5">
        <f t="shared" si="4"/>
        <v>982115.04999999981</v>
      </c>
    </row>
    <row r="33" spans="1:9" ht="15.75" customHeight="1" x14ac:dyDescent="0.35">
      <c r="A33" s="14">
        <v>42181</v>
      </c>
      <c r="B33" s="5">
        <f t="shared" si="0"/>
        <v>55117.319999999992</v>
      </c>
      <c r="C33" s="5">
        <f>16950+7528.24+8750+55.93</f>
        <v>33284.17</v>
      </c>
      <c r="D33" s="5">
        <f t="shared" si="1"/>
        <v>-205278.42999999996</v>
      </c>
      <c r="E33" s="5">
        <f t="shared" si="2"/>
        <v>-137.31000000000131</v>
      </c>
      <c r="F33" s="5">
        <v>10000</v>
      </c>
      <c r="G33" s="5">
        <f t="shared" si="3"/>
        <v>1000000</v>
      </c>
      <c r="H33" s="5">
        <v>6221.16</v>
      </c>
      <c r="I33" s="5">
        <f t="shared" si="4"/>
        <v>988336.20999999985</v>
      </c>
    </row>
    <row r="34" spans="1:9" ht="15.75" customHeight="1" x14ac:dyDescent="0.35">
      <c r="A34" s="14">
        <v>42182</v>
      </c>
      <c r="B34" s="5">
        <f t="shared" si="0"/>
        <v>58896.159999999989</v>
      </c>
      <c r="C34" s="5">
        <v>37059.93</v>
      </c>
      <c r="D34" s="5">
        <f t="shared" si="1"/>
        <v>-205281.50999999995</v>
      </c>
      <c r="E34" s="5">
        <f t="shared" si="2"/>
        <v>-3.0800000000017462</v>
      </c>
      <c r="F34" s="5"/>
      <c r="G34" s="5">
        <f t="shared" si="3"/>
        <v>1000000</v>
      </c>
      <c r="H34" s="5">
        <v>5213.3599999999997</v>
      </c>
      <c r="I34" s="5">
        <f t="shared" si="4"/>
        <v>993549.56999999983</v>
      </c>
    </row>
    <row r="35" spans="1:9" ht="15.75" customHeight="1" x14ac:dyDescent="0.35">
      <c r="A35" s="14">
        <v>42183</v>
      </c>
      <c r="B35" s="5">
        <f t="shared" si="0"/>
        <v>53682.799999999988</v>
      </c>
      <c r="C35" s="5">
        <v>31647.23</v>
      </c>
      <c r="D35" s="5">
        <f t="shared" si="1"/>
        <v>-205480.84999999995</v>
      </c>
      <c r="E35" s="5">
        <f t="shared" si="2"/>
        <v>-199.34000000000378</v>
      </c>
      <c r="F35" s="5"/>
      <c r="G35" s="5">
        <f t="shared" si="3"/>
        <v>1000000</v>
      </c>
      <c r="H35" s="5">
        <v>4507.2</v>
      </c>
      <c r="I35" s="5">
        <f t="shared" si="4"/>
        <v>998056.76999999979</v>
      </c>
    </row>
    <row r="36" spans="1:9" ht="15.75" customHeight="1" x14ac:dyDescent="0.35">
      <c r="A36" s="14">
        <v>42184</v>
      </c>
      <c r="B36" s="5">
        <f t="shared" si="0"/>
        <v>49175.599999999991</v>
      </c>
      <c r="C36" s="5">
        <v>26914.03</v>
      </c>
      <c r="D36" s="5">
        <f t="shared" si="1"/>
        <v>-205706.84999999995</v>
      </c>
      <c r="E36" s="5">
        <f t="shared" si="2"/>
        <v>-226</v>
      </c>
      <c r="F36" s="5">
        <v>10000</v>
      </c>
      <c r="G36" s="5">
        <f t="shared" si="3"/>
        <v>1010000</v>
      </c>
      <c r="H36" s="5">
        <f>3395+1912.43+1280.43</f>
        <v>6587.8600000000006</v>
      </c>
      <c r="I36" s="5">
        <f t="shared" si="4"/>
        <v>1004644.6299999998</v>
      </c>
    </row>
    <row r="37" spans="1:9" ht="15.75" customHeight="1" x14ac:dyDescent="0.35">
      <c r="A37" s="14">
        <v>42185</v>
      </c>
      <c r="B37" s="5">
        <f t="shared" si="0"/>
        <v>52587.739999999991</v>
      </c>
      <c r="C37" s="5">
        <v>30453.18</v>
      </c>
      <c r="D37" s="5">
        <f t="shared" si="1"/>
        <v>-205579.83999999994</v>
      </c>
      <c r="E37" s="5">
        <f t="shared" si="2"/>
        <v>127.01000000000204</v>
      </c>
      <c r="F37" s="5"/>
      <c r="G37" s="5">
        <f t="shared" si="3"/>
        <v>1010000</v>
      </c>
      <c r="H37" s="5">
        <f>4196+2087.62+1165.28</f>
        <v>7448.9</v>
      </c>
      <c r="I37" s="5">
        <f t="shared" si="4"/>
        <v>1012093.5299999998</v>
      </c>
    </row>
    <row r="38" spans="1:9" ht="15.75" customHeight="1" x14ac:dyDescent="0.35">
      <c r="A38" s="14">
        <v>42186</v>
      </c>
      <c r="B38" s="5">
        <f t="shared" si="0"/>
        <v>45138.839999999989</v>
      </c>
      <c r="C38" s="5">
        <f>15718+1485+5476.9+62.71</f>
        <v>22742.61</v>
      </c>
      <c r="D38" s="5">
        <f t="shared" si="1"/>
        <v>-205841.50999999995</v>
      </c>
      <c r="E38" s="5">
        <f t="shared" si="2"/>
        <v>-261.66999999999825</v>
      </c>
      <c r="F38" s="5"/>
      <c r="G38" s="5">
        <f t="shared" si="3"/>
        <v>1010000</v>
      </c>
      <c r="H38" s="5"/>
      <c r="I38" s="5">
        <f t="shared" si="4"/>
        <v>1012093.5299999998</v>
      </c>
    </row>
    <row r="39" spans="1:9" ht="15.75" customHeight="1" x14ac:dyDescent="0.35">
      <c r="A39" s="15" t="s">
        <v>35</v>
      </c>
      <c r="B39" s="5"/>
      <c r="C39" s="5"/>
      <c r="D39" s="5"/>
      <c r="E39" s="16">
        <f>SUM(E8:E38)</f>
        <v>-2801.1000000000031</v>
      </c>
      <c r="F39" s="16">
        <v>160000</v>
      </c>
      <c r="G39" s="16"/>
      <c r="H39" s="16">
        <f>SUM(H8:H38)</f>
        <v>184516.84</v>
      </c>
      <c r="I39" s="5"/>
    </row>
    <row r="40" spans="1:9" ht="15.75" customHeight="1" x14ac:dyDescent="0.35">
      <c r="A40" s="5" t="s">
        <v>36</v>
      </c>
      <c r="B40" s="5"/>
      <c r="C40" s="5"/>
      <c r="D40" s="5"/>
      <c r="E40" s="5">
        <f>AVERAGE(E8:E37)</f>
        <v>-84.647666666666822</v>
      </c>
      <c r="F40" s="5"/>
      <c r="G40" s="5"/>
      <c r="H40" s="5">
        <f>AVERAGE(H8:H38)</f>
        <v>6150.5613333333331</v>
      </c>
      <c r="I40" s="7"/>
    </row>
    <row r="41" spans="1:9" ht="15.75" customHeight="1" x14ac:dyDescent="0.35">
      <c r="H41" s="5"/>
      <c r="I41" s="5" t="s">
        <v>12</v>
      </c>
    </row>
    <row r="42" spans="1:9" ht="15.75" customHeight="1" x14ac:dyDescent="0.35">
      <c r="H42" s="5" t="s">
        <v>13</v>
      </c>
      <c r="I42" s="5">
        <f>5121.782</f>
        <v>5121.7820000000002</v>
      </c>
    </row>
    <row r="43" spans="1:9" ht="15.75" customHeight="1" x14ac:dyDescent="0.35">
      <c r="H43" s="5" t="s">
        <v>14</v>
      </c>
      <c r="I43" s="5">
        <v>5601.1</v>
      </c>
    </row>
    <row r="44" spans="1:9" ht="15.75" customHeight="1" x14ac:dyDescent="0.35">
      <c r="H44" s="5" t="s">
        <v>16</v>
      </c>
      <c r="I44" s="5">
        <v>5681.1</v>
      </c>
    </row>
    <row r="45" spans="1:9" ht="15.75" customHeight="1" x14ac:dyDescent="0.35">
      <c r="H45" s="5" t="s">
        <v>18</v>
      </c>
      <c r="I45" s="5">
        <v>5608</v>
      </c>
    </row>
    <row r="46" spans="1:9" ht="15.75" customHeight="1" x14ac:dyDescent="0.35">
      <c r="H46" s="5" t="s">
        <v>19</v>
      </c>
      <c r="I46" s="5">
        <v>5631.3</v>
      </c>
    </row>
    <row r="47" spans="1:9" ht="15.75" customHeight="1" x14ac:dyDescent="0.35">
      <c r="H47" s="5" t="s">
        <v>20</v>
      </c>
      <c r="I47" s="5">
        <f>H40</f>
        <v>6150.5613333333331</v>
      </c>
    </row>
    <row r="48" spans="1:9" ht="15.75" customHeight="1" x14ac:dyDescent="0.35">
      <c r="H48" s="5" t="s">
        <v>21</v>
      </c>
      <c r="I48" s="5"/>
    </row>
    <row r="49" spans="8:9" ht="15.75" customHeight="1" x14ac:dyDescent="0.35">
      <c r="H49" s="5" t="s">
        <v>22</v>
      </c>
      <c r="I49" s="5"/>
    </row>
    <row r="50" spans="8:9" ht="15.75" customHeight="1" x14ac:dyDescent="0.35">
      <c r="H50" s="5" t="s">
        <v>23</v>
      </c>
      <c r="I50" s="5"/>
    </row>
    <row r="51" spans="8:9" ht="15.75" customHeight="1" x14ac:dyDescent="0.35">
      <c r="H51" s="5" t="s">
        <v>24</v>
      </c>
      <c r="I51" s="5"/>
    </row>
    <row r="52" spans="8:9" ht="15.75" customHeight="1" x14ac:dyDescent="0.35">
      <c r="H52" s="5" t="s">
        <v>25</v>
      </c>
      <c r="I52" s="5"/>
    </row>
    <row r="53" spans="8:9" ht="15.75" customHeight="1" x14ac:dyDescent="0.35">
      <c r="H53" s="5" t="s">
        <v>26</v>
      </c>
      <c r="I53" s="5"/>
    </row>
    <row r="54" spans="8:9" ht="15.75" customHeight="1" x14ac:dyDescent="0.35"/>
    <row r="55" spans="8:9" ht="15.75" customHeight="1" x14ac:dyDescent="0.35"/>
    <row r="56" spans="8:9" ht="15.75" customHeight="1" x14ac:dyDescent="0.35"/>
    <row r="57" spans="8:9" ht="15.75" customHeight="1" x14ac:dyDescent="0.35"/>
    <row r="58" spans="8:9" ht="15.75" customHeight="1" x14ac:dyDescent="0.35"/>
    <row r="59" spans="8:9" ht="15.75" customHeight="1" x14ac:dyDescent="0.35"/>
    <row r="60" spans="8:9" ht="15.75" customHeight="1" x14ac:dyDescent="0.35"/>
    <row r="61" spans="8:9" ht="15.75" customHeight="1" x14ac:dyDescent="0.35"/>
    <row r="62" spans="8:9" ht="15.75" customHeight="1" x14ac:dyDescent="0.35"/>
    <row r="63" spans="8:9" ht="15.75" customHeight="1" x14ac:dyDescent="0.35"/>
    <row r="64" spans="8:9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D2:G2"/>
    <mergeCell ref="D3:G3"/>
    <mergeCell ref="D4:G4"/>
  </mergeCells>
  <pageMargins left="0.7" right="0.7" top="0.75" bottom="0.75" header="0" footer="0"/>
  <pageSetup scale="60" orientation="portrait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1001"/>
  <sheetViews>
    <sheetView workbookViewId="0">
      <selection activeCell="E13" sqref="E13"/>
    </sheetView>
  </sheetViews>
  <sheetFormatPr defaultColWidth="14.453125" defaultRowHeight="15" customHeight="1" x14ac:dyDescent="0.35"/>
  <cols>
    <col min="1" max="1" width="11.81640625" customWidth="1"/>
    <col min="2" max="2" width="11.54296875" customWidth="1"/>
    <col min="3" max="3" width="11.7265625" customWidth="1"/>
    <col min="4" max="4" width="11.26953125" customWidth="1"/>
    <col min="5" max="5" width="13" customWidth="1"/>
    <col min="6" max="6" width="9.7265625" customWidth="1"/>
    <col min="7" max="7" width="13.54296875" customWidth="1"/>
    <col min="8" max="8" width="10.7265625" customWidth="1"/>
    <col min="9" max="9" width="12.54296875" customWidth="1"/>
    <col min="10" max="11" width="9.08984375" customWidth="1"/>
    <col min="12" max="12" width="8.984375E-2" customWidth="1"/>
    <col min="13" max="13" width="9.08984375" hidden="1" customWidth="1"/>
    <col min="14" max="14" width="0.81640625" customWidth="1"/>
    <col min="15" max="15" width="9.08984375" hidden="1" customWidth="1"/>
    <col min="16" max="18" width="9.08984375" customWidth="1"/>
    <col min="19" max="26" width="8.7265625" customWidth="1"/>
  </cols>
  <sheetData>
    <row r="2" spans="1:9" ht="14.5" x14ac:dyDescent="0.35">
      <c r="A2" s="9"/>
      <c r="B2" s="10"/>
      <c r="D2" s="28" t="s">
        <v>1</v>
      </c>
      <c r="E2" s="29"/>
      <c r="F2" s="29"/>
      <c r="G2" s="29"/>
    </row>
    <row r="3" spans="1:9" ht="14.5" x14ac:dyDescent="0.35">
      <c r="A3" s="9"/>
      <c r="B3" s="10"/>
      <c r="C3" s="10"/>
      <c r="D3" s="30" t="s">
        <v>0</v>
      </c>
      <c r="E3" s="29"/>
      <c r="F3" s="29"/>
      <c r="G3" s="29"/>
      <c r="H3" s="10"/>
      <c r="I3" s="10"/>
    </row>
    <row r="4" spans="1:9" ht="14.5" x14ac:dyDescent="0.35">
      <c r="A4" s="10"/>
      <c r="B4" s="10"/>
      <c r="C4" s="10"/>
      <c r="D4" s="28" t="s">
        <v>37</v>
      </c>
      <c r="E4" s="29"/>
      <c r="F4" s="29"/>
      <c r="G4" s="29"/>
      <c r="H4" s="9"/>
      <c r="I4" s="10"/>
    </row>
    <row r="5" spans="1:9" ht="14.5" x14ac:dyDescent="0.35">
      <c r="A5" s="10"/>
      <c r="B5" s="10"/>
      <c r="C5" s="10"/>
      <c r="D5" s="8"/>
      <c r="E5" s="8"/>
      <c r="F5" s="8"/>
      <c r="G5" s="8"/>
      <c r="H5" s="10"/>
      <c r="I5" s="10"/>
    </row>
    <row r="6" spans="1:9" ht="14.5" x14ac:dyDescent="0.35">
      <c r="A6" s="17" t="s">
        <v>3</v>
      </c>
      <c r="B6" s="18" t="s">
        <v>4</v>
      </c>
      <c r="C6" s="19" t="s">
        <v>5</v>
      </c>
      <c r="D6" s="19" t="s">
        <v>27</v>
      </c>
      <c r="E6" s="19" t="s">
        <v>28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4.5" x14ac:dyDescent="0.35">
      <c r="A7" s="20"/>
      <c r="I7" s="21"/>
    </row>
    <row r="8" spans="1:9" ht="14.5" x14ac:dyDescent="0.35">
      <c r="A8" s="22">
        <v>42186</v>
      </c>
      <c r="B8">
        <v>45138.84</v>
      </c>
      <c r="C8">
        <v>22742.61</v>
      </c>
      <c r="D8">
        <v>-205842</v>
      </c>
      <c r="E8">
        <v>-216.67</v>
      </c>
      <c r="G8">
        <v>1010000</v>
      </c>
      <c r="H8">
        <v>7118.63</v>
      </c>
      <c r="I8" s="21">
        <v>1012093.5</v>
      </c>
    </row>
    <row r="9" spans="1:9" ht="14.5" x14ac:dyDescent="0.35">
      <c r="A9" s="22">
        <v>42187</v>
      </c>
      <c r="B9">
        <f t="shared" ref="B9:B39" si="0">B8-H8+F8</f>
        <v>38020.21</v>
      </c>
      <c r="C9">
        <f>11000+294.3+3953.33+55.93</f>
        <v>15303.56</v>
      </c>
      <c r="D9">
        <f t="shared" ref="D9:D39" si="1">D8+E9</f>
        <v>-206162.42</v>
      </c>
      <c r="E9">
        <f t="shared" ref="E9:E39" si="2">C9+H8-C8-F8</f>
        <v>-320.42000000000189</v>
      </c>
      <c r="F9">
        <v>20000</v>
      </c>
      <c r="G9">
        <f t="shared" ref="G9:G39" si="3">G8+F9</f>
        <v>1030000</v>
      </c>
      <c r="H9">
        <v>6962.82</v>
      </c>
      <c r="I9" s="21">
        <f t="shared" ref="I9:I41" si="4">I8++H9</f>
        <v>1019056.32</v>
      </c>
    </row>
    <row r="10" spans="1:9" ht="14.5" x14ac:dyDescent="0.35">
      <c r="A10" s="22">
        <v>42188</v>
      </c>
      <c r="B10">
        <f t="shared" si="0"/>
        <v>51057.39</v>
      </c>
      <c r="C10">
        <v>28842.73</v>
      </c>
      <c r="D10">
        <f t="shared" si="1"/>
        <v>-205660.43</v>
      </c>
      <c r="E10">
        <f t="shared" si="2"/>
        <v>501.99000000000524</v>
      </c>
      <c r="F10">
        <v>10000</v>
      </c>
      <c r="G10">
        <f t="shared" si="3"/>
        <v>1040000</v>
      </c>
      <c r="H10">
        <f>2851+2050.79+1176.99</f>
        <v>6078.78</v>
      </c>
      <c r="I10" s="21">
        <f t="shared" si="4"/>
        <v>1025135.1</v>
      </c>
    </row>
    <row r="11" spans="1:9" ht="14.5" x14ac:dyDescent="0.35">
      <c r="A11" s="22">
        <v>42189</v>
      </c>
      <c r="B11">
        <f t="shared" si="0"/>
        <v>54978.61</v>
      </c>
      <c r="C11">
        <v>32578.73</v>
      </c>
      <c r="D11">
        <f t="shared" si="1"/>
        <v>-205845.65</v>
      </c>
      <c r="E11">
        <f t="shared" si="2"/>
        <v>-185.21999999999753</v>
      </c>
      <c r="G11">
        <f t="shared" si="3"/>
        <v>1040000</v>
      </c>
      <c r="H11">
        <f>3028+1965.28+972.43</f>
        <v>5965.71</v>
      </c>
      <c r="I11" s="21">
        <f t="shared" si="4"/>
        <v>1031100.8099999999</v>
      </c>
    </row>
    <row r="12" spans="1:9" ht="14.5" x14ac:dyDescent="0.35">
      <c r="A12" s="22">
        <v>42190</v>
      </c>
      <c r="B12">
        <f t="shared" si="0"/>
        <v>49012.9</v>
      </c>
      <c r="C12">
        <v>26291.14</v>
      </c>
      <c r="D12">
        <f t="shared" si="1"/>
        <v>-206167.53</v>
      </c>
      <c r="E12">
        <f t="shared" si="2"/>
        <v>-321.88000000000102</v>
      </c>
      <c r="G12">
        <f t="shared" si="3"/>
        <v>1040000</v>
      </c>
      <c r="H12">
        <v>4444.63</v>
      </c>
      <c r="I12" s="21">
        <f t="shared" si="4"/>
        <v>1035545.44</v>
      </c>
    </row>
    <row r="13" spans="1:9" ht="14.5" x14ac:dyDescent="0.35">
      <c r="A13" s="22">
        <v>42191</v>
      </c>
      <c r="B13">
        <f t="shared" si="0"/>
        <v>44568.270000000004</v>
      </c>
      <c r="C13">
        <v>21700.26</v>
      </c>
      <c r="D13">
        <f t="shared" si="1"/>
        <v>-206313.78</v>
      </c>
      <c r="E13">
        <f t="shared" si="2"/>
        <v>-146.25</v>
      </c>
      <c r="G13">
        <f t="shared" si="3"/>
        <v>1040000</v>
      </c>
      <c r="H13">
        <v>6273.99</v>
      </c>
      <c r="I13" s="21">
        <f t="shared" si="4"/>
        <v>1041819.4299999999</v>
      </c>
    </row>
    <row r="14" spans="1:9" ht="14.5" x14ac:dyDescent="0.35">
      <c r="A14" s="22">
        <v>42192</v>
      </c>
      <c r="B14">
        <f t="shared" si="0"/>
        <v>38294.280000000006</v>
      </c>
      <c r="C14">
        <f>9200+2600+3512+59.32</f>
        <v>15371.32</v>
      </c>
      <c r="D14">
        <f t="shared" si="1"/>
        <v>-206368.73</v>
      </c>
      <c r="E14">
        <f t="shared" si="2"/>
        <v>-54.950000000000728</v>
      </c>
      <c r="F14">
        <v>20000</v>
      </c>
      <c r="G14">
        <f t="shared" si="3"/>
        <v>1060000</v>
      </c>
      <c r="H14">
        <v>6943.17</v>
      </c>
      <c r="I14" s="21">
        <f t="shared" si="4"/>
        <v>1048762.5999999999</v>
      </c>
    </row>
    <row r="15" spans="1:9" ht="14.5" x14ac:dyDescent="0.35">
      <c r="A15" s="22">
        <v>42193</v>
      </c>
      <c r="B15">
        <f t="shared" si="0"/>
        <v>51351.110000000008</v>
      </c>
      <c r="C15">
        <v>28302.74</v>
      </c>
      <c r="D15">
        <f t="shared" si="1"/>
        <v>-206494.14</v>
      </c>
      <c r="E15">
        <f t="shared" si="2"/>
        <v>-125.40999999999622</v>
      </c>
      <c r="F15">
        <v>10000</v>
      </c>
      <c r="G15">
        <f t="shared" si="3"/>
        <v>1070000</v>
      </c>
      <c r="H15">
        <v>5983.19</v>
      </c>
      <c r="I15" s="21">
        <f t="shared" si="4"/>
        <v>1054745.7899999998</v>
      </c>
    </row>
    <row r="16" spans="1:9" ht="14.5" x14ac:dyDescent="0.35">
      <c r="A16" s="22">
        <v>42194</v>
      </c>
      <c r="B16">
        <f t="shared" si="0"/>
        <v>55367.920000000006</v>
      </c>
      <c r="C16">
        <v>32408.23</v>
      </c>
      <c r="D16">
        <f t="shared" si="1"/>
        <v>-206405.46000000002</v>
      </c>
      <c r="E16">
        <f t="shared" si="2"/>
        <v>88.679999999996653</v>
      </c>
      <c r="F16">
        <v>10000</v>
      </c>
      <c r="G16">
        <f t="shared" si="3"/>
        <v>1080000</v>
      </c>
      <c r="H16">
        <v>6632.57</v>
      </c>
      <c r="I16" s="21">
        <f t="shared" si="4"/>
        <v>1061378.3599999999</v>
      </c>
    </row>
    <row r="17" spans="1:18" ht="14.5" x14ac:dyDescent="0.35">
      <c r="A17" s="22">
        <v>42195</v>
      </c>
      <c r="B17">
        <f t="shared" si="0"/>
        <v>58735.350000000006</v>
      </c>
      <c r="C17">
        <f>17800+5840+12051.9+59.32</f>
        <v>35751.22</v>
      </c>
      <c r="D17">
        <f t="shared" si="1"/>
        <v>-206429.90000000002</v>
      </c>
      <c r="E17">
        <f t="shared" si="2"/>
        <v>-24.43999999999869</v>
      </c>
      <c r="G17">
        <f t="shared" si="3"/>
        <v>1080000</v>
      </c>
      <c r="H17">
        <v>6484.64</v>
      </c>
      <c r="I17" s="21">
        <f t="shared" si="4"/>
        <v>1067862.9999999998</v>
      </c>
    </row>
    <row r="18" spans="1:18" ht="14.5" x14ac:dyDescent="0.35">
      <c r="A18" s="22">
        <v>42196</v>
      </c>
      <c r="B18">
        <f t="shared" si="0"/>
        <v>52250.710000000006</v>
      </c>
      <c r="C18">
        <v>28927.65</v>
      </c>
      <c r="D18">
        <f t="shared" si="1"/>
        <v>-206768.83000000002</v>
      </c>
      <c r="E18">
        <f t="shared" si="2"/>
        <v>-338.93000000000029</v>
      </c>
      <c r="G18">
        <f t="shared" si="3"/>
        <v>1080000</v>
      </c>
      <c r="H18">
        <v>5323.5</v>
      </c>
      <c r="I18" s="21">
        <f t="shared" si="4"/>
        <v>1073186.4999999998</v>
      </c>
    </row>
    <row r="19" spans="1:18" ht="14.5" x14ac:dyDescent="0.35">
      <c r="A19" s="22">
        <v>42197</v>
      </c>
      <c r="B19">
        <f t="shared" si="0"/>
        <v>46927.210000000006</v>
      </c>
      <c r="C19">
        <f>8800+5268.75+9315.38+59.32</f>
        <v>23443.449999999997</v>
      </c>
      <c r="D19">
        <f t="shared" si="1"/>
        <v>-206929.53000000003</v>
      </c>
      <c r="E19">
        <f t="shared" si="2"/>
        <v>-160.70000000000437</v>
      </c>
      <c r="G19">
        <f t="shared" si="3"/>
        <v>1080000</v>
      </c>
      <c r="H19">
        <f>2818+1250.53+480.61</f>
        <v>4549.1399999999994</v>
      </c>
      <c r="I19" s="21">
        <f t="shared" si="4"/>
        <v>1077735.6399999997</v>
      </c>
    </row>
    <row r="20" spans="1:18" ht="14.5" x14ac:dyDescent="0.35">
      <c r="A20" s="22">
        <v>42198</v>
      </c>
      <c r="B20">
        <f t="shared" si="0"/>
        <v>42378.070000000007</v>
      </c>
      <c r="C20">
        <f>7505.88+2328.6+8800+59.32</f>
        <v>18693.8</v>
      </c>
      <c r="D20">
        <f t="shared" si="1"/>
        <v>-207130.04000000004</v>
      </c>
      <c r="E20">
        <f t="shared" si="2"/>
        <v>-200.5099999999984</v>
      </c>
      <c r="F20">
        <v>10000</v>
      </c>
      <c r="G20">
        <f t="shared" si="3"/>
        <v>1090000</v>
      </c>
      <c r="H20">
        <f>3457+1841.45+1082.65</f>
        <v>6381.1</v>
      </c>
      <c r="I20" s="21">
        <f t="shared" si="4"/>
        <v>1084116.7399999998</v>
      </c>
    </row>
    <row r="21" spans="1:18" ht="14.5" x14ac:dyDescent="0.35">
      <c r="A21" s="22">
        <v>42199</v>
      </c>
      <c r="B21">
        <f t="shared" si="0"/>
        <v>45996.970000000008</v>
      </c>
      <c r="C21">
        <f>4922.22+9578.9+7745.5+59.32</f>
        <v>22305.94</v>
      </c>
      <c r="D21">
        <f t="shared" si="1"/>
        <v>-207136.80000000005</v>
      </c>
      <c r="E21">
        <f t="shared" si="2"/>
        <v>-6.7599999999983993</v>
      </c>
      <c r="F21">
        <v>10000</v>
      </c>
      <c r="G21">
        <f t="shared" si="3"/>
        <v>1100000</v>
      </c>
      <c r="H21">
        <v>6555.65</v>
      </c>
      <c r="I21" s="21">
        <f t="shared" si="4"/>
        <v>1090672.3899999997</v>
      </c>
    </row>
    <row r="22" spans="1:18" ht="15.75" customHeight="1" x14ac:dyDescent="0.35">
      <c r="A22" s="22">
        <v>42200</v>
      </c>
      <c r="B22">
        <f t="shared" si="0"/>
        <v>49441.320000000007</v>
      </c>
      <c r="C22">
        <f>12022.2+7452.6+6376+59.32</f>
        <v>25910.120000000003</v>
      </c>
      <c r="D22">
        <f t="shared" si="1"/>
        <v>-206976.97000000003</v>
      </c>
      <c r="E22">
        <f t="shared" si="2"/>
        <v>159.83000000000538</v>
      </c>
      <c r="F22">
        <v>18000</v>
      </c>
      <c r="G22">
        <f t="shared" si="3"/>
        <v>1118000</v>
      </c>
      <c r="H22">
        <v>6722.4</v>
      </c>
      <c r="I22" s="21">
        <f t="shared" si="4"/>
        <v>1097394.7899999996</v>
      </c>
    </row>
    <row r="23" spans="1:18" ht="15.75" customHeight="1" x14ac:dyDescent="0.35">
      <c r="A23" s="22">
        <v>42201</v>
      </c>
      <c r="B23">
        <f t="shared" si="0"/>
        <v>60718.920000000006</v>
      </c>
      <c r="C23">
        <v>37303.620000000003</v>
      </c>
      <c r="D23">
        <f t="shared" si="1"/>
        <v>-206861.07000000004</v>
      </c>
      <c r="E23">
        <f t="shared" si="2"/>
        <v>115.90000000000146</v>
      </c>
      <c r="F23">
        <v>2000</v>
      </c>
      <c r="G23">
        <f t="shared" si="3"/>
        <v>1120000</v>
      </c>
      <c r="H23">
        <f>3826+2145.98+1080.95</f>
        <v>7052.9299999999994</v>
      </c>
      <c r="I23" s="21">
        <f t="shared" si="4"/>
        <v>1104447.7199999995</v>
      </c>
    </row>
    <row r="24" spans="1:18" ht="15.75" customHeight="1" x14ac:dyDescent="0.35">
      <c r="A24" s="22">
        <v>42202</v>
      </c>
      <c r="B24">
        <f t="shared" si="0"/>
        <v>55665.990000000005</v>
      </c>
      <c r="C24">
        <f>15706.7+3982.4+12314.3+57.63</f>
        <v>32061.030000000002</v>
      </c>
      <c r="D24">
        <f t="shared" si="1"/>
        <v>-207050.73000000004</v>
      </c>
      <c r="E24">
        <f t="shared" si="2"/>
        <v>-189.66000000000349</v>
      </c>
      <c r="F24">
        <v>10000</v>
      </c>
      <c r="G24">
        <f t="shared" si="3"/>
        <v>1130000</v>
      </c>
      <c r="H24">
        <f>2975+1688.65+1014.06</f>
        <v>5677.7099999999991</v>
      </c>
      <c r="I24" s="21">
        <f t="shared" si="4"/>
        <v>1110125.4299999995</v>
      </c>
    </row>
    <row r="25" spans="1:18" ht="15.75" customHeight="1" x14ac:dyDescent="0.35">
      <c r="A25" s="22">
        <v>42203</v>
      </c>
      <c r="B25">
        <f t="shared" si="0"/>
        <v>59988.280000000006</v>
      </c>
      <c r="C25">
        <f>18044.4+7147.1+11339.1+57.63</f>
        <v>36588.229999999996</v>
      </c>
      <c r="D25">
        <f t="shared" si="1"/>
        <v>-206845.82000000004</v>
      </c>
      <c r="E25">
        <f t="shared" si="2"/>
        <v>204.90999999999258</v>
      </c>
      <c r="G25">
        <f t="shared" si="3"/>
        <v>1130000</v>
      </c>
      <c r="H25">
        <f>2515+1107.77+908.62</f>
        <v>4531.3900000000003</v>
      </c>
      <c r="I25" s="21">
        <f t="shared" si="4"/>
        <v>1114656.8199999994</v>
      </c>
    </row>
    <row r="26" spans="1:18" ht="15.75" customHeight="1" x14ac:dyDescent="0.35">
      <c r="A26" s="22">
        <v>42204</v>
      </c>
      <c r="B26">
        <f t="shared" si="0"/>
        <v>55456.890000000007</v>
      </c>
      <c r="C26">
        <f>16920+4466.67+10183.3+57.63</f>
        <v>31627.599999999999</v>
      </c>
      <c r="D26">
        <f t="shared" si="1"/>
        <v>-207275.06000000003</v>
      </c>
      <c r="E26">
        <f t="shared" si="2"/>
        <v>-429.23999999999796</v>
      </c>
      <c r="G26">
        <f t="shared" si="3"/>
        <v>1130000</v>
      </c>
      <c r="H26">
        <f>2953+1311.53+188.06</f>
        <v>4452.59</v>
      </c>
      <c r="I26" s="21">
        <f t="shared" si="4"/>
        <v>1119109.4099999995</v>
      </c>
    </row>
    <row r="27" spans="1:18" ht="15.75" customHeight="1" x14ac:dyDescent="0.35">
      <c r="A27" s="22">
        <v>42205</v>
      </c>
      <c r="B27">
        <f t="shared" si="0"/>
        <v>51004.3</v>
      </c>
      <c r="C27">
        <f>15511.11+1400+10000+59.62</f>
        <v>26970.73</v>
      </c>
      <c r="D27">
        <f t="shared" si="1"/>
        <v>-207479.34000000003</v>
      </c>
      <c r="E27">
        <f t="shared" si="2"/>
        <v>-204.27999999999884</v>
      </c>
      <c r="F27">
        <v>10000</v>
      </c>
      <c r="G27">
        <f t="shared" si="3"/>
        <v>1140000</v>
      </c>
      <c r="H27">
        <v>6947.16</v>
      </c>
      <c r="I27" s="21">
        <f t="shared" si="4"/>
        <v>1126056.5699999994</v>
      </c>
    </row>
    <row r="28" spans="1:18" ht="15.75" customHeight="1" x14ac:dyDescent="0.35">
      <c r="A28" s="22">
        <v>42206</v>
      </c>
      <c r="B28">
        <f t="shared" si="0"/>
        <v>54057.14</v>
      </c>
      <c r="C28">
        <v>30242.58</v>
      </c>
      <c r="D28">
        <f t="shared" si="1"/>
        <v>-207260.33000000002</v>
      </c>
      <c r="E28">
        <f t="shared" si="2"/>
        <v>219.01000000000568</v>
      </c>
      <c r="F28">
        <v>10000</v>
      </c>
      <c r="G28">
        <f t="shared" si="3"/>
        <v>1150000</v>
      </c>
      <c r="H28">
        <v>6915.58</v>
      </c>
      <c r="I28" s="21">
        <f t="shared" si="4"/>
        <v>1132972.1499999994</v>
      </c>
      <c r="R28">
        <f>9000/30*5</f>
        <v>1500</v>
      </c>
    </row>
    <row r="29" spans="1:18" ht="15.75" customHeight="1" x14ac:dyDescent="0.35">
      <c r="A29" s="22">
        <v>42207</v>
      </c>
      <c r="B29">
        <f t="shared" si="0"/>
        <v>57141.56</v>
      </c>
      <c r="C29">
        <v>33302.129999999997</v>
      </c>
      <c r="D29">
        <f t="shared" si="1"/>
        <v>-207285.2</v>
      </c>
      <c r="E29">
        <f t="shared" si="2"/>
        <v>-24.870000000002619</v>
      </c>
      <c r="G29">
        <f t="shared" si="3"/>
        <v>1150000</v>
      </c>
      <c r="H29">
        <v>6287.38</v>
      </c>
      <c r="I29" s="21">
        <f t="shared" si="4"/>
        <v>1139259.5299999993</v>
      </c>
    </row>
    <row r="30" spans="1:18" ht="15.75" customHeight="1" x14ac:dyDescent="0.35">
      <c r="A30" s="22">
        <v>42208</v>
      </c>
      <c r="B30">
        <f t="shared" si="0"/>
        <v>50854.18</v>
      </c>
      <c r="C30">
        <v>26653.96</v>
      </c>
      <c r="D30">
        <f t="shared" si="1"/>
        <v>-207645.99000000002</v>
      </c>
      <c r="E30">
        <f t="shared" si="2"/>
        <v>-360.79000000000087</v>
      </c>
      <c r="F30">
        <v>10000</v>
      </c>
      <c r="G30">
        <f t="shared" si="3"/>
        <v>1160000</v>
      </c>
      <c r="H30">
        <v>6376.62</v>
      </c>
      <c r="I30" s="21">
        <f t="shared" si="4"/>
        <v>1145636.1499999994</v>
      </c>
    </row>
    <row r="31" spans="1:18" ht="15.75" customHeight="1" x14ac:dyDescent="0.35">
      <c r="A31" s="22">
        <v>42209</v>
      </c>
      <c r="B31">
        <f t="shared" si="0"/>
        <v>54477.56</v>
      </c>
      <c r="C31">
        <v>30429.39</v>
      </c>
      <c r="D31">
        <f t="shared" si="1"/>
        <v>-207493.94</v>
      </c>
      <c r="E31">
        <f t="shared" si="2"/>
        <v>152.05000000000291</v>
      </c>
      <c r="F31">
        <v>10000</v>
      </c>
      <c r="G31">
        <f t="shared" si="3"/>
        <v>1170000</v>
      </c>
      <c r="H31">
        <f>2136+1637.29+693.55</f>
        <v>4466.84</v>
      </c>
      <c r="I31" s="21">
        <f t="shared" si="4"/>
        <v>1150102.9899999995</v>
      </c>
    </row>
    <row r="32" spans="1:18" ht="15.75" customHeight="1" x14ac:dyDescent="0.35">
      <c r="A32" s="22">
        <v>42210</v>
      </c>
      <c r="B32">
        <f t="shared" si="0"/>
        <v>60010.720000000001</v>
      </c>
      <c r="C32">
        <v>36196.25</v>
      </c>
      <c r="D32">
        <f t="shared" si="1"/>
        <v>-207260.24</v>
      </c>
      <c r="E32">
        <f t="shared" si="2"/>
        <v>233.69999999999709</v>
      </c>
      <c r="G32">
        <f t="shared" si="3"/>
        <v>1170000</v>
      </c>
      <c r="H32">
        <v>3638.65</v>
      </c>
      <c r="I32" s="21">
        <f t="shared" si="4"/>
        <v>1153741.6399999994</v>
      </c>
    </row>
    <row r="33" spans="1:9" ht="15.75" customHeight="1" x14ac:dyDescent="0.35">
      <c r="A33" s="22">
        <v>42211</v>
      </c>
      <c r="B33">
        <f t="shared" si="0"/>
        <v>56372.07</v>
      </c>
      <c r="C33">
        <v>32124.3</v>
      </c>
      <c r="D33">
        <f t="shared" si="1"/>
        <v>-207693.53999999998</v>
      </c>
      <c r="E33">
        <f t="shared" si="2"/>
        <v>-433.30000000000291</v>
      </c>
      <c r="G33">
        <f t="shared" si="3"/>
        <v>1170000</v>
      </c>
      <c r="H33">
        <v>3252.72</v>
      </c>
      <c r="I33" s="21">
        <f t="shared" si="4"/>
        <v>1156994.3599999994</v>
      </c>
    </row>
    <row r="34" spans="1:9" ht="15.75" customHeight="1" x14ac:dyDescent="0.35">
      <c r="A34" s="22">
        <v>42212</v>
      </c>
      <c r="B34">
        <f t="shared" si="0"/>
        <v>53119.35</v>
      </c>
      <c r="C34">
        <v>28754.53</v>
      </c>
      <c r="D34">
        <f t="shared" si="1"/>
        <v>-207810.58999999997</v>
      </c>
      <c r="E34">
        <f t="shared" si="2"/>
        <v>-117.04999999999927</v>
      </c>
      <c r="F34">
        <v>10000</v>
      </c>
      <c r="G34">
        <f t="shared" si="3"/>
        <v>1180000</v>
      </c>
      <c r="H34">
        <v>6801.6</v>
      </c>
      <c r="I34" s="21">
        <f t="shared" si="4"/>
        <v>1163795.9599999995</v>
      </c>
    </row>
    <row r="35" spans="1:9" ht="15.75" customHeight="1" x14ac:dyDescent="0.35">
      <c r="A35" s="22">
        <v>42213</v>
      </c>
      <c r="B35">
        <f t="shared" si="0"/>
        <v>56317.75</v>
      </c>
      <c r="C35">
        <v>32089.42</v>
      </c>
      <c r="D35">
        <f t="shared" si="1"/>
        <v>-207674.09999999998</v>
      </c>
      <c r="E35">
        <f t="shared" si="2"/>
        <v>136.48999999999796</v>
      </c>
      <c r="G35">
        <f t="shared" si="3"/>
        <v>1180000</v>
      </c>
      <c r="H35">
        <v>6802.79</v>
      </c>
      <c r="I35" s="21">
        <f t="shared" si="4"/>
        <v>1170598.7499999995</v>
      </c>
    </row>
    <row r="36" spans="1:9" ht="15.75" customHeight="1" x14ac:dyDescent="0.35">
      <c r="A36" s="22">
        <v>42214</v>
      </c>
      <c r="B36">
        <f t="shared" si="0"/>
        <v>49514.96</v>
      </c>
      <c r="C36">
        <v>24514.240000000002</v>
      </c>
      <c r="D36">
        <f t="shared" si="1"/>
        <v>-208446.48999999996</v>
      </c>
      <c r="E36">
        <f t="shared" si="2"/>
        <v>-772.38999999999578</v>
      </c>
      <c r="F36">
        <v>10000</v>
      </c>
      <c r="G36">
        <f t="shared" si="3"/>
        <v>1190000</v>
      </c>
      <c r="H36">
        <v>6434.42</v>
      </c>
      <c r="I36" s="21">
        <f t="shared" si="4"/>
        <v>1177033.1699999995</v>
      </c>
    </row>
    <row r="37" spans="1:9" ht="15.75" customHeight="1" x14ac:dyDescent="0.35">
      <c r="A37" s="22">
        <v>42215</v>
      </c>
      <c r="B37">
        <f t="shared" si="0"/>
        <v>53080.54</v>
      </c>
      <c r="C37">
        <v>28460.53</v>
      </c>
      <c r="D37">
        <f t="shared" si="1"/>
        <v>-208065.77999999997</v>
      </c>
      <c r="E37">
        <f t="shared" si="2"/>
        <v>380.70999999999549</v>
      </c>
      <c r="F37">
        <v>16000</v>
      </c>
      <c r="G37">
        <f t="shared" si="3"/>
        <v>1206000</v>
      </c>
      <c r="H37">
        <v>6014.1</v>
      </c>
      <c r="I37" s="21">
        <f t="shared" si="4"/>
        <v>1183047.2699999996</v>
      </c>
    </row>
    <row r="38" spans="1:9" ht="15.75" customHeight="1" x14ac:dyDescent="0.35">
      <c r="A38" s="22">
        <v>42216</v>
      </c>
      <c r="B38">
        <f t="shared" si="0"/>
        <v>63066.44</v>
      </c>
      <c r="C38">
        <v>38725.33</v>
      </c>
      <c r="D38">
        <f t="shared" si="1"/>
        <v>-207786.87999999998</v>
      </c>
      <c r="E38">
        <f t="shared" si="2"/>
        <v>278.90000000000146</v>
      </c>
      <c r="F38">
        <v>4000</v>
      </c>
      <c r="G38">
        <f t="shared" si="3"/>
        <v>1210000</v>
      </c>
      <c r="H38">
        <v>5607.21</v>
      </c>
      <c r="I38" s="21">
        <f t="shared" si="4"/>
        <v>1188654.4799999995</v>
      </c>
    </row>
    <row r="39" spans="1:9" ht="15.75" customHeight="1" x14ac:dyDescent="0.35">
      <c r="A39" s="22">
        <v>42217</v>
      </c>
      <c r="B39">
        <f t="shared" si="0"/>
        <v>61459.23</v>
      </c>
      <c r="C39">
        <v>37071.22</v>
      </c>
      <c r="D39">
        <f t="shared" si="1"/>
        <v>-207833.77999999997</v>
      </c>
      <c r="E39">
        <f t="shared" si="2"/>
        <v>-46.900000000001455</v>
      </c>
      <c r="G39">
        <f t="shared" si="3"/>
        <v>1210000</v>
      </c>
      <c r="I39" s="21">
        <f t="shared" si="4"/>
        <v>1188654.4799999995</v>
      </c>
    </row>
    <row r="40" spans="1:9" ht="15.75" customHeight="1" x14ac:dyDescent="0.35">
      <c r="A40" s="23" t="s">
        <v>35</v>
      </c>
      <c r="E40" s="7">
        <f>SUM(E8:E39)</f>
        <v>-2208.4499999999989</v>
      </c>
      <c r="H40" s="5">
        <f>SUM(H8:H39)</f>
        <v>183679.61000000002</v>
      </c>
      <c r="I40" s="21">
        <f t="shared" si="4"/>
        <v>1372334.0899999996</v>
      </c>
    </row>
    <row r="41" spans="1:9" ht="15.75" customHeight="1" x14ac:dyDescent="0.35">
      <c r="A41" t="s">
        <v>17</v>
      </c>
      <c r="H41">
        <f>AVERAGE(H8:H38)</f>
        <v>5925.1487096774199</v>
      </c>
      <c r="I41" s="21">
        <f t="shared" si="4"/>
        <v>1378259.238709677</v>
      </c>
    </row>
    <row r="42" spans="1:9" ht="15.75" customHeight="1" x14ac:dyDescent="0.35">
      <c r="A42" s="22"/>
      <c r="E42" s="1"/>
      <c r="I42" s="21"/>
    </row>
    <row r="43" spans="1:9" ht="15.75" customHeight="1" x14ac:dyDescent="0.35">
      <c r="G43" s="24"/>
      <c r="H43" s="5"/>
      <c r="I43" s="5" t="s">
        <v>12</v>
      </c>
    </row>
    <row r="44" spans="1:9" ht="15.75" customHeight="1" x14ac:dyDescent="0.35">
      <c r="G44" s="25"/>
      <c r="H44" s="5" t="s">
        <v>13</v>
      </c>
      <c r="I44" s="26">
        <f>5121.782</f>
        <v>5121.7820000000002</v>
      </c>
    </row>
    <row r="45" spans="1:9" ht="15.75" customHeight="1" x14ac:dyDescent="0.35">
      <c r="H45" s="5" t="s">
        <v>14</v>
      </c>
      <c r="I45" s="26">
        <v>5601.1</v>
      </c>
    </row>
    <row r="46" spans="1:9" ht="15.75" customHeight="1" x14ac:dyDescent="0.35">
      <c r="H46" s="5" t="s">
        <v>16</v>
      </c>
      <c r="I46" s="26">
        <v>5681.1</v>
      </c>
    </row>
    <row r="47" spans="1:9" ht="15.75" customHeight="1" x14ac:dyDescent="0.35">
      <c r="H47" s="5" t="s">
        <v>18</v>
      </c>
      <c r="I47" s="26">
        <v>5608</v>
      </c>
    </row>
    <row r="48" spans="1:9" ht="15.75" customHeight="1" x14ac:dyDescent="0.35">
      <c r="H48" s="5" t="s">
        <v>19</v>
      </c>
      <c r="I48" s="26">
        <v>5631.3</v>
      </c>
    </row>
    <row r="49" spans="8:9" ht="15.75" customHeight="1" x14ac:dyDescent="0.35">
      <c r="H49" s="5" t="s">
        <v>20</v>
      </c>
      <c r="I49" s="26">
        <v>6150.6</v>
      </c>
    </row>
    <row r="50" spans="8:9" ht="15.75" customHeight="1" x14ac:dyDescent="0.35">
      <c r="H50" s="5" t="s">
        <v>21</v>
      </c>
      <c r="I50" s="26">
        <f>H41</f>
        <v>5925.1487096774199</v>
      </c>
    </row>
    <row r="51" spans="8:9" ht="15.75" customHeight="1" x14ac:dyDescent="0.35">
      <c r="H51" s="5" t="s">
        <v>22</v>
      </c>
      <c r="I51" s="26"/>
    </row>
    <row r="52" spans="8:9" ht="15.75" customHeight="1" x14ac:dyDescent="0.35">
      <c r="H52" s="5" t="s">
        <v>23</v>
      </c>
      <c r="I52" s="5"/>
    </row>
    <row r="53" spans="8:9" ht="15.75" customHeight="1" x14ac:dyDescent="0.35">
      <c r="H53" s="5" t="s">
        <v>24</v>
      </c>
      <c r="I53" s="5"/>
    </row>
    <row r="54" spans="8:9" ht="15.75" customHeight="1" x14ac:dyDescent="0.35">
      <c r="H54" s="5" t="s">
        <v>25</v>
      </c>
      <c r="I54" s="5"/>
    </row>
    <row r="55" spans="8:9" ht="15.75" customHeight="1" x14ac:dyDescent="0.35">
      <c r="H55" s="5" t="s">
        <v>38</v>
      </c>
      <c r="I55" s="5"/>
    </row>
    <row r="56" spans="8:9" ht="15.75" customHeight="1" x14ac:dyDescent="0.35"/>
    <row r="57" spans="8:9" ht="15.75" customHeight="1" x14ac:dyDescent="0.35"/>
    <row r="58" spans="8:9" ht="15.75" customHeight="1" x14ac:dyDescent="0.35"/>
    <row r="59" spans="8:9" ht="15.75" customHeight="1" x14ac:dyDescent="0.35"/>
    <row r="60" spans="8:9" ht="15.75" customHeight="1" x14ac:dyDescent="0.35"/>
    <row r="61" spans="8:9" ht="15.75" customHeight="1" x14ac:dyDescent="0.35"/>
    <row r="62" spans="8:9" ht="15.75" customHeight="1" x14ac:dyDescent="0.35"/>
    <row r="63" spans="8:9" ht="15.75" customHeight="1" x14ac:dyDescent="0.35"/>
    <row r="64" spans="8:9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spans="5:5" ht="15.75" customHeight="1" x14ac:dyDescent="0.35"/>
    <row r="82" spans="5:5" ht="15.75" customHeight="1" x14ac:dyDescent="0.35"/>
    <row r="83" spans="5:5" ht="15.75" customHeight="1" x14ac:dyDescent="0.35"/>
    <row r="84" spans="5:5" ht="15.75" customHeight="1" x14ac:dyDescent="0.35"/>
    <row r="85" spans="5:5" ht="15.75" customHeight="1" x14ac:dyDescent="0.35"/>
    <row r="86" spans="5:5" ht="15.75" customHeight="1" x14ac:dyDescent="0.35"/>
    <row r="87" spans="5:5" ht="15.75" customHeight="1" x14ac:dyDescent="0.35">
      <c r="E87">
        <f>B1222*B445</f>
        <v>0</v>
      </c>
    </row>
    <row r="88" spans="5:5" ht="15.75" customHeight="1" x14ac:dyDescent="0.35"/>
    <row r="89" spans="5:5" ht="15.75" customHeight="1" x14ac:dyDescent="0.35"/>
    <row r="90" spans="5:5" ht="15.75" customHeight="1" x14ac:dyDescent="0.35"/>
    <row r="91" spans="5:5" ht="15.75" customHeight="1" x14ac:dyDescent="0.35"/>
    <row r="92" spans="5:5" ht="15.75" customHeight="1" x14ac:dyDescent="0.35"/>
    <row r="93" spans="5:5" ht="15.75" customHeight="1" x14ac:dyDescent="0.35"/>
    <row r="94" spans="5:5" ht="15.75" customHeight="1" x14ac:dyDescent="0.35"/>
    <row r="95" spans="5:5" ht="15.75" customHeight="1" x14ac:dyDescent="0.35"/>
    <row r="96" spans="5:5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3">
    <mergeCell ref="D2:G2"/>
    <mergeCell ref="D3:G3"/>
    <mergeCell ref="D4:G4"/>
  </mergeCells>
  <pageMargins left="0.7" right="0.7" top="0.75" bottom="0.75" header="0" footer="0"/>
  <pageSetup scale="80" orientation="portrait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1001"/>
  <sheetViews>
    <sheetView workbookViewId="0">
      <selection sqref="A1:XFD1"/>
    </sheetView>
  </sheetViews>
  <sheetFormatPr defaultColWidth="14.453125" defaultRowHeight="15" customHeight="1" x14ac:dyDescent="0.35"/>
  <cols>
    <col min="1" max="1" width="14.54296875" customWidth="1"/>
    <col min="2" max="2" width="11.54296875" customWidth="1"/>
    <col min="3" max="3" width="11.7265625" customWidth="1"/>
    <col min="4" max="4" width="11.26953125" customWidth="1"/>
    <col min="5" max="5" width="13" customWidth="1"/>
    <col min="6" max="6" width="9.7265625" customWidth="1"/>
    <col min="7" max="7" width="13.54296875" customWidth="1"/>
    <col min="8" max="8" width="10.7265625" customWidth="1"/>
    <col min="9" max="9" width="12.54296875" customWidth="1"/>
    <col min="10" max="11" width="9.08984375" customWidth="1"/>
    <col min="12" max="12" width="8.984375E-2" customWidth="1"/>
    <col min="13" max="13" width="9.08984375" hidden="1" customWidth="1"/>
    <col min="14" max="14" width="0.81640625" customWidth="1"/>
    <col min="15" max="15" width="9.08984375" hidden="1" customWidth="1"/>
    <col min="16" max="26" width="8.7265625" customWidth="1"/>
  </cols>
  <sheetData>
    <row r="2" spans="1:9" ht="14.5" x14ac:dyDescent="0.35">
      <c r="A2" s="9"/>
      <c r="B2" s="10"/>
      <c r="D2" s="28" t="s">
        <v>1</v>
      </c>
      <c r="E2" s="29"/>
      <c r="F2" s="29"/>
      <c r="G2" s="29"/>
    </row>
    <row r="3" spans="1:9" ht="14.5" x14ac:dyDescent="0.35">
      <c r="A3" s="9"/>
      <c r="B3" s="10"/>
      <c r="C3" s="10"/>
      <c r="D3" s="30" t="s">
        <v>0</v>
      </c>
      <c r="E3" s="29"/>
      <c r="F3" s="29"/>
      <c r="G3" s="29"/>
      <c r="H3" s="10"/>
      <c r="I3" s="10"/>
    </row>
    <row r="4" spans="1:9" ht="14.5" x14ac:dyDescent="0.35">
      <c r="A4" s="10"/>
      <c r="B4" s="10"/>
      <c r="C4" s="10"/>
      <c r="D4" s="28" t="s">
        <v>39</v>
      </c>
      <c r="E4" s="29"/>
      <c r="F4" s="29"/>
      <c r="G4" s="29"/>
      <c r="H4" s="9"/>
      <c r="I4" s="10"/>
    </row>
    <row r="5" spans="1:9" ht="14.5" x14ac:dyDescent="0.35">
      <c r="A5" s="10"/>
      <c r="B5" s="10"/>
      <c r="C5" s="10"/>
      <c r="D5" s="8"/>
      <c r="E5" s="8"/>
      <c r="F5" s="8"/>
      <c r="G5" s="8"/>
      <c r="H5" s="10"/>
      <c r="I5" s="10"/>
    </row>
    <row r="6" spans="1:9" ht="14.5" x14ac:dyDescent="0.35">
      <c r="A6" s="17" t="s">
        <v>3</v>
      </c>
      <c r="B6" s="18" t="s">
        <v>4</v>
      </c>
      <c r="C6" s="19" t="s">
        <v>5</v>
      </c>
      <c r="D6" s="19" t="s">
        <v>27</v>
      </c>
      <c r="E6" s="19" t="s">
        <v>28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4.5" x14ac:dyDescent="0.35">
      <c r="A7" s="20"/>
      <c r="B7" s="20"/>
      <c r="C7" s="20"/>
      <c r="D7" s="20"/>
      <c r="E7" s="20"/>
      <c r="F7" s="20"/>
      <c r="G7" s="20"/>
      <c r="H7" s="20"/>
      <c r="I7" s="20"/>
    </row>
    <row r="8" spans="1:9" ht="14.5" x14ac:dyDescent="0.35">
      <c r="A8" s="22">
        <v>42217</v>
      </c>
      <c r="B8" s="20">
        <v>61459.23</v>
      </c>
      <c r="C8" s="20">
        <v>37071.22</v>
      </c>
      <c r="D8" s="20">
        <v>-207834</v>
      </c>
      <c r="E8" s="20">
        <v>-49.9</v>
      </c>
      <c r="F8" s="20"/>
      <c r="G8" s="20">
        <v>1210000</v>
      </c>
      <c r="H8" s="20">
        <v>4902.09</v>
      </c>
      <c r="I8" s="20">
        <v>1188654.5</v>
      </c>
    </row>
    <row r="9" spans="1:9" ht="14.5" x14ac:dyDescent="0.35">
      <c r="A9" s="22">
        <v>42218</v>
      </c>
      <c r="B9">
        <f t="shared" ref="B9:B39" si="0">B8-H8+F8</f>
        <v>56557.14</v>
      </c>
      <c r="C9">
        <v>31675.119999999999</v>
      </c>
      <c r="D9">
        <f t="shared" ref="D9:D39" si="1">D8+E9</f>
        <v>-208328.01</v>
      </c>
      <c r="E9">
        <f t="shared" ref="E9:E38" si="2">C9+H8-C8-F8</f>
        <v>-494.01000000000204</v>
      </c>
      <c r="G9">
        <f t="shared" ref="G9:G39" si="3">G8+F9</f>
        <v>1210000</v>
      </c>
      <c r="H9">
        <v>4113.7700000000004</v>
      </c>
      <c r="I9" s="21">
        <f t="shared" ref="I9:I39" si="4">I8++H9</f>
        <v>1192768.27</v>
      </c>
    </row>
    <row r="10" spans="1:9" ht="14.5" x14ac:dyDescent="0.35">
      <c r="A10" s="22">
        <v>42219</v>
      </c>
      <c r="B10">
        <f t="shared" si="0"/>
        <v>52443.369999999995</v>
      </c>
      <c r="C10">
        <v>27422.3</v>
      </c>
      <c r="D10">
        <f t="shared" si="1"/>
        <v>-208467.06</v>
      </c>
      <c r="E10">
        <f t="shared" si="2"/>
        <v>-139.04999999999927</v>
      </c>
      <c r="G10">
        <f t="shared" si="3"/>
        <v>1210000</v>
      </c>
      <c r="H10">
        <v>6673.58</v>
      </c>
      <c r="I10" s="21">
        <f t="shared" si="4"/>
        <v>1199441.8500000001</v>
      </c>
    </row>
    <row r="11" spans="1:9" ht="14.5" x14ac:dyDescent="0.35">
      <c r="A11" s="22">
        <v>42220</v>
      </c>
      <c r="B11">
        <f t="shared" si="0"/>
        <v>45769.789999999994</v>
      </c>
      <c r="C11">
        <v>20489.32</v>
      </c>
      <c r="D11">
        <f t="shared" si="1"/>
        <v>-208726.46</v>
      </c>
      <c r="E11">
        <f t="shared" si="2"/>
        <v>-259.39999999999782</v>
      </c>
      <c r="F11">
        <v>10000</v>
      </c>
      <c r="G11">
        <f t="shared" si="3"/>
        <v>1220000</v>
      </c>
      <c r="H11">
        <v>6903.88</v>
      </c>
      <c r="I11" s="21">
        <f t="shared" si="4"/>
        <v>1206345.73</v>
      </c>
    </row>
    <row r="12" spans="1:9" ht="14.5" x14ac:dyDescent="0.35">
      <c r="A12" s="22">
        <v>42221</v>
      </c>
      <c r="B12">
        <f t="shared" si="0"/>
        <v>48865.909999999996</v>
      </c>
      <c r="C12">
        <v>23857.5</v>
      </c>
      <c r="D12">
        <f t="shared" si="1"/>
        <v>-208454.39999999999</v>
      </c>
      <c r="E12">
        <f t="shared" si="2"/>
        <v>272.06000000000131</v>
      </c>
      <c r="F12">
        <v>10000</v>
      </c>
      <c r="G12">
        <f t="shared" si="3"/>
        <v>1230000</v>
      </c>
      <c r="H12">
        <f>3279+1711.17+1012.52</f>
        <v>6002.6900000000005</v>
      </c>
      <c r="I12" s="21">
        <f t="shared" si="4"/>
        <v>1212348.42</v>
      </c>
    </row>
    <row r="13" spans="1:9" ht="14.5" x14ac:dyDescent="0.35">
      <c r="A13" s="22">
        <v>42222</v>
      </c>
      <c r="B13">
        <f t="shared" si="0"/>
        <v>52863.219999999994</v>
      </c>
      <c r="C13">
        <v>27574.48</v>
      </c>
      <c r="D13">
        <f t="shared" si="1"/>
        <v>-208734.72999999998</v>
      </c>
      <c r="E13">
        <f t="shared" si="2"/>
        <v>-280.33000000000175</v>
      </c>
      <c r="F13">
        <v>10000</v>
      </c>
      <c r="G13">
        <f t="shared" si="3"/>
        <v>1240000</v>
      </c>
      <c r="H13">
        <v>7260.3</v>
      </c>
      <c r="I13" s="21">
        <f t="shared" si="4"/>
        <v>1219608.72</v>
      </c>
    </row>
    <row r="14" spans="1:9" ht="14.5" x14ac:dyDescent="0.35">
      <c r="A14" s="22">
        <v>42223</v>
      </c>
      <c r="B14">
        <f t="shared" si="0"/>
        <v>55602.919999999991</v>
      </c>
      <c r="C14">
        <v>30360.33</v>
      </c>
      <c r="D14">
        <f t="shared" si="1"/>
        <v>-208688.58</v>
      </c>
      <c r="E14">
        <f t="shared" si="2"/>
        <v>46.150000000005093</v>
      </c>
      <c r="F14">
        <v>10000</v>
      </c>
      <c r="G14">
        <f t="shared" si="3"/>
        <v>1250000</v>
      </c>
      <c r="H14">
        <v>5572.84</v>
      </c>
      <c r="I14" s="21">
        <f t="shared" si="4"/>
        <v>1225181.56</v>
      </c>
    </row>
    <row r="15" spans="1:9" ht="14.5" x14ac:dyDescent="0.35">
      <c r="A15" s="22">
        <v>42224</v>
      </c>
      <c r="B15">
        <f t="shared" si="0"/>
        <v>60030.079999999987</v>
      </c>
      <c r="C15">
        <f>19645.5+7100+7961.5+57.63</f>
        <v>34764.629999999997</v>
      </c>
      <c r="D15">
        <f t="shared" si="1"/>
        <v>-208711.44</v>
      </c>
      <c r="E15">
        <f t="shared" si="2"/>
        <v>-22.860000000000582</v>
      </c>
      <c r="G15">
        <f t="shared" si="3"/>
        <v>1250000</v>
      </c>
      <c r="H15">
        <v>4714.57</v>
      </c>
      <c r="I15" s="21">
        <f t="shared" si="4"/>
        <v>1229896.1300000001</v>
      </c>
    </row>
    <row r="16" spans="1:9" ht="14.5" x14ac:dyDescent="0.35">
      <c r="A16" s="22">
        <v>42225</v>
      </c>
      <c r="B16">
        <f t="shared" si="0"/>
        <v>55315.509999999987</v>
      </c>
      <c r="C16">
        <v>29961.42</v>
      </c>
      <c r="D16">
        <f t="shared" si="1"/>
        <v>-208800.08000000002</v>
      </c>
      <c r="E16">
        <f t="shared" si="2"/>
        <v>-88.639999999999418</v>
      </c>
      <c r="G16">
        <f t="shared" si="3"/>
        <v>1250000</v>
      </c>
      <c r="H16">
        <v>4023.8</v>
      </c>
      <c r="I16" s="21">
        <f t="shared" si="4"/>
        <v>1233919.9300000002</v>
      </c>
    </row>
    <row r="17" spans="1:9" ht="14.5" x14ac:dyDescent="0.35">
      <c r="A17" s="22">
        <v>42226</v>
      </c>
      <c r="B17">
        <f t="shared" si="0"/>
        <v>51291.709999999985</v>
      </c>
      <c r="C17">
        <v>25778.53</v>
      </c>
      <c r="D17">
        <f t="shared" si="1"/>
        <v>-208959.17</v>
      </c>
      <c r="E17">
        <f t="shared" si="2"/>
        <v>-159.09000000000015</v>
      </c>
      <c r="F17">
        <v>10000</v>
      </c>
      <c r="G17">
        <f t="shared" si="3"/>
        <v>1260000</v>
      </c>
      <c r="H17">
        <f>3133+2020.78+1018.48</f>
        <v>6172.26</v>
      </c>
      <c r="I17" s="21">
        <f t="shared" si="4"/>
        <v>1240092.1900000002</v>
      </c>
    </row>
    <row r="18" spans="1:9" ht="14.5" x14ac:dyDescent="0.35">
      <c r="A18" s="22">
        <v>42227</v>
      </c>
      <c r="B18">
        <f t="shared" si="0"/>
        <v>55119.449999999983</v>
      </c>
      <c r="C18">
        <f>14680+7112.8+7800+57.63</f>
        <v>29650.43</v>
      </c>
      <c r="D18">
        <f t="shared" si="1"/>
        <v>-208915.01</v>
      </c>
      <c r="E18">
        <f t="shared" si="2"/>
        <v>44.160000000003492</v>
      </c>
      <c r="F18">
        <v>10000</v>
      </c>
      <c r="G18">
        <f t="shared" si="3"/>
        <v>1270000</v>
      </c>
      <c r="H18">
        <v>6800.31</v>
      </c>
      <c r="I18" s="21">
        <f t="shared" si="4"/>
        <v>1246892.5000000002</v>
      </c>
    </row>
    <row r="19" spans="1:9" ht="14.5" x14ac:dyDescent="0.35">
      <c r="A19" s="22">
        <v>42228</v>
      </c>
      <c r="B19">
        <f t="shared" si="0"/>
        <v>58319.139999999985</v>
      </c>
      <c r="C19">
        <v>32829.599999999999</v>
      </c>
      <c r="D19">
        <f t="shared" si="1"/>
        <v>-208935.53000000003</v>
      </c>
      <c r="E19">
        <f t="shared" si="2"/>
        <v>-20.520000000004075</v>
      </c>
      <c r="F19">
        <v>10000</v>
      </c>
      <c r="G19">
        <f t="shared" si="3"/>
        <v>1280000</v>
      </c>
      <c r="H19">
        <v>6320.36</v>
      </c>
      <c r="I19" s="21">
        <f t="shared" si="4"/>
        <v>1253212.8600000003</v>
      </c>
    </row>
    <row r="20" spans="1:9" ht="14.5" x14ac:dyDescent="0.35">
      <c r="A20" s="22">
        <v>42229</v>
      </c>
      <c r="B20">
        <f t="shared" si="0"/>
        <v>61998.779999999984</v>
      </c>
      <c r="C20">
        <v>36496.5</v>
      </c>
      <c r="D20">
        <f t="shared" si="1"/>
        <v>-208948.27000000002</v>
      </c>
      <c r="E20">
        <f t="shared" si="2"/>
        <v>-12.739999999997963</v>
      </c>
      <c r="F20">
        <v>10000</v>
      </c>
      <c r="G20">
        <f t="shared" si="3"/>
        <v>1290000</v>
      </c>
      <c r="H20">
        <f>3081+1767.65+1195.55</f>
        <v>6044.2</v>
      </c>
      <c r="I20" s="21">
        <f t="shared" si="4"/>
        <v>1259257.0600000003</v>
      </c>
    </row>
    <row r="21" spans="1:9" ht="14.5" x14ac:dyDescent="0.35">
      <c r="A21" s="22">
        <v>42230</v>
      </c>
      <c r="B21">
        <f t="shared" si="0"/>
        <v>65954.579999999987</v>
      </c>
      <c r="C21">
        <v>40366.93</v>
      </c>
      <c r="D21">
        <f t="shared" si="1"/>
        <v>-209033.64</v>
      </c>
      <c r="E21">
        <f t="shared" si="2"/>
        <v>-85.370000000002619</v>
      </c>
      <c r="F21">
        <v>6000</v>
      </c>
      <c r="G21">
        <f t="shared" si="3"/>
        <v>1296000</v>
      </c>
      <c r="H21">
        <f>2959+1723.08+1364.06</f>
        <v>6046.1399999999994</v>
      </c>
      <c r="I21" s="21">
        <f t="shared" si="4"/>
        <v>1265303.2000000002</v>
      </c>
    </row>
    <row r="22" spans="1:9" ht="15.75" customHeight="1" x14ac:dyDescent="0.35">
      <c r="A22" s="22">
        <v>42231</v>
      </c>
      <c r="B22">
        <f t="shared" si="0"/>
        <v>65908.439999999988</v>
      </c>
      <c r="C22">
        <v>40292.129999999997</v>
      </c>
      <c r="D22">
        <f t="shared" si="1"/>
        <v>-209062.30000000002</v>
      </c>
      <c r="E22">
        <f t="shared" si="2"/>
        <v>-28.660000000003492</v>
      </c>
      <c r="F22">
        <v>4000</v>
      </c>
      <c r="G22">
        <f t="shared" si="3"/>
        <v>1300000</v>
      </c>
      <c r="H22">
        <v>5199.17</v>
      </c>
      <c r="I22" s="21">
        <f t="shared" si="4"/>
        <v>1270502.3700000001</v>
      </c>
    </row>
    <row r="23" spans="1:9" ht="15.75" customHeight="1" x14ac:dyDescent="0.35">
      <c r="A23" s="22">
        <v>42232</v>
      </c>
      <c r="B23">
        <f t="shared" si="0"/>
        <v>64709.26999999999</v>
      </c>
      <c r="C23">
        <v>39166.76</v>
      </c>
      <c r="D23">
        <f t="shared" si="1"/>
        <v>-208988.5</v>
      </c>
      <c r="E23">
        <f t="shared" si="2"/>
        <v>73.80000000000291</v>
      </c>
      <c r="G23">
        <f t="shared" si="3"/>
        <v>1300000</v>
      </c>
      <c r="H23">
        <v>4185.6899999999996</v>
      </c>
      <c r="I23" s="21">
        <f t="shared" si="4"/>
        <v>1274688.06</v>
      </c>
    </row>
    <row r="24" spans="1:9" ht="15.75" customHeight="1" x14ac:dyDescent="0.35">
      <c r="A24" s="22">
        <v>42233</v>
      </c>
      <c r="B24">
        <f t="shared" si="0"/>
        <v>60523.579999999987</v>
      </c>
      <c r="C24">
        <v>34657.629999999997</v>
      </c>
      <c r="D24">
        <f t="shared" si="1"/>
        <v>-209311.94</v>
      </c>
      <c r="E24">
        <f t="shared" si="2"/>
        <v>-323.44000000000233</v>
      </c>
      <c r="G24">
        <f t="shared" si="3"/>
        <v>1300000</v>
      </c>
      <c r="H24">
        <v>6547.89</v>
      </c>
      <c r="I24" s="21">
        <f t="shared" si="4"/>
        <v>1281235.95</v>
      </c>
    </row>
    <row r="25" spans="1:9" ht="15.75" customHeight="1" x14ac:dyDescent="0.35">
      <c r="A25" s="22">
        <v>42234</v>
      </c>
      <c r="B25">
        <f t="shared" si="0"/>
        <v>53975.689999999988</v>
      </c>
      <c r="C25">
        <v>27816.43</v>
      </c>
      <c r="D25">
        <f t="shared" si="1"/>
        <v>-209605.25</v>
      </c>
      <c r="E25">
        <f t="shared" si="2"/>
        <v>-293.30999999999767</v>
      </c>
      <c r="F25">
        <v>10000</v>
      </c>
      <c r="G25">
        <f t="shared" si="3"/>
        <v>1310000</v>
      </c>
      <c r="H25">
        <f>3288.21+1859.24+1343.89</f>
        <v>6491.34</v>
      </c>
      <c r="I25" s="21">
        <f t="shared" si="4"/>
        <v>1287727.29</v>
      </c>
    </row>
    <row r="26" spans="1:9" ht="15.75" customHeight="1" x14ac:dyDescent="0.35">
      <c r="A26" s="22">
        <v>42235</v>
      </c>
      <c r="B26">
        <f t="shared" si="0"/>
        <v>57484.349999999991</v>
      </c>
      <c r="C26">
        <f>17077.7+7660+6696+57.63</f>
        <v>31491.33</v>
      </c>
      <c r="D26">
        <f t="shared" si="1"/>
        <v>-209439.01</v>
      </c>
      <c r="E26">
        <f t="shared" si="2"/>
        <v>166.23999999999796</v>
      </c>
      <c r="G26">
        <f t="shared" si="3"/>
        <v>1310000</v>
      </c>
      <c r="H26">
        <v>6002.23</v>
      </c>
      <c r="I26" s="21">
        <f t="shared" si="4"/>
        <v>1293729.52</v>
      </c>
    </row>
    <row r="27" spans="1:9" ht="15.75" customHeight="1" x14ac:dyDescent="0.35">
      <c r="A27" s="22">
        <v>42236</v>
      </c>
      <c r="B27">
        <f t="shared" si="0"/>
        <v>51482.119999999995</v>
      </c>
      <c r="C27">
        <v>25086.13</v>
      </c>
      <c r="D27">
        <f t="shared" si="1"/>
        <v>-209841.98</v>
      </c>
      <c r="E27">
        <f t="shared" si="2"/>
        <v>-402.97000000000116</v>
      </c>
      <c r="F27">
        <v>10000</v>
      </c>
      <c r="G27">
        <f t="shared" si="3"/>
        <v>1320000</v>
      </c>
      <c r="H27">
        <v>5766.27</v>
      </c>
      <c r="I27" s="21">
        <f t="shared" si="4"/>
        <v>1299495.79</v>
      </c>
    </row>
    <row r="28" spans="1:9" ht="15.75" customHeight="1" x14ac:dyDescent="0.35">
      <c r="A28" s="22">
        <v>42237</v>
      </c>
      <c r="B28">
        <f t="shared" si="0"/>
        <v>55715.849999999991</v>
      </c>
      <c r="C28">
        <v>29396.13</v>
      </c>
      <c r="D28">
        <f t="shared" si="1"/>
        <v>-209765.71000000002</v>
      </c>
      <c r="E28">
        <f t="shared" si="2"/>
        <v>76.270000000000437</v>
      </c>
      <c r="F28">
        <v>16000</v>
      </c>
      <c r="G28">
        <f t="shared" si="3"/>
        <v>1336000</v>
      </c>
      <c r="H28">
        <v>5431.36</v>
      </c>
      <c r="I28" s="21">
        <f t="shared" si="4"/>
        <v>1304927.1500000001</v>
      </c>
    </row>
    <row r="29" spans="1:9" ht="15.75" customHeight="1" x14ac:dyDescent="0.35">
      <c r="A29" s="22">
        <v>42238</v>
      </c>
      <c r="B29">
        <f t="shared" si="0"/>
        <v>66284.489999999991</v>
      </c>
      <c r="C29">
        <v>40252.129999999997</v>
      </c>
      <c r="D29">
        <f t="shared" si="1"/>
        <v>-209478.35000000003</v>
      </c>
      <c r="E29">
        <f t="shared" si="2"/>
        <v>287.35999999999694</v>
      </c>
      <c r="F29">
        <v>4000</v>
      </c>
      <c r="G29">
        <f t="shared" si="3"/>
        <v>1340000</v>
      </c>
      <c r="H29">
        <v>5042.71</v>
      </c>
      <c r="I29" s="21">
        <f t="shared" si="4"/>
        <v>1309969.8600000001</v>
      </c>
    </row>
    <row r="30" spans="1:9" ht="15.75" customHeight="1" x14ac:dyDescent="0.35">
      <c r="A30" s="22">
        <v>42239</v>
      </c>
      <c r="B30">
        <f t="shared" si="0"/>
        <v>65241.779999999992</v>
      </c>
      <c r="C30">
        <v>39159.32</v>
      </c>
      <c r="D30">
        <f t="shared" si="1"/>
        <v>-209528.45000000004</v>
      </c>
      <c r="E30">
        <f t="shared" si="2"/>
        <v>-50.099999999998545</v>
      </c>
      <c r="G30">
        <f t="shared" si="3"/>
        <v>1340000</v>
      </c>
      <c r="H30">
        <v>3610.97</v>
      </c>
      <c r="I30" s="21">
        <f t="shared" si="4"/>
        <v>1313580.83</v>
      </c>
    </row>
    <row r="31" spans="1:9" ht="15.75" customHeight="1" x14ac:dyDescent="0.35">
      <c r="A31" s="22">
        <v>42240</v>
      </c>
      <c r="B31">
        <f t="shared" si="0"/>
        <v>61630.80999999999</v>
      </c>
      <c r="C31">
        <v>35379.18</v>
      </c>
      <c r="D31">
        <f t="shared" si="1"/>
        <v>-209697.62000000005</v>
      </c>
      <c r="E31">
        <f t="shared" si="2"/>
        <v>-169.16999999999825</v>
      </c>
      <c r="G31">
        <f t="shared" si="3"/>
        <v>1340000</v>
      </c>
      <c r="H31">
        <v>6283.96</v>
      </c>
      <c r="I31" s="21">
        <f t="shared" si="4"/>
        <v>1319864.79</v>
      </c>
    </row>
    <row r="32" spans="1:9" ht="15.75" customHeight="1" x14ac:dyDescent="0.35">
      <c r="A32" s="22">
        <v>42241</v>
      </c>
      <c r="B32">
        <f t="shared" si="0"/>
        <v>55346.849999999991</v>
      </c>
      <c r="C32">
        <v>28678.799999999999</v>
      </c>
      <c r="D32">
        <f t="shared" si="1"/>
        <v>-210114.04000000004</v>
      </c>
      <c r="E32">
        <f t="shared" si="2"/>
        <v>-416.41999999999825</v>
      </c>
      <c r="F32">
        <v>10000</v>
      </c>
      <c r="G32">
        <f t="shared" si="3"/>
        <v>1350000</v>
      </c>
      <c r="H32">
        <v>6213</v>
      </c>
      <c r="I32" s="21">
        <f t="shared" si="4"/>
        <v>1326077.79</v>
      </c>
    </row>
    <row r="33" spans="1:9" ht="15.75" customHeight="1" x14ac:dyDescent="0.35">
      <c r="A33" s="22">
        <v>42242</v>
      </c>
      <c r="B33">
        <f t="shared" si="0"/>
        <v>59133.849999999991</v>
      </c>
      <c r="C33">
        <v>32596.400000000001</v>
      </c>
      <c r="D33">
        <f t="shared" si="1"/>
        <v>-209983.44000000003</v>
      </c>
      <c r="E33">
        <f t="shared" si="2"/>
        <v>130.60000000000218</v>
      </c>
      <c r="F33">
        <v>10000</v>
      </c>
      <c r="G33">
        <f t="shared" si="3"/>
        <v>1360000</v>
      </c>
      <c r="H33">
        <v>6245.09</v>
      </c>
      <c r="I33" s="21">
        <f t="shared" si="4"/>
        <v>1332322.8800000001</v>
      </c>
    </row>
    <row r="34" spans="1:9" ht="15.75" customHeight="1" x14ac:dyDescent="0.35">
      <c r="A34" s="22">
        <v>42243</v>
      </c>
      <c r="B34">
        <f t="shared" si="0"/>
        <v>62888.759999999995</v>
      </c>
      <c r="C34">
        <v>36318.730000000003</v>
      </c>
      <c r="D34">
        <f t="shared" si="1"/>
        <v>-210016.02000000002</v>
      </c>
      <c r="E34">
        <f t="shared" si="2"/>
        <v>-32.57999999999447</v>
      </c>
      <c r="F34">
        <v>10000</v>
      </c>
      <c r="G34">
        <f t="shared" si="3"/>
        <v>1370000</v>
      </c>
      <c r="H34">
        <v>6753.5</v>
      </c>
      <c r="I34" s="21">
        <f t="shared" si="4"/>
        <v>1339076.3800000001</v>
      </c>
    </row>
    <row r="35" spans="1:9" ht="15.75" customHeight="1" x14ac:dyDescent="0.35">
      <c r="A35" s="22">
        <v>42244</v>
      </c>
      <c r="B35">
        <f t="shared" si="0"/>
        <v>66135.259999999995</v>
      </c>
      <c r="C35">
        <v>39803.72</v>
      </c>
      <c r="D35">
        <f t="shared" si="1"/>
        <v>-209777.53000000003</v>
      </c>
      <c r="E35">
        <f t="shared" si="2"/>
        <v>238.48999999999796</v>
      </c>
      <c r="F35">
        <v>6000</v>
      </c>
      <c r="G35">
        <f t="shared" si="3"/>
        <v>1376000</v>
      </c>
      <c r="H35">
        <v>5297.67</v>
      </c>
      <c r="I35" s="21">
        <f t="shared" si="4"/>
        <v>1344374.05</v>
      </c>
    </row>
    <row r="36" spans="1:9" ht="15.75" customHeight="1" x14ac:dyDescent="0.35">
      <c r="A36" s="22">
        <v>42245</v>
      </c>
      <c r="B36">
        <f t="shared" si="0"/>
        <v>66837.59</v>
      </c>
      <c r="C36">
        <v>40710.22</v>
      </c>
      <c r="D36">
        <f t="shared" si="1"/>
        <v>-209573.36000000004</v>
      </c>
      <c r="E36">
        <f t="shared" si="2"/>
        <v>204.16999999999825</v>
      </c>
      <c r="F36">
        <v>4000</v>
      </c>
      <c r="G36">
        <f t="shared" si="3"/>
        <v>1380000</v>
      </c>
      <c r="H36">
        <v>5749.95</v>
      </c>
      <c r="I36" s="21">
        <f t="shared" si="4"/>
        <v>1350124</v>
      </c>
    </row>
    <row r="37" spans="1:9" ht="15.75" customHeight="1" x14ac:dyDescent="0.35">
      <c r="A37" s="22">
        <v>42246</v>
      </c>
      <c r="B37">
        <f t="shared" si="0"/>
        <v>65087.64</v>
      </c>
      <c r="C37">
        <v>39813.730000000003</v>
      </c>
      <c r="D37">
        <f t="shared" si="1"/>
        <v>-208719.90000000005</v>
      </c>
      <c r="E37">
        <f t="shared" si="2"/>
        <v>853.45999999999913</v>
      </c>
      <c r="G37">
        <f t="shared" si="3"/>
        <v>1380000</v>
      </c>
      <c r="H37">
        <v>4496.08</v>
      </c>
      <c r="I37" s="21">
        <f t="shared" si="4"/>
        <v>1354620.08</v>
      </c>
    </row>
    <row r="38" spans="1:9" ht="15.75" customHeight="1" x14ac:dyDescent="0.35">
      <c r="A38" s="22">
        <v>42247</v>
      </c>
      <c r="B38">
        <f t="shared" si="0"/>
        <v>60591.56</v>
      </c>
      <c r="C38">
        <v>35063.379999999997</v>
      </c>
      <c r="D38">
        <f t="shared" si="1"/>
        <v>-208974.17000000004</v>
      </c>
      <c r="E38">
        <f t="shared" si="2"/>
        <v>-254.27000000000407</v>
      </c>
      <c r="G38">
        <f t="shared" si="3"/>
        <v>1380000</v>
      </c>
      <c r="H38">
        <f>2202.76+3333.34+921.95</f>
        <v>6458.05</v>
      </c>
      <c r="I38" s="21">
        <f t="shared" si="4"/>
        <v>1361078.1300000001</v>
      </c>
    </row>
    <row r="39" spans="1:9" ht="15.75" customHeight="1" x14ac:dyDescent="0.35">
      <c r="A39" s="22">
        <v>42248</v>
      </c>
      <c r="B39">
        <f t="shared" si="0"/>
        <v>54133.509999999995</v>
      </c>
      <c r="C39">
        <v>27897.4</v>
      </c>
      <c r="D39">
        <f t="shared" si="1"/>
        <v>-209024.17000000004</v>
      </c>
      <c r="E39">
        <v>-50</v>
      </c>
      <c r="G39">
        <f t="shared" si="3"/>
        <v>1380000</v>
      </c>
      <c r="I39" s="21">
        <f t="shared" si="4"/>
        <v>1361078.1300000001</v>
      </c>
    </row>
    <row r="40" spans="1:9" ht="15.75" customHeight="1" x14ac:dyDescent="0.35">
      <c r="A40" s="22"/>
      <c r="I40" s="21"/>
    </row>
    <row r="41" spans="1:9" ht="15.75" customHeight="1" x14ac:dyDescent="0.35">
      <c r="A41" s="23" t="s">
        <v>35</v>
      </c>
      <c r="B41">
        <f>B39-H39+F39</f>
        <v>54133.509999999995</v>
      </c>
      <c r="D41">
        <f>D39+E41</f>
        <v>-210264.24000000005</v>
      </c>
      <c r="E41" s="7">
        <f>SUM(E8:E39)</f>
        <v>-1240.0699999999983</v>
      </c>
      <c r="G41">
        <f>G39+F41</f>
        <v>1380000</v>
      </c>
      <c r="H41" s="5">
        <f>SUM(H8:H39)</f>
        <v>177325.72</v>
      </c>
      <c r="I41" s="21">
        <f>I39++H41</f>
        <v>1538403.85</v>
      </c>
    </row>
    <row r="42" spans="1:9" ht="15.75" customHeight="1" x14ac:dyDescent="0.35">
      <c r="A42" t="s">
        <v>17</v>
      </c>
      <c r="B42">
        <f>B41-H41+F41</f>
        <v>-123192.21</v>
      </c>
      <c r="D42">
        <f>D41+E42</f>
        <v>-210264.24000000005</v>
      </c>
      <c r="G42">
        <f>G41+F42</f>
        <v>1380000</v>
      </c>
      <c r="H42">
        <f>AVERAGE(H8:H38)</f>
        <v>5720.1845161290321</v>
      </c>
      <c r="I42" s="21">
        <f>I41++H42</f>
        <v>1544124.0345161292</v>
      </c>
    </row>
    <row r="43" spans="1:9" ht="15.75" customHeight="1" x14ac:dyDescent="0.35">
      <c r="A43" s="22"/>
      <c r="E43" s="1"/>
      <c r="I43" s="21"/>
    </row>
    <row r="44" spans="1:9" ht="15.75" customHeight="1" x14ac:dyDescent="0.35">
      <c r="G44" s="24"/>
      <c r="H44" s="5"/>
      <c r="I44" s="5" t="s">
        <v>12</v>
      </c>
    </row>
    <row r="45" spans="1:9" ht="15.75" customHeight="1" x14ac:dyDescent="0.35">
      <c r="G45" s="25"/>
      <c r="H45" s="5" t="s">
        <v>13</v>
      </c>
      <c r="I45" s="27">
        <f>5121.782</f>
        <v>5121.7820000000002</v>
      </c>
    </row>
    <row r="46" spans="1:9" ht="15.75" customHeight="1" x14ac:dyDescent="0.35">
      <c r="H46" s="5" t="s">
        <v>14</v>
      </c>
      <c r="I46" s="27">
        <v>5601.1</v>
      </c>
    </row>
    <row r="47" spans="1:9" ht="15.75" customHeight="1" x14ac:dyDescent="0.35">
      <c r="H47" s="5" t="s">
        <v>16</v>
      </c>
      <c r="I47" s="27">
        <v>5681.1</v>
      </c>
    </row>
    <row r="48" spans="1:9" ht="15.75" customHeight="1" x14ac:dyDescent="0.35">
      <c r="H48" s="5" t="s">
        <v>18</v>
      </c>
      <c r="I48" s="27">
        <v>5608</v>
      </c>
    </row>
    <row r="49" spans="8:9" ht="15.75" customHeight="1" x14ac:dyDescent="0.35">
      <c r="H49" s="5" t="s">
        <v>19</v>
      </c>
      <c r="I49" s="27">
        <v>5631.3</v>
      </c>
    </row>
    <row r="50" spans="8:9" ht="15.75" customHeight="1" x14ac:dyDescent="0.35">
      <c r="H50" s="5" t="s">
        <v>20</v>
      </c>
      <c r="I50" s="27">
        <v>6150.6</v>
      </c>
    </row>
    <row r="51" spans="8:9" ht="15.75" customHeight="1" x14ac:dyDescent="0.35">
      <c r="H51" s="5" t="s">
        <v>21</v>
      </c>
      <c r="I51" s="27">
        <v>5925</v>
      </c>
    </row>
    <row r="52" spans="8:9" ht="15.75" customHeight="1" x14ac:dyDescent="0.35">
      <c r="H52" s="5" t="s">
        <v>22</v>
      </c>
      <c r="I52" s="27">
        <f>H42</f>
        <v>5720.1845161290321</v>
      </c>
    </row>
    <row r="53" spans="8:9" ht="15.75" customHeight="1" x14ac:dyDescent="0.35">
      <c r="H53" s="5" t="s">
        <v>23</v>
      </c>
      <c r="I53" s="5"/>
    </row>
    <row r="54" spans="8:9" ht="15.75" customHeight="1" x14ac:dyDescent="0.35">
      <c r="H54" s="5" t="s">
        <v>24</v>
      </c>
      <c r="I54" s="5"/>
    </row>
    <row r="55" spans="8:9" ht="15.75" customHeight="1" x14ac:dyDescent="0.35">
      <c r="H55" s="5" t="s">
        <v>25</v>
      </c>
      <c r="I55" s="5"/>
    </row>
    <row r="56" spans="8:9" ht="15.75" customHeight="1" x14ac:dyDescent="0.35">
      <c r="H56" s="5" t="s">
        <v>38</v>
      </c>
      <c r="I56" s="5"/>
    </row>
    <row r="57" spans="8:9" ht="15.75" customHeight="1" x14ac:dyDescent="0.35"/>
    <row r="58" spans="8:9" ht="15.75" customHeight="1" x14ac:dyDescent="0.35"/>
    <row r="59" spans="8:9" ht="15.75" customHeight="1" x14ac:dyDescent="0.35"/>
    <row r="60" spans="8:9" ht="15.75" customHeight="1" x14ac:dyDescent="0.35"/>
    <row r="61" spans="8:9" ht="15.75" customHeight="1" x14ac:dyDescent="0.35"/>
    <row r="62" spans="8:9" ht="15.75" customHeight="1" x14ac:dyDescent="0.35"/>
    <row r="63" spans="8:9" ht="15.75" customHeight="1" x14ac:dyDescent="0.35"/>
    <row r="64" spans="8:9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spans="5:5" ht="15.75" customHeight="1" x14ac:dyDescent="0.35"/>
    <row r="82" spans="5:5" ht="15.75" customHeight="1" x14ac:dyDescent="0.35"/>
    <row r="83" spans="5:5" ht="15.75" customHeight="1" x14ac:dyDescent="0.35"/>
    <row r="84" spans="5:5" ht="15.75" customHeight="1" x14ac:dyDescent="0.35"/>
    <row r="85" spans="5:5" ht="15.75" customHeight="1" x14ac:dyDescent="0.35"/>
    <row r="86" spans="5:5" ht="15.75" customHeight="1" x14ac:dyDescent="0.35"/>
    <row r="87" spans="5:5" ht="15.75" customHeight="1" x14ac:dyDescent="0.35"/>
    <row r="88" spans="5:5" ht="15.75" customHeight="1" x14ac:dyDescent="0.35">
      <c r="E88">
        <f>B1223*B446</f>
        <v>0</v>
      </c>
    </row>
    <row r="89" spans="5:5" ht="15.75" customHeight="1" x14ac:dyDescent="0.35"/>
    <row r="90" spans="5:5" ht="15.75" customHeight="1" x14ac:dyDescent="0.35"/>
    <row r="91" spans="5:5" ht="15.75" customHeight="1" x14ac:dyDescent="0.35"/>
    <row r="92" spans="5:5" ht="15.75" customHeight="1" x14ac:dyDescent="0.35"/>
    <row r="93" spans="5:5" ht="15.75" customHeight="1" x14ac:dyDescent="0.35"/>
    <row r="94" spans="5:5" ht="15.75" customHeight="1" x14ac:dyDescent="0.35"/>
    <row r="95" spans="5:5" ht="15.75" customHeight="1" x14ac:dyDescent="0.35"/>
    <row r="96" spans="5:5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3">
    <mergeCell ref="D2:G2"/>
    <mergeCell ref="D3:G3"/>
    <mergeCell ref="D4:G4"/>
  </mergeCells>
  <pageMargins left="0.7" right="0.7" top="0.75" bottom="0.75" header="0" footer="0"/>
  <pageSetup scale="76" orientation="portrait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1001"/>
  <sheetViews>
    <sheetView tabSelected="1" workbookViewId="0">
      <selection sqref="A1:XFD1"/>
    </sheetView>
  </sheetViews>
  <sheetFormatPr defaultColWidth="14.453125" defaultRowHeight="15" customHeight="1" x14ac:dyDescent="0.35"/>
  <cols>
    <col min="1" max="1" width="14.54296875" customWidth="1"/>
    <col min="2" max="2" width="11.54296875" customWidth="1"/>
    <col min="3" max="3" width="11.7265625" customWidth="1"/>
    <col min="4" max="4" width="11.26953125" customWidth="1"/>
    <col min="5" max="5" width="13" customWidth="1"/>
    <col min="6" max="6" width="9.7265625" customWidth="1"/>
    <col min="7" max="7" width="13.54296875" customWidth="1"/>
    <col min="8" max="8" width="10.7265625" customWidth="1"/>
    <col min="9" max="9" width="12.54296875" customWidth="1"/>
    <col min="10" max="11" width="9.08984375" customWidth="1"/>
    <col min="12" max="12" width="8.984375E-2" customWidth="1"/>
    <col min="13" max="13" width="9.08984375" hidden="1" customWidth="1"/>
    <col min="14" max="14" width="0.81640625" customWidth="1"/>
    <col min="15" max="15" width="9.08984375" hidden="1" customWidth="1"/>
    <col min="16" max="26" width="8.7265625" customWidth="1"/>
  </cols>
  <sheetData>
    <row r="2" spans="1:9" ht="14.5" x14ac:dyDescent="0.35">
      <c r="A2" s="9"/>
      <c r="B2" s="10"/>
      <c r="D2" s="28" t="s">
        <v>1</v>
      </c>
      <c r="E2" s="29"/>
      <c r="F2" s="29"/>
      <c r="G2" s="29"/>
    </row>
    <row r="3" spans="1:9" ht="14.5" x14ac:dyDescent="0.35">
      <c r="A3" s="9"/>
      <c r="B3" s="10"/>
      <c r="C3" s="10"/>
      <c r="D3" s="30" t="s">
        <v>0</v>
      </c>
      <c r="E3" s="29"/>
      <c r="F3" s="29"/>
      <c r="G3" s="29"/>
      <c r="H3" s="10"/>
      <c r="I3" s="10"/>
    </row>
    <row r="4" spans="1:9" ht="14.5" x14ac:dyDescent="0.35">
      <c r="A4" s="10"/>
      <c r="B4" s="10"/>
      <c r="C4" s="10"/>
      <c r="D4" s="28" t="s">
        <v>40</v>
      </c>
      <c r="E4" s="29"/>
      <c r="F4" s="29"/>
      <c r="G4" s="29"/>
      <c r="H4" s="9"/>
      <c r="I4" s="10"/>
    </row>
    <row r="5" spans="1:9" ht="14.5" x14ac:dyDescent="0.35">
      <c r="A5" s="10"/>
      <c r="B5" s="10"/>
      <c r="C5" s="10"/>
      <c r="D5" s="8"/>
      <c r="E5" s="8"/>
      <c r="F5" s="8"/>
      <c r="G5" s="8"/>
      <c r="H5" s="10"/>
      <c r="I5" s="10"/>
    </row>
    <row r="6" spans="1:9" ht="14.5" x14ac:dyDescent="0.35">
      <c r="A6" s="17" t="s">
        <v>3</v>
      </c>
      <c r="B6" s="18" t="s">
        <v>4</v>
      </c>
      <c r="C6" s="19" t="s">
        <v>5</v>
      </c>
      <c r="D6" s="19" t="s">
        <v>27</v>
      </c>
      <c r="E6" s="19" t="s">
        <v>28</v>
      </c>
      <c r="F6" s="19" t="s">
        <v>8</v>
      </c>
      <c r="G6" s="19" t="s">
        <v>9</v>
      </c>
      <c r="H6" s="19" t="s">
        <v>10</v>
      </c>
      <c r="I6" s="19" t="s">
        <v>11</v>
      </c>
    </row>
    <row r="7" spans="1:9" ht="14.5" x14ac:dyDescent="0.35">
      <c r="A7" s="20"/>
      <c r="B7" s="20"/>
      <c r="C7" s="20"/>
      <c r="D7" s="20"/>
      <c r="E7" s="20"/>
      <c r="F7" s="20"/>
      <c r="G7" s="20"/>
      <c r="H7" s="20"/>
      <c r="I7" s="20"/>
    </row>
    <row r="8" spans="1:9" ht="14.5" x14ac:dyDescent="0.35">
      <c r="A8" s="22">
        <v>42217</v>
      </c>
      <c r="B8" s="20">
        <v>54133.51</v>
      </c>
      <c r="C8" s="20">
        <v>27897.4</v>
      </c>
      <c r="D8" s="20">
        <v>-209682</v>
      </c>
      <c r="E8" s="20">
        <v>-50</v>
      </c>
      <c r="F8" s="20">
        <v>10000</v>
      </c>
      <c r="G8" s="20">
        <v>1380000</v>
      </c>
      <c r="H8" s="20">
        <v>7280.22</v>
      </c>
      <c r="I8" s="20">
        <v>1361078.1</v>
      </c>
    </row>
    <row r="9" spans="1:9" ht="14.5" x14ac:dyDescent="0.35">
      <c r="A9" s="22">
        <v>42218</v>
      </c>
      <c r="B9">
        <f t="shared" ref="B9:B40" si="0">B8-H8+F8</f>
        <v>56853.29</v>
      </c>
      <c r="C9">
        <v>30594.48</v>
      </c>
      <c r="D9">
        <f t="shared" ref="D9:D40" si="1">D8+E9</f>
        <v>-209704.7</v>
      </c>
      <c r="E9">
        <f t="shared" ref="E9:E16" si="2">C9+H8-C8-F8</f>
        <v>-22.700000000004366</v>
      </c>
      <c r="F9">
        <v>10000</v>
      </c>
      <c r="G9">
        <f t="shared" ref="G9:G40" si="3">G8+F9</f>
        <v>1390000</v>
      </c>
      <c r="H9">
        <v>6346.7</v>
      </c>
      <c r="I9" s="21">
        <f t="shared" ref="I9:I40" si="4">I8++H9</f>
        <v>1367424.8</v>
      </c>
    </row>
    <row r="10" spans="1:9" ht="14.5" x14ac:dyDescent="0.35">
      <c r="A10" s="22">
        <v>42219</v>
      </c>
      <c r="B10">
        <f t="shared" si="0"/>
        <v>60506.590000000004</v>
      </c>
      <c r="C10">
        <v>34096.93</v>
      </c>
      <c r="D10">
        <f t="shared" si="1"/>
        <v>-209855.55000000002</v>
      </c>
      <c r="E10">
        <f t="shared" si="2"/>
        <v>-150.85000000000218</v>
      </c>
      <c r="G10">
        <f t="shared" si="3"/>
        <v>1390000</v>
      </c>
      <c r="H10">
        <v>6035.29</v>
      </c>
      <c r="I10" s="21">
        <f t="shared" si="4"/>
        <v>1373460.09</v>
      </c>
    </row>
    <row r="11" spans="1:9" ht="14.5" x14ac:dyDescent="0.35">
      <c r="A11" s="22">
        <v>42220</v>
      </c>
      <c r="B11">
        <f t="shared" si="0"/>
        <v>54471.3</v>
      </c>
      <c r="C11">
        <f>17200+3468.4+7154.5+57.63</f>
        <v>27880.530000000002</v>
      </c>
      <c r="D11">
        <f t="shared" si="1"/>
        <v>-210036.66000000003</v>
      </c>
      <c r="E11">
        <f t="shared" si="2"/>
        <v>-181.11000000000058</v>
      </c>
      <c r="F11">
        <v>20000</v>
      </c>
      <c r="G11">
        <f t="shared" si="3"/>
        <v>1410000</v>
      </c>
      <c r="H11">
        <v>6242.08</v>
      </c>
      <c r="I11" s="21">
        <f t="shared" si="4"/>
        <v>1379702.1700000002</v>
      </c>
    </row>
    <row r="12" spans="1:9" ht="14.5" x14ac:dyDescent="0.35">
      <c r="A12" s="22">
        <v>42221</v>
      </c>
      <c r="B12">
        <f t="shared" si="0"/>
        <v>68229.22</v>
      </c>
      <c r="C12">
        <v>41557.629999999997</v>
      </c>
      <c r="D12">
        <f t="shared" si="1"/>
        <v>-210117.48000000004</v>
      </c>
      <c r="E12">
        <f t="shared" si="2"/>
        <v>-80.820000000003347</v>
      </c>
      <c r="G12">
        <f t="shared" si="3"/>
        <v>1410000</v>
      </c>
      <c r="H12">
        <v>5824.61</v>
      </c>
      <c r="I12" s="21">
        <f t="shared" si="4"/>
        <v>1385526.7800000003</v>
      </c>
    </row>
    <row r="13" spans="1:9" ht="14.5" x14ac:dyDescent="0.35">
      <c r="A13" s="22">
        <v>42222</v>
      </c>
      <c r="B13">
        <f t="shared" si="0"/>
        <v>62404.61</v>
      </c>
      <c r="C13">
        <v>35337.53</v>
      </c>
      <c r="D13">
        <f t="shared" si="1"/>
        <v>-210512.97000000003</v>
      </c>
      <c r="E13">
        <f t="shared" si="2"/>
        <v>-395.48999999999796</v>
      </c>
      <c r="G13">
        <f t="shared" si="3"/>
        <v>1410000</v>
      </c>
      <c r="H13">
        <v>4095.59</v>
      </c>
      <c r="I13" s="21">
        <f t="shared" si="4"/>
        <v>1389622.3700000003</v>
      </c>
    </row>
    <row r="14" spans="1:9" ht="14.5" x14ac:dyDescent="0.35">
      <c r="A14" s="22">
        <v>42223</v>
      </c>
      <c r="B14">
        <f t="shared" si="0"/>
        <v>58309.020000000004</v>
      </c>
      <c r="C14">
        <v>30979.26</v>
      </c>
      <c r="D14">
        <f t="shared" si="1"/>
        <v>-210775.65000000002</v>
      </c>
      <c r="E14">
        <f t="shared" si="2"/>
        <v>-262.68000000000029</v>
      </c>
      <c r="G14">
        <f t="shared" si="3"/>
        <v>1410000</v>
      </c>
      <c r="H14">
        <v>6732.79</v>
      </c>
      <c r="I14" s="21">
        <f t="shared" si="4"/>
        <v>1396355.1600000004</v>
      </c>
    </row>
    <row r="15" spans="1:9" ht="14.5" x14ac:dyDescent="0.35">
      <c r="A15" s="22">
        <v>42224</v>
      </c>
      <c r="B15">
        <f t="shared" si="0"/>
        <v>51576.23</v>
      </c>
      <c r="C15">
        <v>23583.4</v>
      </c>
      <c r="D15">
        <f t="shared" si="1"/>
        <v>-211438.72000000003</v>
      </c>
      <c r="E15">
        <f t="shared" si="2"/>
        <v>-663.06999999999607</v>
      </c>
      <c r="F15">
        <v>10000</v>
      </c>
      <c r="G15">
        <f t="shared" si="3"/>
        <v>1420000</v>
      </c>
      <c r="H15">
        <v>5918</v>
      </c>
      <c r="I15" s="21">
        <f t="shared" si="4"/>
        <v>1402273.1600000004</v>
      </c>
    </row>
    <row r="16" spans="1:9" ht="14.5" x14ac:dyDescent="0.35">
      <c r="A16" s="22">
        <v>42225</v>
      </c>
      <c r="B16">
        <f t="shared" si="0"/>
        <v>55658.23</v>
      </c>
      <c r="C16">
        <v>27587.040000000001</v>
      </c>
      <c r="D16">
        <f t="shared" si="1"/>
        <v>-211517.08000000002</v>
      </c>
      <c r="E16">
        <f t="shared" si="2"/>
        <v>-78.360000000000582</v>
      </c>
      <c r="G16">
        <f t="shared" si="3"/>
        <v>1420000</v>
      </c>
      <c r="I16" s="21">
        <f t="shared" si="4"/>
        <v>1402273.1600000004</v>
      </c>
    </row>
    <row r="17" spans="1:9" ht="14.5" x14ac:dyDescent="0.35">
      <c r="A17" s="22">
        <v>42226</v>
      </c>
      <c r="B17">
        <f t="shared" si="0"/>
        <v>55658.23</v>
      </c>
      <c r="D17">
        <f t="shared" si="1"/>
        <v>-211517.08000000002</v>
      </c>
      <c r="G17">
        <f t="shared" si="3"/>
        <v>1420000</v>
      </c>
      <c r="I17" s="21">
        <f t="shared" si="4"/>
        <v>1402273.1600000004</v>
      </c>
    </row>
    <row r="18" spans="1:9" ht="14.5" x14ac:dyDescent="0.35">
      <c r="A18" s="22">
        <v>42227</v>
      </c>
      <c r="B18">
        <f t="shared" si="0"/>
        <v>55658.23</v>
      </c>
      <c r="D18">
        <f t="shared" si="1"/>
        <v>-211517.08000000002</v>
      </c>
      <c r="E18">
        <f t="shared" ref="E18:E40" si="5">C18+H17-C17-F17</f>
        <v>0</v>
      </c>
      <c r="G18">
        <f t="shared" si="3"/>
        <v>1420000</v>
      </c>
      <c r="I18" s="21">
        <f t="shared" si="4"/>
        <v>1402273.1600000004</v>
      </c>
    </row>
    <row r="19" spans="1:9" ht="14.5" x14ac:dyDescent="0.35">
      <c r="A19" s="22">
        <v>42228</v>
      </c>
      <c r="B19">
        <f t="shared" si="0"/>
        <v>55658.23</v>
      </c>
      <c r="D19">
        <f t="shared" si="1"/>
        <v>-211517.08000000002</v>
      </c>
      <c r="E19">
        <f t="shared" si="5"/>
        <v>0</v>
      </c>
      <c r="G19">
        <f t="shared" si="3"/>
        <v>1420000</v>
      </c>
      <c r="I19" s="21">
        <f t="shared" si="4"/>
        <v>1402273.1600000004</v>
      </c>
    </row>
    <row r="20" spans="1:9" ht="14.5" x14ac:dyDescent="0.35">
      <c r="A20" s="22">
        <v>42229</v>
      </c>
      <c r="B20">
        <f t="shared" si="0"/>
        <v>55658.23</v>
      </c>
      <c r="D20">
        <f t="shared" si="1"/>
        <v>-211517.08000000002</v>
      </c>
      <c r="E20">
        <f t="shared" si="5"/>
        <v>0</v>
      </c>
      <c r="G20">
        <f t="shared" si="3"/>
        <v>1420000</v>
      </c>
      <c r="I20" s="21">
        <f t="shared" si="4"/>
        <v>1402273.1600000004</v>
      </c>
    </row>
    <row r="21" spans="1:9" ht="14.5" x14ac:dyDescent="0.35">
      <c r="A21" s="22">
        <v>42230</v>
      </c>
      <c r="B21">
        <f t="shared" si="0"/>
        <v>55658.23</v>
      </c>
      <c r="D21">
        <f t="shared" si="1"/>
        <v>-211517.08000000002</v>
      </c>
      <c r="E21">
        <f t="shared" si="5"/>
        <v>0</v>
      </c>
      <c r="G21">
        <f t="shared" si="3"/>
        <v>1420000</v>
      </c>
      <c r="I21" s="21">
        <f t="shared" si="4"/>
        <v>1402273.1600000004</v>
      </c>
    </row>
    <row r="22" spans="1:9" ht="15.75" customHeight="1" x14ac:dyDescent="0.35">
      <c r="A22" s="22">
        <v>42231</v>
      </c>
      <c r="B22">
        <f t="shared" si="0"/>
        <v>55658.23</v>
      </c>
      <c r="D22">
        <f t="shared" si="1"/>
        <v>-211517.08000000002</v>
      </c>
      <c r="E22">
        <f t="shared" si="5"/>
        <v>0</v>
      </c>
      <c r="G22">
        <f t="shared" si="3"/>
        <v>1420000</v>
      </c>
      <c r="I22" s="21">
        <f t="shared" si="4"/>
        <v>1402273.1600000004</v>
      </c>
    </row>
    <row r="23" spans="1:9" ht="15.75" customHeight="1" x14ac:dyDescent="0.35">
      <c r="A23" s="22">
        <v>42232</v>
      </c>
      <c r="B23">
        <f t="shared" si="0"/>
        <v>55658.23</v>
      </c>
      <c r="D23">
        <f t="shared" si="1"/>
        <v>-211517.08000000002</v>
      </c>
      <c r="E23">
        <f t="shared" si="5"/>
        <v>0</v>
      </c>
      <c r="G23">
        <f t="shared" si="3"/>
        <v>1420000</v>
      </c>
      <c r="I23" s="21">
        <f t="shared" si="4"/>
        <v>1402273.1600000004</v>
      </c>
    </row>
    <row r="24" spans="1:9" ht="15.75" customHeight="1" x14ac:dyDescent="0.35">
      <c r="A24" s="22">
        <v>42233</v>
      </c>
      <c r="B24">
        <f t="shared" si="0"/>
        <v>55658.23</v>
      </c>
      <c r="D24">
        <f t="shared" si="1"/>
        <v>-211517.08000000002</v>
      </c>
      <c r="E24">
        <f t="shared" si="5"/>
        <v>0</v>
      </c>
      <c r="G24">
        <f t="shared" si="3"/>
        <v>1420000</v>
      </c>
      <c r="I24" s="21">
        <f t="shared" si="4"/>
        <v>1402273.1600000004</v>
      </c>
    </row>
    <row r="25" spans="1:9" ht="15.75" customHeight="1" x14ac:dyDescent="0.35">
      <c r="A25" s="22">
        <v>42234</v>
      </c>
      <c r="B25">
        <f t="shared" si="0"/>
        <v>55658.23</v>
      </c>
      <c r="D25">
        <f t="shared" si="1"/>
        <v>-211517.08000000002</v>
      </c>
      <c r="E25">
        <f t="shared" si="5"/>
        <v>0</v>
      </c>
      <c r="G25">
        <f t="shared" si="3"/>
        <v>1420000</v>
      </c>
      <c r="I25" s="21">
        <f t="shared" si="4"/>
        <v>1402273.1600000004</v>
      </c>
    </row>
    <row r="26" spans="1:9" ht="15.75" customHeight="1" x14ac:dyDescent="0.35">
      <c r="A26" s="22">
        <v>42235</v>
      </c>
      <c r="B26">
        <f t="shared" si="0"/>
        <v>55658.23</v>
      </c>
      <c r="D26">
        <f t="shared" si="1"/>
        <v>-211517.08000000002</v>
      </c>
      <c r="E26">
        <f t="shared" si="5"/>
        <v>0</v>
      </c>
      <c r="G26">
        <f t="shared" si="3"/>
        <v>1420000</v>
      </c>
      <c r="I26" s="21">
        <f t="shared" si="4"/>
        <v>1402273.1600000004</v>
      </c>
    </row>
    <row r="27" spans="1:9" ht="15.75" customHeight="1" x14ac:dyDescent="0.35">
      <c r="A27" s="22">
        <v>42236</v>
      </c>
      <c r="B27">
        <f t="shared" si="0"/>
        <v>55658.23</v>
      </c>
      <c r="D27">
        <f t="shared" si="1"/>
        <v>-211517.08000000002</v>
      </c>
      <c r="E27">
        <f t="shared" si="5"/>
        <v>0</v>
      </c>
      <c r="G27">
        <f t="shared" si="3"/>
        <v>1420000</v>
      </c>
      <c r="I27" s="21">
        <f t="shared" si="4"/>
        <v>1402273.1600000004</v>
      </c>
    </row>
    <row r="28" spans="1:9" ht="15.75" customHeight="1" x14ac:dyDescent="0.35">
      <c r="A28" s="22">
        <v>42237</v>
      </c>
      <c r="B28">
        <f t="shared" si="0"/>
        <v>55658.23</v>
      </c>
      <c r="D28">
        <f t="shared" si="1"/>
        <v>-211517.08000000002</v>
      </c>
      <c r="E28">
        <f t="shared" si="5"/>
        <v>0</v>
      </c>
      <c r="G28">
        <f t="shared" si="3"/>
        <v>1420000</v>
      </c>
      <c r="I28" s="21">
        <f t="shared" si="4"/>
        <v>1402273.1600000004</v>
      </c>
    </row>
    <row r="29" spans="1:9" ht="15.75" customHeight="1" x14ac:dyDescent="0.35">
      <c r="A29" s="22">
        <v>42238</v>
      </c>
      <c r="B29">
        <f t="shared" si="0"/>
        <v>55658.23</v>
      </c>
      <c r="D29">
        <f t="shared" si="1"/>
        <v>-211517.08000000002</v>
      </c>
      <c r="E29">
        <f t="shared" si="5"/>
        <v>0</v>
      </c>
      <c r="G29">
        <f t="shared" si="3"/>
        <v>1420000</v>
      </c>
      <c r="I29" s="21">
        <f t="shared" si="4"/>
        <v>1402273.1600000004</v>
      </c>
    </row>
    <row r="30" spans="1:9" ht="15.75" customHeight="1" x14ac:dyDescent="0.35">
      <c r="A30" s="22">
        <v>42239</v>
      </c>
      <c r="B30">
        <f t="shared" si="0"/>
        <v>55658.23</v>
      </c>
      <c r="D30">
        <f t="shared" si="1"/>
        <v>-211517.08000000002</v>
      </c>
      <c r="E30">
        <f t="shared" si="5"/>
        <v>0</v>
      </c>
      <c r="G30">
        <f t="shared" si="3"/>
        <v>1420000</v>
      </c>
      <c r="I30" s="21">
        <f t="shared" si="4"/>
        <v>1402273.1600000004</v>
      </c>
    </row>
    <row r="31" spans="1:9" ht="15.75" customHeight="1" x14ac:dyDescent="0.35">
      <c r="A31" s="22">
        <v>42240</v>
      </c>
      <c r="B31">
        <f t="shared" si="0"/>
        <v>55658.23</v>
      </c>
      <c r="D31">
        <f t="shared" si="1"/>
        <v>-211517.08000000002</v>
      </c>
      <c r="E31">
        <f t="shared" si="5"/>
        <v>0</v>
      </c>
      <c r="G31">
        <f t="shared" si="3"/>
        <v>1420000</v>
      </c>
      <c r="I31" s="21">
        <f t="shared" si="4"/>
        <v>1402273.1600000004</v>
      </c>
    </row>
    <row r="32" spans="1:9" ht="15.75" customHeight="1" x14ac:dyDescent="0.35">
      <c r="A32" s="22">
        <v>42241</v>
      </c>
      <c r="B32">
        <f t="shared" si="0"/>
        <v>55658.23</v>
      </c>
      <c r="D32">
        <f t="shared" si="1"/>
        <v>-211517.08000000002</v>
      </c>
      <c r="E32">
        <f t="shared" si="5"/>
        <v>0</v>
      </c>
      <c r="G32">
        <f t="shared" si="3"/>
        <v>1420000</v>
      </c>
      <c r="I32" s="21">
        <f t="shared" si="4"/>
        <v>1402273.1600000004</v>
      </c>
    </row>
    <row r="33" spans="1:9" ht="15.75" customHeight="1" x14ac:dyDescent="0.35">
      <c r="A33" s="22">
        <v>42242</v>
      </c>
      <c r="B33">
        <f t="shared" si="0"/>
        <v>55658.23</v>
      </c>
      <c r="D33">
        <f t="shared" si="1"/>
        <v>-211517.08000000002</v>
      </c>
      <c r="E33">
        <f t="shared" si="5"/>
        <v>0</v>
      </c>
      <c r="G33">
        <f t="shared" si="3"/>
        <v>1420000</v>
      </c>
      <c r="I33" s="21">
        <f t="shared" si="4"/>
        <v>1402273.1600000004</v>
      </c>
    </row>
    <row r="34" spans="1:9" ht="15.75" customHeight="1" x14ac:dyDescent="0.35">
      <c r="A34" s="22">
        <v>42243</v>
      </c>
      <c r="B34">
        <f t="shared" si="0"/>
        <v>55658.23</v>
      </c>
      <c r="D34">
        <f t="shared" si="1"/>
        <v>-211517.08000000002</v>
      </c>
      <c r="E34">
        <f t="shared" si="5"/>
        <v>0</v>
      </c>
      <c r="G34">
        <f t="shared" si="3"/>
        <v>1420000</v>
      </c>
      <c r="I34" s="21">
        <f t="shared" si="4"/>
        <v>1402273.1600000004</v>
      </c>
    </row>
    <row r="35" spans="1:9" ht="15.75" customHeight="1" x14ac:dyDescent="0.35">
      <c r="A35" s="22">
        <v>42244</v>
      </c>
      <c r="B35">
        <f t="shared" si="0"/>
        <v>55658.23</v>
      </c>
      <c r="D35">
        <f t="shared" si="1"/>
        <v>-211517.08000000002</v>
      </c>
      <c r="E35">
        <f t="shared" si="5"/>
        <v>0</v>
      </c>
      <c r="G35">
        <f t="shared" si="3"/>
        <v>1420000</v>
      </c>
      <c r="I35" s="21">
        <f t="shared" si="4"/>
        <v>1402273.1600000004</v>
      </c>
    </row>
    <row r="36" spans="1:9" ht="15.75" customHeight="1" x14ac:dyDescent="0.35">
      <c r="A36" s="22">
        <v>42245</v>
      </c>
      <c r="B36">
        <f t="shared" si="0"/>
        <v>55658.23</v>
      </c>
      <c r="D36">
        <f t="shared" si="1"/>
        <v>-211517.08000000002</v>
      </c>
      <c r="E36">
        <f t="shared" si="5"/>
        <v>0</v>
      </c>
      <c r="G36">
        <f t="shared" si="3"/>
        <v>1420000</v>
      </c>
      <c r="I36" s="21">
        <f t="shared" si="4"/>
        <v>1402273.1600000004</v>
      </c>
    </row>
    <row r="37" spans="1:9" ht="15.75" customHeight="1" x14ac:dyDescent="0.35">
      <c r="A37" s="22">
        <v>42246</v>
      </c>
      <c r="B37">
        <f t="shared" si="0"/>
        <v>55658.23</v>
      </c>
      <c r="D37">
        <f t="shared" si="1"/>
        <v>-211517.08000000002</v>
      </c>
      <c r="E37">
        <f t="shared" si="5"/>
        <v>0</v>
      </c>
      <c r="G37">
        <f t="shared" si="3"/>
        <v>1420000</v>
      </c>
      <c r="I37" s="21">
        <f t="shared" si="4"/>
        <v>1402273.1600000004</v>
      </c>
    </row>
    <row r="38" spans="1:9" ht="15.75" customHeight="1" x14ac:dyDescent="0.35">
      <c r="A38" s="22">
        <v>42247</v>
      </c>
      <c r="B38">
        <f t="shared" si="0"/>
        <v>55658.23</v>
      </c>
      <c r="D38">
        <f t="shared" si="1"/>
        <v>-211517.08000000002</v>
      </c>
      <c r="E38">
        <f t="shared" si="5"/>
        <v>0</v>
      </c>
      <c r="G38">
        <f t="shared" si="3"/>
        <v>1420000</v>
      </c>
      <c r="I38" s="21">
        <f t="shared" si="4"/>
        <v>1402273.1600000004</v>
      </c>
    </row>
    <row r="39" spans="1:9" ht="15.75" customHeight="1" x14ac:dyDescent="0.35">
      <c r="A39" s="22">
        <v>42248</v>
      </c>
      <c r="B39">
        <f t="shared" si="0"/>
        <v>55658.23</v>
      </c>
      <c r="D39">
        <f t="shared" si="1"/>
        <v>-211517.08000000002</v>
      </c>
      <c r="E39">
        <f t="shared" si="5"/>
        <v>0</v>
      </c>
      <c r="G39">
        <f t="shared" si="3"/>
        <v>1420000</v>
      </c>
      <c r="I39" s="21">
        <f t="shared" si="4"/>
        <v>1402273.1600000004</v>
      </c>
    </row>
    <row r="40" spans="1:9" ht="15.75" customHeight="1" x14ac:dyDescent="0.35">
      <c r="A40" s="22"/>
      <c r="B40">
        <f t="shared" si="0"/>
        <v>55658.23</v>
      </c>
      <c r="D40">
        <f t="shared" si="1"/>
        <v>-211517.08000000002</v>
      </c>
      <c r="E40">
        <f t="shared" si="5"/>
        <v>0</v>
      </c>
      <c r="G40">
        <f t="shared" si="3"/>
        <v>1420000</v>
      </c>
      <c r="I40" s="21">
        <f t="shared" si="4"/>
        <v>1402273.1600000004</v>
      </c>
    </row>
    <row r="41" spans="1:9" ht="15.75" customHeight="1" x14ac:dyDescent="0.35">
      <c r="A41" s="23" t="s">
        <v>35</v>
      </c>
      <c r="B41">
        <f>B39-H39+F39</f>
        <v>55658.23</v>
      </c>
      <c r="D41">
        <f>D39+E41</f>
        <v>-213402.16000000003</v>
      </c>
      <c r="E41" s="7">
        <f>SUM(E8:E39)</f>
        <v>-1885.0800000000054</v>
      </c>
      <c r="G41">
        <f>G39+F41</f>
        <v>1420000</v>
      </c>
      <c r="H41" s="5">
        <f>SUM(H8:H39)</f>
        <v>48475.280000000006</v>
      </c>
      <c r="I41" s="21">
        <f>I39++H41</f>
        <v>1450748.4400000004</v>
      </c>
    </row>
    <row r="42" spans="1:9" ht="15.75" customHeight="1" x14ac:dyDescent="0.35">
      <c r="A42" t="s">
        <v>17</v>
      </c>
      <c r="B42">
        <f>B41-H41+F41</f>
        <v>7182.9499999999971</v>
      </c>
      <c r="D42">
        <f>D41+E42</f>
        <v>-213402.16000000003</v>
      </c>
      <c r="G42">
        <f>G41+F42</f>
        <v>1420000</v>
      </c>
      <c r="H42">
        <f>AVERAGE(H8:H38)</f>
        <v>6059.4100000000008</v>
      </c>
      <c r="I42" s="21">
        <f>I41++H42</f>
        <v>1456807.8500000003</v>
      </c>
    </row>
    <row r="43" spans="1:9" ht="15.75" customHeight="1" x14ac:dyDescent="0.35">
      <c r="A43" s="22"/>
      <c r="E43" s="1"/>
      <c r="I43" s="21"/>
    </row>
    <row r="44" spans="1:9" ht="15.75" customHeight="1" x14ac:dyDescent="0.35">
      <c r="G44" s="24"/>
      <c r="H44" s="5"/>
      <c r="I44" s="5" t="s">
        <v>12</v>
      </c>
    </row>
    <row r="45" spans="1:9" ht="15.75" customHeight="1" x14ac:dyDescent="0.35">
      <c r="G45" s="25"/>
      <c r="H45" s="5" t="s">
        <v>13</v>
      </c>
      <c r="I45" s="27">
        <f>5121.782</f>
        <v>5121.7820000000002</v>
      </c>
    </row>
    <row r="46" spans="1:9" ht="15.75" customHeight="1" x14ac:dyDescent="0.35">
      <c r="H46" s="5" t="s">
        <v>14</v>
      </c>
      <c r="I46" s="27">
        <v>5601.1</v>
      </c>
    </row>
    <row r="47" spans="1:9" ht="15.75" customHeight="1" x14ac:dyDescent="0.35">
      <c r="H47" s="5" t="s">
        <v>16</v>
      </c>
      <c r="I47" s="27">
        <v>5681.1</v>
      </c>
    </row>
    <row r="48" spans="1:9" ht="15.75" customHeight="1" x14ac:dyDescent="0.35">
      <c r="H48" s="5" t="s">
        <v>18</v>
      </c>
      <c r="I48" s="27">
        <v>5608</v>
      </c>
    </row>
    <row r="49" spans="8:9" ht="15.75" customHeight="1" x14ac:dyDescent="0.35">
      <c r="H49" s="5" t="s">
        <v>19</v>
      </c>
      <c r="I49" s="27">
        <v>5631.3</v>
      </c>
    </row>
    <row r="50" spans="8:9" ht="15.75" customHeight="1" x14ac:dyDescent="0.35">
      <c r="H50" s="5" t="s">
        <v>20</v>
      </c>
      <c r="I50" s="27">
        <v>6150.6</v>
      </c>
    </row>
    <row r="51" spans="8:9" ht="15.75" customHeight="1" x14ac:dyDescent="0.35">
      <c r="H51" s="5" t="s">
        <v>21</v>
      </c>
      <c r="I51" s="27">
        <v>5925</v>
      </c>
    </row>
    <row r="52" spans="8:9" ht="15.75" customHeight="1" x14ac:dyDescent="0.35">
      <c r="H52" s="5" t="s">
        <v>22</v>
      </c>
      <c r="I52" s="27">
        <v>5720.2</v>
      </c>
    </row>
    <row r="53" spans="8:9" ht="15.75" customHeight="1" x14ac:dyDescent="0.35">
      <c r="H53" s="5" t="s">
        <v>23</v>
      </c>
      <c r="I53" s="27">
        <f>H42</f>
        <v>6059.4100000000008</v>
      </c>
    </row>
    <row r="54" spans="8:9" ht="15.75" customHeight="1" x14ac:dyDescent="0.35">
      <c r="H54" s="5" t="s">
        <v>24</v>
      </c>
      <c r="I54" s="5"/>
    </row>
    <row r="55" spans="8:9" ht="15.75" customHeight="1" x14ac:dyDescent="0.35">
      <c r="H55" s="5" t="s">
        <v>25</v>
      </c>
      <c r="I55" s="5"/>
    </row>
    <row r="56" spans="8:9" ht="15.75" customHeight="1" x14ac:dyDescent="0.35">
      <c r="H56" s="5" t="s">
        <v>38</v>
      </c>
      <c r="I56" s="5"/>
    </row>
    <row r="57" spans="8:9" ht="15.75" customHeight="1" x14ac:dyDescent="0.35"/>
    <row r="58" spans="8:9" ht="15.75" customHeight="1" x14ac:dyDescent="0.35"/>
    <row r="59" spans="8:9" ht="15.75" customHeight="1" x14ac:dyDescent="0.35"/>
    <row r="60" spans="8:9" ht="15.75" customHeight="1" x14ac:dyDescent="0.35"/>
    <row r="61" spans="8:9" ht="15.75" customHeight="1" x14ac:dyDescent="0.35"/>
    <row r="62" spans="8:9" ht="15.75" customHeight="1" x14ac:dyDescent="0.35"/>
    <row r="63" spans="8:9" ht="15.75" customHeight="1" x14ac:dyDescent="0.35"/>
    <row r="64" spans="8:9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spans="5:5" ht="15.75" customHeight="1" x14ac:dyDescent="0.35"/>
    <row r="82" spans="5:5" ht="15.75" customHeight="1" x14ac:dyDescent="0.35"/>
    <row r="83" spans="5:5" ht="15.75" customHeight="1" x14ac:dyDescent="0.35"/>
    <row r="84" spans="5:5" ht="15.75" customHeight="1" x14ac:dyDescent="0.35"/>
    <row r="85" spans="5:5" ht="15.75" customHeight="1" x14ac:dyDescent="0.35"/>
    <row r="86" spans="5:5" ht="15.75" customHeight="1" x14ac:dyDescent="0.35"/>
    <row r="87" spans="5:5" ht="15.75" customHeight="1" x14ac:dyDescent="0.35"/>
    <row r="88" spans="5:5" ht="15.75" customHeight="1" x14ac:dyDescent="0.35">
      <c r="E88">
        <f>B1223*B446</f>
        <v>0</v>
      </c>
    </row>
    <row r="89" spans="5:5" ht="15.75" customHeight="1" x14ac:dyDescent="0.35"/>
    <row r="90" spans="5:5" ht="15.75" customHeight="1" x14ac:dyDescent="0.35"/>
    <row r="91" spans="5:5" ht="15.75" customHeight="1" x14ac:dyDescent="0.35"/>
    <row r="92" spans="5:5" ht="15.75" customHeight="1" x14ac:dyDescent="0.35"/>
    <row r="93" spans="5:5" ht="15.75" customHeight="1" x14ac:dyDescent="0.35"/>
    <row r="94" spans="5:5" ht="15.75" customHeight="1" x14ac:dyDescent="0.35"/>
    <row r="95" spans="5:5" ht="15.75" customHeight="1" x14ac:dyDescent="0.35"/>
    <row r="96" spans="5:5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3">
    <mergeCell ref="D2:G2"/>
    <mergeCell ref="D3:G3"/>
    <mergeCell ref="D4:G4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 2015</vt:lpstr>
      <vt:lpstr>FEBRUARY 2015</vt:lpstr>
      <vt:lpstr>MARCH 2015</vt:lpstr>
      <vt:lpstr>APRIL 2015</vt:lpstr>
      <vt:lpstr>MAY 2015</vt:lpstr>
      <vt:lpstr>JUNE 2015</vt:lpstr>
      <vt:lpstr>JULY 2015</vt:lpstr>
      <vt:lpstr>AUGUST 2015</vt:lpstr>
      <vt:lpstr>SEPTEMBER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2023-02-28T21:25:20Z</dcterms:modified>
</cp:coreProperties>
</file>