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printerSettings/printerSettings1.bin" ContentType="application/vnd.openxmlformats-officedocument.spreadsheetml.printerSettings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phi\repos\repos_thesis\Buildings\"/>
    </mc:Choice>
  </mc:AlternateContent>
  <xr:revisionPtr revIDLastSave="0" documentId="13_ncr:1_{A019C78C-9A10-402E-8AF7-26E446B7D747}" xr6:coauthVersionLast="47" xr6:coauthVersionMax="47" xr10:uidLastSave="{00000000-0000-0000-0000-000000000000}"/>
  <bookViews>
    <workbookView xWindow="-108" yWindow="-108" windowWidth="23256" windowHeight="12456" activeTab="2" xr2:uid="{F703AFFC-DE8D-4590-83F9-E6F92A43E314}"/>
  </bookViews>
  <sheets>
    <sheet name="Tabelle1" sheetId="1" r:id="rId1"/>
    <sheet name="Seeweg Original" sheetId="2" r:id="rId2"/>
    <sheet name="Seeweg V con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3" l="1"/>
  <c r="Q44" i="3"/>
  <c r="Q46" i="3"/>
  <c r="Q49" i="3"/>
  <c r="Q47" i="3"/>
  <c r="G47" i="3"/>
  <c r="G45" i="3"/>
  <c r="G53" i="3"/>
  <c r="G52" i="3"/>
  <c r="G48" i="3"/>
  <c r="D6" i="3"/>
  <c r="D17" i="3"/>
  <c r="D16" i="3"/>
  <c r="A43" i="3"/>
  <c r="G57" i="3" s="1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I23" i="3" s="1"/>
  <c r="G20" i="3"/>
  <c r="F20" i="3"/>
  <c r="P6" i="2"/>
  <c r="P17" i="2"/>
  <c r="S19" i="2"/>
  <c r="P16" i="2"/>
  <c r="W50" i="2"/>
  <c r="G52" i="2"/>
  <c r="G50" i="2"/>
  <c r="G48" i="2"/>
  <c r="G47" i="2"/>
  <c r="G45" i="2"/>
  <c r="S50" i="2"/>
  <c r="T50" i="2" s="1"/>
  <c r="R49" i="2"/>
  <c r="T49" i="2" s="1"/>
  <c r="S49" i="2"/>
  <c r="R48" i="2"/>
  <c r="T48" i="2" s="1"/>
  <c r="W48" i="2" s="1"/>
  <c r="S48" i="2"/>
  <c r="S45" i="2"/>
  <c r="D45" i="2"/>
  <c r="D46" i="2"/>
  <c r="D47" i="2"/>
  <c r="D48" i="2"/>
  <c r="D49" i="2"/>
  <c r="D50" i="2"/>
  <c r="D51" i="2"/>
  <c r="D52" i="2"/>
  <c r="D53" i="2"/>
  <c r="D44" i="2"/>
  <c r="I35" i="2"/>
  <c r="C40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23" i="2"/>
  <c r="G31" i="2" s="1"/>
  <c r="D17" i="2"/>
  <c r="D16" i="2"/>
  <c r="D6" i="2"/>
  <c r="G19" i="2"/>
  <c r="C53" i="3" l="1"/>
  <c r="D53" i="3" s="1"/>
  <c r="K43" i="3"/>
  <c r="B52" i="3"/>
  <c r="G36" i="3"/>
  <c r="I27" i="3"/>
  <c r="I33" i="3"/>
  <c r="I31" i="3"/>
  <c r="I40" i="3"/>
  <c r="I25" i="3"/>
  <c r="G35" i="3"/>
  <c r="I39" i="3"/>
  <c r="G23" i="3"/>
  <c r="G31" i="3"/>
  <c r="I35" i="3"/>
  <c r="I24" i="3"/>
  <c r="G28" i="3"/>
  <c r="I36" i="3"/>
  <c r="G25" i="3"/>
  <c r="I29" i="3"/>
  <c r="R45" i="2"/>
  <c r="T45" i="2" s="1"/>
  <c r="W45" i="2" s="1"/>
  <c r="S47" i="2"/>
  <c r="R46" i="2"/>
  <c r="S46" i="2"/>
  <c r="R47" i="2"/>
  <c r="I24" i="2"/>
  <c r="I31" i="2"/>
  <c r="I39" i="2"/>
  <c r="G28" i="2"/>
  <c r="G36" i="2"/>
  <c r="I23" i="2"/>
  <c r="I36" i="2"/>
  <c r="I25" i="2"/>
  <c r="I40" i="2"/>
  <c r="I27" i="2"/>
  <c r="G23" i="2"/>
  <c r="I29" i="2"/>
  <c r="G25" i="2"/>
  <c r="G35" i="2"/>
  <c r="I33" i="2"/>
  <c r="B51" i="3" l="1"/>
  <c r="C52" i="3"/>
  <c r="D52" i="3" s="1"/>
  <c r="M49" i="3"/>
  <c r="L48" i="3"/>
  <c r="T47" i="2"/>
  <c r="W47" i="2" s="1"/>
  <c r="T46" i="2"/>
  <c r="B50" i="3" l="1"/>
  <c r="C51" i="3"/>
  <c r="D51" i="3" s="1"/>
  <c r="L47" i="3"/>
  <c r="M48" i="3"/>
  <c r="M47" i="3" s="1"/>
  <c r="M46" i="3" s="1"/>
  <c r="M45" i="3" s="1"/>
  <c r="M44" i="3" s="1"/>
  <c r="N49" i="3"/>
  <c r="B49" i="3" l="1"/>
  <c r="C50" i="3"/>
  <c r="D50" i="3" s="1"/>
  <c r="N48" i="3"/>
  <c r="L46" i="3"/>
  <c r="N47" i="3"/>
  <c r="B48" i="3" l="1"/>
  <c r="C49" i="3"/>
  <c r="D49" i="3"/>
  <c r="L45" i="3"/>
  <c r="N46" i="3"/>
  <c r="B47" i="3" l="1"/>
  <c r="C48" i="3"/>
  <c r="D48" i="3"/>
  <c r="L44" i="3"/>
  <c r="N44" i="3" s="1"/>
  <c r="N45" i="3"/>
  <c r="B46" i="3" l="1"/>
  <c r="H57" i="3"/>
  <c r="C47" i="3"/>
  <c r="D47" i="3" s="1"/>
  <c r="H58" i="3" l="1"/>
  <c r="H59" i="3" s="1"/>
  <c r="I57" i="3"/>
  <c r="B45" i="3"/>
  <c r="C46" i="3"/>
  <c r="D46" i="3"/>
  <c r="B44" i="3" l="1"/>
  <c r="C45" i="3"/>
  <c r="D45" i="3" s="1"/>
  <c r="C44" i="3" l="1"/>
  <c r="D4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tc={C6F79222-3F19-42D8-97B3-6A4034239551}</author>
  </authors>
  <commentList>
    <comment ref="D6" authorId="0" shapeId="0" xr:uid="{C6F79222-3F19-42D8-97B3-6A403423955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Assumption: since actual internal outlet of c1 has dz = 240 and this is higher than our assumpted height of the tank, we will assume a dz of 200
</t>
      </text>
    </comment>
  </commentList>
</comments>
</file>

<file path=xl/sharedStrings.xml><?xml version="1.0" encoding="utf-8"?>
<sst xmlns="http://schemas.openxmlformats.org/spreadsheetml/2006/main" count="490" uniqueCount="311">
  <si>
    <t>Cirucuit</t>
  </si>
  <si>
    <t>Sensor name</t>
  </si>
  <si>
    <t>Sensor ID</t>
  </si>
  <si>
    <t>Tank</t>
  </si>
  <si>
    <t>tank pos1 top TSPO 2441</t>
  </si>
  <si>
    <t>tank pos6 middle TSPM 2434</t>
  </si>
  <si>
    <t>tank pos11 bottom TSPU 2448</t>
  </si>
  <si>
    <t>tank pos 4</t>
  </si>
  <si>
    <t>tank pos 7</t>
  </si>
  <si>
    <t>tank pos 9</t>
  </si>
  <si>
    <t>HK1</t>
  </si>
  <si>
    <t>feedflow TVV1 3359</t>
  </si>
  <si>
    <t>flow TVH1 2469</t>
  </si>
  <si>
    <t>return TRH1 2350</t>
  </si>
  <si>
    <t>vdot VZHK1 2577</t>
  </si>
  <si>
    <t>Ventilstellung RV_HK1 2569</t>
  </si>
  <si>
    <t>HK2</t>
  </si>
  <si>
    <t>feedflow TVV2 2532</t>
  </si>
  <si>
    <t>flow TVH2 2476</t>
  </si>
  <si>
    <t>return TRH2 2357</t>
  </si>
  <si>
    <t>vdot VZHK2 2598</t>
  </si>
  <si>
    <t>Ventilstellung RV_HK2 2590</t>
  </si>
  <si>
    <t>Mix2</t>
  </si>
  <si>
    <t>WP1</t>
  </si>
  <si>
    <t>flow TVHGWP1 2483</t>
  </si>
  <si>
    <t>return TRHGWP1 2364</t>
  </si>
  <si>
    <t>flow TVSWP1 2518</t>
  </si>
  <si>
    <t>return TRSWP1 2399</t>
  </si>
  <si>
    <t>vdot VZHGWP1 2546</t>
  </si>
  <si>
    <t>vdot VZWP1 2550</t>
  </si>
  <si>
    <t>pel PEEZWP1 2678</t>
  </si>
  <si>
    <t>Mix1</t>
  </si>
  <si>
    <t>WP2</t>
  </si>
  <si>
    <t>flow TVSWP2 2525</t>
  </si>
  <si>
    <t>return TRSWP2 2406</t>
  </si>
  <si>
    <t>vdot VZWP2 2564</t>
  </si>
  <si>
    <t>pel PEEZWP2 2681</t>
  </si>
  <si>
    <t>Solar loading</t>
  </si>
  <si>
    <t>flow TVL 2490</t>
  </si>
  <si>
    <t>return TRL 2371</t>
  </si>
  <si>
    <t>vdot VZLK 2673</t>
  </si>
  <si>
    <t>Pumpe PU_L 2652</t>
  </si>
  <si>
    <t>Heat Rod</t>
  </si>
  <si>
    <t>pel PEZ HS</t>
  </si>
  <si>
    <t>e EZ HS</t>
  </si>
  <si>
    <t>Seeweg Sensor IDs</t>
  </si>
  <si>
    <r>
      <t>Mendelstraße</t>
    </r>
    <r>
      <rPr>
        <sz val="11"/>
        <color rgb="FFB6C2CF"/>
        <rFont val="Segoe UI"/>
        <family val="2"/>
      </rPr>
      <t xml:space="preserve"> </t>
    </r>
    <r>
      <rPr>
        <b/>
        <i/>
        <sz val="11"/>
        <color rgb="FFB6C2CF"/>
        <rFont val="Segoe UI"/>
        <family val="2"/>
      </rPr>
      <t>Sensor IDs</t>
    </r>
  </si>
  <si>
    <t>name</t>
  </si>
  <si>
    <t>t_sp1</t>
  </si>
  <si>
    <t>t_sp3</t>
  </si>
  <si>
    <t>t_sp5</t>
  </si>
  <si>
    <t>t_sp2</t>
  </si>
  <si>
    <t>t_sp4</t>
  </si>
  <si>
    <t>t_hc1_feedflow</t>
  </si>
  <si>
    <t>t_hc1_flow</t>
  </si>
  <si>
    <t>t_hc1_return</t>
  </si>
  <si>
    <t>vdot_hc1_feedflow</t>
  </si>
  <si>
    <t>vent_hc1</t>
  </si>
  <si>
    <t>t_hc2_feedflow</t>
  </si>
  <si>
    <t>t_hc2_flow</t>
  </si>
  <si>
    <t>t_hc2_return</t>
  </si>
  <si>
    <t>vdot_hc2_feedflow</t>
  </si>
  <si>
    <t>vent_hc2</t>
  </si>
  <si>
    <t>t_mix2</t>
  </si>
  <si>
    <t>t_hp1_hg_flow</t>
  </si>
  <si>
    <t>t_hp1_hg_return</t>
  </si>
  <si>
    <t>t_hp1_flow</t>
  </si>
  <si>
    <t>t_hp1_return</t>
  </si>
  <si>
    <t>vdot_hp1_flow</t>
  </si>
  <si>
    <t>pel_hp1</t>
  </si>
  <si>
    <t>t_mix1</t>
  </si>
  <si>
    <t>t_hp2_flow</t>
  </si>
  <si>
    <t>t_hp2_return</t>
  </si>
  <si>
    <t>vdot_hp2_flow</t>
  </si>
  <si>
    <t>pel_hp2</t>
  </si>
  <si>
    <t>t_sl_flow</t>
  </si>
  <si>
    <t>t_sl_return</t>
  </si>
  <si>
    <t>vdot_sl</t>
  </si>
  <si>
    <t>s_sl_pump</t>
  </si>
  <si>
    <t>pel_hr</t>
  </si>
  <si>
    <t>t_sp6</t>
  </si>
  <si>
    <t>Tank Loading</t>
  </si>
  <si>
    <t>Tank Solar</t>
  </si>
  <si>
    <t>tank pos 3</t>
  </si>
  <si>
    <t>flow TVHK1 4370</t>
  </si>
  <si>
    <t>return TRHK1 4262</t>
  </si>
  <si>
    <t>vdot VZHK1 4481</t>
  </si>
  <si>
    <t>ventilstellung RV_HK1 4473</t>
  </si>
  <si>
    <t>flow TVH2 4376</t>
  </si>
  <si>
    <t>return TRH2 4268</t>
  </si>
  <si>
    <t>vdot VZHK2 4511</t>
  </si>
  <si>
    <t>ventilstellung RV_HK2 4503</t>
  </si>
  <si>
    <t>HK</t>
  </si>
  <si>
    <t>flow</t>
  </si>
  <si>
    <t>return</t>
  </si>
  <si>
    <t>flow TVHGWP1 4364</t>
  </si>
  <si>
    <t>return TRHGWP1 4256</t>
  </si>
  <si>
    <t>flow TVSWP1 4406</t>
  </si>
  <si>
    <t>return TRSWP1 4310</t>
  </si>
  <si>
    <t>vdot VZHGWP1 4447</t>
  </si>
  <si>
    <t>vdot VZSWP1 4451</t>
  </si>
  <si>
    <t>pel PEZWP1 4615</t>
  </si>
  <si>
    <t>flow TVSWP2 4412</t>
  </si>
  <si>
    <t>return TRSWP2 4316</t>
  </si>
  <si>
    <t>vdot VZWP2 4467</t>
  </si>
  <si>
    <t>pel PEZWP2 4619</t>
  </si>
  <si>
    <t>Loading circuit</t>
  </si>
  <si>
    <t>flow TVL 4388</t>
  </si>
  <si>
    <t>return TRL 4286</t>
  </si>
  <si>
    <t>vdot VZL 4587</t>
  </si>
  <si>
    <t>Pump PU_L 4593</t>
  </si>
  <si>
    <t>Boiler K</t>
  </si>
  <si>
    <t>flow TVK 4382</t>
  </si>
  <si>
    <t>return TRK 4280</t>
  </si>
  <si>
    <t>vdot VZK 4428</t>
  </si>
  <si>
    <t>Status boiler</t>
  </si>
  <si>
    <t>Boiler malfunction 7367</t>
  </si>
  <si>
    <t>vdot gas</t>
  </si>
  <si>
    <t>Solar (prim)</t>
  </si>
  <si>
    <t>flow TSK 4328</t>
  </si>
  <si>
    <t>return1 TSQ 4334</t>
  </si>
  <si>
    <t>return1 TSR 4340</t>
  </si>
  <si>
    <t>collector TSK 4322</t>
  </si>
  <si>
    <t>vdot VZSK 4544</t>
  </si>
  <si>
    <t>Pump PU_SK 4550</t>
  </si>
  <si>
    <t>Collector (sec)</t>
  </si>
  <si>
    <t>Pump PU_SPK 4603</t>
  </si>
  <si>
    <t>tank top superior TLSPos pos1 4244</t>
  </si>
  <si>
    <t>tank top inferior TLSPo pos 3 4238</t>
  </si>
  <si>
    <t>tank middle TLSPm pos6 4232</t>
  </si>
  <si>
    <t>tank bottom TLSPu pos11 4250</t>
  </si>
  <si>
    <t>t_lsp1</t>
  </si>
  <si>
    <t>t_ssp1</t>
  </si>
  <si>
    <t>t_lsp2</t>
  </si>
  <si>
    <t>t_ssp2</t>
  </si>
  <si>
    <t>t_lsp3</t>
  </si>
  <si>
    <t>t_lsp4</t>
  </si>
  <si>
    <t>t_lsp5</t>
  </si>
  <si>
    <t>tank top inferior TSSPo pos1 4358</t>
  </si>
  <si>
    <t>tank middle TSSPm pos6 4352</t>
  </si>
  <si>
    <t>tank bottom TSSPu pos11 4346</t>
  </si>
  <si>
    <t>t_ssp3</t>
  </si>
  <si>
    <t>t_ssp4</t>
  </si>
  <si>
    <t>t_ssp5</t>
  </si>
  <si>
    <t>vdot_hc1_flow</t>
  </si>
  <si>
    <t>vdot_hc2_flow</t>
  </si>
  <si>
    <t>t_hctot_flow</t>
  </si>
  <si>
    <t>t_hctot_return</t>
  </si>
  <si>
    <t>vdot_hp1_hg_flow</t>
  </si>
  <si>
    <t>Cirucuit M</t>
  </si>
  <si>
    <t>Sensor name M</t>
  </si>
  <si>
    <t>Sensor ID M</t>
  </si>
  <si>
    <t>name M</t>
  </si>
  <si>
    <t>t_load_flow</t>
  </si>
  <si>
    <t>t_load_return</t>
  </si>
  <si>
    <t>vdot_load</t>
  </si>
  <si>
    <t>s_load_pump</t>
  </si>
  <si>
    <t>t_b_flow</t>
  </si>
  <si>
    <t>t_b_return</t>
  </si>
  <si>
    <t>vdot_b</t>
  </si>
  <si>
    <t>s_b</t>
  </si>
  <si>
    <t>mf_b</t>
  </si>
  <si>
    <t>vdot_b_gas</t>
  </si>
  <si>
    <t>t_sol_flow</t>
  </si>
  <si>
    <t>t_sol1_return</t>
  </si>
  <si>
    <t>t_sol2_return</t>
  </si>
  <si>
    <t>t_sol_collector</t>
  </si>
  <si>
    <t>vdot_sol</t>
  </si>
  <si>
    <t>s_sol_pump</t>
  </si>
  <si>
    <t>Connection</t>
  </si>
  <si>
    <t>bottom</t>
  </si>
  <si>
    <t>floor</t>
  </si>
  <si>
    <t>top</t>
  </si>
  <si>
    <t>Volume in l  (downwards)</t>
  </si>
  <si>
    <t>dz</t>
  </si>
  <si>
    <t>2080 mm</t>
  </si>
  <si>
    <t>connection 10 (4 opening Schichtlader)</t>
  </si>
  <si>
    <t>Sensor h in mm (floor)</t>
  </si>
  <si>
    <t>Connection h in mm (floor)</t>
  </si>
  <si>
    <t>Total important points</t>
  </si>
  <si>
    <t>c1</t>
  </si>
  <si>
    <t>c2</t>
  </si>
  <si>
    <t>c3</t>
  </si>
  <si>
    <t>t1</t>
  </si>
  <si>
    <t>l1</t>
  </si>
  <si>
    <t>c5</t>
  </si>
  <si>
    <t>c4, t2</t>
  </si>
  <si>
    <t>t3</t>
  </si>
  <si>
    <t>l2</t>
  </si>
  <si>
    <t>c6, t3</t>
  </si>
  <si>
    <t>l3</t>
  </si>
  <si>
    <t>c7, t4</t>
  </si>
  <si>
    <t>c8</t>
  </si>
  <si>
    <t>l4</t>
  </si>
  <si>
    <t>c9, t5</t>
  </si>
  <si>
    <t>t6</t>
  </si>
  <si>
    <t>distance floor</t>
  </si>
  <si>
    <t>connection input and output differs</t>
  </si>
  <si>
    <t>connection 10 output is a Schichtlader</t>
  </si>
  <si>
    <t>c1 (+240)</t>
  </si>
  <si>
    <t>c11, c12 (-150)</t>
  </si>
  <si>
    <t>6 layers</t>
  </si>
  <si>
    <t>10 layers</t>
  </si>
  <si>
    <t>distance tank bottom</t>
  </si>
  <si>
    <t>Tank with 10 layers</t>
  </si>
  <si>
    <t>dz = 202 mm</t>
  </si>
  <si>
    <t>sensor</t>
  </si>
  <si>
    <t>connection</t>
  </si>
  <si>
    <t>-</t>
  </si>
  <si>
    <t>beginn</t>
  </si>
  <si>
    <t>end</t>
  </si>
  <si>
    <t>c2, l1</t>
  </si>
  <si>
    <t>t2</t>
  </si>
  <si>
    <t>c3, c4</t>
  </si>
  <si>
    <t>c5, c6, l2</t>
  </si>
  <si>
    <t>c7, c8</t>
  </si>
  <si>
    <t>t4</t>
  </si>
  <si>
    <t>c9</t>
  </si>
  <si>
    <t>c11,c12</t>
  </si>
  <si>
    <t>- (t6 is 210)</t>
  </si>
  <si>
    <t>middle</t>
  </si>
  <si>
    <t>t5 (, t6)</t>
  </si>
  <si>
    <t>Tank with 6 layers</t>
  </si>
  <si>
    <t>dz = 337</t>
  </si>
  <si>
    <t>height sensor</t>
  </si>
  <si>
    <t>c2, c3, l1</t>
  </si>
  <si>
    <t>c4, c5, c6, l2</t>
  </si>
  <si>
    <t>c7, c8, l3</t>
  </si>
  <si>
    <t>c9, c11, c12</t>
  </si>
  <si>
    <t>t3, t2</t>
  </si>
  <si>
    <t>t6, t5</t>
  </si>
  <si>
    <t>10 layers offer us 5 validation points located close to the middle of the layer</t>
  </si>
  <si>
    <t>sensor height</t>
  </si>
  <si>
    <t>beginn layer</t>
  </si>
  <si>
    <t>end layer</t>
  </si>
  <si>
    <t>middle layer</t>
  </si>
  <si>
    <t>sensor position relation to middle of layer</t>
  </si>
  <si>
    <t>Sensor location is almost middle of tank</t>
  </si>
  <si>
    <t>Sensor location is close to middle of tank</t>
  </si>
  <si>
    <t>Sensor location is far from middle of tank</t>
  </si>
  <si>
    <t>Schichtenlader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</si>
  <si>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</si>
  <si>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</si>
  <si>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</si>
  <si>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</si>
  <si>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</si>
  <si>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</si>
  <si>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</si>
  <si>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</si>
  <si>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</si>
  <si>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Name of the stream</t>
  </si>
  <si>
    <t>Composition</t>
  </si>
  <si>
    <t>Temperature</t>
  </si>
  <si>
    <t>Volume rate</t>
  </si>
  <si>
    <t>m0</t>
  </si>
  <si>
    <t>Sensor</t>
  </si>
  <si>
    <t>outlet in the tank</t>
  </si>
  <si>
    <t>Sum</t>
  </si>
  <si>
    <t>dz in mm</t>
  </si>
  <si>
    <t>t5</t>
  </si>
  <si>
    <t>t3 (t2)</t>
  </si>
  <si>
    <t>t6 (t5)</t>
  </si>
  <si>
    <t>c4</t>
  </si>
  <si>
    <t>c6</t>
  </si>
  <si>
    <t>c7</t>
  </si>
  <si>
    <t>p1 (+200)</t>
  </si>
  <si>
    <t>p11, p12 (-150)</t>
  </si>
  <si>
    <t>p1</t>
  </si>
  <si>
    <t>p11,p12</t>
  </si>
  <si>
    <t>p2</t>
  </si>
  <si>
    <t>p2, l1</t>
  </si>
  <si>
    <t>p3</t>
  </si>
  <si>
    <t>p2, p3, l1</t>
  </si>
  <si>
    <t>p4, t2</t>
  </si>
  <si>
    <t>p3, p4</t>
  </si>
  <si>
    <t>p4</t>
  </si>
  <si>
    <t>p5</t>
  </si>
  <si>
    <t>p4, p5</t>
  </si>
  <si>
    <t>p6, t3</t>
  </si>
  <si>
    <t>p4, p5, p6, l2</t>
  </si>
  <si>
    <t>p6, l2</t>
  </si>
  <si>
    <t>p5, p6, l2</t>
  </si>
  <si>
    <t>p6</t>
  </si>
  <si>
    <t>p7, t4</t>
  </si>
  <si>
    <t>p7</t>
  </si>
  <si>
    <t>p8</t>
  </si>
  <si>
    <t>p7, p8, l3</t>
  </si>
  <si>
    <t>p7, p8</t>
  </si>
  <si>
    <t>p9, t5</t>
  </si>
  <si>
    <t>p9, p11, p12</t>
  </si>
  <si>
    <t>p9</t>
  </si>
  <si>
    <t>Position</t>
  </si>
  <si>
    <t>p10</t>
  </si>
  <si>
    <t>p11</t>
  </si>
  <si>
    <t>p12</t>
  </si>
  <si>
    <t>c10</t>
  </si>
  <si>
    <t>vdot_hc1_feedflow*valve_hc1_return</t>
  </si>
  <si>
    <t>vdot_hc1_feedflow1</t>
  </si>
  <si>
    <t>vdot_hc2_feedflow - vdot_hp2_flow</t>
  </si>
  <si>
    <t>vdot_sl + vdot_hp1_flow</t>
  </si>
  <si>
    <t>valve_hc1_return * inverse_valve</t>
  </si>
  <si>
    <t>- vdot_hc1_feedflow</t>
  </si>
  <si>
    <t>- vdot_hp1_hg_flow</t>
  </si>
  <si>
    <t>- vdot_hc2_feedflow</t>
  </si>
  <si>
    <t>- (vdot_sl + vdot_hp1_flow)</t>
  </si>
  <si>
    <t>Composition (position)</t>
  </si>
  <si>
    <t>composition (connection)</t>
  </si>
  <si>
    <t>e1, c3</t>
  </si>
  <si>
    <t>e1</t>
  </si>
  <si>
    <t>/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</si>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</sst>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strike/>
      <sz val="11"/>
      <color theme="1"/>
      <name val="Calibri"/>
      <family val="2"/>
    </font>
    <font>
      <sz val="11"/>
      <color rgb="FFB6C2CF"/>
      <name val="Segoe UI"/>
      <family val="2"/>
    </font>
    <font>
      <b/>
      <i/>
      <sz val="11"/>
      <color rgb="FFB6C2CF"/>
      <name val="Segoe UI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rgb="FFCE9178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1D212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7FBC7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7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49" fontId="5" fillId="2" borderId="0" xfId="0" applyNumberFormat="1" applyFont="1" applyFill="1" applyAlignment="1">
      <alignment horizontal="left" vertical="center" wrapText="1"/>
    </xf>
    <xf numFmtId="49" fontId="0" fillId="0" borderId="0" xfId="0" applyNumberFormat="1"/>
    <xf numFmtId="0" fontId="0" fillId="3" borderId="0" xfId="0" applyFill="1"/>
    <xf numFmtId="0" fontId="0" fillId="4" borderId="0" xfId="0" applyFill="1"/>
    <xf numFmtId="0" fontId="9" fillId="0" borderId="0" xfId="0" applyFont="1"/>
    <xf numFmtId="0" fontId="8" fillId="0" borderId="0" xfId="0" applyFont="1"/>
    <xf numFmtId="164" fontId="0" fillId="0" borderId="0" xfId="0" applyNumberFormat="1"/>
    <xf numFmtId="1" fontId="0" fillId="0" borderId="0" xfId="0" applyNumberFormat="1"/>
    <xf numFmtId="0" fontId="9" fillId="5" borderId="0" xfId="0" applyFont="1" applyFill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4" xfId="0" applyBorder="1"/>
    <xf numFmtId="1" fontId="0" fillId="0" borderId="6" xfId="0" applyNumberFormat="1" applyBorder="1"/>
    <xf numFmtId="0" fontId="8" fillId="0" borderId="2" xfId="0" applyFont="1" applyBorder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0" fillId="7" borderId="0" xfId="0" applyFill="1"/>
    <xf numFmtId="0" fontId="0" fillId="0" borderId="9" xfId="0" applyBorder="1" applyAlignment="1">
      <alignment horizontal="center" vertical="center"/>
    </xf>
    <xf numFmtId="9" fontId="0" fillId="0" borderId="0" xfId="1" applyFont="1"/>
    <xf numFmtId="0" fontId="0" fillId="8" borderId="0" xfId="0" applyFill="1"/>
    <xf numFmtId="9" fontId="0" fillId="8" borderId="0" xfId="1" applyFont="1" applyFill="1"/>
    <xf numFmtId="9" fontId="0" fillId="5" borderId="0" xfId="1" applyFont="1" applyFill="1"/>
    <xf numFmtId="9" fontId="0" fillId="6" borderId="0" xfId="1" applyFont="1" applyFill="1"/>
    <xf numFmtId="0" fontId="0" fillId="9" borderId="0" xfId="0" applyFill="1"/>
    <xf numFmtId="0" fontId="0" fillId="0" borderId="11" xfId="0" applyBorder="1"/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0" fillId="0" borderId="7" xfId="0" applyBorder="1"/>
    <xf numFmtId="9" fontId="0" fillId="0" borderId="0" xfId="1" applyFont="1" applyFill="1"/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vertical="center"/>
    </xf>
    <xf numFmtId="0" fontId="0" fillId="5" borderId="0" xfId="0" quotePrefix="1" applyFill="1"/>
    <xf numFmtId="0" fontId="0" fillId="6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7FB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786882</xdr:colOff>
          <xdr:row>0</xdr:row>
          <xdr:rowOff>0</xdr:rowOff>
        </xdr:from>
        <xdr:to>
          <xdr:col>10</xdr:col>
          <xdr:colOff>443360</xdr:colOff>
          <xdr:row>0</xdr:row>
          <xdr:rowOff>114300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ophie Heller" id="{1548FFF5-45F3-4438-A2BD-B879A9545E51}" userId="0971994f1c3a3842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" dT="2024-06-28T12:47:36.22" personId="{1548FFF5-45F3-4438-A2BD-B879A9545E51}" id="{C6F79222-3F19-42D8-97B3-6A4034239551}">
    <text xml:space="preserve">Assumption: since actual internal outlet of c1 has dz = 240 and this is higher than our assumpted height of the tank, we will assume a dz of 200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E4E06-2395-4825-AA3A-8A6972C575F7}">
  <sheetPr codeName="Tabelle1"/>
  <dimension ref="A1:L51"/>
  <sheetViews>
    <sheetView zoomScale="49" workbookViewId="0">
      <selection activeCell="J20" sqref="J20"/>
    </sheetView>
  </sheetViews>
  <sheetFormatPr baseColWidth="10" defaultRowHeight="14.4" x14ac:dyDescent="0.3"/>
  <sheetData>
    <row r="1" spans="1:12" ht="51" thickBot="1" x14ac:dyDescent="0.35">
      <c r="A1" s="1" t="s">
        <v>0</v>
      </c>
      <c r="B1" s="1" t="s">
        <v>1</v>
      </c>
      <c r="C1" s="1" t="s">
        <v>2</v>
      </c>
      <c r="D1" s="7" t="s">
        <v>47</v>
      </c>
      <c r="E1" s="5" t="s">
        <v>45</v>
      </c>
      <c r="H1" s="1" t="s">
        <v>149</v>
      </c>
      <c r="I1" s="1" t="s">
        <v>150</v>
      </c>
      <c r="J1" s="1" t="s">
        <v>151</v>
      </c>
      <c r="K1" s="7" t="s">
        <v>152</v>
      </c>
      <c r="L1" s="5" t="s">
        <v>46</v>
      </c>
    </row>
    <row r="2" spans="1:12" ht="58.2" thickBot="1" x14ac:dyDescent="0.35">
      <c r="A2" s="2" t="s">
        <v>3</v>
      </c>
      <c r="B2" s="2" t="s">
        <v>4</v>
      </c>
      <c r="C2" s="3">
        <v>2441</v>
      </c>
      <c r="D2" t="s">
        <v>48</v>
      </c>
      <c r="E2" s="8">
        <v>2441</v>
      </c>
      <c r="H2" s="3" t="s">
        <v>81</v>
      </c>
      <c r="I2" s="2" t="s">
        <v>127</v>
      </c>
      <c r="J2" s="2">
        <v>4244</v>
      </c>
      <c r="K2" t="s">
        <v>131</v>
      </c>
      <c r="L2" s="6">
        <v>4244</v>
      </c>
    </row>
    <row r="3" spans="1:12" ht="58.2" thickBot="1" x14ac:dyDescent="0.35">
      <c r="A3" s="2"/>
      <c r="B3" s="2" t="s">
        <v>5</v>
      </c>
      <c r="C3" s="3">
        <v>2434</v>
      </c>
      <c r="D3" t="s">
        <v>49</v>
      </c>
      <c r="E3" s="8">
        <v>2434</v>
      </c>
      <c r="H3" s="2"/>
      <c r="I3" s="2" t="s">
        <v>128</v>
      </c>
      <c r="J3" s="2">
        <v>4238</v>
      </c>
      <c r="K3" t="s">
        <v>133</v>
      </c>
      <c r="L3" s="6">
        <v>4238</v>
      </c>
    </row>
    <row r="4" spans="1:12" ht="43.8" thickBot="1" x14ac:dyDescent="0.35">
      <c r="A4" s="2"/>
      <c r="B4" s="2" t="s">
        <v>6</v>
      </c>
      <c r="C4" s="3">
        <v>2448</v>
      </c>
      <c r="D4" t="s">
        <v>80</v>
      </c>
      <c r="E4" s="8">
        <v>2448</v>
      </c>
      <c r="H4" s="2"/>
      <c r="I4" s="2" t="s">
        <v>129</v>
      </c>
      <c r="J4" s="2">
        <v>4232</v>
      </c>
      <c r="K4" t="s">
        <v>135</v>
      </c>
      <c r="L4" s="6">
        <v>4232</v>
      </c>
    </row>
    <row r="5" spans="1:12" ht="43.8" thickBot="1" x14ac:dyDescent="0.35">
      <c r="A5" s="2"/>
      <c r="B5" s="2" t="s">
        <v>7</v>
      </c>
      <c r="C5" s="2">
        <v>13211</v>
      </c>
      <c r="D5" t="s">
        <v>51</v>
      </c>
      <c r="E5" s="8">
        <v>13211</v>
      </c>
      <c r="H5" s="2"/>
      <c r="I5" s="2" t="s">
        <v>130</v>
      </c>
      <c r="J5" s="2">
        <v>4250</v>
      </c>
      <c r="K5" t="s">
        <v>137</v>
      </c>
      <c r="L5" s="6">
        <v>4250</v>
      </c>
    </row>
    <row r="6" spans="1:12" ht="17.399999999999999" thickBot="1" x14ac:dyDescent="0.35">
      <c r="A6" s="2"/>
      <c r="B6" s="2" t="s">
        <v>8</v>
      </c>
      <c r="C6" s="2">
        <v>13210</v>
      </c>
      <c r="D6" t="s">
        <v>52</v>
      </c>
      <c r="E6" s="8">
        <v>13210</v>
      </c>
      <c r="H6" s="2"/>
      <c r="I6" s="2" t="s">
        <v>9</v>
      </c>
      <c r="J6" s="2">
        <v>14110</v>
      </c>
      <c r="K6" t="s">
        <v>136</v>
      </c>
      <c r="L6" s="6">
        <v>14110</v>
      </c>
    </row>
    <row r="7" spans="1:12" ht="58.2" thickBot="1" x14ac:dyDescent="0.35">
      <c r="A7" s="2"/>
      <c r="B7" s="2" t="s">
        <v>9</v>
      </c>
      <c r="C7" s="2">
        <v>13209</v>
      </c>
      <c r="D7" t="s">
        <v>50</v>
      </c>
      <c r="E7" s="8">
        <v>13209</v>
      </c>
      <c r="H7" s="3" t="s">
        <v>82</v>
      </c>
      <c r="I7" s="2" t="s">
        <v>138</v>
      </c>
      <c r="J7" s="2">
        <v>4358</v>
      </c>
      <c r="K7" t="s">
        <v>132</v>
      </c>
      <c r="L7" s="6">
        <v>4358</v>
      </c>
    </row>
    <row r="8" spans="1:12" ht="43.8" thickBot="1" x14ac:dyDescent="0.35">
      <c r="A8" s="3" t="s">
        <v>10</v>
      </c>
      <c r="B8" s="2" t="s">
        <v>11</v>
      </c>
      <c r="C8" s="3">
        <v>3359</v>
      </c>
      <c r="D8" t="s">
        <v>53</v>
      </c>
      <c r="E8" s="8">
        <v>3359</v>
      </c>
      <c r="H8" s="2"/>
      <c r="I8" s="2" t="s">
        <v>139</v>
      </c>
      <c r="J8" s="2">
        <v>4352</v>
      </c>
      <c r="K8" t="s">
        <v>141</v>
      </c>
      <c r="L8" s="6">
        <v>4352</v>
      </c>
    </row>
    <row r="9" spans="1:12" ht="43.8" thickBot="1" x14ac:dyDescent="0.35">
      <c r="A9" s="2"/>
      <c r="B9" s="2" t="s">
        <v>12</v>
      </c>
      <c r="C9" s="3">
        <v>2469</v>
      </c>
      <c r="D9" t="s">
        <v>54</v>
      </c>
      <c r="E9" s="8">
        <v>2469</v>
      </c>
      <c r="H9" s="2"/>
      <c r="I9" s="2" t="s">
        <v>140</v>
      </c>
      <c r="J9" s="2">
        <v>4346</v>
      </c>
      <c r="K9" t="s">
        <v>143</v>
      </c>
      <c r="L9" s="6">
        <v>4346</v>
      </c>
    </row>
    <row r="10" spans="1:12" ht="29.4" thickBot="1" x14ac:dyDescent="0.35">
      <c r="A10" s="2"/>
      <c r="B10" s="2" t="s">
        <v>13</v>
      </c>
      <c r="C10" s="3">
        <v>2350</v>
      </c>
      <c r="D10" t="s">
        <v>55</v>
      </c>
      <c r="E10" s="8">
        <v>2350</v>
      </c>
      <c r="H10" s="2"/>
      <c r="I10" s="2" t="s">
        <v>83</v>
      </c>
      <c r="J10" s="2">
        <v>14104</v>
      </c>
      <c r="K10" t="s">
        <v>134</v>
      </c>
      <c r="L10" s="6">
        <v>14104</v>
      </c>
    </row>
    <row r="11" spans="1:12" ht="29.4" thickBot="1" x14ac:dyDescent="0.35">
      <c r="A11" s="2"/>
      <c r="B11" s="2" t="s">
        <v>14</v>
      </c>
      <c r="C11" s="3">
        <v>2577</v>
      </c>
      <c r="D11" t="s">
        <v>56</v>
      </c>
      <c r="E11" s="8">
        <v>2577</v>
      </c>
      <c r="H11" s="2"/>
      <c r="I11" s="2" t="s">
        <v>9</v>
      </c>
      <c r="J11" s="2">
        <v>14105</v>
      </c>
      <c r="K11" t="s">
        <v>142</v>
      </c>
      <c r="L11" s="6">
        <v>14105</v>
      </c>
    </row>
    <row r="12" spans="1:12" ht="43.8" thickBot="1" x14ac:dyDescent="0.35">
      <c r="A12" s="2"/>
      <c r="B12" s="2" t="s">
        <v>15</v>
      </c>
      <c r="C12" s="3">
        <v>2569</v>
      </c>
      <c r="D12" t="s">
        <v>57</v>
      </c>
      <c r="E12" s="8">
        <v>2569</v>
      </c>
      <c r="H12" s="3" t="s">
        <v>10</v>
      </c>
      <c r="I12" s="2" t="s">
        <v>84</v>
      </c>
      <c r="J12" s="2">
        <v>4370</v>
      </c>
      <c r="K12" t="s">
        <v>54</v>
      </c>
      <c r="L12" s="6">
        <v>4370</v>
      </c>
    </row>
    <row r="13" spans="1:12" ht="29.4" thickBot="1" x14ac:dyDescent="0.35">
      <c r="A13" s="3" t="s">
        <v>16</v>
      </c>
      <c r="B13" s="2" t="s">
        <v>17</v>
      </c>
      <c r="C13" s="3">
        <v>2532</v>
      </c>
      <c r="D13" t="s">
        <v>58</v>
      </c>
      <c r="E13" s="8">
        <v>2532</v>
      </c>
      <c r="H13" s="2"/>
      <c r="I13" s="2" t="s">
        <v>85</v>
      </c>
      <c r="J13" s="2">
        <v>4262</v>
      </c>
      <c r="K13" t="s">
        <v>55</v>
      </c>
      <c r="L13" s="6">
        <v>4262</v>
      </c>
    </row>
    <row r="14" spans="1:12" ht="29.4" thickBot="1" x14ac:dyDescent="0.35">
      <c r="A14" s="2"/>
      <c r="B14" s="2" t="s">
        <v>18</v>
      </c>
      <c r="C14" s="3">
        <v>2476</v>
      </c>
      <c r="D14" t="s">
        <v>59</v>
      </c>
      <c r="E14" s="8">
        <v>2476</v>
      </c>
      <c r="H14" s="2"/>
      <c r="I14" s="2" t="s">
        <v>86</v>
      </c>
      <c r="J14" s="2">
        <v>4481</v>
      </c>
      <c r="K14" t="s">
        <v>144</v>
      </c>
      <c r="L14" s="6">
        <v>4481</v>
      </c>
    </row>
    <row r="15" spans="1:12" ht="43.8" thickBot="1" x14ac:dyDescent="0.35">
      <c r="A15" s="2"/>
      <c r="B15" s="2" t="s">
        <v>19</v>
      </c>
      <c r="C15" s="3">
        <v>2357</v>
      </c>
      <c r="D15" t="s">
        <v>60</v>
      </c>
      <c r="E15" s="8">
        <v>2357</v>
      </c>
      <c r="H15" s="2"/>
      <c r="I15" s="2" t="s">
        <v>87</v>
      </c>
      <c r="J15" s="2">
        <v>4473</v>
      </c>
      <c r="K15" t="s">
        <v>57</v>
      </c>
      <c r="L15" s="6">
        <v>4473</v>
      </c>
    </row>
    <row r="16" spans="1:12" ht="29.4" thickBot="1" x14ac:dyDescent="0.35">
      <c r="A16" s="2"/>
      <c r="B16" s="2" t="s">
        <v>20</v>
      </c>
      <c r="C16" s="3">
        <v>2598</v>
      </c>
      <c r="D16" t="s">
        <v>61</v>
      </c>
      <c r="E16" s="8">
        <v>2598</v>
      </c>
      <c r="H16" s="3" t="s">
        <v>16</v>
      </c>
      <c r="I16" s="2" t="s">
        <v>88</v>
      </c>
      <c r="J16" s="2">
        <v>4376</v>
      </c>
      <c r="K16" t="s">
        <v>59</v>
      </c>
      <c r="L16" s="6">
        <v>4376</v>
      </c>
    </row>
    <row r="17" spans="1:12" ht="43.8" thickBot="1" x14ac:dyDescent="0.35">
      <c r="A17" s="2"/>
      <c r="B17" s="2" t="s">
        <v>21</v>
      </c>
      <c r="C17" s="3">
        <v>2590</v>
      </c>
      <c r="D17" t="s">
        <v>62</v>
      </c>
      <c r="E17" s="8">
        <v>2590</v>
      </c>
      <c r="H17" s="2"/>
      <c r="I17" s="2" t="s">
        <v>89</v>
      </c>
      <c r="J17" s="2">
        <v>4268</v>
      </c>
      <c r="K17" t="s">
        <v>60</v>
      </c>
      <c r="L17" s="6">
        <v>4268</v>
      </c>
    </row>
    <row r="18" spans="1:12" ht="29.4" thickBot="1" x14ac:dyDescent="0.35">
      <c r="A18" s="2"/>
      <c r="B18" s="2" t="s">
        <v>22</v>
      </c>
      <c r="C18" s="2">
        <v>13213</v>
      </c>
      <c r="D18" t="s">
        <v>63</v>
      </c>
      <c r="E18" s="8">
        <v>13213</v>
      </c>
      <c r="H18" s="2"/>
      <c r="I18" s="2" t="s">
        <v>90</v>
      </c>
      <c r="J18" s="2">
        <v>4511</v>
      </c>
      <c r="K18" t="s">
        <v>145</v>
      </c>
      <c r="L18" s="6">
        <v>4511</v>
      </c>
    </row>
    <row r="19" spans="1:12" ht="43.8" thickBot="1" x14ac:dyDescent="0.35">
      <c r="A19" s="3" t="s">
        <v>23</v>
      </c>
      <c r="B19" s="2" t="s">
        <v>24</v>
      </c>
      <c r="C19" s="3">
        <v>2483</v>
      </c>
      <c r="D19" t="s">
        <v>64</v>
      </c>
      <c r="E19" s="8">
        <v>2483</v>
      </c>
      <c r="H19" s="2"/>
      <c r="I19" s="2" t="s">
        <v>91</v>
      </c>
      <c r="J19" s="2">
        <v>4503</v>
      </c>
      <c r="K19" t="s">
        <v>62</v>
      </c>
      <c r="L19" s="6">
        <v>4503</v>
      </c>
    </row>
    <row r="20" spans="1:12" ht="43.8" thickBot="1" x14ac:dyDescent="0.35">
      <c r="A20" s="2"/>
      <c r="B20" s="2" t="s">
        <v>25</v>
      </c>
      <c r="C20" s="3">
        <v>2364</v>
      </c>
      <c r="D20" t="s">
        <v>65</v>
      </c>
      <c r="E20" s="8">
        <v>2364</v>
      </c>
      <c r="H20" s="2" t="s">
        <v>92</v>
      </c>
      <c r="I20" s="2" t="s">
        <v>93</v>
      </c>
      <c r="J20" s="2">
        <v>14108</v>
      </c>
      <c r="K20" t="s">
        <v>146</v>
      </c>
      <c r="L20" s="6">
        <v>14108</v>
      </c>
    </row>
    <row r="21" spans="1:12" ht="43.8" thickBot="1" x14ac:dyDescent="0.35">
      <c r="A21" s="2"/>
      <c r="B21" s="2" t="s">
        <v>26</v>
      </c>
      <c r="C21" s="3">
        <v>2518</v>
      </c>
      <c r="D21" t="s">
        <v>66</v>
      </c>
      <c r="E21" s="8">
        <v>2518</v>
      </c>
      <c r="H21" s="2"/>
      <c r="I21" s="2" t="s">
        <v>94</v>
      </c>
      <c r="J21" s="2">
        <v>14109</v>
      </c>
      <c r="K21" t="s">
        <v>147</v>
      </c>
      <c r="L21" s="6">
        <v>14109</v>
      </c>
    </row>
    <row r="22" spans="1:12" ht="43.8" thickBot="1" x14ac:dyDescent="0.35">
      <c r="A22" s="2"/>
      <c r="B22" s="2" t="s">
        <v>27</v>
      </c>
      <c r="C22" s="3">
        <v>2399</v>
      </c>
      <c r="D22" t="s">
        <v>67</v>
      </c>
      <c r="E22" s="8">
        <v>2399</v>
      </c>
      <c r="H22" s="3" t="s">
        <v>23</v>
      </c>
      <c r="I22" s="2" t="s">
        <v>95</v>
      </c>
      <c r="J22" s="2">
        <v>4364</v>
      </c>
      <c r="K22" t="s">
        <v>64</v>
      </c>
      <c r="L22" s="6">
        <v>4364</v>
      </c>
    </row>
    <row r="23" spans="1:12" ht="43.8" thickBot="1" x14ac:dyDescent="0.35">
      <c r="A23" s="2"/>
      <c r="B23" s="2" t="s">
        <v>28</v>
      </c>
      <c r="C23" s="3">
        <v>2546</v>
      </c>
      <c r="D23" t="s">
        <v>148</v>
      </c>
      <c r="E23" s="8">
        <v>2546</v>
      </c>
      <c r="H23" s="2"/>
      <c r="I23" s="2" t="s">
        <v>96</v>
      </c>
      <c r="J23" s="2">
        <v>4256</v>
      </c>
      <c r="K23" t="s">
        <v>65</v>
      </c>
      <c r="L23" s="6">
        <v>4256</v>
      </c>
    </row>
    <row r="24" spans="1:12" ht="43.8" thickBot="1" x14ac:dyDescent="0.35">
      <c r="A24" s="2"/>
      <c r="B24" s="2" t="s">
        <v>29</v>
      </c>
      <c r="C24" s="3">
        <v>2550</v>
      </c>
      <c r="D24" t="s">
        <v>68</v>
      </c>
      <c r="E24" s="8">
        <v>2550</v>
      </c>
      <c r="H24" s="2"/>
      <c r="I24" s="2" t="s">
        <v>97</v>
      </c>
      <c r="J24" s="2">
        <v>4406</v>
      </c>
      <c r="K24" t="s">
        <v>66</v>
      </c>
      <c r="L24" s="6">
        <v>4406</v>
      </c>
    </row>
    <row r="25" spans="1:12" ht="43.8" thickBot="1" x14ac:dyDescent="0.35">
      <c r="A25" s="2"/>
      <c r="B25" s="3" t="s">
        <v>30</v>
      </c>
      <c r="C25" s="2">
        <v>2678</v>
      </c>
      <c r="D25" t="s">
        <v>69</v>
      </c>
      <c r="E25" s="8">
        <v>2678</v>
      </c>
      <c r="H25" s="2"/>
      <c r="I25" s="2" t="s">
        <v>98</v>
      </c>
      <c r="J25" s="2">
        <v>4310</v>
      </c>
      <c r="K25" t="s">
        <v>67</v>
      </c>
      <c r="L25" s="6">
        <v>4310</v>
      </c>
    </row>
    <row r="26" spans="1:12" ht="43.8" thickBot="1" x14ac:dyDescent="0.35">
      <c r="A26" s="2"/>
      <c r="B26" s="2" t="s">
        <v>31</v>
      </c>
      <c r="C26" s="9">
        <v>13212</v>
      </c>
      <c r="D26" t="s">
        <v>70</v>
      </c>
      <c r="E26" s="9">
        <v>13212</v>
      </c>
      <c r="H26" s="2"/>
      <c r="I26" s="2" t="s">
        <v>99</v>
      </c>
      <c r="J26" s="2">
        <v>4447</v>
      </c>
      <c r="K26" t="s">
        <v>148</v>
      </c>
      <c r="L26" s="6">
        <v>4447</v>
      </c>
    </row>
    <row r="27" spans="1:12" ht="43.8" thickBot="1" x14ac:dyDescent="0.35">
      <c r="A27" s="3" t="s">
        <v>32</v>
      </c>
      <c r="B27" s="2" t="s">
        <v>33</v>
      </c>
      <c r="C27" s="3">
        <v>2525</v>
      </c>
      <c r="D27" t="s">
        <v>71</v>
      </c>
      <c r="E27" s="8">
        <v>2525</v>
      </c>
      <c r="H27" s="2"/>
      <c r="I27" s="2" t="s">
        <v>100</v>
      </c>
      <c r="J27" s="2">
        <v>4451</v>
      </c>
      <c r="K27" t="s">
        <v>68</v>
      </c>
      <c r="L27" s="6">
        <v>4451</v>
      </c>
    </row>
    <row r="28" spans="1:12" ht="43.8" thickBot="1" x14ac:dyDescent="0.35">
      <c r="A28" s="2"/>
      <c r="B28" s="2" t="s">
        <v>34</v>
      </c>
      <c r="C28" s="3">
        <v>2406</v>
      </c>
      <c r="D28" t="s">
        <v>72</v>
      </c>
      <c r="E28" s="8">
        <v>2406</v>
      </c>
      <c r="H28" s="2"/>
      <c r="I28" s="2" t="s">
        <v>101</v>
      </c>
      <c r="J28" s="2">
        <v>4615</v>
      </c>
      <c r="K28" t="s">
        <v>69</v>
      </c>
      <c r="L28" s="6">
        <v>4615</v>
      </c>
    </row>
    <row r="29" spans="1:12" ht="43.8" thickBot="1" x14ac:dyDescent="0.35">
      <c r="A29" s="2"/>
      <c r="B29" s="2" t="s">
        <v>35</v>
      </c>
      <c r="C29" s="3">
        <v>2564</v>
      </c>
      <c r="D29" t="s">
        <v>73</v>
      </c>
      <c r="E29" s="8">
        <v>2564</v>
      </c>
      <c r="H29" s="3" t="s">
        <v>32</v>
      </c>
      <c r="I29" s="2" t="s">
        <v>102</v>
      </c>
      <c r="J29" s="2">
        <v>4412</v>
      </c>
      <c r="K29" t="s">
        <v>71</v>
      </c>
      <c r="L29" s="6">
        <v>4412</v>
      </c>
    </row>
    <row r="30" spans="1:12" ht="43.8" thickBot="1" x14ac:dyDescent="0.35">
      <c r="A30" s="2"/>
      <c r="B30" s="3" t="s">
        <v>36</v>
      </c>
      <c r="C30" s="2">
        <v>2681</v>
      </c>
      <c r="D30" t="s">
        <v>74</v>
      </c>
      <c r="E30" s="8">
        <v>2681</v>
      </c>
      <c r="H30" s="2"/>
      <c r="I30" s="2" t="s">
        <v>103</v>
      </c>
      <c r="J30" s="2">
        <v>4316</v>
      </c>
      <c r="K30" t="s">
        <v>72</v>
      </c>
      <c r="L30" s="6">
        <v>4316</v>
      </c>
    </row>
    <row r="31" spans="1:12" ht="29.4" thickBot="1" x14ac:dyDescent="0.35">
      <c r="A31" s="2" t="s">
        <v>37</v>
      </c>
      <c r="B31" s="2" t="s">
        <v>38</v>
      </c>
      <c r="C31" s="3">
        <v>2490</v>
      </c>
      <c r="D31" t="s">
        <v>75</v>
      </c>
      <c r="E31" s="8">
        <v>2490</v>
      </c>
      <c r="H31" s="2"/>
      <c r="I31" s="2" t="s">
        <v>104</v>
      </c>
      <c r="J31" s="2">
        <v>4467</v>
      </c>
      <c r="K31" t="s">
        <v>73</v>
      </c>
      <c r="L31" s="6">
        <v>4467</v>
      </c>
    </row>
    <row r="32" spans="1:12" ht="29.4" thickBot="1" x14ac:dyDescent="0.35">
      <c r="A32" s="2"/>
      <c r="B32" s="2" t="s">
        <v>39</v>
      </c>
      <c r="C32" s="3">
        <v>2371</v>
      </c>
      <c r="D32" t="s">
        <v>76</v>
      </c>
      <c r="E32" s="8">
        <v>2371</v>
      </c>
      <c r="H32" s="2"/>
      <c r="I32" s="2" t="s">
        <v>105</v>
      </c>
      <c r="J32" s="2">
        <v>4619</v>
      </c>
      <c r="K32" t="s">
        <v>74</v>
      </c>
      <c r="L32" s="6">
        <v>4619</v>
      </c>
    </row>
    <row r="33" spans="1:12" ht="29.4" thickBot="1" x14ac:dyDescent="0.35">
      <c r="A33" s="2"/>
      <c r="B33" s="2" t="s">
        <v>40</v>
      </c>
      <c r="C33" s="3">
        <v>2673</v>
      </c>
      <c r="D33" t="s">
        <v>77</v>
      </c>
      <c r="E33" s="8">
        <v>2673</v>
      </c>
      <c r="H33" s="3" t="s">
        <v>106</v>
      </c>
      <c r="I33" s="2" t="s">
        <v>107</v>
      </c>
      <c r="J33" s="2">
        <v>4388</v>
      </c>
      <c r="K33" t="s">
        <v>153</v>
      </c>
      <c r="L33" s="6">
        <v>4388</v>
      </c>
    </row>
    <row r="34" spans="1:12" ht="29.4" thickBot="1" x14ac:dyDescent="0.35">
      <c r="A34" s="2"/>
      <c r="B34" s="2" t="s">
        <v>41</v>
      </c>
      <c r="C34" s="2">
        <v>2652</v>
      </c>
      <c r="D34" t="s">
        <v>78</v>
      </c>
      <c r="E34" s="8">
        <v>2652</v>
      </c>
      <c r="H34" s="2"/>
      <c r="I34" s="2" t="s">
        <v>108</v>
      </c>
      <c r="J34" s="2">
        <v>4286</v>
      </c>
      <c r="K34" t="s">
        <v>154</v>
      </c>
      <c r="L34" s="6">
        <v>4286</v>
      </c>
    </row>
    <row r="35" spans="1:12" ht="29.4" thickBot="1" x14ac:dyDescent="0.35">
      <c r="A35" s="2" t="s">
        <v>42</v>
      </c>
      <c r="B35" s="2" t="s">
        <v>43</v>
      </c>
      <c r="C35" s="2">
        <v>2684</v>
      </c>
      <c r="D35" t="s">
        <v>79</v>
      </c>
      <c r="E35" s="8">
        <v>2684</v>
      </c>
      <c r="H35" s="2"/>
      <c r="I35" s="2" t="s">
        <v>109</v>
      </c>
      <c r="J35" s="2">
        <v>4587</v>
      </c>
      <c r="K35" t="s">
        <v>155</v>
      </c>
      <c r="L35" s="6">
        <v>4587</v>
      </c>
    </row>
    <row r="36" spans="1:12" ht="29.4" thickBot="1" x14ac:dyDescent="0.35">
      <c r="A36" s="2"/>
      <c r="B36" s="4" t="s">
        <v>44</v>
      </c>
      <c r="C36" s="4">
        <v>2683</v>
      </c>
      <c r="E36" s="8"/>
      <c r="H36" s="2"/>
      <c r="I36" s="3" t="s">
        <v>110</v>
      </c>
      <c r="J36" s="2">
        <v>4593</v>
      </c>
      <c r="K36" t="s">
        <v>156</v>
      </c>
      <c r="L36" s="6">
        <v>4593</v>
      </c>
    </row>
    <row r="37" spans="1:12" ht="29.4" thickBot="1" x14ac:dyDescent="0.35">
      <c r="H37" s="3" t="s">
        <v>111</v>
      </c>
      <c r="I37" s="2" t="s">
        <v>112</v>
      </c>
      <c r="J37" s="2">
        <v>4382</v>
      </c>
      <c r="K37" t="s">
        <v>157</v>
      </c>
      <c r="L37" s="6">
        <v>4382</v>
      </c>
    </row>
    <row r="38" spans="1:12" ht="29.4" thickBot="1" x14ac:dyDescent="0.35">
      <c r="H38" s="2"/>
      <c r="I38" s="2" t="s">
        <v>113</v>
      </c>
      <c r="J38" s="2">
        <v>4280</v>
      </c>
      <c r="K38" t="s">
        <v>158</v>
      </c>
      <c r="L38" s="6">
        <v>4280</v>
      </c>
    </row>
    <row r="39" spans="1:12" ht="29.4" thickBot="1" x14ac:dyDescent="0.35">
      <c r="H39" s="2"/>
      <c r="I39" s="2" t="s">
        <v>114</v>
      </c>
      <c r="J39" s="2">
        <v>4428</v>
      </c>
      <c r="K39" t="s">
        <v>159</v>
      </c>
      <c r="L39" s="6">
        <v>4428</v>
      </c>
    </row>
    <row r="40" spans="1:12" ht="17.399999999999999" thickBot="1" x14ac:dyDescent="0.35">
      <c r="H40" s="2"/>
      <c r="I40" s="3" t="s">
        <v>115</v>
      </c>
      <c r="J40" s="2">
        <v>4417</v>
      </c>
      <c r="K40" t="s">
        <v>160</v>
      </c>
      <c r="L40" s="6">
        <v>4417</v>
      </c>
    </row>
    <row r="41" spans="1:12" ht="43.8" thickBot="1" x14ac:dyDescent="0.35">
      <c r="H41" s="2"/>
      <c r="I41" s="3" t="s">
        <v>116</v>
      </c>
      <c r="J41" s="2">
        <v>7367</v>
      </c>
      <c r="K41" t="s">
        <v>161</v>
      </c>
      <c r="L41" s="6">
        <v>7367</v>
      </c>
    </row>
    <row r="42" spans="1:12" ht="17.399999999999999" thickBot="1" x14ac:dyDescent="0.35">
      <c r="H42" s="2"/>
      <c r="I42" s="3" t="s">
        <v>117</v>
      </c>
      <c r="J42" s="2">
        <v>4414</v>
      </c>
      <c r="K42" t="s">
        <v>162</v>
      </c>
      <c r="L42" s="6">
        <v>4414</v>
      </c>
    </row>
    <row r="43" spans="1:12" ht="29.4" thickBot="1" x14ac:dyDescent="0.35">
      <c r="H43" s="2" t="s">
        <v>118</v>
      </c>
      <c r="I43" s="3" t="s">
        <v>119</v>
      </c>
      <c r="J43" s="2">
        <v>4328</v>
      </c>
      <c r="K43" t="s">
        <v>163</v>
      </c>
      <c r="L43" s="6">
        <v>4328</v>
      </c>
    </row>
    <row r="44" spans="1:12" ht="29.4" thickBot="1" x14ac:dyDescent="0.35">
      <c r="H44" s="2"/>
      <c r="I44" s="3" t="s">
        <v>120</v>
      </c>
      <c r="J44" s="2">
        <v>4334</v>
      </c>
      <c r="K44" t="s">
        <v>164</v>
      </c>
      <c r="L44" s="6">
        <v>4334</v>
      </c>
    </row>
    <row r="45" spans="1:12" ht="29.4" thickBot="1" x14ac:dyDescent="0.35">
      <c r="H45" s="2"/>
      <c r="I45" s="3" t="s">
        <v>121</v>
      </c>
      <c r="J45" s="2">
        <v>4340</v>
      </c>
      <c r="K45" t="s">
        <v>165</v>
      </c>
      <c r="L45" s="6">
        <v>4340</v>
      </c>
    </row>
    <row r="46" spans="1:12" ht="29.4" thickBot="1" x14ac:dyDescent="0.35">
      <c r="H46" s="2"/>
      <c r="I46" s="3" t="s">
        <v>122</v>
      </c>
      <c r="J46" s="2">
        <v>4322</v>
      </c>
      <c r="K46" t="s">
        <v>166</v>
      </c>
      <c r="L46" s="6">
        <v>4322</v>
      </c>
    </row>
    <row r="47" spans="1:12" ht="29.4" thickBot="1" x14ac:dyDescent="0.35">
      <c r="H47" s="2"/>
      <c r="I47" s="3" t="s">
        <v>123</v>
      </c>
      <c r="J47" s="2">
        <v>4544</v>
      </c>
      <c r="K47" t="s">
        <v>167</v>
      </c>
      <c r="L47" s="6">
        <v>4544</v>
      </c>
    </row>
    <row r="48" spans="1:12" ht="29.4" thickBot="1" x14ac:dyDescent="0.35">
      <c r="H48" s="2"/>
      <c r="I48" s="3" t="s">
        <v>124</v>
      </c>
      <c r="J48" s="2">
        <v>4550</v>
      </c>
      <c r="K48" t="s">
        <v>168</v>
      </c>
      <c r="L48" s="6">
        <v>4550</v>
      </c>
    </row>
    <row r="49" spans="8:12" ht="29.4" thickBot="1" x14ac:dyDescent="0.35">
      <c r="H49" s="2" t="s">
        <v>125</v>
      </c>
      <c r="I49" s="2" t="s">
        <v>93</v>
      </c>
      <c r="J49" s="2">
        <v>14106</v>
      </c>
      <c r="K49" t="s">
        <v>75</v>
      </c>
      <c r="L49" s="6">
        <v>14106</v>
      </c>
    </row>
    <row r="50" spans="8:12" ht="17.399999999999999" thickBot="1" x14ac:dyDescent="0.35">
      <c r="H50" s="2"/>
      <c r="I50" s="2" t="s">
        <v>94</v>
      </c>
      <c r="J50" s="2">
        <v>14107</v>
      </c>
      <c r="K50" t="s">
        <v>76</v>
      </c>
      <c r="L50" s="6">
        <v>14107</v>
      </c>
    </row>
    <row r="51" spans="8:12" ht="43.8" thickBot="1" x14ac:dyDescent="0.35">
      <c r="H51" s="2"/>
      <c r="I51" s="3" t="s">
        <v>126</v>
      </c>
      <c r="J51" s="2">
        <v>4603</v>
      </c>
      <c r="K51" t="s">
        <v>78</v>
      </c>
      <c r="L51" s="6">
        <v>4603</v>
      </c>
    </row>
  </sheetData>
  <pageMargins left="0.7" right="0.7" top="0.78740157499999996" bottom="0.78740157499999996" header="0.3" footer="0.3"/>
  <drawing r:id="rId1"/>
  <legacyDrawing r:id="rId2"/>
  <controls>
    <mc:AlternateContent xmlns:mc="http://schemas.openxmlformats.org/markup-compatibility/2006">
      <mc:Choice Requires="x14">
        <control shapeId="1026" r:id="rId3" name="Control 2">
          <controlPr defaultSize="0" r:id="rId4">
            <anchor moveWithCells="1">
              <from>
                <xdr:col>9</xdr:col>
                <xdr:colOff>784860</xdr:colOff>
                <xdr:row>0</xdr:row>
                <xdr:rowOff>0</xdr:rowOff>
              </from>
              <to>
                <xdr:col>10</xdr:col>
                <xdr:colOff>441960</xdr:colOff>
                <xdr:row>0</xdr:row>
                <xdr:rowOff>114300</xdr:rowOff>
              </to>
            </anchor>
          </controlPr>
        </control>
      </mc:Choice>
      <mc:Fallback>
        <control shapeId="1026" r:id="rId3" name="Control 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2421-BFC9-47E0-AFA4-88B486362CC9}">
  <dimension ref="A1:X67"/>
  <sheetViews>
    <sheetView topLeftCell="A30" zoomScale="55" workbookViewId="0">
      <selection activeCell="R5" sqref="R5"/>
    </sheetView>
  </sheetViews>
  <sheetFormatPr baseColWidth="10" defaultRowHeight="14.4" x14ac:dyDescent="0.3"/>
  <cols>
    <col min="1" max="1" width="18.33203125" bestFit="1" customWidth="1"/>
    <col min="2" max="2" width="16.33203125" bestFit="1" customWidth="1"/>
  </cols>
  <sheetData>
    <row r="1" spans="1:19" x14ac:dyDescent="0.3">
      <c r="A1" t="s">
        <v>3</v>
      </c>
      <c r="B1" t="s">
        <v>175</v>
      </c>
    </row>
    <row r="4" spans="1:19" x14ac:dyDescent="0.3">
      <c r="A4" t="s">
        <v>169</v>
      </c>
      <c r="B4" t="s">
        <v>177</v>
      </c>
      <c r="C4" t="s">
        <v>178</v>
      </c>
      <c r="D4" t="s">
        <v>256</v>
      </c>
      <c r="E4" t="s">
        <v>176</v>
      </c>
      <c r="F4" t="s">
        <v>173</v>
      </c>
      <c r="G4" t="s">
        <v>174</v>
      </c>
      <c r="M4" t="s">
        <v>169</v>
      </c>
      <c r="N4" t="s">
        <v>177</v>
      </c>
      <c r="O4" t="s">
        <v>178</v>
      </c>
      <c r="P4" t="s">
        <v>256</v>
      </c>
      <c r="Q4" t="s">
        <v>176</v>
      </c>
      <c r="R4" t="s">
        <v>173</v>
      </c>
      <c r="S4" t="s">
        <v>174</v>
      </c>
    </row>
    <row r="5" spans="1:19" x14ac:dyDescent="0.3">
      <c r="A5" t="s">
        <v>172</v>
      </c>
      <c r="C5">
        <v>2080</v>
      </c>
      <c r="F5">
        <v>113</v>
      </c>
      <c r="G5">
        <v>320</v>
      </c>
      <c r="I5" s="10" t="s">
        <v>197</v>
      </c>
      <c r="M5" t="s">
        <v>172</v>
      </c>
      <c r="O5">
        <v>1990</v>
      </c>
      <c r="R5">
        <v>113</v>
      </c>
      <c r="S5">
        <v>320</v>
      </c>
    </row>
    <row r="6" spans="1:19" x14ac:dyDescent="0.3">
      <c r="A6">
        <v>1</v>
      </c>
      <c r="B6">
        <v>1760</v>
      </c>
      <c r="C6" s="10">
        <v>1760</v>
      </c>
      <c r="D6">
        <f>C6+240</f>
        <v>2000</v>
      </c>
      <c r="F6">
        <v>97</v>
      </c>
      <c r="G6">
        <v>200</v>
      </c>
      <c r="I6" s="11" t="s">
        <v>198</v>
      </c>
      <c r="M6">
        <v>1</v>
      </c>
      <c r="N6">
        <v>1760</v>
      </c>
      <c r="O6" s="10">
        <v>1760</v>
      </c>
      <c r="P6" s="36">
        <f>O6+240</f>
        <v>2000</v>
      </c>
      <c r="R6">
        <v>97</v>
      </c>
      <c r="S6">
        <v>200</v>
      </c>
    </row>
    <row r="7" spans="1:19" x14ac:dyDescent="0.3">
      <c r="A7">
        <v>2</v>
      </c>
      <c r="C7">
        <v>1560</v>
      </c>
      <c r="E7">
        <v>1536</v>
      </c>
      <c r="F7">
        <v>48</v>
      </c>
      <c r="G7">
        <v>100</v>
      </c>
      <c r="M7">
        <v>2</v>
      </c>
      <c r="O7">
        <v>1560</v>
      </c>
      <c r="Q7">
        <v>1536</v>
      </c>
      <c r="R7">
        <v>48</v>
      </c>
      <c r="S7">
        <v>100</v>
      </c>
    </row>
    <row r="8" spans="1:19" x14ac:dyDescent="0.3">
      <c r="A8">
        <v>3</v>
      </c>
      <c r="C8">
        <v>1460</v>
      </c>
      <c r="F8">
        <v>48</v>
      </c>
      <c r="G8">
        <v>100</v>
      </c>
      <c r="M8">
        <v>3</v>
      </c>
      <c r="O8">
        <v>1460</v>
      </c>
      <c r="R8">
        <v>48</v>
      </c>
      <c r="S8">
        <v>100</v>
      </c>
    </row>
    <row r="9" spans="1:19" x14ac:dyDescent="0.3">
      <c r="A9">
        <v>4</v>
      </c>
      <c r="B9">
        <v>1360</v>
      </c>
      <c r="C9">
        <v>1360</v>
      </c>
      <c r="F9">
        <v>48</v>
      </c>
      <c r="G9">
        <v>100</v>
      </c>
      <c r="M9">
        <v>4</v>
      </c>
      <c r="N9">
        <v>1360</v>
      </c>
      <c r="O9">
        <v>1360</v>
      </c>
      <c r="R9">
        <v>48</v>
      </c>
      <c r="S9">
        <v>100</v>
      </c>
    </row>
    <row r="10" spans="1:19" x14ac:dyDescent="0.3">
      <c r="A10">
        <v>5</v>
      </c>
      <c r="C10">
        <v>1260</v>
      </c>
      <c r="E10">
        <v>1239</v>
      </c>
      <c r="F10">
        <v>48</v>
      </c>
      <c r="G10">
        <v>100</v>
      </c>
      <c r="M10">
        <v>5</v>
      </c>
      <c r="O10">
        <v>1260</v>
      </c>
      <c r="Q10">
        <v>1239</v>
      </c>
      <c r="R10">
        <v>48</v>
      </c>
      <c r="S10">
        <v>100</v>
      </c>
    </row>
    <row r="11" spans="1:19" x14ac:dyDescent="0.3">
      <c r="A11">
        <v>6</v>
      </c>
      <c r="B11">
        <v>1160</v>
      </c>
      <c r="C11">
        <v>1160</v>
      </c>
      <c r="E11">
        <v>942</v>
      </c>
      <c r="F11">
        <v>152</v>
      </c>
      <c r="G11">
        <v>315</v>
      </c>
      <c r="M11">
        <v>6</v>
      </c>
      <c r="N11">
        <v>1160</v>
      </c>
      <c r="O11">
        <v>1160</v>
      </c>
      <c r="Q11">
        <v>942</v>
      </c>
      <c r="R11">
        <v>152</v>
      </c>
      <c r="S11">
        <v>315</v>
      </c>
    </row>
    <row r="12" spans="1:19" x14ac:dyDescent="0.3">
      <c r="A12">
        <v>7</v>
      </c>
      <c r="B12">
        <v>845</v>
      </c>
      <c r="C12">
        <v>845</v>
      </c>
      <c r="F12">
        <v>48</v>
      </c>
      <c r="G12">
        <v>100</v>
      </c>
      <c r="M12">
        <v>7</v>
      </c>
      <c r="N12">
        <v>845</v>
      </c>
      <c r="O12">
        <v>845</v>
      </c>
      <c r="R12">
        <v>48</v>
      </c>
      <c r="S12">
        <v>100</v>
      </c>
    </row>
    <row r="13" spans="1:19" x14ac:dyDescent="0.3">
      <c r="A13">
        <v>8</v>
      </c>
      <c r="C13">
        <v>745</v>
      </c>
      <c r="E13">
        <v>645</v>
      </c>
      <c r="F13">
        <v>169</v>
      </c>
      <c r="G13">
        <v>350</v>
      </c>
      <c r="M13">
        <v>8</v>
      </c>
      <c r="O13">
        <v>745</v>
      </c>
      <c r="Q13">
        <v>645</v>
      </c>
      <c r="R13">
        <v>169</v>
      </c>
      <c r="S13">
        <v>350</v>
      </c>
    </row>
    <row r="14" spans="1:19" x14ac:dyDescent="0.3">
      <c r="A14">
        <v>9</v>
      </c>
      <c r="B14">
        <v>395</v>
      </c>
      <c r="C14">
        <v>395</v>
      </c>
      <c r="F14">
        <v>0</v>
      </c>
      <c r="G14">
        <v>0</v>
      </c>
      <c r="M14">
        <v>9</v>
      </c>
      <c r="N14">
        <v>395</v>
      </c>
      <c r="O14">
        <v>395</v>
      </c>
      <c r="R14">
        <v>0</v>
      </c>
      <c r="S14">
        <v>0</v>
      </c>
    </row>
    <row r="15" spans="1:19" x14ac:dyDescent="0.3">
      <c r="A15">
        <v>10</v>
      </c>
      <c r="C15" s="11">
        <v>395</v>
      </c>
      <c r="F15">
        <v>60</v>
      </c>
      <c r="G15">
        <v>125</v>
      </c>
      <c r="M15">
        <v>10</v>
      </c>
      <c r="O15" s="11">
        <v>395</v>
      </c>
      <c r="R15">
        <v>60</v>
      </c>
      <c r="S15">
        <v>125</v>
      </c>
    </row>
    <row r="16" spans="1:19" x14ac:dyDescent="0.3">
      <c r="A16">
        <v>11</v>
      </c>
      <c r="B16">
        <v>270</v>
      </c>
      <c r="C16" s="10">
        <v>270</v>
      </c>
      <c r="D16">
        <f>C16-150</f>
        <v>120</v>
      </c>
      <c r="F16">
        <v>0</v>
      </c>
      <c r="G16">
        <v>0</v>
      </c>
      <c r="M16">
        <v>11</v>
      </c>
      <c r="N16">
        <v>270</v>
      </c>
      <c r="O16" s="10">
        <v>270</v>
      </c>
      <c r="P16">
        <f>O16-150</f>
        <v>120</v>
      </c>
      <c r="R16">
        <v>0</v>
      </c>
      <c r="S16">
        <v>0</v>
      </c>
    </row>
    <row r="17" spans="1:19" x14ac:dyDescent="0.3">
      <c r="A17">
        <v>12</v>
      </c>
      <c r="C17" s="10">
        <v>270</v>
      </c>
      <c r="D17">
        <f>C17-150</f>
        <v>120</v>
      </c>
      <c r="F17">
        <v>74</v>
      </c>
      <c r="G17">
        <v>210</v>
      </c>
      <c r="M17">
        <v>12</v>
      </c>
      <c r="O17" s="10">
        <v>153</v>
      </c>
      <c r="P17">
        <f>O17-150</f>
        <v>3</v>
      </c>
      <c r="R17">
        <v>74</v>
      </c>
      <c r="S17">
        <v>210</v>
      </c>
    </row>
    <row r="18" spans="1:19" x14ac:dyDescent="0.3">
      <c r="A18" t="s">
        <v>170</v>
      </c>
      <c r="C18">
        <v>61</v>
      </c>
      <c r="G18">
        <v>60</v>
      </c>
      <c r="M18" t="s">
        <v>170</v>
      </c>
      <c r="O18">
        <v>117</v>
      </c>
      <c r="S18">
        <v>60</v>
      </c>
    </row>
    <row r="19" spans="1:19" x14ac:dyDescent="0.3">
      <c r="A19" t="s">
        <v>171</v>
      </c>
      <c r="C19">
        <v>0</v>
      </c>
      <c r="G19">
        <f>SUM(G5:G18)</f>
        <v>2080</v>
      </c>
      <c r="M19" t="s">
        <v>171</v>
      </c>
      <c r="O19">
        <v>0</v>
      </c>
      <c r="S19">
        <f>SUM(S5:S18)</f>
        <v>2080</v>
      </c>
    </row>
    <row r="21" spans="1:19" x14ac:dyDescent="0.3">
      <c r="E21" s="13"/>
    </row>
    <row r="22" spans="1:19" x14ac:dyDescent="0.3">
      <c r="A22" t="s">
        <v>179</v>
      </c>
      <c r="B22" s="12" t="s">
        <v>196</v>
      </c>
      <c r="C22" s="13" t="s">
        <v>203</v>
      </c>
      <c r="D22" t="s">
        <v>202</v>
      </c>
      <c r="E22" t="s">
        <v>201</v>
      </c>
      <c r="G22">
        <v>6</v>
      </c>
      <c r="H22" s="17"/>
      <c r="I22" s="25">
        <v>10</v>
      </c>
      <c r="J22" s="19"/>
    </row>
    <row r="23" spans="1:19" x14ac:dyDescent="0.3">
      <c r="A23" t="s">
        <v>172</v>
      </c>
      <c r="B23" s="12">
        <v>2080</v>
      </c>
      <c r="C23">
        <f>B23-60</f>
        <v>2020</v>
      </c>
      <c r="D23" s="52">
        <v>9</v>
      </c>
      <c r="E23" s="49">
        <v>5</v>
      </c>
      <c r="F23" s="54">
        <v>4</v>
      </c>
      <c r="G23" s="15">
        <f>($C$23/6)*6</f>
        <v>2020</v>
      </c>
      <c r="H23" s="56">
        <v>5</v>
      </c>
      <c r="I23" s="20">
        <f>$C$23/10*10</f>
        <v>2020</v>
      </c>
      <c r="J23" s="21">
        <v>9</v>
      </c>
    </row>
    <row r="24" spans="1:19" x14ac:dyDescent="0.3">
      <c r="A24" s="10" t="s">
        <v>199</v>
      </c>
      <c r="B24" s="12">
        <v>2000</v>
      </c>
      <c r="C24">
        <f t="shared" ref="C24:C40" si="0">B24-60</f>
        <v>1940</v>
      </c>
      <c r="D24" s="46"/>
      <c r="E24" s="47"/>
      <c r="F24" s="54"/>
      <c r="H24" s="56"/>
      <c r="I24" s="20">
        <f>$C$23/10*9</f>
        <v>1818</v>
      </c>
      <c r="J24" s="22">
        <v>8</v>
      </c>
    </row>
    <row r="25" spans="1:19" x14ac:dyDescent="0.3">
      <c r="A25" t="s">
        <v>183</v>
      </c>
      <c r="B25" s="12">
        <v>1760</v>
      </c>
      <c r="C25" s="16">
        <f t="shared" si="0"/>
        <v>1700</v>
      </c>
      <c r="D25" s="30">
        <v>8</v>
      </c>
      <c r="E25" s="47"/>
      <c r="F25" s="54"/>
      <c r="G25" s="15">
        <f>($C$23/6)*5</f>
        <v>1683.3333333333335</v>
      </c>
      <c r="H25" s="54">
        <v>4</v>
      </c>
      <c r="I25" s="20">
        <f>$C$23/10*8</f>
        <v>1616</v>
      </c>
      <c r="J25" s="51">
        <v>7</v>
      </c>
    </row>
    <row r="26" spans="1:19" x14ac:dyDescent="0.3">
      <c r="A26" t="s">
        <v>181</v>
      </c>
      <c r="B26" s="12">
        <v>1560</v>
      </c>
      <c r="C26" s="12">
        <f t="shared" si="0"/>
        <v>1500</v>
      </c>
      <c r="D26" s="46">
        <v>7</v>
      </c>
      <c r="E26" s="46">
        <v>4</v>
      </c>
      <c r="F26" s="54">
        <v>3</v>
      </c>
      <c r="H26" s="54"/>
      <c r="I26" s="23"/>
      <c r="J26" s="51"/>
    </row>
    <row r="27" spans="1:19" x14ac:dyDescent="0.3">
      <c r="A27" s="11" t="s">
        <v>184</v>
      </c>
      <c r="B27" s="12">
        <v>1536</v>
      </c>
      <c r="C27" s="12">
        <f t="shared" si="0"/>
        <v>1476</v>
      </c>
      <c r="D27" s="46"/>
      <c r="E27" s="46"/>
      <c r="F27" s="54"/>
      <c r="H27" s="54"/>
      <c r="I27" s="20">
        <f>$C$23/10*7</f>
        <v>1414</v>
      </c>
      <c r="J27" s="53">
        <v>6</v>
      </c>
    </row>
    <row r="28" spans="1:19" x14ac:dyDescent="0.3">
      <c r="A28" t="s">
        <v>182</v>
      </c>
      <c r="B28" s="12">
        <v>1460</v>
      </c>
      <c r="C28" s="12">
        <f t="shared" si="0"/>
        <v>1400</v>
      </c>
      <c r="D28" s="47">
        <v>6</v>
      </c>
      <c r="E28" s="46"/>
      <c r="F28" s="54"/>
      <c r="G28" s="15">
        <f>($C$23/6)*4</f>
        <v>1346.6666666666667</v>
      </c>
      <c r="H28" s="56">
        <v>3</v>
      </c>
      <c r="I28" s="23"/>
      <c r="J28" s="53"/>
    </row>
    <row r="29" spans="1:19" x14ac:dyDescent="0.3">
      <c r="A29" t="s">
        <v>186</v>
      </c>
      <c r="B29" s="12">
        <v>1360</v>
      </c>
      <c r="C29" s="16">
        <f t="shared" si="0"/>
        <v>1300</v>
      </c>
      <c r="D29" s="47"/>
      <c r="E29" s="47">
        <v>3</v>
      </c>
      <c r="F29" s="54">
        <v>2</v>
      </c>
      <c r="H29" s="56"/>
      <c r="I29" s="20">
        <f>$C$23/10*6</f>
        <v>1212</v>
      </c>
      <c r="J29" s="53">
        <v>5</v>
      </c>
    </row>
    <row r="30" spans="1:19" x14ac:dyDescent="0.3">
      <c r="A30" t="s">
        <v>185</v>
      </c>
      <c r="B30" s="12">
        <v>1260</v>
      </c>
      <c r="C30" s="12">
        <f t="shared" si="0"/>
        <v>1200</v>
      </c>
      <c r="D30" s="46">
        <v>5</v>
      </c>
      <c r="E30" s="47"/>
      <c r="F30" s="54"/>
      <c r="H30" s="56"/>
      <c r="I30" s="23"/>
      <c r="J30" s="53"/>
    </row>
    <row r="31" spans="1:19" x14ac:dyDescent="0.3">
      <c r="A31" s="11" t="s">
        <v>188</v>
      </c>
      <c r="B31" s="12">
        <v>1239</v>
      </c>
      <c r="C31" s="12">
        <f t="shared" si="0"/>
        <v>1179</v>
      </c>
      <c r="D31" s="46"/>
      <c r="E31" s="47"/>
      <c r="F31" s="54"/>
      <c r="G31" s="15">
        <f>($C$23/6)*3</f>
        <v>1010</v>
      </c>
      <c r="H31" s="56">
        <v>2</v>
      </c>
      <c r="I31" s="20">
        <f>$C$23/10*5</f>
        <v>1010</v>
      </c>
      <c r="J31" s="51">
        <v>4</v>
      </c>
    </row>
    <row r="32" spans="1:19" x14ac:dyDescent="0.3">
      <c r="A32" t="s">
        <v>189</v>
      </c>
      <c r="B32" s="12">
        <v>1160</v>
      </c>
      <c r="C32" s="16">
        <f t="shared" si="0"/>
        <v>1100</v>
      </c>
      <c r="D32" s="46"/>
      <c r="E32" s="47"/>
      <c r="F32" s="54"/>
      <c r="H32" s="56"/>
      <c r="I32" s="23"/>
      <c r="J32" s="51"/>
    </row>
    <row r="33" spans="1:24" x14ac:dyDescent="0.3">
      <c r="A33" s="11" t="s">
        <v>190</v>
      </c>
      <c r="B33" s="12">
        <v>942</v>
      </c>
      <c r="C33" s="12">
        <f t="shared" si="0"/>
        <v>882</v>
      </c>
      <c r="D33" s="30">
        <v>4</v>
      </c>
      <c r="E33" s="46">
        <v>2</v>
      </c>
      <c r="F33" s="54">
        <v>1</v>
      </c>
      <c r="H33" s="56"/>
      <c r="I33" s="20">
        <f>$C$23/10*4</f>
        <v>808</v>
      </c>
      <c r="J33" s="53">
        <v>3</v>
      </c>
    </row>
    <row r="34" spans="1:24" x14ac:dyDescent="0.3">
      <c r="A34" t="s">
        <v>191</v>
      </c>
      <c r="B34" s="12">
        <v>845</v>
      </c>
      <c r="C34" s="16">
        <f t="shared" si="0"/>
        <v>785</v>
      </c>
      <c r="D34" s="46">
        <v>3</v>
      </c>
      <c r="E34" s="46"/>
      <c r="F34" s="54"/>
      <c r="H34" s="56"/>
      <c r="I34" s="23"/>
      <c r="J34" s="53"/>
    </row>
    <row r="35" spans="1:24" x14ac:dyDescent="0.3">
      <c r="A35" t="s">
        <v>192</v>
      </c>
      <c r="B35" s="12">
        <v>745</v>
      </c>
      <c r="C35" s="12">
        <f t="shared" si="0"/>
        <v>685</v>
      </c>
      <c r="D35" s="46"/>
      <c r="E35" s="46"/>
      <c r="F35" s="54"/>
      <c r="G35" s="15">
        <f>$C$23/6*2</f>
        <v>673.33333333333337</v>
      </c>
      <c r="H35" s="17">
        <v>1</v>
      </c>
      <c r="I35" s="20">
        <f>$C$23/10*3</f>
        <v>606</v>
      </c>
      <c r="J35" s="21">
        <v>2</v>
      </c>
    </row>
    <row r="36" spans="1:24" x14ac:dyDescent="0.3">
      <c r="A36" s="11" t="s">
        <v>193</v>
      </c>
      <c r="B36" s="12">
        <v>645</v>
      </c>
      <c r="C36" s="12">
        <f t="shared" si="0"/>
        <v>585</v>
      </c>
      <c r="D36" s="30">
        <v>2</v>
      </c>
      <c r="E36" s="30">
        <v>1</v>
      </c>
      <c r="F36" s="54">
        <v>0</v>
      </c>
      <c r="G36" s="15">
        <f>$C$23/6*1</f>
        <v>336.66666666666669</v>
      </c>
      <c r="H36" s="56">
        <v>0</v>
      </c>
      <c r="I36" s="20">
        <f>$C$23/10*2</f>
        <v>404</v>
      </c>
      <c r="J36" s="53">
        <v>1</v>
      </c>
    </row>
    <row r="37" spans="1:24" x14ac:dyDescent="0.3">
      <c r="A37" t="s">
        <v>194</v>
      </c>
      <c r="B37" s="12">
        <v>395</v>
      </c>
      <c r="C37" s="16">
        <f t="shared" si="0"/>
        <v>335</v>
      </c>
      <c r="D37" s="46">
        <v>1</v>
      </c>
      <c r="E37" s="46">
        <v>0</v>
      </c>
      <c r="F37" s="54"/>
      <c r="H37" s="56"/>
      <c r="I37" s="23"/>
      <c r="J37" s="53"/>
    </row>
    <row r="38" spans="1:24" x14ac:dyDescent="0.3">
      <c r="A38" t="s">
        <v>195</v>
      </c>
      <c r="B38" s="12">
        <v>270</v>
      </c>
      <c r="C38" s="16">
        <f t="shared" si="0"/>
        <v>210</v>
      </c>
      <c r="D38" s="46"/>
      <c r="E38" s="46"/>
      <c r="F38" s="54"/>
      <c r="H38" s="56"/>
      <c r="I38" s="23"/>
      <c r="J38" s="53"/>
    </row>
    <row r="39" spans="1:24" x14ac:dyDescent="0.3">
      <c r="A39" s="10" t="s">
        <v>200</v>
      </c>
      <c r="B39" s="12">
        <v>120</v>
      </c>
      <c r="C39">
        <f t="shared" si="0"/>
        <v>60</v>
      </c>
      <c r="D39" s="47">
        <v>0</v>
      </c>
      <c r="E39" s="46"/>
      <c r="F39" s="54"/>
      <c r="H39" s="56"/>
      <c r="I39" s="20">
        <f>$C$23/10*1</f>
        <v>202</v>
      </c>
      <c r="J39" s="51">
        <v>0</v>
      </c>
    </row>
    <row r="40" spans="1:24" x14ac:dyDescent="0.3">
      <c r="A40" t="s">
        <v>170</v>
      </c>
      <c r="B40" s="12">
        <v>60</v>
      </c>
      <c r="C40">
        <f t="shared" si="0"/>
        <v>0</v>
      </c>
      <c r="D40" s="48"/>
      <c r="E40" s="50"/>
      <c r="F40" s="54"/>
      <c r="G40">
        <v>0</v>
      </c>
      <c r="H40" s="56"/>
      <c r="I40" s="24">
        <f>$C$23/10*0</f>
        <v>0</v>
      </c>
      <c r="J40" s="55"/>
    </row>
    <row r="42" spans="1:24" x14ac:dyDescent="0.3">
      <c r="A42" t="s">
        <v>204</v>
      </c>
    </row>
    <row r="43" spans="1:24" x14ac:dyDescent="0.3">
      <c r="A43" t="s">
        <v>205</v>
      </c>
      <c r="B43" t="s">
        <v>233</v>
      </c>
      <c r="C43" t="s">
        <v>234</v>
      </c>
      <c r="D43" t="s">
        <v>235</v>
      </c>
      <c r="E43" t="s">
        <v>206</v>
      </c>
      <c r="F43" t="s">
        <v>232</v>
      </c>
      <c r="G43" t="s">
        <v>236</v>
      </c>
      <c r="H43" t="s">
        <v>207</v>
      </c>
      <c r="Q43" t="s">
        <v>222</v>
      </c>
    </row>
    <row r="44" spans="1:24" x14ac:dyDescent="0.3">
      <c r="A44">
        <v>9</v>
      </c>
      <c r="B44">
        <v>1818</v>
      </c>
      <c r="C44">
        <v>2020</v>
      </c>
      <c r="D44">
        <f>B44+(C44-B44)/2</f>
        <v>1919</v>
      </c>
      <c r="E44" t="s">
        <v>208</v>
      </c>
      <c r="H44" t="s">
        <v>180</v>
      </c>
      <c r="Q44" t="s">
        <v>223</v>
      </c>
      <c r="R44" t="s">
        <v>209</v>
      </c>
      <c r="S44" t="s">
        <v>210</v>
      </c>
      <c r="T44" t="s">
        <v>220</v>
      </c>
      <c r="U44" t="s">
        <v>206</v>
      </c>
      <c r="V44" t="s">
        <v>224</v>
      </c>
      <c r="W44" t="s">
        <v>236</v>
      </c>
      <c r="X44" t="s">
        <v>207</v>
      </c>
    </row>
    <row r="45" spans="1:24" x14ac:dyDescent="0.3">
      <c r="A45">
        <v>8</v>
      </c>
      <c r="B45">
        <v>1616</v>
      </c>
      <c r="C45">
        <v>1818</v>
      </c>
      <c r="D45">
        <f t="shared" ref="D45:D53" si="1">B45+(C45-B45)/2</f>
        <v>1717</v>
      </c>
      <c r="E45" t="s">
        <v>183</v>
      </c>
      <c r="F45" s="27">
        <v>1700</v>
      </c>
      <c r="G45" s="35">
        <f>(F45-D45)/202</f>
        <v>-8.4158415841584164E-2</v>
      </c>
      <c r="H45" t="s">
        <v>208</v>
      </c>
      <c r="I45" t="s">
        <v>231</v>
      </c>
      <c r="Q45">
        <v>5</v>
      </c>
      <c r="R45" s="15">
        <f>($C$23/6)*5</f>
        <v>1683.3333333333335</v>
      </c>
      <c r="S45" s="15">
        <f>($C$23/6)*6</f>
        <v>2020</v>
      </c>
      <c r="T45" s="15">
        <f>R45+(S45-R45)/2</f>
        <v>1851.6666666666667</v>
      </c>
      <c r="U45" t="s">
        <v>183</v>
      </c>
      <c r="V45">
        <v>1700</v>
      </c>
      <c r="W45" s="31">
        <f>(V45-T45)/337</f>
        <v>-0.45004945598417428</v>
      </c>
      <c r="X45" t="s">
        <v>180</v>
      </c>
    </row>
    <row r="46" spans="1:24" x14ac:dyDescent="0.3">
      <c r="A46">
        <v>7</v>
      </c>
      <c r="B46">
        <v>1414</v>
      </c>
      <c r="C46">
        <v>1616</v>
      </c>
      <c r="D46">
        <f t="shared" si="1"/>
        <v>1515</v>
      </c>
      <c r="E46" t="s">
        <v>208</v>
      </c>
      <c r="H46" s="29" t="s">
        <v>211</v>
      </c>
      <c r="J46" s="27" t="s">
        <v>237</v>
      </c>
      <c r="Q46">
        <v>4</v>
      </c>
      <c r="R46" s="15">
        <f>($C$23/6)*4</f>
        <v>1346.6666666666667</v>
      </c>
      <c r="S46" s="15">
        <f>($C$23/6)*5</f>
        <v>1683.3333333333335</v>
      </c>
      <c r="T46" s="15">
        <f t="shared" ref="T46:T50" si="2">R46+(S46-R46)/2</f>
        <v>1515</v>
      </c>
      <c r="U46" t="s">
        <v>208</v>
      </c>
      <c r="X46" t="s">
        <v>225</v>
      </c>
    </row>
    <row r="47" spans="1:24" x14ac:dyDescent="0.3">
      <c r="A47">
        <v>6</v>
      </c>
      <c r="B47">
        <v>1212</v>
      </c>
      <c r="C47">
        <v>1414</v>
      </c>
      <c r="D47">
        <f t="shared" si="1"/>
        <v>1313</v>
      </c>
      <c r="E47" t="s">
        <v>212</v>
      </c>
      <c r="F47" s="27">
        <v>1300</v>
      </c>
      <c r="G47" s="35">
        <f>(F47-D47)/202</f>
        <v>-6.4356435643564358E-2</v>
      </c>
      <c r="H47" t="s">
        <v>213</v>
      </c>
      <c r="J47" s="32" t="s">
        <v>238</v>
      </c>
      <c r="Q47">
        <v>3</v>
      </c>
      <c r="R47" s="15">
        <f>($C$23/6)*3</f>
        <v>1010</v>
      </c>
      <c r="S47" s="15">
        <f>($C$23/6)*4</f>
        <v>1346.6666666666667</v>
      </c>
      <c r="T47" s="15">
        <f t="shared" si="2"/>
        <v>1178.3333333333335</v>
      </c>
      <c r="U47" t="s">
        <v>229</v>
      </c>
      <c r="V47">
        <v>1100</v>
      </c>
      <c r="W47" s="31">
        <f>(V47-T47)/337</f>
        <v>-0.23244312561820024</v>
      </c>
      <c r="X47" t="s">
        <v>226</v>
      </c>
    </row>
    <row r="48" spans="1:24" x14ac:dyDescent="0.3">
      <c r="A48">
        <v>5</v>
      </c>
      <c r="B48">
        <v>1010</v>
      </c>
      <c r="C48">
        <v>1212</v>
      </c>
      <c r="D48">
        <f t="shared" si="1"/>
        <v>1111</v>
      </c>
      <c r="E48" t="s">
        <v>187</v>
      </c>
      <c r="F48" s="27">
        <v>1100</v>
      </c>
      <c r="G48" s="35">
        <f>(F48-D48)/202</f>
        <v>-5.4455445544554455E-2</v>
      </c>
      <c r="H48" s="29" t="s">
        <v>214</v>
      </c>
      <c r="J48" s="26" t="s">
        <v>239</v>
      </c>
      <c r="Q48">
        <v>2</v>
      </c>
      <c r="R48" s="15">
        <f>$C$23/6*2</f>
        <v>673.33333333333337</v>
      </c>
      <c r="S48" s="15">
        <f>($C$23/6)*3</f>
        <v>1010</v>
      </c>
      <c r="T48" s="15">
        <f t="shared" si="2"/>
        <v>841.66666666666674</v>
      </c>
      <c r="U48" t="s">
        <v>216</v>
      </c>
      <c r="V48">
        <v>785</v>
      </c>
      <c r="W48" s="31">
        <f>(V48-T48)/337</f>
        <v>-0.16815034619188945</v>
      </c>
      <c r="X48" t="s">
        <v>227</v>
      </c>
    </row>
    <row r="49" spans="1:24" x14ac:dyDescent="0.3">
      <c r="A49">
        <v>4</v>
      </c>
      <c r="B49">
        <v>808</v>
      </c>
      <c r="C49">
        <v>1010</v>
      </c>
      <c r="D49">
        <f t="shared" si="1"/>
        <v>909</v>
      </c>
      <c r="E49" t="s">
        <v>208</v>
      </c>
      <c r="H49" s="29" t="s">
        <v>190</v>
      </c>
      <c r="Q49">
        <v>1</v>
      </c>
      <c r="R49" s="15">
        <f>$C$23/6*1</f>
        <v>336.66666666666669</v>
      </c>
      <c r="S49" s="15">
        <f>$C$23/6*2</f>
        <v>673.33333333333337</v>
      </c>
      <c r="T49" s="15">
        <f t="shared" si="2"/>
        <v>505</v>
      </c>
      <c r="U49" t="s">
        <v>208</v>
      </c>
      <c r="X49" t="s">
        <v>193</v>
      </c>
    </row>
    <row r="50" spans="1:24" x14ac:dyDescent="0.3">
      <c r="A50">
        <v>3</v>
      </c>
      <c r="B50">
        <v>606</v>
      </c>
      <c r="C50">
        <v>808</v>
      </c>
      <c r="D50">
        <f t="shared" si="1"/>
        <v>707</v>
      </c>
      <c r="E50" t="s">
        <v>216</v>
      </c>
      <c r="F50" s="26">
        <v>785</v>
      </c>
      <c r="G50" s="34">
        <f>(F50-D50)/202</f>
        <v>0.38613861386138615</v>
      </c>
      <c r="H50" t="s">
        <v>215</v>
      </c>
      <c r="J50" s="29" t="s">
        <v>240</v>
      </c>
      <c r="Q50">
        <v>0</v>
      </c>
      <c r="R50">
        <v>0</v>
      </c>
      <c r="S50" s="15">
        <f>$C$23/6*1</f>
        <v>336.66666666666669</v>
      </c>
      <c r="T50" s="15">
        <f t="shared" si="2"/>
        <v>168.33333333333334</v>
      </c>
      <c r="U50" t="s">
        <v>230</v>
      </c>
      <c r="V50">
        <v>210</v>
      </c>
      <c r="W50" s="31">
        <f>(V50-T50)/337</f>
        <v>0.12363996043521264</v>
      </c>
      <c r="X50" t="s">
        <v>228</v>
      </c>
    </row>
    <row r="51" spans="1:24" x14ac:dyDescent="0.3">
      <c r="A51">
        <v>2</v>
      </c>
      <c r="B51">
        <v>404</v>
      </c>
      <c r="C51">
        <v>606</v>
      </c>
      <c r="D51">
        <f t="shared" si="1"/>
        <v>505</v>
      </c>
      <c r="E51" t="s">
        <v>208</v>
      </c>
      <c r="H51" s="29" t="s">
        <v>193</v>
      </c>
    </row>
    <row r="52" spans="1:24" x14ac:dyDescent="0.3">
      <c r="A52">
        <v>1</v>
      </c>
      <c r="B52">
        <v>202</v>
      </c>
      <c r="C52">
        <v>404</v>
      </c>
      <c r="D52">
        <f t="shared" si="1"/>
        <v>303</v>
      </c>
      <c r="E52" t="s">
        <v>221</v>
      </c>
      <c r="F52" s="32">
        <v>335</v>
      </c>
      <c r="G52" s="33">
        <f>(F52-D52)/202</f>
        <v>0.15841584158415842</v>
      </c>
      <c r="H52" t="s">
        <v>217</v>
      </c>
    </row>
    <row r="53" spans="1:24" x14ac:dyDescent="0.3">
      <c r="A53">
        <v>0</v>
      </c>
      <c r="B53">
        <v>0</v>
      </c>
      <c r="C53">
        <v>202</v>
      </c>
      <c r="D53">
        <f t="shared" si="1"/>
        <v>101</v>
      </c>
      <c r="E53" s="28" t="s">
        <v>219</v>
      </c>
      <c r="H53" t="s">
        <v>218</v>
      </c>
    </row>
    <row r="57" spans="1:24" x14ac:dyDescent="0.3">
      <c r="A57" t="s">
        <v>250</v>
      </c>
      <c r="B57" t="s">
        <v>251</v>
      </c>
      <c r="C57" t="s">
        <v>252</v>
      </c>
      <c r="D57" t="s">
        <v>253</v>
      </c>
      <c r="E57" t="s">
        <v>255</v>
      </c>
    </row>
    <row r="58" spans="1:24" x14ac:dyDescent="0.3">
      <c r="A58" t="s">
        <v>249</v>
      </c>
      <c r="B58" s="15" t="s">
        <v>180</v>
      </c>
      <c r="C58" t="s">
        <v>53</v>
      </c>
      <c r="D58" t="s">
        <v>56</v>
      </c>
    </row>
    <row r="59" spans="1:24" x14ac:dyDescent="0.3">
      <c r="A59" t="s">
        <v>248</v>
      </c>
      <c r="B59" s="15" t="s">
        <v>208</v>
      </c>
      <c r="C59" t="s">
        <v>208</v>
      </c>
      <c r="D59" t="s">
        <v>208</v>
      </c>
      <c r="E59" t="s">
        <v>48</v>
      </c>
    </row>
    <row r="60" spans="1:24" x14ac:dyDescent="0.3">
      <c r="A60" t="s">
        <v>247</v>
      </c>
      <c r="C60" s="29" t="s">
        <v>211</v>
      </c>
    </row>
    <row r="61" spans="1:24" x14ac:dyDescent="0.3">
      <c r="A61" t="s">
        <v>246</v>
      </c>
      <c r="C61" t="s">
        <v>213</v>
      </c>
    </row>
    <row r="62" spans="1:24" x14ac:dyDescent="0.3">
      <c r="A62" t="s">
        <v>245</v>
      </c>
      <c r="C62" s="29" t="s">
        <v>214</v>
      </c>
    </row>
    <row r="63" spans="1:24" x14ac:dyDescent="0.3">
      <c r="A63" t="s">
        <v>244</v>
      </c>
      <c r="C63" s="29" t="s">
        <v>190</v>
      </c>
    </row>
    <row r="64" spans="1:24" x14ac:dyDescent="0.3">
      <c r="A64" t="s">
        <v>243</v>
      </c>
      <c r="C64" t="s">
        <v>215</v>
      </c>
    </row>
    <row r="65" spans="1:3" x14ac:dyDescent="0.3">
      <c r="A65" t="s">
        <v>242</v>
      </c>
      <c r="C65" s="29" t="s">
        <v>193</v>
      </c>
    </row>
    <row r="66" spans="1:3" x14ac:dyDescent="0.3">
      <c r="A66" t="s">
        <v>241</v>
      </c>
      <c r="C66" t="s">
        <v>217</v>
      </c>
    </row>
    <row r="67" spans="1:3" x14ac:dyDescent="0.3">
      <c r="A67" t="s">
        <v>254</v>
      </c>
      <c r="C67" t="s">
        <v>218</v>
      </c>
    </row>
  </sheetData>
  <mergeCells count="29">
    <mergeCell ref="F33:F35"/>
    <mergeCell ref="F36:F40"/>
    <mergeCell ref="H36:H40"/>
    <mergeCell ref="H23:H24"/>
    <mergeCell ref="H25:H27"/>
    <mergeCell ref="H28:H30"/>
    <mergeCell ref="H31:H34"/>
    <mergeCell ref="J39:J40"/>
    <mergeCell ref="J36:J38"/>
    <mergeCell ref="J31:J32"/>
    <mergeCell ref="J33:J34"/>
    <mergeCell ref="J29:J30"/>
    <mergeCell ref="J25:J26"/>
    <mergeCell ref="D23:D24"/>
    <mergeCell ref="D26:D27"/>
    <mergeCell ref="D28:D29"/>
    <mergeCell ref="D30:D32"/>
    <mergeCell ref="J27:J28"/>
    <mergeCell ref="F23:F25"/>
    <mergeCell ref="F26:F28"/>
    <mergeCell ref="F29:F32"/>
    <mergeCell ref="D37:D38"/>
    <mergeCell ref="D39:D40"/>
    <mergeCell ref="E23:E25"/>
    <mergeCell ref="E26:E28"/>
    <mergeCell ref="E29:E32"/>
    <mergeCell ref="E33:E35"/>
    <mergeCell ref="E37:E40"/>
    <mergeCell ref="D34:D35"/>
  </mergeCells>
  <phoneticPr fontId="10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DD0C2-C65F-4316-AE4B-5971DBA1B8C7}">
  <dimension ref="A1:W83"/>
  <sheetViews>
    <sheetView tabSelected="1" topLeftCell="A17" zoomScale="101" workbookViewId="0">
      <selection activeCell="C39" sqref="C39"/>
    </sheetView>
  </sheetViews>
  <sheetFormatPr baseColWidth="10" defaultRowHeight="14.4" x14ac:dyDescent="0.3"/>
  <cols>
    <col min="1" max="1" width="18.33203125" bestFit="1" customWidth="1"/>
    <col min="2" max="2" width="16.33203125" bestFit="1" customWidth="1"/>
    <col min="3" max="3" width="22.77734375" bestFit="1" customWidth="1"/>
    <col min="4" max="4" width="16.21875" bestFit="1" customWidth="1"/>
  </cols>
  <sheetData>
    <row r="1" spans="1:9" x14ac:dyDescent="0.3">
      <c r="A1" t="s">
        <v>3</v>
      </c>
      <c r="B1" t="s">
        <v>175</v>
      </c>
    </row>
    <row r="4" spans="1:9" x14ac:dyDescent="0.3">
      <c r="A4" t="s">
        <v>169</v>
      </c>
      <c r="B4" t="s">
        <v>177</v>
      </c>
      <c r="C4" t="s">
        <v>178</v>
      </c>
      <c r="D4" t="s">
        <v>256</v>
      </c>
      <c r="E4" t="s">
        <v>176</v>
      </c>
      <c r="F4" t="s">
        <v>173</v>
      </c>
      <c r="G4" t="s">
        <v>258</v>
      </c>
    </row>
    <row r="5" spans="1:9" x14ac:dyDescent="0.3">
      <c r="A5" s="18" t="s">
        <v>172</v>
      </c>
      <c r="B5" s="37"/>
      <c r="C5" s="37">
        <v>1990</v>
      </c>
      <c r="D5" s="37"/>
      <c r="E5" s="37"/>
      <c r="F5" s="37">
        <v>113</v>
      </c>
      <c r="G5" s="19">
        <v>230</v>
      </c>
      <c r="I5" s="10" t="s">
        <v>197</v>
      </c>
    </row>
    <row r="6" spans="1:9" x14ac:dyDescent="0.3">
      <c r="A6" s="23">
        <v>1</v>
      </c>
      <c r="B6">
        <v>1760</v>
      </c>
      <c r="C6" s="10">
        <v>1760</v>
      </c>
      <c r="D6">
        <f>P6+200</f>
        <v>200</v>
      </c>
      <c r="F6">
        <v>97</v>
      </c>
      <c r="G6" s="38">
        <v>200</v>
      </c>
      <c r="I6" s="11" t="s">
        <v>198</v>
      </c>
    </row>
    <row r="7" spans="1:9" x14ac:dyDescent="0.3">
      <c r="A7" s="23">
        <v>2</v>
      </c>
      <c r="C7">
        <v>1560</v>
      </c>
      <c r="E7">
        <v>1536</v>
      </c>
      <c r="F7">
        <v>48</v>
      </c>
      <c r="G7" s="38">
        <v>100</v>
      </c>
    </row>
    <row r="8" spans="1:9" x14ac:dyDescent="0.3">
      <c r="A8" s="23">
        <v>3</v>
      </c>
      <c r="C8">
        <v>1460</v>
      </c>
      <c r="F8">
        <v>48</v>
      </c>
      <c r="G8" s="38">
        <v>100</v>
      </c>
    </row>
    <row r="9" spans="1:9" x14ac:dyDescent="0.3">
      <c r="A9" s="23">
        <v>4</v>
      </c>
      <c r="B9">
        <v>1360</v>
      </c>
      <c r="C9">
        <v>1360</v>
      </c>
      <c r="F9">
        <v>48</v>
      </c>
      <c r="G9" s="38">
        <v>100</v>
      </c>
    </row>
    <row r="10" spans="1:9" x14ac:dyDescent="0.3">
      <c r="A10" s="23">
        <v>5</v>
      </c>
      <c r="C10">
        <v>1260</v>
      </c>
      <c r="E10">
        <v>1239</v>
      </c>
      <c r="F10">
        <v>48</v>
      </c>
      <c r="G10" s="38">
        <v>100</v>
      </c>
    </row>
    <row r="11" spans="1:9" x14ac:dyDescent="0.3">
      <c r="A11" s="23">
        <v>6</v>
      </c>
      <c r="B11">
        <v>1160</v>
      </c>
      <c r="C11">
        <v>1160</v>
      </c>
      <c r="E11">
        <v>942</v>
      </c>
      <c r="F11">
        <v>152</v>
      </c>
      <c r="G11" s="38">
        <v>315</v>
      </c>
    </row>
    <row r="12" spans="1:9" x14ac:dyDescent="0.3">
      <c r="A12" s="23">
        <v>7</v>
      </c>
      <c r="B12">
        <v>845</v>
      </c>
      <c r="C12">
        <v>845</v>
      </c>
      <c r="F12">
        <v>48</v>
      </c>
      <c r="G12" s="38">
        <v>100</v>
      </c>
    </row>
    <row r="13" spans="1:9" x14ac:dyDescent="0.3">
      <c r="A13" s="23">
        <v>8</v>
      </c>
      <c r="C13">
        <v>745</v>
      </c>
      <c r="E13">
        <v>645</v>
      </c>
      <c r="F13">
        <v>169</v>
      </c>
      <c r="G13" s="38">
        <v>350</v>
      </c>
    </row>
    <row r="14" spans="1:9" x14ac:dyDescent="0.3">
      <c r="A14" s="23">
        <v>9</v>
      </c>
      <c r="B14">
        <v>395</v>
      </c>
      <c r="C14">
        <v>395</v>
      </c>
      <c r="F14">
        <v>0</v>
      </c>
      <c r="G14" s="38">
        <v>0</v>
      </c>
    </row>
    <row r="15" spans="1:9" x14ac:dyDescent="0.3">
      <c r="A15" s="23">
        <v>10</v>
      </c>
      <c r="C15" s="11">
        <v>395</v>
      </c>
      <c r="F15">
        <v>60</v>
      </c>
      <c r="G15" s="38">
        <v>125</v>
      </c>
    </row>
    <row r="16" spans="1:9" x14ac:dyDescent="0.3">
      <c r="A16" s="23">
        <v>11</v>
      </c>
      <c r="B16">
        <v>270</v>
      </c>
      <c r="C16" s="10">
        <v>153</v>
      </c>
      <c r="D16">
        <f>P16-150</f>
        <v>-150</v>
      </c>
      <c r="F16">
        <v>0</v>
      </c>
      <c r="G16" s="38">
        <v>0</v>
      </c>
    </row>
    <row r="17" spans="1:10" x14ac:dyDescent="0.3">
      <c r="A17" s="23">
        <v>12</v>
      </c>
      <c r="C17" s="10">
        <v>153</v>
      </c>
      <c r="D17">
        <f>P17-150</f>
        <v>-150</v>
      </c>
      <c r="F17">
        <v>74</v>
      </c>
      <c r="G17" s="38">
        <v>153</v>
      </c>
    </row>
    <row r="18" spans="1:10" x14ac:dyDescent="0.3">
      <c r="A18" s="23" t="s">
        <v>170</v>
      </c>
      <c r="C18">
        <v>117</v>
      </c>
      <c r="G18" s="38">
        <v>117</v>
      </c>
    </row>
    <row r="19" spans="1:10" x14ac:dyDescent="0.3">
      <c r="A19" s="39" t="s">
        <v>171</v>
      </c>
      <c r="B19" s="40"/>
      <c r="C19" s="40">
        <v>0</v>
      </c>
      <c r="D19" s="40"/>
      <c r="E19" s="40"/>
      <c r="F19" s="40"/>
      <c r="G19" s="41"/>
    </row>
    <row r="20" spans="1:10" x14ac:dyDescent="0.3">
      <c r="E20" t="s">
        <v>257</v>
      </c>
      <c r="F20">
        <f>SUM(F5:F18)</f>
        <v>905</v>
      </c>
      <c r="G20">
        <f>SUM(G5:G18)</f>
        <v>1990</v>
      </c>
    </row>
    <row r="21" spans="1:10" x14ac:dyDescent="0.3">
      <c r="E21" s="13"/>
    </row>
    <row r="22" spans="1:10" x14ac:dyDescent="0.3">
      <c r="A22" t="s">
        <v>179</v>
      </c>
      <c r="B22" s="12" t="s">
        <v>196</v>
      </c>
      <c r="C22" s="13" t="s">
        <v>203</v>
      </c>
      <c r="D22" t="s">
        <v>202</v>
      </c>
      <c r="E22" t="s">
        <v>201</v>
      </c>
      <c r="G22">
        <v>6</v>
      </c>
      <c r="H22" s="17"/>
      <c r="I22" s="25">
        <v>10</v>
      </c>
      <c r="J22" s="19"/>
    </row>
    <row r="23" spans="1:10" x14ac:dyDescent="0.3">
      <c r="A23" t="s">
        <v>172</v>
      </c>
      <c r="B23" s="12">
        <v>1990</v>
      </c>
      <c r="C23">
        <f>B23-117</f>
        <v>1873</v>
      </c>
      <c r="D23" s="49">
        <v>9</v>
      </c>
      <c r="E23" s="49">
        <v>5</v>
      </c>
      <c r="F23" s="54"/>
      <c r="G23" s="15">
        <f>($C$23/6)*6</f>
        <v>1873</v>
      </c>
      <c r="H23" s="56">
        <v>5</v>
      </c>
      <c r="I23" s="20">
        <f>$C$23/10*10</f>
        <v>1873</v>
      </c>
      <c r="J23" s="21">
        <v>9</v>
      </c>
    </row>
    <row r="24" spans="1:10" x14ac:dyDescent="0.3">
      <c r="A24" s="10" t="s">
        <v>265</v>
      </c>
      <c r="B24" s="12">
        <v>1960</v>
      </c>
      <c r="C24">
        <f t="shared" ref="C24:C40" si="0">B24-117</f>
        <v>1843</v>
      </c>
      <c r="D24" s="47"/>
      <c r="E24" s="47"/>
      <c r="F24" s="54"/>
      <c r="H24" s="56"/>
      <c r="I24" s="20">
        <f>$C$23/10*9</f>
        <v>1685.7</v>
      </c>
      <c r="J24" s="22">
        <v>8</v>
      </c>
    </row>
    <row r="25" spans="1:10" x14ac:dyDescent="0.3">
      <c r="A25" t="s">
        <v>183</v>
      </c>
      <c r="B25" s="12">
        <v>1760</v>
      </c>
      <c r="C25">
        <f t="shared" si="0"/>
        <v>1643</v>
      </c>
      <c r="D25" s="30">
        <v>8</v>
      </c>
      <c r="E25" s="47"/>
      <c r="F25" s="54"/>
      <c r="G25" s="15">
        <f>($C$23/6)*5</f>
        <v>1560.8333333333335</v>
      </c>
      <c r="H25" s="54">
        <v>4</v>
      </c>
      <c r="I25" s="20">
        <f>$C$23/10*8</f>
        <v>1498.4</v>
      </c>
      <c r="J25" s="51">
        <v>7</v>
      </c>
    </row>
    <row r="26" spans="1:10" x14ac:dyDescent="0.3">
      <c r="A26" t="s">
        <v>269</v>
      </c>
      <c r="B26" s="12">
        <v>1560</v>
      </c>
      <c r="C26">
        <f t="shared" si="0"/>
        <v>1443</v>
      </c>
      <c r="D26" s="47">
        <v>7</v>
      </c>
      <c r="E26" s="47">
        <v>4</v>
      </c>
      <c r="F26" s="54"/>
      <c r="H26" s="54"/>
      <c r="I26" s="23"/>
      <c r="J26" s="51"/>
    </row>
    <row r="27" spans="1:10" x14ac:dyDescent="0.3">
      <c r="A27" s="11" t="s">
        <v>184</v>
      </c>
      <c r="B27" s="12">
        <v>1536</v>
      </c>
      <c r="C27">
        <f t="shared" si="0"/>
        <v>1419</v>
      </c>
      <c r="D27" s="47"/>
      <c r="E27" s="47"/>
      <c r="F27" s="54"/>
      <c r="H27" s="54"/>
      <c r="I27" s="20">
        <f>$C$23/10*7</f>
        <v>1311.1000000000001</v>
      </c>
      <c r="J27" s="53">
        <v>6</v>
      </c>
    </row>
    <row r="28" spans="1:10" x14ac:dyDescent="0.3">
      <c r="A28" t="s">
        <v>271</v>
      </c>
      <c r="B28" s="12">
        <v>1460</v>
      </c>
      <c r="C28">
        <f t="shared" si="0"/>
        <v>1343</v>
      </c>
      <c r="D28" s="47"/>
      <c r="E28" s="47"/>
      <c r="F28" s="54"/>
      <c r="G28" s="15">
        <f>($C$23/6)*4</f>
        <v>1248.6666666666667</v>
      </c>
      <c r="H28" s="56">
        <v>3</v>
      </c>
      <c r="I28" s="23"/>
      <c r="J28" s="53"/>
    </row>
    <row r="29" spans="1:10" x14ac:dyDescent="0.3">
      <c r="A29" t="s">
        <v>273</v>
      </c>
      <c r="B29" s="12">
        <v>1360</v>
      </c>
      <c r="C29">
        <f t="shared" si="0"/>
        <v>1243</v>
      </c>
      <c r="D29" s="47">
        <v>6</v>
      </c>
      <c r="E29" s="47">
        <v>3</v>
      </c>
      <c r="F29" s="54"/>
      <c r="H29" s="56"/>
      <c r="I29" s="20">
        <f>$C$23/10*6</f>
        <v>1123.8000000000002</v>
      </c>
      <c r="J29" s="53">
        <v>5</v>
      </c>
    </row>
    <row r="30" spans="1:10" x14ac:dyDescent="0.3">
      <c r="A30" t="s">
        <v>276</v>
      </c>
      <c r="B30" s="12">
        <v>1260</v>
      </c>
      <c r="C30">
        <f t="shared" si="0"/>
        <v>1143</v>
      </c>
      <c r="D30" s="47"/>
      <c r="E30" s="47"/>
      <c r="F30" s="54"/>
      <c r="H30" s="56"/>
      <c r="I30" s="23"/>
      <c r="J30" s="53"/>
    </row>
    <row r="31" spans="1:10" x14ac:dyDescent="0.3">
      <c r="A31" s="11" t="s">
        <v>188</v>
      </c>
      <c r="B31" s="12">
        <v>1239</v>
      </c>
      <c r="C31">
        <f t="shared" si="0"/>
        <v>1122</v>
      </c>
      <c r="D31" s="47">
        <v>5</v>
      </c>
      <c r="E31" s="47"/>
      <c r="F31" s="54"/>
      <c r="G31" s="15">
        <f>($C$23/6)*3</f>
        <v>936.5</v>
      </c>
      <c r="H31" s="56">
        <v>2</v>
      </c>
      <c r="I31" s="20">
        <f>$C$23/10*5</f>
        <v>936.5</v>
      </c>
      <c r="J31" s="51">
        <v>4</v>
      </c>
    </row>
    <row r="32" spans="1:10" x14ac:dyDescent="0.3">
      <c r="A32" t="s">
        <v>278</v>
      </c>
      <c r="B32" s="12">
        <v>1160</v>
      </c>
      <c r="C32">
        <f t="shared" si="0"/>
        <v>1043</v>
      </c>
      <c r="D32" s="47"/>
      <c r="E32" s="47"/>
      <c r="F32" s="54"/>
      <c r="H32" s="56"/>
      <c r="I32" s="23"/>
      <c r="J32" s="51"/>
    </row>
    <row r="33" spans="1:23" x14ac:dyDescent="0.3">
      <c r="A33" s="11" t="s">
        <v>190</v>
      </c>
      <c r="B33" s="12">
        <v>942</v>
      </c>
      <c r="C33">
        <f t="shared" si="0"/>
        <v>825</v>
      </c>
      <c r="D33" s="30">
        <v>4</v>
      </c>
      <c r="E33" s="47">
        <v>2</v>
      </c>
      <c r="F33" s="54"/>
      <c r="H33" s="56"/>
      <c r="I33" s="20">
        <f>$C$23/10*4</f>
        <v>749.2</v>
      </c>
      <c r="J33" s="53">
        <v>3</v>
      </c>
    </row>
    <row r="34" spans="1:23" x14ac:dyDescent="0.3">
      <c r="A34" t="s">
        <v>283</v>
      </c>
      <c r="B34" s="12">
        <v>845</v>
      </c>
      <c r="C34">
        <f t="shared" si="0"/>
        <v>728</v>
      </c>
      <c r="D34" s="47">
        <v>3</v>
      </c>
      <c r="E34" s="47"/>
      <c r="F34" s="54"/>
      <c r="H34" s="56"/>
      <c r="I34" s="23"/>
      <c r="J34" s="53"/>
    </row>
    <row r="35" spans="1:23" x14ac:dyDescent="0.3">
      <c r="A35" t="s">
        <v>285</v>
      </c>
      <c r="B35" s="12">
        <v>745</v>
      </c>
      <c r="C35">
        <f t="shared" si="0"/>
        <v>628</v>
      </c>
      <c r="D35" s="47"/>
      <c r="E35" s="47"/>
      <c r="F35" s="54"/>
      <c r="G35" s="15">
        <f>$C$23/6*2</f>
        <v>624.33333333333337</v>
      </c>
      <c r="H35" s="17">
        <v>1</v>
      </c>
      <c r="I35" s="20">
        <f>$C$23/10*3</f>
        <v>561.90000000000009</v>
      </c>
      <c r="J35" s="21">
        <v>2</v>
      </c>
    </row>
    <row r="36" spans="1:23" x14ac:dyDescent="0.3">
      <c r="A36" s="11" t="s">
        <v>193</v>
      </c>
      <c r="B36" s="12">
        <v>645</v>
      </c>
      <c r="C36">
        <f t="shared" si="0"/>
        <v>528</v>
      </c>
      <c r="D36" s="30">
        <v>2</v>
      </c>
      <c r="E36" s="30">
        <v>1</v>
      </c>
      <c r="F36" s="54"/>
      <c r="G36" s="15">
        <f>$C$23/6*1</f>
        <v>312.16666666666669</v>
      </c>
      <c r="H36" s="56">
        <v>0</v>
      </c>
      <c r="I36" s="20">
        <f>$C$23/10*2</f>
        <v>374.6</v>
      </c>
      <c r="J36" s="53">
        <v>1</v>
      </c>
    </row>
    <row r="37" spans="1:23" x14ac:dyDescent="0.3">
      <c r="A37" t="s">
        <v>288</v>
      </c>
      <c r="B37" s="12">
        <v>395</v>
      </c>
      <c r="C37">
        <f t="shared" si="0"/>
        <v>278</v>
      </c>
      <c r="D37" s="30">
        <v>1</v>
      </c>
      <c r="E37" s="47">
        <v>0</v>
      </c>
      <c r="F37" s="54"/>
      <c r="H37" s="56"/>
      <c r="I37" s="23"/>
      <c r="J37" s="53"/>
    </row>
    <row r="38" spans="1:23" x14ac:dyDescent="0.3">
      <c r="A38" t="s">
        <v>195</v>
      </c>
      <c r="B38" s="12">
        <v>270</v>
      </c>
      <c r="C38">
        <f t="shared" si="0"/>
        <v>153</v>
      </c>
      <c r="D38" s="47">
        <v>0</v>
      </c>
      <c r="E38" s="47"/>
      <c r="F38" s="54"/>
      <c r="H38" s="56"/>
      <c r="I38" s="23"/>
      <c r="J38" s="53"/>
    </row>
    <row r="39" spans="1:23" x14ac:dyDescent="0.3">
      <c r="A39" s="10" t="s">
        <v>266</v>
      </c>
      <c r="B39" s="12">
        <v>153</v>
      </c>
      <c r="C39">
        <f t="shared" si="0"/>
        <v>36</v>
      </c>
      <c r="D39" s="47"/>
      <c r="E39" s="47"/>
      <c r="F39" s="54"/>
      <c r="H39" s="56"/>
      <c r="I39" s="20">
        <f>$C$23/10*1</f>
        <v>187.3</v>
      </c>
      <c r="J39" s="51">
        <v>0</v>
      </c>
    </row>
    <row r="40" spans="1:23" x14ac:dyDescent="0.3">
      <c r="A40" t="s">
        <v>170</v>
      </c>
      <c r="B40" s="12">
        <v>117</v>
      </c>
      <c r="C40">
        <f t="shared" si="0"/>
        <v>0</v>
      </c>
      <c r="D40" s="48"/>
      <c r="E40" s="48"/>
      <c r="F40" s="54"/>
      <c r="G40">
        <v>0</v>
      </c>
      <c r="H40" s="56"/>
      <c r="I40" s="24">
        <f>$C$23/10*0</f>
        <v>0</v>
      </c>
      <c r="J40" s="55"/>
    </row>
    <row r="42" spans="1:23" x14ac:dyDescent="0.3">
      <c r="A42" s="13" t="s">
        <v>204</v>
      </c>
      <c r="K42" s="13" t="s">
        <v>222</v>
      </c>
    </row>
    <row r="43" spans="1:23" x14ac:dyDescent="0.3">
      <c r="A43">
        <f>$C$23/10</f>
        <v>187.3</v>
      </c>
      <c r="B43" s="13" t="s">
        <v>233</v>
      </c>
      <c r="C43" s="13" t="s">
        <v>234</v>
      </c>
      <c r="D43" s="13" t="s">
        <v>235</v>
      </c>
      <c r="E43" t="s">
        <v>206</v>
      </c>
      <c r="F43" t="s">
        <v>232</v>
      </c>
      <c r="G43" t="s">
        <v>236</v>
      </c>
      <c r="H43" t="s">
        <v>207</v>
      </c>
      <c r="K43" s="14">
        <f>$C$23/6</f>
        <v>312.16666666666669</v>
      </c>
      <c r="L43" s="13" t="s">
        <v>233</v>
      </c>
      <c r="M43" s="13" t="s">
        <v>234</v>
      </c>
      <c r="N43" s="13" t="s">
        <v>235</v>
      </c>
      <c r="O43" t="s">
        <v>206</v>
      </c>
      <c r="P43" t="s">
        <v>232</v>
      </c>
      <c r="Q43" t="s">
        <v>236</v>
      </c>
      <c r="R43" t="s">
        <v>207</v>
      </c>
    </row>
    <row r="44" spans="1:23" x14ac:dyDescent="0.3">
      <c r="A44">
        <v>9</v>
      </c>
      <c r="B44">
        <f t="shared" ref="B44:B52" si="1">B45+$A$43</f>
        <v>1685.6999999999998</v>
      </c>
      <c r="C44">
        <f>B44+$A$43</f>
        <v>1872.9999999999998</v>
      </c>
      <c r="D44">
        <f>B44+(C44-B44)/2</f>
        <v>1779.35</v>
      </c>
      <c r="E44" t="s">
        <v>208</v>
      </c>
      <c r="H44" t="s">
        <v>267</v>
      </c>
      <c r="K44">
        <v>5</v>
      </c>
      <c r="L44" s="14">
        <f t="shared" ref="L44:M48" si="2">L45+$K$43</f>
        <v>1560.8333333333335</v>
      </c>
      <c r="M44" s="14">
        <f t="shared" si="2"/>
        <v>1873.0000000000002</v>
      </c>
      <c r="N44">
        <f>L44+(M44-L44)/2</f>
        <v>1716.916666666667</v>
      </c>
      <c r="O44" t="s">
        <v>183</v>
      </c>
      <c r="P44">
        <v>1643</v>
      </c>
      <c r="Q44" s="42">
        <f>(P44-N44)/($A$43/2)</f>
        <v>-0.78928634988432422</v>
      </c>
      <c r="R44" t="s">
        <v>267</v>
      </c>
    </row>
    <row r="45" spans="1:23" x14ac:dyDescent="0.3">
      <c r="A45">
        <v>8</v>
      </c>
      <c r="B45">
        <f t="shared" si="1"/>
        <v>1498.3999999999999</v>
      </c>
      <c r="C45">
        <f t="shared" ref="C45:C53" si="3">B45+$A$43</f>
        <v>1685.6999999999998</v>
      </c>
      <c r="D45">
        <f t="shared" ref="D45:D53" si="4">B45+(C45-B45)/2</f>
        <v>1592.0499999999997</v>
      </c>
      <c r="E45" s="26" t="s">
        <v>183</v>
      </c>
      <c r="F45">
        <v>1643</v>
      </c>
      <c r="G45" s="42">
        <f>(F45-D45)/($A$43/2)</f>
        <v>0.54404698344901514</v>
      </c>
      <c r="H45" t="s">
        <v>208</v>
      </c>
      <c r="K45">
        <v>4</v>
      </c>
      <c r="L45" s="14">
        <f t="shared" si="2"/>
        <v>1248.6666666666667</v>
      </c>
      <c r="M45" s="14">
        <f t="shared" si="2"/>
        <v>1560.8333333333335</v>
      </c>
      <c r="N45">
        <f t="shared" ref="N45:N49" si="5">L45+(M45-L45)/2</f>
        <v>1404.75</v>
      </c>
      <c r="O45" t="s">
        <v>208</v>
      </c>
      <c r="R45" t="s">
        <v>272</v>
      </c>
      <c r="S45" s="15"/>
      <c r="T45" s="15"/>
      <c r="W45" s="31"/>
    </row>
    <row r="46" spans="1:23" x14ac:dyDescent="0.3">
      <c r="A46">
        <v>7</v>
      </c>
      <c r="B46">
        <f t="shared" si="1"/>
        <v>1311.1</v>
      </c>
      <c r="C46">
        <f t="shared" si="3"/>
        <v>1498.3999999999999</v>
      </c>
      <c r="D46">
        <f t="shared" si="4"/>
        <v>1404.75</v>
      </c>
      <c r="E46" t="s">
        <v>208</v>
      </c>
      <c r="H46" s="29" t="s">
        <v>272</v>
      </c>
      <c r="K46">
        <v>3</v>
      </c>
      <c r="L46" s="14">
        <f t="shared" si="2"/>
        <v>936.5</v>
      </c>
      <c r="M46" s="14">
        <f t="shared" si="2"/>
        <v>1248.6666666666667</v>
      </c>
      <c r="N46">
        <f t="shared" si="5"/>
        <v>1092.5833333333335</v>
      </c>
      <c r="O46" t="s">
        <v>260</v>
      </c>
      <c r="P46">
        <v>1043</v>
      </c>
      <c r="Q46" s="42">
        <f>(P46-N46)/($A$43/2)</f>
        <v>-0.52945363943762391</v>
      </c>
      <c r="R46" t="s">
        <v>279</v>
      </c>
      <c r="S46" s="15"/>
      <c r="T46" s="15"/>
    </row>
    <row r="47" spans="1:23" x14ac:dyDescent="0.3">
      <c r="A47">
        <v>6</v>
      </c>
      <c r="B47">
        <f t="shared" si="1"/>
        <v>1123.8</v>
      </c>
      <c r="C47">
        <f t="shared" si="3"/>
        <v>1311.1</v>
      </c>
      <c r="D47">
        <f t="shared" si="4"/>
        <v>1217.4499999999998</v>
      </c>
      <c r="E47" s="26" t="s">
        <v>212</v>
      </c>
      <c r="F47">
        <v>1243</v>
      </c>
      <c r="G47" s="42">
        <f>(F47-D47)/($A$43/2)</f>
        <v>0.27282434596903554</v>
      </c>
      <c r="H47" t="s">
        <v>277</v>
      </c>
      <c r="K47">
        <v>2</v>
      </c>
      <c r="L47" s="14">
        <f t="shared" si="2"/>
        <v>624.33333333333337</v>
      </c>
      <c r="M47" s="14">
        <f t="shared" si="2"/>
        <v>936.5</v>
      </c>
      <c r="N47">
        <f t="shared" si="5"/>
        <v>780.41666666666674</v>
      </c>
      <c r="O47" t="s">
        <v>216</v>
      </c>
      <c r="P47">
        <v>728</v>
      </c>
      <c r="Q47" s="42">
        <f>(P47-N47)/($A$43/2)</f>
        <v>-0.55970813311977297</v>
      </c>
      <c r="R47" t="s">
        <v>286</v>
      </c>
      <c r="S47" s="15"/>
      <c r="T47" s="15"/>
      <c r="W47" s="31"/>
    </row>
    <row r="48" spans="1:23" x14ac:dyDescent="0.3">
      <c r="A48">
        <v>5</v>
      </c>
      <c r="B48">
        <f t="shared" si="1"/>
        <v>936.5</v>
      </c>
      <c r="C48">
        <f t="shared" si="3"/>
        <v>1123.8</v>
      </c>
      <c r="D48">
        <f t="shared" si="4"/>
        <v>1030.1500000000001</v>
      </c>
      <c r="E48" s="26" t="s">
        <v>187</v>
      </c>
      <c r="F48">
        <v>1043</v>
      </c>
      <c r="G48" s="42">
        <f>(F48-D48)/($A$43/2)</f>
        <v>0.13721302722904333</v>
      </c>
      <c r="H48" s="29" t="s">
        <v>280</v>
      </c>
      <c r="K48">
        <v>1</v>
      </c>
      <c r="L48" s="14">
        <f t="shared" si="2"/>
        <v>312.16666666666669</v>
      </c>
      <c r="M48" s="14">
        <f t="shared" si="2"/>
        <v>624.33333333333337</v>
      </c>
      <c r="N48">
        <f t="shared" si="5"/>
        <v>468.25</v>
      </c>
      <c r="O48" t="s">
        <v>208</v>
      </c>
      <c r="Q48" s="42"/>
      <c r="R48" t="s">
        <v>193</v>
      </c>
      <c r="S48" s="15"/>
      <c r="T48" s="15"/>
      <c r="W48" s="31"/>
    </row>
    <row r="49" spans="1:23" x14ac:dyDescent="0.3">
      <c r="A49">
        <v>4</v>
      </c>
      <c r="B49">
        <f t="shared" si="1"/>
        <v>749.2</v>
      </c>
      <c r="C49">
        <f t="shared" si="3"/>
        <v>936.5</v>
      </c>
      <c r="D49">
        <f t="shared" si="4"/>
        <v>842.85</v>
      </c>
      <c r="G49" s="42"/>
      <c r="H49" s="29" t="s">
        <v>190</v>
      </c>
      <c r="K49">
        <v>0</v>
      </c>
      <c r="L49">
        <v>0</v>
      </c>
      <c r="M49" s="14">
        <f>M54+$K$43</f>
        <v>312.16666666666669</v>
      </c>
      <c r="N49">
        <f t="shared" si="5"/>
        <v>156.08333333333334</v>
      </c>
      <c r="O49" s="28" t="s">
        <v>261</v>
      </c>
      <c r="P49">
        <v>153</v>
      </c>
      <c r="Q49" s="42">
        <f>(P49-N49)/($A$43/2)</f>
        <v>-3.2924007830574933E-2</v>
      </c>
      <c r="R49" t="s">
        <v>289</v>
      </c>
      <c r="S49" s="15"/>
      <c r="T49" s="15"/>
    </row>
    <row r="50" spans="1:23" x14ac:dyDescent="0.3">
      <c r="A50">
        <v>3</v>
      </c>
      <c r="B50">
        <f t="shared" si="1"/>
        <v>561.90000000000009</v>
      </c>
      <c r="C50">
        <f t="shared" si="3"/>
        <v>749.2</v>
      </c>
      <c r="D50">
        <f t="shared" si="4"/>
        <v>655.55000000000007</v>
      </c>
      <c r="E50" s="26" t="s">
        <v>216</v>
      </c>
      <c r="F50">
        <v>728</v>
      </c>
      <c r="G50" s="42">
        <f>(F50-D50)/($A$43/2)</f>
        <v>0.7736252002135604</v>
      </c>
      <c r="H50" t="s">
        <v>287</v>
      </c>
      <c r="S50" s="15"/>
      <c r="T50" s="15"/>
      <c r="W50" s="31"/>
    </row>
    <row r="51" spans="1:23" x14ac:dyDescent="0.3">
      <c r="A51">
        <v>2</v>
      </c>
      <c r="B51">
        <f t="shared" si="1"/>
        <v>374.6</v>
      </c>
      <c r="C51">
        <f t="shared" si="3"/>
        <v>561.90000000000009</v>
      </c>
      <c r="D51">
        <f t="shared" si="4"/>
        <v>468.25000000000006</v>
      </c>
      <c r="E51" t="s">
        <v>208</v>
      </c>
      <c r="H51" s="29" t="s">
        <v>193</v>
      </c>
    </row>
    <row r="52" spans="1:23" x14ac:dyDescent="0.3">
      <c r="A52">
        <v>1</v>
      </c>
      <c r="B52">
        <f t="shared" si="1"/>
        <v>187.3</v>
      </c>
      <c r="C52">
        <f t="shared" si="3"/>
        <v>374.6</v>
      </c>
      <c r="D52">
        <f t="shared" si="4"/>
        <v>280.95000000000005</v>
      </c>
      <c r="E52" s="26" t="s">
        <v>259</v>
      </c>
      <c r="F52">
        <v>278</v>
      </c>
      <c r="G52" s="42">
        <f>(F52-D52)/($A$43/2)</f>
        <v>-3.1500266951415327E-2</v>
      </c>
      <c r="H52" t="s">
        <v>290</v>
      </c>
    </row>
    <row r="53" spans="1:23" x14ac:dyDescent="0.3">
      <c r="A53">
        <v>0</v>
      </c>
      <c r="B53">
        <v>0</v>
      </c>
      <c r="C53">
        <f t="shared" si="3"/>
        <v>187.3</v>
      </c>
      <c r="D53">
        <f t="shared" si="4"/>
        <v>93.65</v>
      </c>
      <c r="E53" s="45" t="s">
        <v>195</v>
      </c>
      <c r="F53">
        <v>153</v>
      </c>
      <c r="G53" s="42">
        <f>(F53-D53)/($A$43/2)</f>
        <v>0.63374265883609171</v>
      </c>
      <c r="H53" t="s">
        <v>268</v>
      </c>
    </row>
    <row r="57" spans="1:23" x14ac:dyDescent="0.3">
      <c r="A57" t="s">
        <v>250</v>
      </c>
      <c r="B57" t="s">
        <v>305</v>
      </c>
      <c r="C57" t="s">
        <v>306</v>
      </c>
      <c r="G57">
        <f>A43/2</f>
        <v>93.65</v>
      </c>
      <c r="H57">
        <f>B47+G57</f>
        <v>1217.45</v>
      </c>
      <c r="I57">
        <f>H57+G57</f>
        <v>1311.1000000000001</v>
      </c>
    </row>
    <row r="58" spans="1:23" x14ac:dyDescent="0.3">
      <c r="A58" t="s">
        <v>249</v>
      </c>
      <c r="B58" s="15" t="s">
        <v>267</v>
      </c>
      <c r="C58" t="s">
        <v>180</v>
      </c>
      <c r="H58">
        <f>H57-F47</f>
        <v>-25.549999999999955</v>
      </c>
    </row>
    <row r="59" spans="1:23" x14ac:dyDescent="0.3">
      <c r="A59" t="s">
        <v>248</v>
      </c>
      <c r="B59" s="15" t="s">
        <v>208</v>
      </c>
      <c r="H59" s="31">
        <f>H58/G57</f>
        <v>-0.27282434596903316</v>
      </c>
    </row>
    <row r="60" spans="1:23" x14ac:dyDescent="0.3">
      <c r="A60" t="s">
        <v>247</v>
      </c>
      <c r="B60" s="29" t="s">
        <v>270</v>
      </c>
      <c r="C60" t="s">
        <v>211</v>
      </c>
    </row>
    <row r="61" spans="1:23" x14ac:dyDescent="0.3">
      <c r="A61" t="s">
        <v>246</v>
      </c>
      <c r="B61" t="s">
        <v>274</v>
      </c>
      <c r="C61" t="s">
        <v>307</v>
      </c>
    </row>
    <row r="62" spans="1:23" x14ac:dyDescent="0.3">
      <c r="A62" t="s">
        <v>245</v>
      </c>
      <c r="B62" s="29" t="s">
        <v>281</v>
      </c>
    </row>
    <row r="63" spans="1:23" x14ac:dyDescent="0.3">
      <c r="A63" t="s">
        <v>244</v>
      </c>
      <c r="B63" s="29" t="s">
        <v>190</v>
      </c>
    </row>
    <row r="64" spans="1:23" x14ac:dyDescent="0.3">
      <c r="A64" t="s">
        <v>243</v>
      </c>
      <c r="B64" t="s">
        <v>287</v>
      </c>
    </row>
    <row r="65" spans="1:5" x14ac:dyDescent="0.3">
      <c r="A65" t="s">
        <v>242</v>
      </c>
      <c r="B65" s="29" t="s">
        <v>193</v>
      </c>
    </row>
    <row r="66" spans="1:5" x14ac:dyDescent="0.3">
      <c r="A66" t="s">
        <v>241</v>
      </c>
      <c r="B66" t="s">
        <v>290</v>
      </c>
    </row>
    <row r="67" spans="1:5" x14ac:dyDescent="0.3">
      <c r="A67" t="s">
        <v>254</v>
      </c>
      <c r="B67" t="s">
        <v>268</v>
      </c>
    </row>
    <row r="72" spans="1:5" x14ac:dyDescent="0.3">
      <c r="A72" t="s">
        <v>169</v>
      </c>
      <c r="B72" s="12" t="s">
        <v>291</v>
      </c>
      <c r="C72" t="s">
        <v>252</v>
      </c>
      <c r="D72" t="s">
        <v>253</v>
      </c>
      <c r="E72" t="s">
        <v>310</v>
      </c>
    </row>
    <row r="73" spans="1:5" x14ac:dyDescent="0.3">
      <c r="A73" t="s">
        <v>180</v>
      </c>
      <c r="B73" s="12" t="s">
        <v>267</v>
      </c>
      <c r="C73" s="43" t="s">
        <v>53</v>
      </c>
      <c r="D73" s="44" t="s">
        <v>301</v>
      </c>
    </row>
    <row r="74" spans="1:5" x14ac:dyDescent="0.3">
      <c r="A74" t="s">
        <v>181</v>
      </c>
      <c r="B74" s="12" t="s">
        <v>269</v>
      </c>
      <c r="C74" s="43" t="s">
        <v>64</v>
      </c>
      <c r="D74" s="43" t="s">
        <v>148</v>
      </c>
    </row>
    <row r="75" spans="1:5" x14ac:dyDescent="0.3">
      <c r="A75" t="s">
        <v>182</v>
      </c>
      <c r="B75" s="12" t="s">
        <v>275</v>
      </c>
      <c r="C75" s="43" t="s">
        <v>65</v>
      </c>
      <c r="D75" s="44" t="s">
        <v>302</v>
      </c>
    </row>
    <row r="76" spans="1:5" x14ac:dyDescent="0.3">
      <c r="A76" t="s">
        <v>262</v>
      </c>
      <c r="B76" s="12" t="s">
        <v>282</v>
      </c>
      <c r="C76" s="43" t="s">
        <v>296</v>
      </c>
      <c r="D76" s="43" t="s">
        <v>297</v>
      </c>
    </row>
    <row r="77" spans="1:5" x14ac:dyDescent="0.3">
      <c r="A77" t="s">
        <v>185</v>
      </c>
      <c r="B77" s="12" t="s">
        <v>284</v>
      </c>
      <c r="C77" s="43" t="s">
        <v>58</v>
      </c>
      <c r="D77" s="44" t="s">
        <v>303</v>
      </c>
    </row>
    <row r="78" spans="1:5" x14ac:dyDescent="0.3">
      <c r="A78" t="s">
        <v>263</v>
      </c>
      <c r="B78" s="12" t="s">
        <v>285</v>
      </c>
      <c r="C78" s="43" t="s">
        <v>71</v>
      </c>
      <c r="D78" s="43" t="s">
        <v>73</v>
      </c>
    </row>
    <row r="79" spans="1:5" x14ac:dyDescent="0.3">
      <c r="A79" t="s">
        <v>264</v>
      </c>
      <c r="B79" s="12" t="s">
        <v>290</v>
      </c>
      <c r="C79" s="43" t="s">
        <v>63</v>
      </c>
      <c r="D79" s="43" t="s">
        <v>298</v>
      </c>
    </row>
    <row r="80" spans="1:5" x14ac:dyDescent="0.3">
      <c r="A80" t="s">
        <v>192</v>
      </c>
      <c r="B80" s="12" t="s">
        <v>292</v>
      </c>
      <c r="C80" s="43" t="s">
        <v>70</v>
      </c>
      <c r="D80" s="43" t="s">
        <v>299</v>
      </c>
    </row>
    <row r="81" spans="1:5" x14ac:dyDescent="0.3">
      <c r="A81" t="s">
        <v>217</v>
      </c>
      <c r="B81" s="12" t="s">
        <v>293</v>
      </c>
      <c r="C81" s="43" t="s">
        <v>55</v>
      </c>
      <c r="D81" s="43" t="s">
        <v>300</v>
      </c>
    </row>
    <row r="82" spans="1:5" x14ac:dyDescent="0.3">
      <c r="A82" t="s">
        <v>295</v>
      </c>
      <c r="B82" s="12" t="s">
        <v>294</v>
      </c>
      <c r="C82" s="43" t="s">
        <v>67</v>
      </c>
      <c r="D82" s="44" t="s">
        <v>304</v>
      </c>
    </row>
    <row r="83" spans="1:5" x14ac:dyDescent="0.3">
      <c r="A83" t="s">
        <v>308</v>
      </c>
      <c r="B83" s="12" t="s">
        <v>271</v>
      </c>
      <c r="C83" s="43" t="s">
        <v>309</v>
      </c>
      <c r="D83" s="43" t="s">
        <v>309</v>
      </c>
      <c r="E83" s="43" t="s">
        <v>79</v>
      </c>
    </row>
  </sheetData>
  <mergeCells count="28">
    <mergeCell ref="D31:D32"/>
    <mergeCell ref="H28:H30"/>
    <mergeCell ref="J25:J26"/>
    <mergeCell ref="E26:E28"/>
    <mergeCell ref="F26:F28"/>
    <mergeCell ref="J27:J28"/>
    <mergeCell ref="D26:D28"/>
    <mergeCell ref="D23:D24"/>
    <mergeCell ref="E23:E25"/>
    <mergeCell ref="F23:F25"/>
    <mergeCell ref="H23:H24"/>
    <mergeCell ref="H25:H27"/>
    <mergeCell ref="E29:E32"/>
    <mergeCell ref="F29:F32"/>
    <mergeCell ref="J29:J30"/>
    <mergeCell ref="H31:H34"/>
    <mergeCell ref="D38:D40"/>
    <mergeCell ref="J33:J34"/>
    <mergeCell ref="D34:D35"/>
    <mergeCell ref="F36:F40"/>
    <mergeCell ref="H36:H40"/>
    <mergeCell ref="J36:J38"/>
    <mergeCell ref="E37:E40"/>
    <mergeCell ref="J39:J40"/>
    <mergeCell ref="J31:J32"/>
    <mergeCell ref="E33:E35"/>
    <mergeCell ref="F33:F35"/>
    <mergeCell ref="D29:D30"/>
  </mergeCells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Seeweg Original</vt:lpstr>
      <vt:lpstr>Seeweg V const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Heller</dc:creator>
  <cp:lastModifiedBy>Sophie Heller</cp:lastModifiedBy>
  <dcterms:created xsi:type="dcterms:W3CDTF">2024-06-27T08:55:06Z</dcterms:created>
  <dcterms:modified xsi:type="dcterms:W3CDTF">2024-07-13T21:17:25Z</dcterms:modified>
</cp:coreProperties>
</file>