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w3767_cumc_columbia_edu/Documents/STIMULATE/CEA/data/"/>
    </mc:Choice>
  </mc:AlternateContent>
  <xr:revisionPtr revIDLastSave="635" documentId="11_F25DC773A252ABDACC1048DD295A59185ADE58EE" xr6:coauthVersionLast="47" xr6:coauthVersionMax="47" xr10:uidLastSave="{2DEE122A-B277-4B03-A7F4-6DE1A764C337}"/>
  <bookViews>
    <workbookView xWindow="33570" yWindow="2715" windowWidth="21675" windowHeight="11970" xr2:uid="{00000000-000D-0000-FFFF-FFFF00000000}"/>
  </bookViews>
  <sheets>
    <sheet name="parameters" sheetId="1" r:id="rId1"/>
    <sheet name="Sheet1" sheetId="3" r:id="rId2"/>
    <sheet name="inputs_old" sheetId="2" r:id="rId3"/>
    <sheet name="inputs" sheetId="5" r:id="rId4"/>
    <sheet name="cohort_setting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59" i="1"/>
  <c r="C58" i="1"/>
  <c r="C55" i="1"/>
  <c r="C54" i="1"/>
  <c r="C56" i="1" s="1"/>
  <c r="D56" i="1" s="1"/>
  <c r="C53" i="1"/>
  <c r="E40" i="1"/>
  <c r="E41" i="1"/>
  <c r="D40" i="1"/>
  <c r="D41" i="1"/>
  <c r="E39" i="1"/>
  <c r="D39" i="1"/>
  <c r="G24" i="2"/>
  <c r="B46" i="2"/>
  <c r="B26" i="2"/>
  <c r="B51" i="2"/>
  <c r="B49" i="2"/>
  <c r="B50" i="2"/>
  <c r="B39" i="2"/>
  <c r="B38" i="2"/>
  <c r="B48" i="2" s="1"/>
  <c r="B31" i="2"/>
  <c r="B30" i="2"/>
  <c r="B29" i="2"/>
  <c r="B28" i="2"/>
  <c r="B19" i="2"/>
  <c r="B18" i="2"/>
  <c r="C18" i="2"/>
  <c r="D18" i="2"/>
  <c r="B5" i="4"/>
  <c r="B33" i="2"/>
  <c r="B32" i="2"/>
  <c r="F10" i="3"/>
  <c r="D17" i="3"/>
  <c r="D16" i="3"/>
  <c r="G5" i="3"/>
  <c r="E5" i="3"/>
  <c r="C5" i="3"/>
  <c r="C20" i="1"/>
  <c r="J21" i="1"/>
  <c r="J20" i="1"/>
  <c r="F8" i="3"/>
  <c r="E8" i="3"/>
  <c r="D11" i="3"/>
  <c r="D10" i="3"/>
  <c r="D9" i="3"/>
  <c r="D8" i="3"/>
  <c r="E56" i="1" l="1"/>
  <c r="F56" i="1"/>
  <c r="B34" i="2"/>
  <c r="B47" i="2"/>
  <c r="B55" i="2" s="1"/>
  <c r="B54" i="2"/>
  <c r="B27" i="2"/>
  <c r="B35" i="2" s="1"/>
  <c r="E10" i="1"/>
  <c r="E11" i="1" s="1"/>
  <c r="D10" i="1"/>
  <c r="D11" i="1" s="1"/>
  <c r="E4" i="1"/>
  <c r="E5" i="1" s="1"/>
  <c r="D4" i="1"/>
  <c r="D5" i="1" s="1"/>
  <c r="C11" i="1"/>
  <c r="C5" i="1"/>
</calcChain>
</file>

<file path=xl/sharedStrings.xml><?xml version="1.0" encoding="utf-8"?>
<sst xmlns="http://schemas.openxmlformats.org/spreadsheetml/2006/main" count="272" uniqueCount="156">
  <si>
    <t>Parameter</t>
  </si>
  <si>
    <t>BMI loss</t>
  </si>
  <si>
    <t>No intervention</t>
  </si>
  <si>
    <t>epc_bmi</t>
  </si>
  <si>
    <t>epcc_bmi</t>
  </si>
  <si>
    <t>ni_bmi</t>
  </si>
  <si>
    <t>Value</t>
  </si>
  <si>
    <t>Lower bound</t>
  </si>
  <si>
    <t>Upper bound</t>
  </si>
  <si>
    <t>SE</t>
  </si>
  <si>
    <t>PSA distribution</t>
  </si>
  <si>
    <t>Source</t>
  </si>
  <si>
    <t>Simione et al 2021</t>
  </si>
  <si>
    <t>CDC growth charts</t>
  </si>
  <si>
    <t>c_init</t>
  </si>
  <si>
    <t>Program initial cost</t>
  </si>
  <si>
    <t>Program continuing costs</t>
  </si>
  <si>
    <t>c_cont</t>
  </si>
  <si>
    <t>Costing data</t>
  </si>
  <si>
    <t>Notes</t>
  </si>
  <si>
    <t>linear growth</t>
  </si>
  <si>
    <t>Enhanced Primary Care, 1y (%)</t>
  </si>
  <si>
    <t>Enhanced Primary Care + Coaching, 1y (%)</t>
  </si>
  <si>
    <t>Costs</t>
  </si>
  <si>
    <t>Utilities</t>
  </si>
  <si>
    <t>Initial utility</t>
  </si>
  <si>
    <t>u_init</t>
  </si>
  <si>
    <t>1 unit of BMI decrease</t>
  </si>
  <si>
    <t>Beta</t>
  </si>
  <si>
    <t>Schwimmer et al 2003</t>
  </si>
  <si>
    <t>Bairdain &amp; Samnaliev 2015</t>
  </si>
  <si>
    <t>u_bmi_loss</t>
  </si>
  <si>
    <t>Initial BMI</t>
  </si>
  <si>
    <t>bmi_init</t>
  </si>
  <si>
    <t>Monthly Absolute BMI loss</t>
  </si>
  <si>
    <t>Enhanced Primary Care</t>
  </si>
  <si>
    <t>Enhanced Primary Care + Coaching</t>
  </si>
  <si>
    <t>variable_name</t>
  </si>
  <si>
    <t>lower</t>
  </si>
  <si>
    <t>upper</t>
  </si>
  <si>
    <t>se</t>
  </si>
  <si>
    <t>Enhanced Primary Care + Coaching, 1y</t>
  </si>
  <si>
    <t>Enhanced Primary Care + Coaching, 1mo</t>
  </si>
  <si>
    <t>Simione et al 2022</t>
  </si>
  <si>
    <t>Simione et al 2023</t>
  </si>
  <si>
    <t>Simione et al 2024</t>
  </si>
  <si>
    <t>Simione et al 2025</t>
  </si>
  <si>
    <t>Simione et al 2026</t>
  </si>
  <si>
    <t>Keating 2013</t>
  </si>
  <si>
    <t>start_age</t>
  </si>
  <si>
    <t>perc_female</t>
  </si>
  <si>
    <t>Enhanced Primary Care, 2y (%)</t>
  </si>
  <si>
    <t>epc_bmi_2y</t>
  </si>
  <si>
    <t>EPC</t>
  </si>
  <si>
    <t>Baseline</t>
  </si>
  <si>
    <t>1y</t>
  </si>
  <si>
    <t>2y</t>
  </si>
  <si>
    <t>EPCC</t>
  </si>
  <si>
    <t>Enhanced Primary Care, 1y (BMI pts)</t>
  </si>
  <si>
    <t>Enhanced Primary Care, 1mo (BMI pts)</t>
  </si>
  <si>
    <t>Enhanced Primary Care, 2y (BMI pts)</t>
  </si>
  <si>
    <t>bmi_loss_1y</t>
  </si>
  <si>
    <t>bmi_loss_2y</t>
  </si>
  <si>
    <t>u_bmi_z_loss</t>
  </si>
  <si>
    <t>applied for every 0.119 z score decrease</t>
  </si>
  <si>
    <t>0.01 unit z score decrease</t>
  </si>
  <si>
    <t>u_bmi_loss_z</t>
  </si>
  <si>
    <t>z</t>
  </si>
  <si>
    <t>BMI, girls</t>
  </si>
  <si>
    <t>BMI, boys</t>
  </si>
  <si>
    <t>BMI, pop</t>
  </si>
  <si>
    <t>bmi_change_1yr</t>
  </si>
  <si>
    <t>bmi_change_2yr</t>
  </si>
  <si>
    <t>l_bound</t>
  </si>
  <si>
    <t>u_bound</t>
  </si>
  <si>
    <t>epc_bmi_z_1yr</t>
  </si>
  <si>
    <t>epc_bmi_z_2yr</t>
  </si>
  <si>
    <t>start_bmi_g</t>
  </si>
  <si>
    <t>start_bmi_b</t>
  </si>
  <si>
    <t>start_bmi_pop</t>
  </si>
  <si>
    <t>start_bmi_z</t>
  </si>
  <si>
    <t>nh_bmi_z_1yr</t>
  </si>
  <si>
    <t>nh_bmi_z_2yr</t>
  </si>
  <si>
    <t>epc_bmichange_pt_1yr_pop</t>
  </si>
  <si>
    <t>epc_bmichange_pt_2yr_pop</t>
  </si>
  <si>
    <t>epc_bmichange_pt_1yr_g</t>
  </si>
  <si>
    <t>epc_bmichange_pt_2yr_g</t>
  </si>
  <si>
    <t>epc_bmichange_pt_1yr_b</t>
  </si>
  <si>
    <t>epc_bmichange_pt_2yr_b</t>
  </si>
  <si>
    <t>epc_bmichange_z_1yr</t>
  </si>
  <si>
    <t>epc_bmichange_z_2yr</t>
  </si>
  <si>
    <t>nh_bmichange_z_1yr</t>
  </si>
  <si>
    <t>nh_bmichange_z_2yr</t>
  </si>
  <si>
    <t>nh_bmichange_pt_1yr_pop</t>
  </si>
  <si>
    <t>nh_bmichange_pt_2yr_pop</t>
  </si>
  <si>
    <t>nh_bmichange_pt_1yr_g</t>
  </si>
  <si>
    <t>nh_bmichange_pt_2yr_g</t>
  </si>
  <si>
    <t>nh_bmichange_pt_1yr_b</t>
  </si>
  <si>
    <t>nh_bmichange_pt_2yr_b</t>
  </si>
  <si>
    <t>nh_bmi_1yr_g</t>
  </si>
  <si>
    <t>nh_bmi_2yr_b</t>
  </si>
  <si>
    <t>nh_bmi_2yr_g</t>
  </si>
  <si>
    <t>nh_bmi_1yr_pop</t>
  </si>
  <si>
    <t>nh_bmi_2yr_pop</t>
  </si>
  <si>
    <t>nh_bmi_1yr_b</t>
  </si>
  <si>
    <t>epc_bmi_1yr_pop</t>
  </si>
  <si>
    <t>epc_bmi_2yr_pop</t>
  </si>
  <si>
    <t>epc_bmi_1yr_g</t>
  </si>
  <si>
    <t>epc_bmi_2yr_g</t>
  </si>
  <si>
    <t>epc_bmi_1yr_b</t>
  </si>
  <si>
    <t>epc_bmi_2yr_b</t>
  </si>
  <si>
    <t>epc_bmichange_z_perc_2yr</t>
  </si>
  <si>
    <t>epc_bmichange_z_perc_1yr</t>
  </si>
  <si>
    <t>epc_bmichange_pt_perc_1yr_pop</t>
  </si>
  <si>
    <t>epc_bmichange_pt_perc_2yr_pop</t>
  </si>
  <si>
    <t>notes</t>
  </si>
  <si>
    <t>percentage change in BMI z score from 1yr to 2yr (-)</t>
  </si>
  <si>
    <t>percentage change in BMI z score from baseline to 1 yr (-)</t>
  </si>
  <si>
    <t>percentage change in BMI pts from baseline to 1 yr (+)</t>
  </si>
  <si>
    <t>percentage change in BMI pts from 1yr to 2yr (+)</t>
  </si>
  <si>
    <t>absolute change in z-score from 1yr to 2yr (-)</t>
  </si>
  <si>
    <t>absolute change in z-score from baseline to 1yr (-)</t>
  </si>
  <si>
    <t>absolute change in BMI pts from baseline to 1yr (+)</t>
  </si>
  <si>
    <t>absolute change in BMI pts from 1yr to 2yr (+)</t>
  </si>
  <si>
    <t>g absolute change in BMI pts from baseline to 1yr (+)</t>
  </si>
  <si>
    <t>g absolute change in BMI pts from 1yr to 2yr (+)</t>
  </si>
  <si>
    <t>b absolute change in BMI pts from baseline to 1yr (+)</t>
  </si>
  <si>
    <t>b absolute change in BMI pts from 1yr to 2yr (+)</t>
  </si>
  <si>
    <t>nh_bmichange_z_perc_1yr</t>
  </si>
  <si>
    <t>nh_bmichange_z_perc_2yr</t>
  </si>
  <si>
    <t>nh_bmichange_pt_perc_1yr_pop</t>
  </si>
  <si>
    <t>nh_bmichange_pt_perc_2yr_pop</t>
  </si>
  <si>
    <t>Variable</t>
  </si>
  <si>
    <t>var_name</t>
  </si>
  <si>
    <t>Lower Bound</t>
  </si>
  <si>
    <t>Upper Bound</t>
  </si>
  <si>
    <t>Distribution</t>
  </si>
  <si>
    <t>Start age</t>
  </si>
  <si>
    <t>Percent female</t>
  </si>
  <si>
    <t>BMI Z-score, baseline</t>
  </si>
  <si>
    <t>BMI Z-score, 1yr</t>
  </si>
  <si>
    <t>BMI Z-score, 2yr</t>
  </si>
  <si>
    <t>x1</t>
  </si>
  <si>
    <t>x2</t>
  </si>
  <si>
    <t>s1</t>
  </si>
  <si>
    <t>s2</t>
  </si>
  <si>
    <t>x1-x2</t>
  </si>
  <si>
    <t>s1^2/n</t>
  </si>
  <si>
    <t>s2^2/n</t>
  </si>
  <si>
    <t>se of diff</t>
  </si>
  <si>
    <t>dof</t>
  </si>
  <si>
    <t>dof num</t>
  </si>
  <si>
    <t>dof denom</t>
  </si>
  <si>
    <t>BMI, baseline</t>
  </si>
  <si>
    <t>BMI, 1yr</t>
  </si>
  <si>
    <t>BMI, 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</si>
</sst>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1" applyFont="1"/>
    <xf numFmtId="165" fontId="1" fillId="0" borderId="0" xfId="1" applyNumberFormat="1" applyFont="1"/>
    <xf numFmtId="164" fontId="1" fillId="0" borderId="0" xfId="1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6" fillId="0" borderId="0" xfId="0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AFD00485-06C9-45FE-B2DD-0AA0B87D54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15" workbookViewId="0">
      <selection activeCell="A30" sqref="A30"/>
    </sheetView>
  </sheetViews>
  <sheetFormatPr defaultRowHeight="15" x14ac:dyDescent="0.25"/>
  <cols>
    <col min="1" max="1" width="37.28515625" customWidth="1"/>
    <col min="2" max="2" width="12" customWidth="1"/>
    <col min="3" max="3" width="12" bestFit="1" customWidth="1"/>
    <col min="4" max="4" width="15.42578125" customWidth="1"/>
    <col min="5" max="5" width="15.140625" customWidth="1"/>
    <col min="7" max="7" width="20" customWidth="1"/>
    <col min="8" max="8" width="18.7109375" customWidth="1"/>
  </cols>
  <sheetData>
    <row r="1" spans="1:9" ht="18.75" x14ac:dyDescent="0.3">
      <c r="A1" s="5" t="s">
        <v>0</v>
      </c>
      <c r="B1" s="5"/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19</v>
      </c>
    </row>
    <row r="2" spans="1:9" x14ac:dyDescent="0.25">
      <c r="A2" s="4" t="s">
        <v>1</v>
      </c>
    </row>
    <row r="3" spans="1:9" x14ac:dyDescent="0.25">
      <c r="A3" t="s">
        <v>21</v>
      </c>
      <c r="B3" t="s">
        <v>3</v>
      </c>
      <c r="C3">
        <v>3.14</v>
      </c>
      <c r="D3">
        <v>1.05</v>
      </c>
      <c r="E3">
        <v>5.24</v>
      </c>
      <c r="H3" t="s">
        <v>12</v>
      </c>
    </row>
    <row r="4" spans="1:9" x14ac:dyDescent="0.25">
      <c r="A4" t="s">
        <v>58</v>
      </c>
      <c r="B4" t="s">
        <v>3</v>
      </c>
      <c r="C4">
        <v>0.69251695199999996</v>
      </c>
      <c r="D4">
        <f>(D3/100)*C32</f>
        <v>0.23157414000000004</v>
      </c>
      <c r="E4">
        <f>(E3/100)*C32</f>
        <v>1.155665232</v>
      </c>
      <c r="H4" t="s">
        <v>43</v>
      </c>
    </row>
    <row r="5" spans="1:9" x14ac:dyDescent="0.25">
      <c r="A5" t="s">
        <v>59</v>
      </c>
      <c r="B5" t="s">
        <v>3</v>
      </c>
      <c r="C5">
        <f>C4/12</f>
        <v>5.7709745999999999E-2</v>
      </c>
      <c r="D5">
        <f>D4/12</f>
        <v>1.9297845000000004E-2</v>
      </c>
      <c r="E5">
        <f>E4/12</f>
        <v>9.6305436000000008E-2</v>
      </c>
      <c r="H5" t="s">
        <v>44</v>
      </c>
    </row>
    <row r="6" spans="1:9" x14ac:dyDescent="0.25">
      <c r="A6" t="s">
        <v>51</v>
      </c>
      <c r="B6" t="s">
        <v>52</v>
      </c>
    </row>
    <row r="7" spans="1:9" x14ac:dyDescent="0.25">
      <c r="A7" t="s">
        <v>60</v>
      </c>
      <c r="B7" t="s">
        <v>52</v>
      </c>
    </row>
    <row r="8" spans="1:9" x14ac:dyDescent="0.25">
      <c r="B8" t="s">
        <v>52</v>
      </c>
    </row>
    <row r="9" spans="1:9" x14ac:dyDescent="0.25">
      <c r="A9" t="s">
        <v>22</v>
      </c>
      <c r="B9" t="s">
        <v>4</v>
      </c>
      <c r="C9">
        <v>4.28</v>
      </c>
      <c r="D9">
        <v>2.14</v>
      </c>
      <c r="E9">
        <v>6.42</v>
      </c>
      <c r="H9" t="s">
        <v>45</v>
      </c>
    </row>
    <row r="10" spans="1:9" x14ac:dyDescent="0.25">
      <c r="A10" t="s">
        <v>41</v>
      </c>
      <c r="B10" t="s">
        <v>4</v>
      </c>
      <c r="C10">
        <v>0.94394030399999995</v>
      </c>
      <c r="D10">
        <f>(D9/100)*C32</f>
        <v>0.47197015200000009</v>
      </c>
      <c r="E10">
        <f>(E9/100)*C32</f>
        <v>1.415910456</v>
      </c>
      <c r="H10" t="s">
        <v>46</v>
      </c>
    </row>
    <row r="11" spans="1:9" x14ac:dyDescent="0.25">
      <c r="A11" t="s">
        <v>42</v>
      </c>
      <c r="B11" t="s">
        <v>4</v>
      </c>
      <c r="C11">
        <f>C10/12</f>
        <v>7.8661691999999991E-2</v>
      </c>
      <c r="D11">
        <f>D10/12</f>
        <v>3.933084600000001E-2</v>
      </c>
      <c r="E11">
        <f>E10/12</f>
        <v>0.11799253799999999</v>
      </c>
      <c r="H11" t="s">
        <v>47</v>
      </c>
    </row>
    <row r="12" spans="1:9" x14ac:dyDescent="0.25">
      <c r="A12" t="s">
        <v>2</v>
      </c>
      <c r="B12" t="s">
        <v>5</v>
      </c>
      <c r="C12">
        <v>-7.0309999999999997E-2</v>
      </c>
      <c r="H12" t="s">
        <v>13</v>
      </c>
      <c r="I12" t="s">
        <v>20</v>
      </c>
    </row>
    <row r="16" spans="1:9" x14ac:dyDescent="0.25">
      <c r="A16" s="4" t="s">
        <v>24</v>
      </c>
    </row>
    <row r="17" spans="1:10" x14ac:dyDescent="0.25">
      <c r="A17" t="s">
        <v>25</v>
      </c>
      <c r="B17" t="s">
        <v>26</v>
      </c>
      <c r="C17" s="2">
        <v>0.67</v>
      </c>
      <c r="D17" s="2">
        <v>0.63896935926941012</v>
      </c>
      <c r="E17" s="2">
        <v>0.70103064073058996</v>
      </c>
      <c r="F17" s="1">
        <v>1.5831959556423407E-2</v>
      </c>
      <c r="G17" s="1" t="s">
        <v>28</v>
      </c>
      <c r="H17" s="1" t="s">
        <v>29</v>
      </c>
    </row>
    <row r="18" spans="1:10" x14ac:dyDescent="0.25">
      <c r="A18" t="s">
        <v>25</v>
      </c>
      <c r="B18" t="s">
        <v>26</v>
      </c>
      <c r="C18" s="2">
        <v>0.80100000000000005</v>
      </c>
      <c r="D18" s="2">
        <v>0.77700000000000002</v>
      </c>
      <c r="E18" s="2">
        <v>0.82499999999999996</v>
      </c>
      <c r="F18" s="1"/>
      <c r="G18" s="1" t="s">
        <v>28</v>
      </c>
      <c r="H18" t="s">
        <v>48</v>
      </c>
    </row>
    <row r="19" spans="1:10" x14ac:dyDescent="0.25">
      <c r="A19" t="s">
        <v>27</v>
      </c>
      <c r="B19" t="s">
        <v>31</v>
      </c>
      <c r="C19" s="1">
        <v>4.1999999999999997E-3</v>
      </c>
      <c r="D19" s="3">
        <v>2.0439999999999998E-3</v>
      </c>
      <c r="E19" s="3">
        <v>6.3559999999999997E-3</v>
      </c>
      <c r="F19" s="1">
        <v>1.1000000000000001E-3</v>
      </c>
      <c r="G19" s="1" t="s">
        <v>28</v>
      </c>
      <c r="H19" s="1" t="s">
        <v>30</v>
      </c>
      <c r="I19" t="s">
        <v>64</v>
      </c>
    </row>
    <row r="20" spans="1:10" x14ac:dyDescent="0.25">
      <c r="A20" t="s">
        <v>65</v>
      </c>
      <c r="B20" t="s">
        <v>66</v>
      </c>
      <c r="C20">
        <f>C19/11.9</f>
        <v>3.529411764705882E-4</v>
      </c>
      <c r="J20">
        <f>0.01/0.119</f>
        <v>8.4033613445378158E-2</v>
      </c>
    </row>
    <row r="21" spans="1:10" x14ac:dyDescent="0.25">
      <c r="A21" s="4" t="s">
        <v>23</v>
      </c>
      <c r="J21">
        <f>1/J20</f>
        <v>11.899999999999999</v>
      </c>
    </row>
    <row r="22" spans="1:10" x14ac:dyDescent="0.25">
      <c r="A22" t="s">
        <v>15</v>
      </c>
      <c r="B22" t="s">
        <v>14</v>
      </c>
      <c r="C22">
        <v>59193.839925000007</v>
      </c>
      <c r="F22" s="8"/>
      <c r="H22" t="s">
        <v>18</v>
      </c>
    </row>
    <row r="23" spans="1:10" x14ac:dyDescent="0.25">
      <c r="A23" t="s">
        <v>16</v>
      </c>
      <c r="B23" t="s">
        <v>17</v>
      </c>
      <c r="C23">
        <v>1383.0942075</v>
      </c>
      <c r="F23" s="8"/>
      <c r="H23" t="s">
        <v>18</v>
      </c>
    </row>
    <row r="25" spans="1:10" x14ac:dyDescent="0.25">
      <c r="A25" s="4" t="s">
        <v>34</v>
      </c>
    </row>
    <row r="26" spans="1:10" x14ac:dyDescent="0.25">
      <c r="A26" t="s">
        <v>35</v>
      </c>
      <c r="B26" t="s">
        <v>3</v>
      </c>
      <c r="C26">
        <v>5.7709745999999999E-2</v>
      </c>
      <c r="D26">
        <v>1.9297845000000004E-2</v>
      </c>
      <c r="E26">
        <v>9.6305436000000008E-2</v>
      </c>
    </row>
    <row r="27" spans="1:10" x14ac:dyDescent="0.25">
      <c r="A27" t="s">
        <v>36</v>
      </c>
      <c r="B27" t="s">
        <v>4</v>
      </c>
      <c r="C27">
        <v>7.8661691999999991E-2</v>
      </c>
      <c r="D27">
        <v>3.933084600000001E-2</v>
      </c>
      <c r="E27">
        <v>0.11799253799999999</v>
      </c>
    </row>
    <row r="28" spans="1:10" x14ac:dyDescent="0.25">
      <c r="A28" t="s">
        <v>2</v>
      </c>
      <c r="B28" t="s">
        <v>5</v>
      </c>
      <c r="C28">
        <v>-7.0309999999999997E-2</v>
      </c>
    </row>
    <row r="32" spans="1:10" x14ac:dyDescent="0.25">
      <c r="A32" t="s">
        <v>32</v>
      </c>
      <c r="B32" t="s">
        <v>33</v>
      </c>
      <c r="C32">
        <v>22.054680000000001</v>
      </c>
    </row>
    <row r="35" spans="1:8" ht="15.75" x14ac:dyDescent="0.25">
      <c r="A35" s="7" t="s">
        <v>132</v>
      </c>
      <c r="B35" s="7" t="s">
        <v>133</v>
      </c>
      <c r="C35" s="7" t="s">
        <v>6</v>
      </c>
      <c r="D35" s="7" t="s">
        <v>134</v>
      </c>
      <c r="E35" s="7" t="s">
        <v>135</v>
      </c>
      <c r="F35" s="7" t="s">
        <v>9</v>
      </c>
      <c r="G35" s="7" t="s">
        <v>136</v>
      </c>
      <c r="H35" s="7" t="s">
        <v>11</v>
      </c>
    </row>
    <row r="37" spans="1:8" x14ac:dyDescent="0.25">
      <c r="A37" t="s">
        <v>137</v>
      </c>
      <c r="C37">
        <v>8</v>
      </c>
    </row>
    <row r="38" spans="1:8" x14ac:dyDescent="0.25">
      <c r="A38" t="s">
        <v>138</v>
      </c>
      <c r="C38">
        <v>0.47</v>
      </c>
    </row>
    <row r="39" spans="1:8" x14ac:dyDescent="0.25">
      <c r="A39" t="s">
        <v>139</v>
      </c>
      <c r="C39">
        <v>1.91</v>
      </c>
      <c r="D39">
        <f>C39-2*$F39</f>
        <v>0.78999999999999981</v>
      </c>
      <c r="E39">
        <f>C39+2*$F39</f>
        <v>3.0300000000000002</v>
      </c>
      <c r="F39">
        <v>0.56000000000000005</v>
      </c>
    </row>
    <row r="40" spans="1:8" x14ac:dyDescent="0.25">
      <c r="A40" t="s">
        <v>140</v>
      </c>
      <c r="C40">
        <v>1.85</v>
      </c>
      <c r="D40">
        <f t="shared" ref="D40:D41" si="0">C40-2*$F40</f>
        <v>0.69000000000000017</v>
      </c>
      <c r="E40">
        <f t="shared" ref="E40:E41" si="1">C40+2*$F40</f>
        <v>3.01</v>
      </c>
      <c r="F40">
        <v>0.57999999999999996</v>
      </c>
    </row>
    <row r="41" spans="1:8" x14ac:dyDescent="0.25">
      <c r="A41" t="s">
        <v>141</v>
      </c>
      <c r="C41">
        <v>1.81</v>
      </c>
      <c r="D41">
        <f t="shared" si="0"/>
        <v>0.71</v>
      </c>
      <c r="E41">
        <f t="shared" si="1"/>
        <v>2.91</v>
      </c>
      <c r="F41">
        <v>0.55000000000000004</v>
      </c>
    </row>
    <row r="43" spans="1:8" x14ac:dyDescent="0.25">
      <c r="A43" t="s">
        <v>153</v>
      </c>
      <c r="C43" s="9">
        <v>22.731554799999998</v>
      </c>
    </row>
    <row r="44" spans="1:8" x14ac:dyDescent="0.25">
      <c r="A44" t="s">
        <v>154</v>
      </c>
      <c r="C44" s="9">
        <v>23.724099349999999</v>
      </c>
    </row>
    <row r="45" spans="1:8" x14ac:dyDescent="0.25">
      <c r="A45" t="s">
        <v>155</v>
      </c>
      <c r="C45" s="9">
        <v>24.720002870000002</v>
      </c>
    </row>
    <row r="48" spans="1:8" x14ac:dyDescent="0.25">
      <c r="B48" t="s">
        <v>142</v>
      </c>
      <c r="C48">
        <v>1.85</v>
      </c>
    </row>
    <row r="49" spans="2:6" x14ac:dyDescent="0.25">
      <c r="B49" t="s">
        <v>143</v>
      </c>
      <c r="C49">
        <v>1.81</v>
      </c>
    </row>
    <row r="50" spans="2:6" x14ac:dyDescent="0.25">
      <c r="B50" t="s">
        <v>144</v>
      </c>
      <c r="C50">
        <v>0.57999999999999996</v>
      </c>
    </row>
    <row r="51" spans="2:6" x14ac:dyDescent="0.25">
      <c r="B51" t="s">
        <v>145</v>
      </c>
      <c r="C51">
        <v>0.55000000000000004</v>
      </c>
    </row>
    <row r="53" spans="2:6" x14ac:dyDescent="0.25">
      <c r="B53" t="s">
        <v>146</v>
      </c>
      <c r="C53">
        <f>C48-C49</f>
        <v>4.0000000000000036E-2</v>
      </c>
    </row>
    <row r="54" spans="2:6" x14ac:dyDescent="0.25">
      <c r="B54" t="s">
        <v>147</v>
      </c>
      <c r="C54">
        <f>(C50^2) / 360</f>
        <v>9.3444444444444434E-4</v>
      </c>
    </row>
    <row r="55" spans="2:6" x14ac:dyDescent="0.25">
      <c r="B55" t="s">
        <v>148</v>
      </c>
      <c r="C55">
        <f>(C51^2) / 360</f>
        <v>8.402777777777779E-4</v>
      </c>
    </row>
    <row r="56" spans="2:6" x14ac:dyDescent="0.25">
      <c r="B56" t="s">
        <v>149</v>
      </c>
      <c r="C56">
        <f>SQRT(C54+C55)</f>
        <v>4.2127452121178917E-2</v>
      </c>
      <c r="D56">
        <f>1.96*C56</f>
        <v>8.2569806157510681E-2</v>
      </c>
      <c r="E56">
        <f>C53+D56</f>
        <v>0.12256980615751072</v>
      </c>
      <c r="F56">
        <f>C53-D56</f>
        <v>-4.2569806157510645E-2</v>
      </c>
    </row>
    <row r="58" spans="2:6" x14ac:dyDescent="0.25">
      <c r="B58" t="s">
        <v>151</v>
      </c>
      <c r="C58">
        <f>(C54+C55)^2</f>
        <v>3.1496389660493829E-6</v>
      </c>
    </row>
    <row r="59" spans="2:6" x14ac:dyDescent="0.25">
      <c r="B59" t="s">
        <v>152</v>
      </c>
      <c r="C59">
        <f>((C54^2/359)/359)+((C55^2/359)/359)</f>
        <v>1.2253576272532388E-11</v>
      </c>
    </row>
    <row r="60" spans="2:6" x14ac:dyDescent="0.25">
      <c r="B60" t="s">
        <v>150</v>
      </c>
      <c r="C60">
        <f>C58/C59</f>
        <v>257038.34505111887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1FC0-A7CD-4EB1-BC8D-7A9292C435DC}">
  <dimension ref="A1:H17"/>
  <sheetViews>
    <sheetView workbookViewId="0">
      <selection activeCell="D16" sqref="D16:D17"/>
    </sheetView>
  </sheetViews>
  <sheetFormatPr defaultRowHeight="15" x14ac:dyDescent="0.25"/>
  <cols>
    <col min="1" max="1" width="16.140625" customWidth="1"/>
    <col min="3" max="3" width="14.28515625" customWidth="1"/>
  </cols>
  <sheetData>
    <row r="1" spans="1:8" x14ac:dyDescent="0.25">
      <c r="C1" t="s">
        <v>54</v>
      </c>
      <c r="E1" t="s">
        <v>55</v>
      </c>
      <c r="G1" t="s">
        <v>56</v>
      </c>
    </row>
    <row r="2" spans="1:8" x14ac:dyDescent="0.25">
      <c r="A2" t="s">
        <v>53</v>
      </c>
      <c r="B2" t="s">
        <v>67</v>
      </c>
      <c r="C2">
        <v>1.91</v>
      </c>
      <c r="E2">
        <v>1.85</v>
      </c>
      <c r="F2">
        <v>0.57999999999999996</v>
      </c>
      <c r="G2">
        <v>1.81</v>
      </c>
      <c r="H2">
        <v>0.55000000000000004</v>
      </c>
    </row>
    <row r="3" spans="1:8" x14ac:dyDescent="0.25">
      <c r="B3" t="s">
        <v>68</v>
      </c>
      <c r="C3">
        <v>22.98799</v>
      </c>
      <c r="E3">
        <v>24.014600000000002</v>
      </c>
      <c r="G3">
        <v>25.045490000000001</v>
      </c>
    </row>
    <row r="4" spans="1:8" x14ac:dyDescent="0.25">
      <c r="B4" t="s">
        <v>69</v>
      </c>
      <c r="C4">
        <v>22.504149999999999</v>
      </c>
      <c r="E4">
        <v>23.46649</v>
      </c>
      <c r="G4">
        <v>24.431370000000001</v>
      </c>
    </row>
    <row r="5" spans="1:8" x14ac:dyDescent="0.25">
      <c r="B5" t="s">
        <v>70</v>
      </c>
      <c r="C5">
        <f>0.47*C3+0.53*C4</f>
        <v>22.731554799999998</v>
      </c>
      <c r="E5">
        <f>0.47*E3+0.53*E4</f>
        <v>23.724101699999999</v>
      </c>
      <c r="G5">
        <f>0.47*G3+0.53*G4</f>
        <v>24.720006400000003</v>
      </c>
    </row>
    <row r="6" spans="1:8" x14ac:dyDescent="0.25">
      <c r="A6" t="s">
        <v>57</v>
      </c>
      <c r="C6">
        <v>1.88</v>
      </c>
      <c r="E6">
        <v>1.79</v>
      </c>
      <c r="F6">
        <v>0.57999999999999996</v>
      </c>
      <c r="G6">
        <v>1.77</v>
      </c>
      <c r="H6">
        <v>0.56000000000000005</v>
      </c>
    </row>
    <row r="7" spans="1:8" x14ac:dyDescent="0.25">
      <c r="E7" t="s">
        <v>38</v>
      </c>
      <c r="F7" t="s">
        <v>39</v>
      </c>
    </row>
    <row r="8" spans="1:8" x14ac:dyDescent="0.25">
      <c r="A8" s="6" t="s">
        <v>53</v>
      </c>
      <c r="B8" s="6"/>
      <c r="C8" s="6" t="s">
        <v>61</v>
      </c>
      <c r="D8" s="6">
        <f>(C2-E2)/12</f>
        <v>4.9999999999999862E-3</v>
      </c>
      <c r="E8">
        <f>(C2-E2+0.04)/12</f>
        <v>8.3333333333333193E-3</v>
      </c>
      <c r="F8">
        <f>(C2-E2-0.04)/12</f>
        <v>1.6666666666666525E-3</v>
      </c>
    </row>
    <row r="9" spans="1:8" x14ac:dyDescent="0.25">
      <c r="A9" t="s">
        <v>57</v>
      </c>
      <c r="C9" t="s">
        <v>61</v>
      </c>
      <c r="D9">
        <f>(C6-E6)/12</f>
        <v>7.4999999999999884E-3</v>
      </c>
    </row>
    <row r="10" spans="1:8" x14ac:dyDescent="0.25">
      <c r="A10" s="6" t="s">
        <v>53</v>
      </c>
      <c r="B10" s="6"/>
      <c r="C10" s="6" t="s">
        <v>62</v>
      </c>
      <c r="D10" s="6">
        <f>(E2-G2)/12</f>
        <v>3.3333333333333361E-3</v>
      </c>
      <c r="F10">
        <f>D8*12</f>
        <v>5.9999999999999831E-2</v>
      </c>
    </row>
    <row r="11" spans="1:8" x14ac:dyDescent="0.25">
      <c r="A11" t="s">
        <v>57</v>
      </c>
      <c r="C11" t="s">
        <v>62</v>
      </c>
      <c r="D11">
        <f>(E6-G6)/12</f>
        <v>1.6666666666666681E-3</v>
      </c>
    </row>
    <row r="13" spans="1:8" x14ac:dyDescent="0.25">
      <c r="C13" t="s">
        <v>63</v>
      </c>
    </row>
    <row r="16" spans="1:8" x14ac:dyDescent="0.25">
      <c r="A16" t="s">
        <v>71</v>
      </c>
      <c r="D16">
        <f>E5-C5</f>
        <v>0.99254690000000068</v>
      </c>
    </row>
    <row r="17" spans="1:4" x14ac:dyDescent="0.25">
      <c r="A17" t="s">
        <v>72</v>
      </c>
      <c r="D17">
        <f>G5-E5</f>
        <v>0.99590470000000408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3879-A22A-46E2-9DA3-95C1772E087D}">
  <dimension ref="A1:G55"/>
  <sheetViews>
    <sheetView topLeftCell="A4" workbookViewId="0">
      <selection activeCell="G24" sqref="G24"/>
    </sheetView>
  </sheetViews>
  <sheetFormatPr defaultRowHeight="15" x14ac:dyDescent="0.25"/>
  <cols>
    <col min="1" max="1" width="31.140625" customWidth="1"/>
    <col min="6" max="6" width="48.42578125" customWidth="1"/>
  </cols>
  <sheetData>
    <row r="1" spans="1:6" x14ac:dyDescent="0.25">
      <c r="A1" t="s">
        <v>37</v>
      </c>
      <c r="B1" t="s">
        <v>6</v>
      </c>
      <c r="C1" t="s">
        <v>73</v>
      </c>
      <c r="D1" t="s">
        <v>74</v>
      </c>
      <c r="E1" t="s">
        <v>40</v>
      </c>
      <c r="F1" t="s">
        <v>115</v>
      </c>
    </row>
    <row r="2" spans="1:6" x14ac:dyDescent="0.25">
      <c r="A2" t="s">
        <v>3</v>
      </c>
      <c r="B2">
        <v>5.7709745999999999E-2</v>
      </c>
      <c r="C2">
        <v>1.9297845000000004E-2</v>
      </c>
      <c r="D2">
        <v>9.6305436000000008E-2</v>
      </c>
    </row>
    <row r="3" spans="1:6" x14ac:dyDescent="0.25">
      <c r="A3" t="s">
        <v>4</v>
      </c>
      <c r="B3">
        <v>7.8661691999999991E-2</v>
      </c>
      <c r="C3">
        <v>3.933084600000001E-2</v>
      </c>
      <c r="D3">
        <v>0.11799253799999999</v>
      </c>
    </row>
    <row r="4" spans="1:6" x14ac:dyDescent="0.25">
      <c r="A4" t="s">
        <v>5</v>
      </c>
      <c r="B4">
        <v>-7.0309999999999997E-2</v>
      </c>
    </row>
    <row r="5" spans="1:6" x14ac:dyDescent="0.25">
      <c r="A5" t="s">
        <v>26</v>
      </c>
      <c r="B5" s="2">
        <v>0.80100000000000005</v>
      </c>
      <c r="C5" s="2">
        <v>0.77700000000000002</v>
      </c>
      <c r="D5" s="2">
        <v>0.82499999999999996</v>
      </c>
    </row>
    <row r="6" spans="1:6" x14ac:dyDescent="0.25">
      <c r="A6" t="s">
        <v>31</v>
      </c>
      <c r="B6" s="1">
        <v>4.1999999999999997E-3</v>
      </c>
      <c r="C6" s="3">
        <v>2.0439999999999998E-3</v>
      </c>
      <c r="D6" s="3">
        <v>6.3559999999999997E-3</v>
      </c>
    </row>
    <row r="7" spans="1:6" x14ac:dyDescent="0.25">
      <c r="A7" t="s">
        <v>63</v>
      </c>
      <c r="B7" s="1">
        <v>3.529411764705882E-4</v>
      </c>
      <c r="C7" s="3"/>
      <c r="D7" s="3"/>
    </row>
    <row r="8" spans="1:6" x14ac:dyDescent="0.25">
      <c r="A8" t="s">
        <v>14</v>
      </c>
      <c r="B8">
        <v>59193.839925000007</v>
      </c>
    </row>
    <row r="9" spans="1:6" x14ac:dyDescent="0.25">
      <c r="A9" t="s">
        <v>17</v>
      </c>
      <c r="B9">
        <v>1383.0942075</v>
      </c>
    </row>
    <row r="10" spans="1:6" x14ac:dyDescent="0.25">
      <c r="A10" t="s">
        <v>49</v>
      </c>
      <c r="B10">
        <v>8</v>
      </c>
    </row>
    <row r="11" spans="1:6" x14ac:dyDescent="0.25">
      <c r="A11" t="s">
        <v>77</v>
      </c>
      <c r="B11">
        <v>22.98799</v>
      </c>
    </row>
    <row r="12" spans="1:6" x14ac:dyDescent="0.25">
      <c r="A12" t="s">
        <v>78</v>
      </c>
      <c r="B12">
        <v>22.504149999999999</v>
      </c>
    </row>
    <row r="13" spans="1:6" x14ac:dyDescent="0.25">
      <c r="A13" t="s">
        <v>79</v>
      </c>
      <c r="B13">
        <v>22.731554799999998</v>
      </c>
    </row>
    <row r="14" spans="1:6" x14ac:dyDescent="0.25">
      <c r="A14" t="s">
        <v>80</v>
      </c>
      <c r="B14">
        <v>1.91</v>
      </c>
    </row>
    <row r="15" spans="1:6" ht="15" customHeight="1" x14ac:dyDescent="0.25">
      <c r="A15" t="s">
        <v>50</v>
      </c>
      <c r="B15">
        <v>0.47</v>
      </c>
    </row>
    <row r="16" spans="1:6" x14ac:dyDescent="0.25">
      <c r="A16" t="s">
        <v>75</v>
      </c>
      <c r="B16">
        <v>1.85</v>
      </c>
      <c r="C16">
        <v>1.81</v>
      </c>
      <c r="D16">
        <v>1.89</v>
      </c>
    </row>
    <row r="17" spans="1:7" x14ac:dyDescent="0.25">
      <c r="A17" t="s">
        <v>76</v>
      </c>
      <c r="B17">
        <v>1.81</v>
      </c>
    </row>
    <row r="18" spans="1:7" x14ac:dyDescent="0.25">
      <c r="A18" t="s">
        <v>105</v>
      </c>
      <c r="B18">
        <f>$B15*B20+(1-$B15)*B22</f>
        <v>23.724099349999999</v>
      </c>
      <c r="C18">
        <f>$B15*C20+(1-$B15)*C22</f>
        <v>23.49017091</v>
      </c>
      <c r="D18">
        <f>$B15*D20+(1-$B15)*D22</f>
        <v>23.958027790000003</v>
      </c>
    </row>
    <row r="19" spans="1:7" x14ac:dyDescent="0.25">
      <c r="A19" t="s">
        <v>106</v>
      </c>
      <c r="B19">
        <f>$B$15*B21+(1-$B$15)*B23</f>
        <v>24.720002870000002</v>
      </c>
    </row>
    <row r="20" spans="1:7" x14ac:dyDescent="0.25">
      <c r="A20" t="s">
        <v>107</v>
      </c>
      <c r="B20">
        <v>24.014595</v>
      </c>
      <c r="C20">
        <v>23.779367000000001</v>
      </c>
      <c r="D20">
        <v>24.249822999999999</v>
      </c>
    </row>
    <row r="21" spans="1:7" x14ac:dyDescent="0.25">
      <c r="A21" t="s">
        <v>108</v>
      </c>
      <c r="B21">
        <v>25.045487000000001</v>
      </c>
    </row>
    <row r="22" spans="1:7" x14ac:dyDescent="0.25">
      <c r="A22" t="s">
        <v>109</v>
      </c>
      <c r="B22">
        <v>23.46649</v>
      </c>
      <c r="C22">
        <v>23.233713999999999</v>
      </c>
      <c r="D22">
        <v>23.699266000000001</v>
      </c>
    </row>
    <row r="23" spans="1:7" x14ac:dyDescent="0.25">
      <c r="A23" t="s">
        <v>110</v>
      </c>
      <c r="B23">
        <v>24.431366000000004</v>
      </c>
    </row>
    <row r="24" spans="1:7" x14ac:dyDescent="0.25">
      <c r="A24" t="s">
        <v>89</v>
      </c>
      <c r="B24">
        <v>0.06</v>
      </c>
      <c r="C24">
        <v>0.02</v>
      </c>
      <c r="D24">
        <v>0.1</v>
      </c>
      <c r="F24" t="s">
        <v>121</v>
      </c>
      <c r="G24">
        <f>B7*10</f>
        <v>3.529411764705882E-3</v>
      </c>
    </row>
    <row r="25" spans="1:7" x14ac:dyDescent="0.25">
      <c r="A25" t="s">
        <v>90</v>
      </c>
      <c r="B25">
        <v>0.04</v>
      </c>
      <c r="F25" t="s">
        <v>120</v>
      </c>
    </row>
    <row r="26" spans="1:7" x14ac:dyDescent="0.25">
      <c r="A26" t="s">
        <v>83</v>
      </c>
      <c r="B26">
        <f>B18-B13</f>
        <v>0.99254455000000164</v>
      </c>
      <c r="F26" t="s">
        <v>122</v>
      </c>
    </row>
    <row r="27" spans="1:7" x14ac:dyDescent="0.25">
      <c r="A27" t="s">
        <v>84</v>
      </c>
      <c r="B27">
        <f>B19-B18</f>
        <v>0.99590352000000237</v>
      </c>
      <c r="F27" t="s">
        <v>123</v>
      </c>
    </row>
    <row r="28" spans="1:7" x14ac:dyDescent="0.25">
      <c r="A28" t="s">
        <v>85</v>
      </c>
      <c r="B28">
        <f>B20-B11</f>
        <v>1.026605</v>
      </c>
      <c r="F28" t="s">
        <v>124</v>
      </c>
    </row>
    <row r="29" spans="1:7" x14ac:dyDescent="0.25">
      <c r="A29" t="s">
        <v>86</v>
      </c>
      <c r="B29">
        <f>B21-B20</f>
        <v>1.0308920000000015</v>
      </c>
      <c r="F29" t="s">
        <v>125</v>
      </c>
    </row>
    <row r="30" spans="1:7" x14ac:dyDescent="0.25">
      <c r="A30" t="s">
        <v>87</v>
      </c>
      <c r="B30">
        <f>B22-B12</f>
        <v>0.96234000000000108</v>
      </c>
      <c r="F30" t="s">
        <v>126</v>
      </c>
    </row>
    <row r="31" spans="1:7" x14ac:dyDescent="0.25">
      <c r="A31" t="s">
        <v>88</v>
      </c>
      <c r="B31">
        <f>B23-B22</f>
        <v>0.96487600000000384</v>
      </c>
      <c r="F31" t="s">
        <v>127</v>
      </c>
    </row>
    <row r="32" spans="1:7" x14ac:dyDescent="0.25">
      <c r="A32" t="s">
        <v>112</v>
      </c>
      <c r="B32">
        <f>0.06/1.91</f>
        <v>3.1413612565445025E-2</v>
      </c>
      <c r="F32" t="s">
        <v>117</v>
      </c>
    </row>
    <row r="33" spans="1:6" x14ac:dyDescent="0.25">
      <c r="A33" t="s">
        <v>111</v>
      </c>
      <c r="B33">
        <f>0.04/1.85</f>
        <v>2.1621621621621619E-2</v>
      </c>
      <c r="F33" t="s">
        <v>116</v>
      </c>
    </row>
    <row r="34" spans="1:6" x14ac:dyDescent="0.25">
      <c r="A34" t="s">
        <v>113</v>
      </c>
      <c r="B34">
        <f>B26/B13</f>
        <v>4.3663733463581725E-2</v>
      </c>
      <c r="F34" t="s">
        <v>118</v>
      </c>
    </row>
    <row r="35" spans="1:6" x14ac:dyDescent="0.25">
      <c r="A35" t="s">
        <v>114</v>
      </c>
      <c r="B35">
        <f>B27/B18</f>
        <v>4.1978559662371434E-2</v>
      </c>
      <c r="F35" t="s">
        <v>119</v>
      </c>
    </row>
    <row r="36" spans="1:6" x14ac:dyDescent="0.25">
      <c r="A36" t="s">
        <v>81</v>
      </c>
      <c r="B36">
        <v>1.91</v>
      </c>
    </row>
    <row r="37" spans="1:6" x14ac:dyDescent="0.25">
      <c r="A37" t="s">
        <v>82</v>
      </c>
      <c r="B37">
        <v>1.91</v>
      </c>
    </row>
    <row r="38" spans="1:6" x14ac:dyDescent="0.25">
      <c r="A38" t="s">
        <v>102</v>
      </c>
      <c r="B38">
        <f>$B$15*B40+(1-$B$15)*B42</f>
        <v>24.074992010000003</v>
      </c>
    </row>
    <row r="39" spans="1:6" x14ac:dyDescent="0.25">
      <c r="A39" t="s">
        <v>103</v>
      </c>
      <c r="B39">
        <f>$B$15*B41+(1-$B$15)*B43</f>
        <v>25.356755569999997</v>
      </c>
    </row>
    <row r="40" spans="1:6" x14ac:dyDescent="0.25">
      <c r="A40" t="s">
        <v>99</v>
      </c>
      <c r="B40">
        <v>24.367436999999999</v>
      </c>
    </row>
    <row r="41" spans="1:6" x14ac:dyDescent="0.25">
      <c r="A41" t="s">
        <v>101</v>
      </c>
      <c r="B41">
        <v>25.687756999999998</v>
      </c>
    </row>
    <row r="42" spans="1:6" x14ac:dyDescent="0.25">
      <c r="A42" t="s">
        <v>104</v>
      </c>
      <c r="B42">
        <v>23.815654000000002</v>
      </c>
    </row>
    <row r="43" spans="1:6" x14ac:dyDescent="0.25">
      <c r="A43" t="s">
        <v>100</v>
      </c>
      <c r="B43">
        <v>25.063226</v>
      </c>
    </row>
    <row r="44" spans="1:6" x14ac:dyDescent="0.25">
      <c r="A44" t="s">
        <v>91</v>
      </c>
      <c r="B44">
        <v>0</v>
      </c>
    </row>
    <row r="45" spans="1:6" x14ac:dyDescent="0.25">
      <c r="A45" t="s">
        <v>92</v>
      </c>
      <c r="B45">
        <v>0</v>
      </c>
    </row>
    <row r="46" spans="1:6" x14ac:dyDescent="0.25">
      <c r="A46" t="s">
        <v>93</v>
      </c>
      <c r="B46">
        <f>B38-B13</f>
        <v>1.3434372100000047</v>
      </c>
    </row>
    <row r="47" spans="1:6" x14ac:dyDescent="0.25">
      <c r="A47" t="s">
        <v>94</v>
      </c>
      <c r="B47">
        <f>B39-B38</f>
        <v>1.2817635599999946</v>
      </c>
    </row>
    <row r="48" spans="1:6" x14ac:dyDescent="0.25">
      <c r="A48" t="s">
        <v>95</v>
      </c>
      <c r="B48">
        <f>B38-B11</f>
        <v>1.0870020100000026</v>
      </c>
    </row>
    <row r="49" spans="1:2" x14ac:dyDescent="0.25">
      <c r="A49" t="s">
        <v>96</v>
      </c>
      <c r="B49">
        <f>B41-B40</f>
        <v>1.3203199999999988</v>
      </c>
    </row>
    <row r="50" spans="1:2" x14ac:dyDescent="0.25">
      <c r="A50" t="s">
        <v>97</v>
      </c>
      <c r="B50">
        <f>B42-B12</f>
        <v>1.3115040000000029</v>
      </c>
    </row>
    <row r="51" spans="1:2" x14ac:dyDescent="0.25">
      <c r="A51" t="s">
        <v>98</v>
      </c>
      <c r="B51">
        <f>B43-B42</f>
        <v>1.2475719999999981</v>
      </c>
    </row>
    <row r="52" spans="1:2" x14ac:dyDescent="0.25">
      <c r="A52" t="s">
        <v>128</v>
      </c>
      <c r="B52">
        <v>0</v>
      </c>
    </row>
    <row r="53" spans="1:2" x14ac:dyDescent="0.25">
      <c r="A53" t="s">
        <v>129</v>
      </c>
      <c r="B53">
        <v>0</v>
      </c>
    </row>
    <row r="54" spans="1:2" x14ac:dyDescent="0.25">
      <c r="A54" t="s">
        <v>130</v>
      </c>
      <c r="B54">
        <f>B46/B13</f>
        <v>5.9100102118839877E-2</v>
      </c>
    </row>
    <row r="55" spans="1:2" x14ac:dyDescent="0.25">
      <c r="A55" t="s">
        <v>131</v>
      </c>
      <c r="B55">
        <f>B47/B38</f>
        <v>5.3240456298701569E-2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24B-E876-40BD-8D11-BA959E1DD348}">
  <dimension ref="A1:F55"/>
  <sheetViews>
    <sheetView workbookViewId="0">
      <selection activeCell="B13" sqref="B13"/>
    </sheetView>
  </sheetViews>
  <sheetFormatPr defaultRowHeight="15" x14ac:dyDescent="0.25"/>
  <cols>
    <col min="1" max="1" width="28.28515625" customWidth="1"/>
  </cols>
  <sheetData>
    <row r="1" spans="1:6" x14ac:dyDescent="0.25">
      <c r="A1" t="s">
        <v>37</v>
      </c>
      <c r="B1" t="s">
        <v>6</v>
      </c>
      <c r="C1" t="s">
        <v>73</v>
      </c>
      <c r="D1" t="s">
        <v>74</v>
      </c>
      <c r="E1" t="s">
        <v>40</v>
      </c>
      <c r="F1" t="s">
        <v>115</v>
      </c>
    </row>
    <row r="2" spans="1:6" x14ac:dyDescent="0.25">
      <c r="A2" t="s">
        <v>3</v>
      </c>
      <c r="B2">
        <v>5.7709745999999999E-2</v>
      </c>
      <c r="C2">
        <v>1.9297845000000004E-2</v>
      </c>
      <c r="D2">
        <v>9.6305436000000008E-2</v>
      </c>
    </row>
    <row r="3" spans="1:6" x14ac:dyDescent="0.25">
      <c r="A3" t="s">
        <v>4</v>
      </c>
      <c r="B3">
        <v>7.8661691999999991E-2</v>
      </c>
      <c r="C3">
        <v>3.933084600000001E-2</v>
      </c>
      <c r="D3">
        <v>0.11799253799999999</v>
      </c>
    </row>
    <row r="4" spans="1:6" x14ac:dyDescent="0.25">
      <c r="A4" t="s">
        <v>5</v>
      </c>
      <c r="B4">
        <v>-7.0309999999999997E-2</v>
      </c>
    </row>
    <row r="5" spans="1:6" x14ac:dyDescent="0.25">
      <c r="A5" t="s">
        <v>26</v>
      </c>
      <c r="B5">
        <v>0.80100000000000005</v>
      </c>
      <c r="C5">
        <v>0.77700000000000002</v>
      </c>
      <c r="D5">
        <v>0.82499999999999996</v>
      </c>
    </row>
    <row r="6" spans="1:6" x14ac:dyDescent="0.25">
      <c r="A6" t="s">
        <v>31</v>
      </c>
      <c r="B6">
        <v>4.1999999999999997E-3</v>
      </c>
      <c r="C6">
        <v>2.0439999999999998E-3</v>
      </c>
      <c r="D6">
        <v>6.3559999999999997E-3</v>
      </c>
    </row>
    <row r="7" spans="1:6" x14ac:dyDescent="0.25">
      <c r="A7" t="s">
        <v>63</v>
      </c>
      <c r="B7">
        <v>3.529411764705882E-4</v>
      </c>
    </row>
    <row r="8" spans="1:6" x14ac:dyDescent="0.25">
      <c r="A8" t="s">
        <v>14</v>
      </c>
      <c r="B8">
        <v>59193.839925000007</v>
      </c>
    </row>
    <row r="9" spans="1:6" x14ac:dyDescent="0.25">
      <c r="A9" t="s">
        <v>17</v>
      </c>
      <c r="B9">
        <v>1383.0942075</v>
      </c>
    </row>
    <row r="10" spans="1:6" x14ac:dyDescent="0.25">
      <c r="A10" t="s">
        <v>49</v>
      </c>
      <c r="B10">
        <v>8</v>
      </c>
    </row>
    <row r="11" spans="1:6" x14ac:dyDescent="0.25">
      <c r="A11" t="s">
        <v>77</v>
      </c>
      <c r="B11">
        <v>22.98799</v>
      </c>
    </row>
    <row r="12" spans="1:6" x14ac:dyDescent="0.25">
      <c r="A12" t="s">
        <v>78</v>
      </c>
      <c r="B12">
        <v>22.504149999999999</v>
      </c>
    </row>
    <row r="13" spans="1:6" x14ac:dyDescent="0.25">
      <c r="A13" t="s">
        <v>79</v>
      </c>
      <c r="B13">
        <v>22.731554799999998</v>
      </c>
    </row>
    <row r="14" spans="1:6" x14ac:dyDescent="0.25">
      <c r="A14" t="s">
        <v>80</v>
      </c>
      <c r="B14">
        <v>1.91</v>
      </c>
    </row>
    <row r="15" spans="1:6" x14ac:dyDescent="0.25">
      <c r="A15" t="s">
        <v>50</v>
      </c>
      <c r="B15">
        <v>0.47</v>
      </c>
    </row>
    <row r="16" spans="1:6" x14ac:dyDescent="0.25">
      <c r="A16" t="s">
        <v>75</v>
      </c>
      <c r="B16">
        <v>1.85</v>
      </c>
      <c r="C16">
        <v>1.81</v>
      </c>
      <c r="D16">
        <v>1.89</v>
      </c>
    </row>
    <row r="17" spans="1:6" x14ac:dyDescent="0.25">
      <c r="A17" t="s">
        <v>76</v>
      </c>
      <c r="B17">
        <v>1.81</v>
      </c>
    </row>
    <row r="18" spans="1:6" x14ac:dyDescent="0.25">
      <c r="A18" t="s">
        <v>105</v>
      </c>
      <c r="B18">
        <v>23.724099349999999</v>
      </c>
      <c r="C18">
        <v>23.49017091</v>
      </c>
      <c r="D18">
        <v>23.958027790000003</v>
      </c>
    </row>
    <row r="19" spans="1:6" x14ac:dyDescent="0.25">
      <c r="A19" t="s">
        <v>106</v>
      </c>
      <c r="B19">
        <v>24.720002870000002</v>
      </c>
    </row>
    <row r="20" spans="1:6" x14ac:dyDescent="0.25">
      <c r="A20" t="s">
        <v>107</v>
      </c>
      <c r="B20">
        <v>24.014595</v>
      </c>
      <c r="C20">
        <v>23.779367000000001</v>
      </c>
      <c r="D20">
        <v>24.249822999999999</v>
      </c>
    </row>
    <row r="21" spans="1:6" x14ac:dyDescent="0.25">
      <c r="A21" t="s">
        <v>108</v>
      </c>
      <c r="B21">
        <v>25.045487000000001</v>
      </c>
    </row>
    <row r="22" spans="1:6" x14ac:dyDescent="0.25">
      <c r="A22" t="s">
        <v>109</v>
      </c>
      <c r="B22">
        <v>23.46649</v>
      </c>
      <c r="C22">
        <v>23.233713999999999</v>
      </c>
      <c r="D22">
        <v>23.699266000000001</v>
      </c>
    </row>
    <row r="23" spans="1:6" x14ac:dyDescent="0.25">
      <c r="A23" t="s">
        <v>110</v>
      </c>
      <c r="B23">
        <v>24.431366000000004</v>
      </c>
    </row>
    <row r="24" spans="1:6" x14ac:dyDescent="0.25">
      <c r="A24" t="s">
        <v>89</v>
      </c>
      <c r="B24">
        <v>0.06</v>
      </c>
      <c r="C24">
        <v>0.02</v>
      </c>
      <c r="D24">
        <v>0.1</v>
      </c>
      <c r="F24" t="s">
        <v>121</v>
      </c>
    </row>
    <row r="25" spans="1:6" x14ac:dyDescent="0.25">
      <c r="A25" t="s">
        <v>90</v>
      </c>
      <c r="B25">
        <v>0.04</v>
      </c>
      <c r="F25" t="s">
        <v>120</v>
      </c>
    </row>
    <row r="26" spans="1:6" x14ac:dyDescent="0.25">
      <c r="A26" t="s">
        <v>83</v>
      </c>
      <c r="B26">
        <v>-0.99254455000000197</v>
      </c>
      <c r="F26" t="s">
        <v>122</v>
      </c>
    </row>
    <row r="27" spans="1:6" x14ac:dyDescent="0.25">
      <c r="A27" t="s">
        <v>84</v>
      </c>
      <c r="B27">
        <v>-0.99590352000000204</v>
      </c>
      <c r="F27" t="s">
        <v>123</v>
      </c>
    </row>
    <row r="28" spans="1:6" x14ac:dyDescent="0.25">
      <c r="A28" t="s">
        <v>85</v>
      </c>
      <c r="B28">
        <v>-1.026605</v>
      </c>
      <c r="F28" t="s">
        <v>124</v>
      </c>
    </row>
    <row r="29" spans="1:6" x14ac:dyDescent="0.25">
      <c r="A29" t="s">
        <v>86</v>
      </c>
      <c r="B29">
        <v>-1.0308919999999999</v>
      </c>
      <c r="F29" t="s">
        <v>125</v>
      </c>
    </row>
    <row r="30" spans="1:6" x14ac:dyDescent="0.25">
      <c r="A30" t="s">
        <v>87</v>
      </c>
      <c r="B30">
        <v>-0.96234000000000097</v>
      </c>
      <c r="F30" t="s">
        <v>126</v>
      </c>
    </row>
    <row r="31" spans="1:6" x14ac:dyDescent="0.25">
      <c r="A31" t="s">
        <v>88</v>
      </c>
      <c r="B31">
        <v>-0.96487600000000395</v>
      </c>
      <c r="F31" t="s">
        <v>127</v>
      </c>
    </row>
    <row r="32" spans="1:6" x14ac:dyDescent="0.25">
      <c r="A32" t="s">
        <v>112</v>
      </c>
      <c r="B32">
        <v>3.1413612565445025E-2</v>
      </c>
      <c r="F32" t="s">
        <v>117</v>
      </c>
    </row>
    <row r="33" spans="1:6" x14ac:dyDescent="0.25">
      <c r="A33" t="s">
        <v>111</v>
      </c>
      <c r="B33">
        <v>2.1621621621621619E-2</v>
      </c>
      <c r="F33" t="s">
        <v>116</v>
      </c>
    </row>
    <row r="34" spans="1:6" x14ac:dyDescent="0.25">
      <c r="A34" t="s">
        <v>113</v>
      </c>
      <c r="B34">
        <v>-4.3663733463581697E-2</v>
      </c>
      <c r="F34" t="s">
        <v>118</v>
      </c>
    </row>
    <row r="35" spans="1:6" x14ac:dyDescent="0.25">
      <c r="A35" t="s">
        <v>114</v>
      </c>
      <c r="B35">
        <v>-4.1978559662371399E-2</v>
      </c>
      <c r="F35" t="s">
        <v>119</v>
      </c>
    </row>
    <row r="36" spans="1:6" x14ac:dyDescent="0.25">
      <c r="A36" t="s">
        <v>81</v>
      </c>
      <c r="B36">
        <v>1.91</v>
      </c>
    </row>
    <row r="37" spans="1:6" x14ac:dyDescent="0.25">
      <c r="A37" t="s">
        <v>82</v>
      </c>
      <c r="B37">
        <v>1.91</v>
      </c>
    </row>
    <row r="38" spans="1:6" x14ac:dyDescent="0.25">
      <c r="A38" t="s">
        <v>102</v>
      </c>
      <c r="B38">
        <v>24.074992010000003</v>
      </c>
    </row>
    <row r="39" spans="1:6" x14ac:dyDescent="0.25">
      <c r="A39" t="s">
        <v>103</v>
      </c>
      <c r="B39">
        <v>25.356755569999997</v>
      </c>
    </row>
    <row r="40" spans="1:6" x14ac:dyDescent="0.25">
      <c r="A40" t="s">
        <v>99</v>
      </c>
      <c r="B40">
        <v>24.367436999999999</v>
      </c>
    </row>
    <row r="41" spans="1:6" x14ac:dyDescent="0.25">
      <c r="A41" t="s">
        <v>101</v>
      </c>
      <c r="B41">
        <v>25.687756999999998</v>
      </c>
    </row>
    <row r="42" spans="1:6" x14ac:dyDescent="0.25">
      <c r="A42" t="s">
        <v>104</v>
      </c>
      <c r="B42">
        <v>23.815654000000002</v>
      </c>
    </row>
    <row r="43" spans="1:6" x14ac:dyDescent="0.25">
      <c r="A43" t="s">
        <v>100</v>
      </c>
      <c r="B43">
        <v>25.063226</v>
      </c>
    </row>
    <row r="44" spans="1:6" x14ac:dyDescent="0.25">
      <c r="A44" t="s">
        <v>91</v>
      </c>
      <c r="B44">
        <v>0</v>
      </c>
    </row>
    <row r="45" spans="1:6" x14ac:dyDescent="0.25">
      <c r="A45" t="s">
        <v>92</v>
      </c>
      <c r="B45">
        <v>0</v>
      </c>
    </row>
    <row r="46" spans="1:6" x14ac:dyDescent="0.25">
      <c r="A46" t="s">
        <v>93</v>
      </c>
      <c r="B46">
        <v>-1.34343721</v>
      </c>
    </row>
    <row r="47" spans="1:6" x14ac:dyDescent="0.25">
      <c r="A47" t="s">
        <v>94</v>
      </c>
      <c r="B47">
        <v>-1.2817635599999899</v>
      </c>
    </row>
    <row r="48" spans="1:6" x14ac:dyDescent="0.25">
      <c r="A48" t="s">
        <v>95</v>
      </c>
      <c r="B48">
        <v>-1.08700201</v>
      </c>
    </row>
    <row r="49" spans="1:2" x14ac:dyDescent="0.25">
      <c r="A49" t="s">
        <v>96</v>
      </c>
      <c r="B49">
        <v>-1.3203199999999999</v>
      </c>
    </row>
    <row r="50" spans="1:2" x14ac:dyDescent="0.25">
      <c r="A50" t="s">
        <v>97</v>
      </c>
      <c r="B50">
        <v>-1.311504</v>
      </c>
    </row>
    <row r="51" spans="1:2" x14ac:dyDescent="0.25">
      <c r="A51" t="s">
        <v>98</v>
      </c>
      <c r="B51">
        <v>-1.2475719999999999</v>
      </c>
    </row>
    <row r="52" spans="1:2" x14ac:dyDescent="0.25">
      <c r="A52" t="s">
        <v>128</v>
      </c>
      <c r="B52">
        <v>0</v>
      </c>
    </row>
    <row r="53" spans="1:2" x14ac:dyDescent="0.25">
      <c r="A53" t="s">
        <v>129</v>
      </c>
      <c r="B53">
        <v>0</v>
      </c>
    </row>
    <row r="54" spans="1:2" x14ac:dyDescent="0.25">
      <c r="A54" t="s">
        <v>130</v>
      </c>
      <c r="B54">
        <v>-5.9100102118839898E-2</v>
      </c>
    </row>
    <row r="55" spans="1:2" x14ac:dyDescent="0.25">
      <c r="A55" t="s">
        <v>131</v>
      </c>
      <c r="B55">
        <v>-5.3240456298701597E-2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0280-97F7-4737-86F9-7C9B1B196124}">
  <dimension ref="A1:E7"/>
  <sheetViews>
    <sheetView workbookViewId="0">
      <selection activeCell="E9" sqref="E9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37</v>
      </c>
      <c r="B1" t="s">
        <v>6</v>
      </c>
      <c r="C1" t="s">
        <v>73</v>
      </c>
      <c r="D1" t="s">
        <v>74</v>
      </c>
      <c r="E1" t="s">
        <v>40</v>
      </c>
    </row>
    <row r="2" spans="1:5" x14ac:dyDescent="0.25">
      <c r="A2" t="s">
        <v>49</v>
      </c>
      <c r="B2">
        <v>8</v>
      </c>
    </row>
    <row r="3" spans="1:5" x14ac:dyDescent="0.25">
      <c r="A3" t="s">
        <v>77</v>
      </c>
      <c r="B3">
        <v>22.98799</v>
      </c>
    </row>
    <row r="4" spans="1:5" x14ac:dyDescent="0.25">
      <c r="A4" t="s">
        <v>78</v>
      </c>
      <c r="B4">
        <v>22.504149999999999</v>
      </c>
    </row>
    <row r="5" spans="1:5" x14ac:dyDescent="0.25">
      <c r="A5" t="s">
        <v>79</v>
      </c>
      <c r="B5">
        <f>(0.47*22.98799)+(0.53*22.50415)</f>
        <v>22.731554799999998</v>
      </c>
    </row>
    <row r="6" spans="1:5" x14ac:dyDescent="0.25">
      <c r="A6" t="s">
        <v>80</v>
      </c>
      <c r="B6">
        <v>1.91</v>
      </c>
    </row>
    <row r="7" spans="1:5" x14ac:dyDescent="0.25">
      <c r="A7" t="s">
        <v>50</v>
      </c>
      <c r="B7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Sheet1</vt:lpstr>
      <vt:lpstr>inputs_old</vt:lpstr>
      <vt:lpstr>inputs</vt:lpstr>
      <vt:lpstr>cohort_settings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Wagner, Sophie</cp:lastModifiedBy>
  <dcterms:created xsi:type="dcterms:W3CDTF">2015-06-05T18:17:20Z</dcterms:created>
  <dcterms:modified xsi:type="dcterms:W3CDTF">2023-12-21T04:29:02Z</dcterms:modified>
</cp:coreProperties>
</file>